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slicers/slicer1.xml" ContentType="application/vnd.ms-excel.slicer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9.xml" ContentType="application/vnd.ms-excel.controlproperties+xml"/>
  <Override PartName="/xl/drawings/drawing1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FB7999DB-0397-4EB7-8962-CB52CEAC91FF}" xr6:coauthVersionLast="37" xr6:coauthVersionMax="37" xr10:uidLastSave="{00000000-0000-0000-0000-000000000000}"/>
  <bookViews>
    <workbookView xWindow="0" yWindow="0" windowWidth="19200" windowHeight="6612" tabRatio="807" firstSheet="5" activeTab="14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r:id="rId14"/>
    <sheet name="Таблицы" sheetId="17" r:id="rId15"/>
  </sheets>
  <functionGroups builtInGroupCount="19"/>
  <definedNames>
    <definedName name="_xlnm._FilterDatabase" localSheetId="3" hidden="1">цб!#REF!</definedName>
    <definedName name="_xlnm._FilterDatabase" localSheetId="4" hidden="1">'цб с буртом'!$M$38:$O$44</definedName>
    <definedName name="ExternalData_12" localSheetId="14" hidden="1">Таблицы!$A$1:$P$152</definedName>
    <definedName name="ExternalData_13" localSheetId="14" hidden="1">Таблицы!$S$1:$X$126</definedName>
    <definedName name="ExternalData_14" localSheetId="2" hidden="1">Конусная!$P$2:$AD$11</definedName>
    <definedName name="ExternalData_15" localSheetId="14" hidden="1">Таблицы!$AQ$36:$AX$58</definedName>
    <definedName name="ExternalData_17" localSheetId="14" hidden="1">Таблицы!$CN$62:$CU$69</definedName>
    <definedName name="ExternalData_18" localSheetId="14" hidden="1">Таблицы!$CN$1:$CS$45</definedName>
    <definedName name="ExternalData_4" localSheetId="14" hidden="1">Таблицы!$AD$1:$AN$131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Таблицы!$BV$1:$CA$1154</definedName>
    <definedName name="ExternalData_9" localSheetId="14" hidden="1">Таблицы!$CD$1:$CK$141</definedName>
    <definedName name="suhar">Сухарь!$O$3:$AI$15</definedName>
    <definedName name="захват">Данные!$A$103:$G$105</definedName>
    <definedName name="литн_461">Данные!$A$81:$K$85</definedName>
    <definedName name="литн_462">Данные!$A$45:$H$53</definedName>
    <definedName name="литн_463">Данные!$A$59:$I$65</definedName>
    <definedName name="литн_464">Данные!$A$72:$K$76</definedName>
    <definedName name="планки_фас">Данные!$A$34:$D$40</definedName>
    <definedName name="прип.ал">Данные!$A$109:$H$119</definedName>
    <definedName name="прип.лат">Данные!$A$123:$H$134</definedName>
    <definedName name="прип.ол">Данные!$A$136:$H$145</definedName>
    <definedName name="Прип_фас_алюм_лат">Данные!$A$164:$K$173</definedName>
    <definedName name="Прип_фас_олов">Данные!$A$151:$K$160</definedName>
    <definedName name="разрезка">Данные!$A$88:$G$100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M25" i="6" l="1"/>
  <c r="M8" i="6"/>
  <c r="M9" i="6" s="1"/>
  <c r="F9" i="6" s="1"/>
  <c r="B45" i="6"/>
  <c r="B38" i="6"/>
  <c r="F31" i="6"/>
  <c r="F16" i="6" s="1"/>
  <c r="F30" i="6"/>
  <c r="E31" i="6"/>
  <c r="G30" i="6" s="1"/>
  <c r="E30" i="6"/>
  <c r="I21" i="6" s="1"/>
  <c r="I22" i="6"/>
  <c r="F27" i="6"/>
  <c r="F17" i="6"/>
  <c r="E22" i="6"/>
  <c r="D22" i="6"/>
  <c r="D21" i="6" l="1"/>
  <c r="E33" i="6"/>
  <c r="G33" i="6" s="1"/>
  <c r="N10" i="5"/>
  <c r="N8" i="5" s="1"/>
  <c r="B42" i="5"/>
  <c r="B35" i="5"/>
  <c r="H20" i="5"/>
  <c r="F25" i="5"/>
  <c r="C20" i="5"/>
  <c r="G14" i="5"/>
  <c r="G9" i="5"/>
  <c r="AE45" i="12" l="1"/>
  <c r="AJ32" i="12"/>
  <c r="AO17" i="12"/>
  <c r="U32" i="12"/>
  <c r="Q46" i="12"/>
  <c r="R3" i="15" l="1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N21" i="15" l="1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G12" i="15"/>
  <c r="K3" i="15"/>
  <c r="M16" i="4"/>
  <c r="M15" i="4" s="1"/>
  <c r="B51" i="4"/>
  <c r="E40" i="4"/>
  <c r="E38" i="4"/>
  <c r="J28" i="4"/>
  <c r="I28" i="4"/>
  <c r="H28" i="4"/>
  <c r="E22" i="4"/>
  <c r="D35" i="4"/>
  <c r="J6" i="4"/>
  <c r="M8" i="4" l="1"/>
  <c r="F9" i="4" s="1"/>
  <c r="O14" i="1" l="1"/>
  <c r="O9" i="1"/>
  <c r="O7" i="1" s="1"/>
  <c r="B52" i="1"/>
  <c r="F46" i="1"/>
  <c r="F39" i="1"/>
  <c r="F42" i="1" s="1"/>
  <c r="I37" i="1"/>
  <c r="E37" i="1"/>
  <c r="E36" i="1"/>
  <c r="J30" i="1"/>
  <c r="I30" i="1"/>
  <c r="F24" i="1"/>
  <c r="G18" i="1"/>
  <c r="G9" i="1"/>
  <c r="O15" i="1" l="1"/>
  <c r="J19" i="9" l="1"/>
  <c r="E25" i="9"/>
  <c r="E22" i="9"/>
  <c r="I49" i="9" l="1"/>
  <c r="U82" i="3" l="1"/>
  <c r="F38" i="9" s="1"/>
  <c r="Z24" i="3" l="1"/>
  <c r="M15" i="5" s="1"/>
  <c r="P8" i="14" l="1"/>
  <c r="B47" i="14"/>
  <c r="J21" i="14"/>
  <c r="H24" i="14"/>
  <c r="F24" i="14"/>
  <c r="E29" i="14"/>
  <c r="P6" i="14" l="1"/>
  <c r="I8" i="14" s="1"/>
  <c r="AC77" i="3"/>
  <c r="P11" i="14" s="1"/>
  <c r="AB77" i="3"/>
  <c r="Z19" i="3"/>
  <c r="V24" i="3" s="1"/>
  <c r="P12" i="14" l="1"/>
  <c r="P10" i="14"/>
  <c r="W24" i="3"/>
  <c r="W20" i="3"/>
  <c r="X56" i="3" l="1"/>
  <c r="U9" i="3"/>
  <c r="X8" i="3" s="1"/>
  <c r="V10" i="3"/>
  <c r="U10" i="3" l="1"/>
  <c r="W8" i="3" s="1"/>
  <c r="V5" i="3"/>
  <c r="V6" i="3"/>
  <c r="W10" i="3" l="1"/>
  <c r="U150" i="17" l="1"/>
  <c r="U40" i="3" l="1"/>
  <c r="AB38" i="3" s="1"/>
  <c r="X24" i="3" l="1"/>
  <c r="U24" i="3" s="1"/>
  <c r="N16" i="5" s="1"/>
  <c r="V20" i="3"/>
  <c r="F17" i="15" l="1"/>
  <c r="J23" i="15"/>
  <c r="K23" i="15"/>
  <c r="J21" i="15" s="1"/>
  <c r="E23" i="15"/>
  <c r="C23" i="15" s="1"/>
  <c r="F29" i="15"/>
  <c r="N28" i="15" l="1"/>
  <c r="Z35" i="3"/>
  <c r="BY41" i="8" l="1"/>
  <c r="BO41" i="8"/>
  <c r="AU41" i="8"/>
  <c r="AK41" i="8"/>
  <c r="Q41" i="8"/>
  <c r="F41" i="8"/>
  <c r="BE41" i="8"/>
  <c r="E33" i="13" l="1"/>
  <c r="E32" i="13"/>
  <c r="E31" i="13"/>
  <c r="E36" i="13"/>
  <c r="BC31" i="12" l="1"/>
  <c r="BE31" i="12" s="1"/>
  <c r="Q19" i="12" l="1"/>
  <c r="X19" i="12"/>
  <c r="U5" i="3" l="1"/>
  <c r="X3" i="3" s="1"/>
  <c r="V17" i="3" l="1"/>
  <c r="G10" i="15" l="1"/>
  <c r="AX51" i="8"/>
  <c r="DZ51" i="8"/>
  <c r="DS46" i="8"/>
  <c r="DW41" i="8"/>
  <c r="DW12" i="8"/>
  <c r="EA7" i="8"/>
  <c r="DW13" i="8" l="1"/>
  <c r="EA8" i="8" s="1"/>
  <c r="AB34" i="3" l="1"/>
  <c r="DP53" i="8" l="1"/>
  <c r="BH14" i="8" l="1"/>
  <c r="DM41" i="8" l="1"/>
  <c r="DI46" i="8"/>
  <c r="DK32" i="8"/>
  <c r="DO31" i="8"/>
  <c r="DO30" i="8"/>
  <c r="DO29" i="8"/>
  <c r="DO28" i="8"/>
  <c r="DO21" i="8"/>
  <c r="DO20" i="8"/>
  <c r="DO19" i="8"/>
  <c r="DO18" i="8"/>
  <c r="DO17" i="8"/>
  <c r="DO16" i="8"/>
  <c r="DM12" i="8"/>
  <c r="DQ7" i="8"/>
  <c r="DM13" i="8" l="1"/>
  <c r="DQ8" i="8" s="1"/>
  <c r="DP51" i="8"/>
  <c r="Y32" i="3" l="1"/>
  <c r="BO12" i="8" l="1"/>
  <c r="U34" i="12" l="1"/>
  <c r="Q34" i="12"/>
  <c r="U39" i="3" l="1"/>
  <c r="Z38" i="3" s="1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3" i="17"/>
  <c r="BU997" i="17"/>
  <c r="BU998" i="17"/>
  <c r="BU999" i="17"/>
  <c r="AO15" i="12" l="1"/>
  <c r="H20" i="11" l="1"/>
  <c r="M29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V94" i="3" l="1"/>
  <c r="W94" i="3" s="1"/>
  <c r="U89" i="3"/>
  <c r="W92" i="3"/>
  <c r="Y90" i="3"/>
  <c r="W90" i="3"/>
  <c r="Y88" i="3"/>
  <c r="W88" i="3"/>
  <c r="U86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U63" i="3"/>
  <c r="U48" i="3"/>
  <c r="AB69" i="3"/>
  <c r="W106" i="3"/>
  <c r="W100" i="3"/>
  <c r="U77" i="3"/>
  <c r="W77" i="3" s="1"/>
  <c r="Y77" i="3" s="1"/>
  <c r="M55" i="3"/>
  <c r="W6" i="3"/>
  <c r="U6" i="3"/>
  <c r="W3" i="3" s="1"/>
  <c r="W5" i="3"/>
  <c r="E59" i="12"/>
  <c r="I48" i="12"/>
  <c r="B43" i="12"/>
  <c r="BE42" i="12"/>
  <c r="AL28" i="12"/>
  <c r="AS41" i="12"/>
  <c r="AE41" i="12"/>
  <c r="P42" i="12"/>
  <c r="BE40" i="12"/>
  <c r="AC40" i="12"/>
  <c r="BE39" i="12"/>
  <c r="AC39" i="12"/>
  <c r="AX35" i="12"/>
  <c r="AJ35" i="12"/>
  <c r="U36" i="12"/>
  <c r="AX26" i="12"/>
  <c r="AI34" i="12"/>
  <c r="AJ26" i="12" s="1"/>
  <c r="AJ33" i="12"/>
  <c r="AX32" i="12"/>
  <c r="AA32" i="12"/>
  <c r="AC32" i="12" s="1"/>
  <c r="G32" i="12"/>
  <c r="G35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U79" i="3" s="1"/>
  <c r="W79" i="3" s="1"/>
  <c r="Y7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5" i="12" s="1"/>
  <c r="U26" i="12" s="1"/>
  <c r="AT19" i="12"/>
  <c r="AF19" i="12"/>
  <c r="C19" i="12"/>
  <c r="AO18" i="12"/>
  <c r="N17" i="12"/>
  <c r="BC16" i="12"/>
  <c r="AA15" i="12"/>
  <c r="AA17" i="12" s="1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B44" i="9"/>
  <c r="F39" i="9"/>
  <c r="C33" i="9"/>
  <c r="E26" i="9"/>
  <c r="E23" i="9"/>
  <c r="J20" i="9"/>
  <c r="H20" i="9"/>
  <c r="H19" i="9"/>
  <c r="G14" i="9"/>
  <c r="M8" i="9"/>
  <c r="F40" i="14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W40" i="8"/>
  <c r="BW32" i="8"/>
  <c r="BM32" i="8"/>
  <c r="CA31" i="8"/>
  <c r="BQ31" i="8"/>
  <c r="AI32" i="8"/>
  <c r="O32" i="8"/>
  <c r="CA30" i="8"/>
  <c r="BQ30" i="8"/>
  <c r="AW31" i="8"/>
  <c r="AM31" i="8"/>
  <c r="CA29" i="8"/>
  <c r="BQ29" i="8"/>
  <c r="AW30" i="8"/>
  <c r="AM30" i="8"/>
  <c r="Y30" i="8"/>
  <c r="CA28" i="8"/>
  <c r="BQ28" i="8"/>
  <c r="AW29" i="8"/>
  <c r="AM29" i="8"/>
  <c r="AC29" i="8"/>
  <c r="AW28" i="8"/>
  <c r="AM28" i="8"/>
  <c r="AC28" i="8"/>
  <c r="AC27" i="8"/>
  <c r="AC26" i="8"/>
  <c r="CA21" i="8"/>
  <c r="BQ21" i="8"/>
  <c r="CA20" i="8"/>
  <c r="BQ20" i="8"/>
  <c r="AW21" i="8"/>
  <c r="AM21" i="8"/>
  <c r="CA19" i="8"/>
  <c r="BQ19" i="8"/>
  <c r="AW20" i="8"/>
  <c r="AM20" i="8"/>
  <c r="CA18" i="8"/>
  <c r="BQ18" i="8"/>
  <c r="AW19" i="8"/>
  <c r="AM19" i="8"/>
  <c r="CA17" i="8"/>
  <c r="BQ17" i="8"/>
  <c r="AW18" i="8"/>
  <c r="AM18" i="8"/>
  <c r="CA16" i="8"/>
  <c r="BQ16" i="8"/>
  <c r="AW17" i="8"/>
  <c r="AM17" i="8"/>
  <c r="AW16" i="8"/>
  <c r="AM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5" i="13"/>
  <c r="B49" i="11"/>
  <c r="F45" i="11"/>
  <c r="I37" i="11"/>
  <c r="E33" i="11"/>
  <c r="R19" i="11"/>
  <c r="I25" i="11"/>
  <c r="M16" i="11"/>
  <c r="F16" i="11"/>
  <c r="L14" i="11"/>
  <c r="L13" i="11"/>
  <c r="L12" i="11"/>
  <c r="L11" i="11"/>
  <c r="C32" i="11" s="1"/>
  <c r="Q9" i="11"/>
  <c r="L4" i="11" s="1"/>
  <c r="L7" i="11"/>
  <c r="L6" i="11"/>
  <c r="F44" i="11" s="1"/>
  <c r="L5" i="11"/>
  <c r="I24" i="11" s="1"/>
  <c r="B52" i="2"/>
  <c r="F45" i="2"/>
  <c r="L37" i="2"/>
  <c r="I33" i="2"/>
  <c r="E29" i="2"/>
  <c r="I22" i="2"/>
  <c r="M15" i="2"/>
  <c r="F15" i="2"/>
  <c r="M9" i="2"/>
  <c r="M7" i="2" s="1"/>
  <c r="G35" i="3"/>
  <c r="G32" i="6" s="1"/>
  <c r="V3" i="3"/>
  <c r="T13" i="5"/>
  <c r="T16" i="5" s="1"/>
  <c r="T17" i="5" s="1"/>
  <c r="J3" i="4"/>
  <c r="O41" i="1"/>
  <c r="F8" i="2"/>
  <c r="X6" i="3" l="1"/>
  <c r="M13" i="6" s="1"/>
  <c r="X5" i="3"/>
  <c r="X20" i="3"/>
  <c r="U20" i="3"/>
  <c r="N12" i="5" s="1"/>
  <c r="N25" i="5" s="1"/>
  <c r="X10" i="3"/>
  <c r="AQ18" i="12"/>
  <c r="AQ7" i="12"/>
  <c r="M24" i="11"/>
  <c r="L29" i="6"/>
  <c r="M6" i="9"/>
  <c r="F8" i="9" s="1"/>
  <c r="U90" i="3"/>
  <c r="F9" i="10"/>
  <c r="J7" i="10" s="1"/>
  <c r="P17" i="10"/>
  <c r="F38" i="10" s="1"/>
  <c r="AQ43" i="12"/>
  <c r="AL19" i="12" s="1"/>
  <c r="AQ10" i="12" s="1"/>
  <c r="AU13" i="8"/>
  <c r="AY8" i="8" s="1"/>
  <c r="BE11" i="12"/>
  <c r="F38" i="13"/>
  <c r="I38" i="13" s="1"/>
  <c r="F39" i="13" s="1"/>
  <c r="F40" i="13" s="1"/>
  <c r="L12" i="12"/>
  <c r="G10" i="12" s="1"/>
  <c r="N11" i="12"/>
  <c r="N12" i="12" s="1"/>
  <c r="G11" i="12" s="1"/>
  <c r="G12" i="12" s="1"/>
  <c r="BC17" i="12"/>
  <c r="BC18" i="12" s="1"/>
  <c r="BE7" i="12" s="1"/>
  <c r="I51" i="8"/>
  <c r="F10" i="10"/>
  <c r="BC12" i="12"/>
  <c r="AX10" i="12" s="1"/>
  <c r="AQ22" i="12"/>
  <c r="AA29" i="12"/>
  <c r="AC29" i="12" s="1"/>
  <c r="AO27" i="12"/>
  <c r="AO28" i="12" s="1"/>
  <c r="AQ28" i="12" s="1"/>
  <c r="AC42" i="12"/>
  <c r="X28" i="12" s="1"/>
  <c r="G52" i="13"/>
  <c r="G53" i="13" s="1"/>
  <c r="BE13" i="8"/>
  <c r="BI8" i="8" s="1"/>
  <c r="BR51" i="8"/>
  <c r="AQ11" i="12"/>
  <c r="L15" i="11"/>
  <c r="AI4" i="10"/>
  <c r="F11" i="10" s="1"/>
  <c r="F12" i="10" s="1"/>
  <c r="J8" i="10" s="1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X92" i="3"/>
  <c r="X95" i="3" s="1"/>
  <c r="U78" i="3"/>
  <c r="W78" i="3" s="1"/>
  <c r="Y78" i="3" s="1"/>
  <c r="I14" i="9" s="1"/>
  <c r="M9" i="9" s="1"/>
  <c r="N16" i="12"/>
  <c r="N21" i="12"/>
  <c r="N22" i="12" s="1"/>
  <c r="AC33" i="12"/>
  <c r="BE43" i="12"/>
  <c r="I36" i="11"/>
  <c r="CB51" i="8"/>
  <c r="AC11" i="12"/>
  <c r="AZ28" i="12"/>
  <c r="W101" i="3"/>
  <c r="W102" i="3" s="1"/>
  <c r="L8" i="11"/>
  <c r="M17" i="11" s="1"/>
  <c r="AA12" i="12"/>
  <c r="U10" i="12" s="1"/>
  <c r="AA18" i="12"/>
  <c r="AC7" i="12" s="1"/>
  <c r="BC27" i="12"/>
  <c r="BC28" i="12" s="1"/>
  <c r="BE28" i="12" s="1"/>
  <c r="AQ31" i="12"/>
  <c r="AQ32" i="12"/>
  <c r="K50" i="13"/>
  <c r="K51" i="13" s="1"/>
  <c r="BE32" i="12"/>
  <c r="F9" i="11"/>
  <c r="F10" i="11"/>
  <c r="F9" i="9" l="1"/>
  <c r="J7" i="9" s="1"/>
  <c r="Y6" i="3"/>
  <c r="Y5" i="3"/>
  <c r="AZ19" i="12"/>
  <c r="BE10" i="12" s="1"/>
  <c r="BE12" i="12" s="1"/>
  <c r="AX11" i="12" s="1"/>
  <c r="AQ23" i="12"/>
  <c r="AQ12" i="12"/>
  <c r="AJ11" i="12" s="1"/>
  <c r="AJ12" i="12" s="1"/>
  <c r="AM9" i="12" s="1"/>
  <c r="AA90" i="3"/>
  <c r="W95" i="3"/>
  <c r="W96" i="3" s="1"/>
  <c r="Y95" i="3"/>
  <c r="U91" i="3"/>
  <c r="Y92" i="3"/>
  <c r="AJ4" i="10"/>
  <c r="U47" i="3"/>
  <c r="T49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AC43" i="12"/>
  <c r="AC10" i="12" s="1"/>
  <c r="AC17" i="12"/>
  <c r="AC22" i="12" s="1"/>
  <c r="BE33" i="12"/>
  <c r="M18" i="11"/>
  <c r="W103" i="3"/>
  <c r="F12" i="11"/>
  <c r="F11" i="11"/>
  <c r="J9" i="11" l="1"/>
  <c r="Y96" i="3"/>
  <c r="Z96" i="3" s="1"/>
  <c r="AB96" i="3" s="1"/>
  <c r="AX12" i="12"/>
  <c r="BA9" i="12" s="1"/>
  <c r="AQ34" i="12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U45" i="3"/>
  <c r="BE34" i="12"/>
  <c r="AX13" i="12" s="1"/>
  <c r="AX14" i="12" s="1"/>
  <c r="AC12" i="12"/>
  <c r="U11" i="12" s="1"/>
  <c r="U12" i="12" s="1"/>
  <c r="Y9" i="12" s="1"/>
  <c r="W104" i="3"/>
  <c r="W105" i="3" s="1"/>
  <c r="F14" i="11"/>
  <c r="F13" i="11"/>
  <c r="F15" i="11"/>
  <c r="J10" i="11" l="1"/>
  <c r="M11" i="9"/>
  <c r="F10" i="9" s="1"/>
  <c r="F11" i="9" s="1"/>
  <c r="F12" i="9" s="1"/>
  <c r="J8" i="9" s="1"/>
  <c r="U46" i="3"/>
  <c r="F35" i="15" s="1"/>
  <c r="U50" i="3"/>
  <c r="U15" i="12"/>
  <c r="U16" i="12" s="1"/>
  <c r="Y10" i="12" s="1"/>
  <c r="U14" i="12"/>
  <c r="AJ15" i="12"/>
  <c r="AJ16" i="12" s="1"/>
  <c r="AM10" i="12" s="1"/>
  <c r="W107" i="3"/>
  <c r="W108" i="3" s="1"/>
  <c r="AX15" i="12"/>
  <c r="AX16" i="12" s="1"/>
  <c r="BA10" i="12" s="1"/>
  <c r="BU128" i="17"/>
  <c r="N25" i="15" l="1"/>
  <c r="N26" i="15" s="1"/>
  <c r="BU132" i="17"/>
  <c r="BU143" i="17" s="1"/>
  <c r="W109" i="3"/>
  <c r="V100" i="3" s="1"/>
  <c r="D17" i="15" l="1"/>
  <c r="J33" i="15" s="1"/>
  <c r="J52" i="15" s="1"/>
  <c r="J51" i="15"/>
  <c r="U21" i="3"/>
  <c r="V106" i="3"/>
  <c r="V103" i="3"/>
  <c r="V105" i="3"/>
  <c r="V108" i="3"/>
  <c r="V104" i="3"/>
  <c r="V110" i="3"/>
  <c r="V109" i="3"/>
  <c r="V102" i="3"/>
  <c r="M54" i="3" s="1"/>
  <c r="V107" i="3"/>
  <c r="BU156" i="17"/>
  <c r="V101" i="3"/>
  <c r="N27" i="15" l="1"/>
  <c r="G11" i="15" s="1"/>
  <c r="BU168" i="17"/>
  <c r="G13" i="15" l="1"/>
  <c r="F34" i="15" s="1"/>
  <c r="F40" i="15"/>
  <c r="BU177" i="17"/>
  <c r="BU180" i="17" s="1"/>
  <c r="G14" i="15" l="1"/>
  <c r="K10" i="15" s="1"/>
  <c r="K8" i="15"/>
  <c r="BU185" i="17"/>
  <c r="BU190" i="17" l="1"/>
  <c r="BU197" i="17" l="1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U1152" i="17" s="1"/>
  <c r="BT83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136" i="3" l="1" a="1"/>
  <c r="N136" i="3" s="1"/>
  <c r="N29" i="5" l="1"/>
  <c r="R93" i="3" a="1"/>
  <c r="R93" i="3" s="1"/>
  <c r="R101" i="3" a="1"/>
  <c r="R101" i="3" s="1"/>
  <c r="R109" i="3" a="1"/>
  <c r="R109" i="3" s="1"/>
  <c r="R117" i="3" a="1"/>
  <c r="R117" i="3" s="1"/>
  <c r="R125" i="3" a="1"/>
  <c r="R125" i="3" s="1"/>
  <c r="R94" i="3" a="1"/>
  <c r="R94" i="3" s="1"/>
  <c r="R102" i="3" a="1"/>
  <c r="R102" i="3" s="1"/>
  <c r="R110" i="3" a="1"/>
  <c r="R110" i="3" s="1"/>
  <c r="R118" i="3" a="1"/>
  <c r="R118" i="3" s="1"/>
  <c r="R95" i="3" a="1"/>
  <c r="R95" i="3" s="1"/>
  <c r="R103" i="3" a="1"/>
  <c r="R103" i="3" s="1"/>
  <c r="R111" i="3" a="1"/>
  <c r="R111" i="3" s="1"/>
  <c r="R119" i="3" a="1"/>
  <c r="R119" i="3" s="1"/>
  <c r="R107" i="3" a="1"/>
  <c r="R107" i="3" s="1"/>
  <c r="R96" i="3" a="1"/>
  <c r="R96" i="3" s="1"/>
  <c r="R104" i="3" a="1"/>
  <c r="R104" i="3" s="1"/>
  <c r="R112" i="3" a="1"/>
  <c r="R112" i="3" s="1"/>
  <c r="R120" i="3" a="1"/>
  <c r="R120" i="3" s="1"/>
  <c r="R99" i="3" a="1"/>
  <c r="R99" i="3" s="1"/>
  <c r="R123" i="3" a="1"/>
  <c r="R123" i="3" s="1"/>
  <c r="R97" i="3" a="1"/>
  <c r="R97" i="3" s="1"/>
  <c r="R105" i="3" a="1"/>
  <c r="R105" i="3" s="1"/>
  <c r="R113" i="3" a="1"/>
  <c r="R113" i="3" s="1"/>
  <c r="R121" i="3" a="1"/>
  <c r="R121" i="3" s="1"/>
  <c r="R115" i="3" a="1"/>
  <c r="R115" i="3" s="1"/>
  <c r="R98" i="3" a="1"/>
  <c r="R98" i="3" s="1"/>
  <c r="R106" i="3" a="1"/>
  <c r="R106" i="3" s="1"/>
  <c r="R114" i="3" a="1"/>
  <c r="R114" i="3" s="1"/>
  <c r="R122" i="3" a="1"/>
  <c r="R122" i="3" s="1"/>
  <c r="R100" i="3" a="1"/>
  <c r="R100" i="3" s="1"/>
  <c r="R108" i="3" a="1"/>
  <c r="R108" i="3" s="1"/>
  <c r="R116" i="3" a="1"/>
  <c r="R116" i="3" s="1"/>
  <c r="R124" i="3" a="1"/>
  <c r="R124" i="3" s="1"/>
  <c r="R92" i="3" a="1"/>
  <c r="R92" i="3" s="1"/>
  <c r="Q114" i="3" a="1"/>
  <c r="Q114" i="3" s="1"/>
  <c r="Q122" i="3" a="1"/>
  <c r="Q122" i="3" s="1"/>
  <c r="Q98" i="3" a="1"/>
  <c r="Q98" i="3" s="1"/>
  <c r="Q112" i="3" a="1"/>
  <c r="Q112" i="3" s="1"/>
  <c r="Q105" i="3" a="1"/>
  <c r="Q105" i="3" s="1"/>
  <c r="Q115" i="3" a="1"/>
  <c r="Q115" i="3" s="1"/>
  <c r="Q123" i="3" a="1"/>
  <c r="Q123" i="3" s="1"/>
  <c r="Q99" i="3" a="1"/>
  <c r="Q99" i="3" s="1"/>
  <c r="Q116" i="3" a="1"/>
  <c r="Q116" i="3" s="1"/>
  <c r="Q93" i="3" a="1"/>
  <c r="Q93" i="3" s="1"/>
  <c r="Q100" i="3" a="1"/>
  <c r="Q100" i="3" s="1"/>
  <c r="Q106" i="3" a="1"/>
  <c r="Q106" i="3" s="1"/>
  <c r="Q109" i="3" a="1"/>
  <c r="Q109" i="3" s="1"/>
  <c r="Q117" i="3" a="1"/>
  <c r="Q117" i="3" s="1"/>
  <c r="Q94" i="3" a="1"/>
  <c r="Q94" i="3" s="1"/>
  <c r="Q107" i="3" a="1"/>
  <c r="Q107" i="3" s="1"/>
  <c r="Q118" i="3" a="1"/>
  <c r="Q118" i="3" s="1"/>
  <c r="Q95" i="3" a="1"/>
  <c r="Q95" i="3" s="1"/>
  <c r="Q101" i="3" a="1"/>
  <c r="Q101" i="3" s="1"/>
  <c r="Q108" i="3" a="1"/>
  <c r="Q108" i="3" s="1"/>
  <c r="Q119" i="3" a="1"/>
  <c r="Q119" i="3" s="1"/>
  <c r="Q96" i="3" a="1"/>
  <c r="Q96" i="3" s="1"/>
  <c r="Q102" i="3" a="1"/>
  <c r="Q102" i="3" s="1"/>
  <c r="Q120" i="3" a="1"/>
  <c r="Q120" i="3" s="1"/>
  <c r="Q103" i="3" a="1"/>
  <c r="Q103" i="3" s="1"/>
  <c r="Q110" i="3" a="1"/>
  <c r="Q110" i="3" s="1"/>
  <c r="Q104" i="3" a="1"/>
  <c r="Q104" i="3" s="1"/>
  <c r="Q111" i="3" a="1"/>
  <c r="Q111" i="3" s="1"/>
  <c r="Q92" i="3" a="1"/>
  <c r="Q92" i="3" s="1"/>
  <c r="Q121" i="3" a="1"/>
  <c r="Q121" i="3" s="1"/>
  <c r="Q97" i="3" a="1"/>
  <c r="Q97" i="3" s="1"/>
  <c r="Q113" i="3" a="1"/>
  <c r="Q113" i="3" s="1"/>
  <c r="O124" i="3" a="1"/>
  <c r="O124" i="3" s="1"/>
  <c r="O132" i="3" a="1"/>
  <c r="O132" i="3" s="1"/>
  <c r="O129" i="3" a="1"/>
  <c r="O129" i="3" s="1"/>
  <c r="O126" i="3" a="1"/>
  <c r="O126" i="3" s="1"/>
  <c r="O123" i="3" a="1"/>
  <c r="O123" i="3" s="1"/>
  <c r="O131" i="3" a="1"/>
  <c r="O131" i="3" s="1"/>
  <c r="O128" i="3" a="1"/>
  <c r="O128" i="3" s="1"/>
  <c r="O135" i="3" a="1"/>
  <c r="O135" i="3" s="1"/>
  <c r="O125" i="3" a="1"/>
  <c r="O125" i="3" s="1"/>
  <c r="O133" i="3" a="1"/>
  <c r="O133" i="3" s="1"/>
  <c r="O130" i="3" a="1"/>
  <c r="O130" i="3" s="1"/>
  <c r="O127" i="3" a="1"/>
  <c r="O127" i="3" s="1"/>
  <c r="O134" i="3" a="1"/>
  <c r="O134" i="3" s="1"/>
  <c r="O119" i="3" a="1"/>
  <c r="O119" i="3" s="1"/>
  <c r="O111" i="3" a="1"/>
  <c r="O111" i="3" s="1"/>
  <c r="O118" i="3" a="1"/>
  <c r="O118" i="3" s="1"/>
  <c r="O110" i="3" a="1"/>
  <c r="O110" i="3" s="1"/>
  <c r="O117" i="3" a="1"/>
  <c r="O117" i="3" s="1"/>
  <c r="O109" i="3" a="1"/>
  <c r="O109" i="3" s="1"/>
  <c r="O116" i="3" a="1"/>
  <c r="O116" i="3" s="1"/>
  <c r="O108" i="3" a="1"/>
  <c r="O108" i="3" s="1"/>
  <c r="O115" i="3" a="1"/>
  <c r="O115" i="3" s="1"/>
  <c r="O107" i="3" a="1"/>
  <c r="O107" i="3" s="1"/>
  <c r="O122" i="3" a="1"/>
  <c r="O122" i="3" s="1"/>
  <c r="O114" i="3" a="1"/>
  <c r="O114" i="3" s="1"/>
  <c r="O106" i="3" a="1"/>
  <c r="O106" i="3" s="1"/>
  <c r="O121" i="3" a="1"/>
  <c r="O121" i="3" s="1"/>
  <c r="O113" i="3" a="1"/>
  <c r="O113" i="3" s="1"/>
  <c r="O105" i="3" a="1"/>
  <c r="O105" i="3" s="1"/>
  <c r="O120" i="3" a="1"/>
  <c r="O120" i="3" s="1"/>
  <c r="O112" i="3" a="1"/>
  <c r="O112" i="3" s="1"/>
  <c r="O104" i="3" a="1"/>
  <c r="O104" i="3" s="1"/>
  <c r="O103" i="3" a="1"/>
  <c r="O103" i="3" s="1"/>
  <c r="O92" i="3" a="1"/>
  <c r="O99" i="3" s="1"/>
  <c r="P92" i="3"/>
  <c r="P91" i="3" s="1"/>
  <c r="M35" i="5" l="1"/>
  <c r="J36" i="3"/>
  <c r="E29" i="5"/>
  <c r="E31" i="5" s="1"/>
  <c r="H31" i="5" s="1"/>
  <c r="C19" i="5"/>
  <c r="O92" i="3"/>
  <c r="N92" i="3" s="1" a="1"/>
  <c r="N92" i="3" s="1"/>
  <c r="O95" i="3"/>
  <c r="O101" i="3"/>
  <c r="O93" i="3"/>
  <c r="O96" i="3"/>
  <c r="O97" i="3"/>
  <c r="O100" i="3"/>
  <c r="O98" i="3"/>
  <c r="O102" i="3"/>
  <c r="O94" i="3"/>
  <c r="N130" i="3" l="1" a="1"/>
  <c r="N130" i="3" s="1"/>
  <c r="N126" i="3" a="1"/>
  <c r="N126" i="3" s="1"/>
  <c r="N129" i="3" a="1"/>
  <c r="N129" i="3" s="1"/>
  <c r="N127" i="3" a="1"/>
  <c r="N127" i="3" s="1"/>
  <c r="N135" i="3" a="1"/>
  <c r="N135" i="3" s="1"/>
  <c r="M135" i="3" s="1"/>
  <c r="N134" i="3" a="1"/>
  <c r="N134" i="3" s="1"/>
  <c r="N131" i="3" a="1"/>
  <c r="N131" i="3" s="1"/>
  <c r="N124" i="3" a="1"/>
  <c r="N124" i="3" s="1"/>
  <c r="N125" i="3" a="1"/>
  <c r="N125" i="3" s="1"/>
  <c r="N132" i="3" a="1"/>
  <c r="N132" i="3" s="1"/>
  <c r="N133" i="3" a="1"/>
  <c r="N133" i="3" s="1"/>
  <c r="N128" i="3" a="1"/>
  <c r="N128" i="3" s="1"/>
  <c r="F35" i="3"/>
  <c r="H30" i="5" s="1"/>
  <c r="N93" i="3" a="1"/>
  <c r="N93" i="3" s="1"/>
  <c r="N94" i="3" s="1" a="1"/>
  <c r="N94" i="3" s="1"/>
  <c r="N95" i="3" s="1" a="1"/>
  <c r="N95" i="3" s="1"/>
  <c r="N117" i="3" a="1"/>
  <c r="N117" i="3" s="1"/>
  <c r="N121" i="3" a="1"/>
  <c r="N121" i="3" s="1"/>
  <c r="N119" i="3" a="1"/>
  <c r="N119" i="3" s="1"/>
  <c r="N122" i="3" a="1"/>
  <c r="N122" i="3" s="1"/>
  <c r="N118" i="3" a="1"/>
  <c r="N118" i="3" s="1"/>
  <c r="M134" i="3" l="1"/>
  <c r="M130" i="3"/>
  <c r="M128" i="3"/>
  <c r="M133" i="3"/>
  <c r="M129" i="3"/>
  <c r="M127" i="3"/>
  <c r="M132" i="3"/>
  <c r="M125" i="3"/>
  <c r="M131" i="3"/>
  <c r="M124" i="3"/>
  <c r="M126" i="3"/>
  <c r="M37" i="5"/>
  <c r="N96" i="3" a="1"/>
  <c r="N96" i="3" s="1"/>
  <c r="N97" i="3" l="1" a="1"/>
  <c r="N97" i="3" s="1"/>
  <c r="N98" i="3" l="1" a="1"/>
  <c r="N98" i="3" s="1"/>
  <c r="N99" i="3" l="1" a="1"/>
  <c r="N99" i="3" s="1"/>
  <c r="N100" i="3" l="1" a="1"/>
  <c r="N100" i="3" s="1"/>
  <c r="N101" i="3" l="1" a="1"/>
  <c r="N101" i="3" s="1"/>
  <c r="N102" i="3" l="1" a="1"/>
  <c r="N102" i="3" s="1"/>
  <c r="N103" i="3" l="1" a="1"/>
  <c r="N103" i="3" s="1"/>
  <c r="N104" i="3" l="1" a="1"/>
  <c r="N104" i="3" s="1"/>
  <c r="N105" i="3" s="1" a="1"/>
  <c r="N105" i="3" s="1"/>
  <c r="N106" i="3" l="1" a="1"/>
  <c r="N106" i="3" s="1"/>
  <c r="N109" i="3" a="1"/>
  <c r="N109" i="3" s="1"/>
  <c r="N107" i="3" l="1" a="1"/>
  <c r="N107" i="3" s="1"/>
  <c r="N108" i="3" s="1" a="1"/>
  <c r="N108" i="3" s="1"/>
  <c r="N115" i="3" a="1"/>
  <c r="N115" i="3" s="1"/>
  <c r="N116" i="3" s="1" a="1"/>
  <c r="N116" i="3" s="1"/>
  <c r="N120" i="3" s="1" a="1"/>
  <c r="N120" i="3" s="1"/>
  <c r="N123" i="3" s="1" a="1"/>
  <c r="N123" i="3" s="1"/>
  <c r="M123" i="3" l="1"/>
  <c r="N110" i="3" a="1"/>
  <c r="N110" i="3" s="1"/>
  <c r="N111" i="3" s="1" a="1"/>
  <c r="N111" i="3" s="1"/>
  <c r="N112" i="3" s="1" a="1"/>
  <c r="N112" i="3" s="1"/>
  <c r="N113" i="3" s="1" a="1"/>
  <c r="N113" i="3" s="1"/>
  <c r="N114" i="3" s="1" a="1"/>
  <c r="N114" i="3" s="1"/>
  <c r="M92" i="3" l="1"/>
  <c r="P10" i="5" s="1"/>
  <c r="M103" i="3"/>
  <c r="P21" i="5" s="1"/>
  <c r="M118" i="3"/>
  <c r="M111" i="3"/>
  <c r="M115" i="3"/>
  <c r="M113" i="3"/>
  <c r="M98" i="3"/>
  <c r="P16" i="5" s="1"/>
  <c r="M108" i="3"/>
  <c r="M121" i="3"/>
  <c r="M122" i="3"/>
  <c r="M120" i="3"/>
  <c r="M107" i="3"/>
  <c r="M97" i="3"/>
  <c r="P15" i="5" s="1"/>
  <c r="M94" i="3"/>
  <c r="P12" i="5" s="1"/>
  <c r="M102" i="3"/>
  <c r="P20" i="5" s="1"/>
  <c r="M106" i="3"/>
  <c r="M101" i="3"/>
  <c r="P19" i="5" s="1"/>
  <c r="M116" i="3"/>
  <c r="M104" i="3"/>
  <c r="P22" i="5" s="1"/>
  <c r="M93" i="3"/>
  <c r="P11" i="5" s="1"/>
  <c r="M95" i="3"/>
  <c r="P13" i="5" s="1"/>
  <c r="M114" i="3"/>
  <c r="M105" i="3"/>
  <c r="P23" i="5" s="1"/>
  <c r="M117" i="3"/>
  <c r="M110" i="3"/>
  <c r="M109" i="3"/>
  <c r="M100" i="3"/>
  <c r="P18" i="5" s="1"/>
  <c r="M119" i="3"/>
  <c r="M96" i="3"/>
  <c r="P14" i="5" s="1"/>
  <c r="M99" i="3"/>
  <c r="P17" i="5" s="1"/>
  <c r="M112" i="3"/>
  <c r="Z36" i="3" l="1"/>
  <c r="W29" i="3" s="1"/>
  <c r="Y13" i="3" l="1"/>
  <c r="M15" i="6" s="1"/>
  <c r="V15" i="3" l="1"/>
  <c r="V14" i="3"/>
  <c r="Y10" i="3"/>
  <c r="W14" i="3" s="1"/>
  <c r="V70" i="3" l="1"/>
  <c r="AB70" i="3"/>
  <c r="K14" i="14" l="1"/>
  <c r="P15" i="14"/>
  <c r="P22" i="14" s="1"/>
  <c r="P16" i="14"/>
  <c r="P23" i="14" s="1"/>
  <c r="E24" i="14" s="1"/>
  <c r="P17" i="14"/>
  <c r="P24" i="14" s="1"/>
  <c r="P19" i="14" l="1" a="1"/>
  <c r="P19" i="14" s="1"/>
  <c r="X5" i="14" s="1"/>
  <c r="E28" i="14"/>
  <c r="P27" i="14"/>
  <c r="D16" i="14" s="1"/>
  <c r="G24" i="14"/>
  <c r="P25" i="14"/>
  <c r="K5" i="14"/>
  <c r="Z77" i="3"/>
  <c r="AA77" i="3"/>
  <c r="V6" i="14" l="1"/>
  <c r="R8" i="14"/>
  <c r="X7" i="14"/>
  <c r="Y4" i="14"/>
  <c r="V5" i="14"/>
  <c r="S7" i="14"/>
  <c r="T4" i="14"/>
  <c r="Y6" i="14"/>
  <c r="U8" i="14"/>
  <c r="Y5" i="14"/>
  <c r="S5" i="14"/>
  <c r="W4" i="14"/>
  <c r="X8" i="14"/>
  <c r="V7" i="14"/>
  <c r="S8" i="14"/>
  <c r="Y7" i="14"/>
  <c r="R4" i="14"/>
  <c r="W6" i="14"/>
  <c r="T5" i="14"/>
  <c r="T7" i="14"/>
  <c r="U4" i="14"/>
  <c r="R6" i="14"/>
  <c r="V8" i="14"/>
  <c r="W5" i="14"/>
  <c r="U6" i="14"/>
  <c r="Y8" i="14"/>
  <c r="R5" i="14"/>
  <c r="W7" i="14"/>
  <c r="X4" i="14"/>
  <c r="T6" i="14"/>
  <c r="T8" i="14"/>
  <c r="U5" i="14"/>
  <c r="R7" i="14"/>
  <c r="S4" i="14"/>
  <c r="X6" i="14"/>
  <c r="U7" i="14"/>
  <c r="V4" i="14"/>
  <c r="S6" i="14"/>
  <c r="W8" i="14"/>
  <c r="P28" i="14"/>
  <c r="I9" i="14"/>
  <c r="Y81" i="3" a="1"/>
  <c r="Y81" i="3" s="1"/>
  <c r="AA82" i="3" l="1"/>
  <c r="Z81" i="3"/>
  <c r="AA81" i="3"/>
  <c r="M7" i="14"/>
  <c r="I10" i="14"/>
  <c r="U80" i="3"/>
  <c r="V81" i="3" s="1"/>
  <c r="U81" i="3"/>
  <c r="K52" i="14" l="1"/>
  <c r="P29" i="14"/>
  <c r="I11" i="14" s="1"/>
  <c r="I12" i="14" s="1"/>
  <c r="I13" i="14" l="1"/>
  <c r="M8" i="14" s="1"/>
  <c r="F41" i="14"/>
  <c r="X38" i="3" l="1"/>
  <c r="W39" i="3" s="1"/>
  <c r="Y41" i="3" l="1"/>
  <c r="X40" i="3"/>
  <c r="O11" i="1" s="1"/>
  <c r="L3" i="1" l="1"/>
  <c r="O19" i="1"/>
  <c r="T2" i="1" a="1"/>
  <c r="T2" i="1" s="1"/>
  <c r="Z40" i="3"/>
  <c r="O13" i="1" s="1"/>
  <c r="O20" i="1" s="1"/>
  <c r="Y40" i="3"/>
  <c r="O12" i="1" s="1"/>
  <c r="L5" i="1" l="1"/>
  <c r="H27" i="1"/>
  <c r="J29" i="1"/>
  <c r="K4" i="1"/>
  <c r="AD31" i="3"/>
  <c r="AD32" i="3" s="1"/>
  <c r="U31" i="3" s="1"/>
  <c r="O21" i="1" s="1"/>
  <c r="T14" i="1" a="1"/>
  <c r="T14" i="1" s="1"/>
  <c r="S5" i="1"/>
  <c r="V5" i="1" s="1"/>
  <c r="U7" i="1"/>
  <c r="R8" i="1"/>
  <c r="U9" i="1"/>
  <c r="Q4" i="1"/>
  <c r="T5" i="1"/>
  <c r="S8" i="1"/>
  <c r="V8" i="1" s="1"/>
  <c r="R4" i="1"/>
  <c r="U5" i="1"/>
  <c r="Q6" i="1"/>
  <c r="T8" i="1"/>
  <c r="Q11" i="1"/>
  <c r="S4" i="1"/>
  <c r="V4" i="1" s="1"/>
  <c r="R6" i="1"/>
  <c r="U8" i="1"/>
  <c r="Q10" i="1"/>
  <c r="R11" i="1"/>
  <c r="T4" i="1"/>
  <c r="S6" i="1"/>
  <c r="V6" i="1" s="1"/>
  <c r="Q7" i="1"/>
  <c r="Q9" i="1"/>
  <c r="R10" i="1"/>
  <c r="S11" i="1"/>
  <c r="V11" i="1" s="1"/>
  <c r="U4" i="1"/>
  <c r="T6" i="1"/>
  <c r="R7" i="1"/>
  <c r="R9" i="1"/>
  <c r="S10" i="1"/>
  <c r="V10" i="1" s="1"/>
  <c r="T11" i="1"/>
  <c r="Q5" i="1"/>
  <c r="U6" i="1"/>
  <c r="S7" i="1"/>
  <c r="V7" i="1" s="1"/>
  <c r="S9" i="1"/>
  <c r="V9" i="1" s="1"/>
  <c r="T10" i="1"/>
  <c r="U11" i="1"/>
  <c r="R5" i="1"/>
  <c r="T7" i="1"/>
  <c r="Q8" i="1"/>
  <c r="T9" i="1"/>
  <c r="U10" i="1"/>
  <c r="V29" i="3"/>
  <c r="G45" i="1" s="1"/>
  <c r="L4" i="1" l="1"/>
  <c r="F23" i="1"/>
  <c r="G23" i="1" s="1"/>
  <c r="I29" i="1"/>
  <c r="W31" i="3"/>
  <c r="Y31" i="3" s="1"/>
  <c r="F21" i="1" s="1"/>
  <c r="Z34" i="3"/>
  <c r="AA34" i="3"/>
  <c r="V113" i="3"/>
  <c r="V114" i="3" s="1"/>
  <c r="S12" i="1"/>
  <c r="U16" i="1"/>
  <c r="Q19" i="1"/>
  <c r="R21" i="1"/>
  <c r="S22" i="1"/>
  <c r="U23" i="1"/>
  <c r="Q20" i="1"/>
  <c r="R19" i="1"/>
  <c r="S21" i="1"/>
  <c r="T22" i="1"/>
  <c r="Q17" i="1"/>
  <c r="Q18" i="1"/>
  <c r="S19" i="1"/>
  <c r="R20" i="1"/>
  <c r="T21" i="1"/>
  <c r="U22" i="1"/>
  <c r="R24" i="1"/>
  <c r="R17" i="1"/>
  <c r="R18" i="1"/>
  <c r="T19" i="1"/>
  <c r="S20" i="1"/>
  <c r="U21" i="1"/>
  <c r="Q16" i="1"/>
  <c r="S17" i="1"/>
  <c r="S18" i="1"/>
  <c r="U19" i="1"/>
  <c r="T20" i="1"/>
  <c r="Q23" i="1"/>
  <c r="R16" i="1"/>
  <c r="T17" i="1"/>
  <c r="T18" i="1"/>
  <c r="U20" i="1"/>
  <c r="R23" i="1"/>
  <c r="S16" i="1"/>
  <c r="U17" i="1"/>
  <c r="U18" i="1"/>
  <c r="Q22" i="1"/>
  <c r="S23" i="1"/>
  <c r="K6" i="1" s="1"/>
  <c r="R22" i="1"/>
  <c r="T16" i="1"/>
  <c r="Q21" i="1"/>
  <c r="T23" i="1"/>
  <c r="L6" i="1" s="1"/>
  <c r="O24" i="1" l="1"/>
  <c r="U32" i="3"/>
  <c r="U101" i="3"/>
  <c r="U109" i="3"/>
  <c r="U102" i="3"/>
  <c r="U103" i="3"/>
  <c r="U104" i="3"/>
  <c r="U105" i="3"/>
  <c r="U107" i="3"/>
  <c r="U100" i="3"/>
  <c r="U108" i="3"/>
  <c r="U106" i="3"/>
  <c r="E25" i="1" l="1"/>
  <c r="I21" i="1" s="1"/>
  <c r="AA32" i="3"/>
  <c r="AA33" i="3" s="1"/>
  <c r="F41" i="1" s="1"/>
  <c r="V41" i="3"/>
  <c r="W41" i="3" s="1"/>
  <c r="U41" i="3" s="1"/>
  <c r="V115" i="3"/>
  <c r="D46" i="1" s="1"/>
  <c r="V32" i="3"/>
  <c r="U33" i="3" s="1"/>
  <c r="O25" i="1" s="1"/>
  <c r="Y34" i="3"/>
  <c r="O23" i="1" s="1"/>
  <c r="G10" i="1"/>
  <c r="G11" i="1" l="1"/>
  <c r="L8" i="1" s="1"/>
  <c r="W117" i="3"/>
  <c r="X117" i="3"/>
  <c r="W115" i="3"/>
  <c r="E46" i="1" s="1"/>
  <c r="X115" i="3"/>
  <c r="V117" i="3"/>
  <c r="W34" i="3"/>
  <c r="O22" i="1" s="1"/>
  <c r="AB35" i="3"/>
  <c r="D23" i="1" l="1"/>
  <c r="J39" i="1" s="1"/>
  <c r="J58" i="1" s="1"/>
  <c r="V120" i="3"/>
  <c r="V118" i="3"/>
  <c r="V119" i="3"/>
  <c r="V122" i="3" s="1"/>
  <c r="U34" i="3" l="1"/>
  <c r="V116" i="3"/>
  <c r="W118" i="3" s="1"/>
  <c r="X118" i="3" s="1"/>
  <c r="X119" i="3" s="1"/>
  <c r="V123" i="3"/>
  <c r="V121" i="3"/>
  <c r="U35" i="3" l="1"/>
  <c r="Z29" i="3" s="1"/>
  <c r="O26" i="1"/>
  <c r="W121" i="3"/>
  <c r="E47" i="1"/>
  <c r="D47" i="1"/>
  <c r="W120" i="3"/>
  <c r="W119" i="3"/>
  <c r="F47" i="1" s="1"/>
  <c r="Z30" i="3"/>
  <c r="Y29" i="3" l="1"/>
  <c r="U29" i="3" s="1"/>
  <c r="F45" i="1" s="1"/>
  <c r="AA29" i="3"/>
  <c r="X29" i="3"/>
  <c r="G12" i="1"/>
  <c r="W122" i="3"/>
  <c r="W123" i="3"/>
  <c r="X120" i="3"/>
  <c r="Y30" i="3"/>
  <c r="AA30" i="3"/>
  <c r="U30" i="3" l="1"/>
  <c r="O27" i="1" s="1"/>
  <c r="G13" i="1" s="1"/>
  <c r="G14" i="1" s="1"/>
  <c r="V124" i="3"/>
  <c r="J57" i="1" s="1"/>
  <c r="F40" i="1" l="1"/>
  <c r="G16" i="1"/>
  <c r="G17" i="1" s="1"/>
  <c r="L10" i="1" s="1"/>
  <c r="G15" i="1"/>
  <c r="M16" i="2"/>
  <c r="M17" i="2"/>
  <c r="M18" i="2"/>
  <c r="I21" i="2" s="1"/>
  <c r="M19" i="2"/>
  <c r="M20" i="2"/>
  <c r="E28" i="2" s="1"/>
  <c r="N44" i="3" s="1"/>
  <c r="N46" i="3" s="1"/>
  <c r="M14" i="2" s="1"/>
  <c r="M23" i="2"/>
  <c r="M24" i="2"/>
  <c r="M25" i="2"/>
  <c r="M26" i="2"/>
  <c r="M52" i="3" s="1"/>
  <c r="P46" i="3" l="1"/>
  <c r="Q46" i="3" s="1"/>
  <c r="F43" i="2" s="1"/>
  <c r="I4" i="2"/>
  <c r="M10" i="2"/>
  <c r="Q44" i="3"/>
  <c r="O44" i="3"/>
  <c r="P44" i="3"/>
  <c r="F18" i="2" s="1"/>
  <c r="M13" i="2"/>
  <c r="I32" i="2"/>
  <c r="O57" i="3"/>
  <c r="N57" i="3"/>
  <c r="M58" i="3"/>
  <c r="M57" i="3"/>
  <c r="F9" i="2"/>
  <c r="O46" i="3" l="1"/>
  <c r="M47" i="3" s="1"/>
  <c r="M45" i="3" s="1"/>
  <c r="M50" i="3" s="1"/>
  <c r="M27" i="2" s="1"/>
  <c r="M11" i="2" s="1"/>
  <c r="F10" i="2"/>
  <c r="J7" i="2" s="1"/>
  <c r="C48" i="2"/>
  <c r="F11" i="2"/>
  <c r="C28" i="2" l="1"/>
  <c r="M53" i="3"/>
  <c r="F12" i="2"/>
  <c r="F13" i="2"/>
  <c r="F14" i="2" s="1"/>
  <c r="J8" i="2" s="1"/>
  <c r="M12" i="6"/>
  <c r="M14" i="6"/>
  <c r="M20" i="6"/>
  <c r="E21" i="6" s="1"/>
  <c r="E32" i="6" l="1"/>
  <c r="Z15" i="3"/>
  <c r="W12" i="3" s="1"/>
  <c r="Z10" i="3"/>
  <c r="Z9" i="3"/>
  <c r="V9" i="3" s="1"/>
  <c r="W9" i="3" l="1"/>
  <c r="Y9" i="3" s="1"/>
  <c r="W15" i="3" s="1"/>
  <c r="X9" i="3"/>
  <c r="Y12" i="3"/>
  <c r="Z12" i="3"/>
  <c r="U12" i="3" l="1"/>
  <c r="M16" i="6" s="1"/>
  <c r="M23" i="6" s="1"/>
  <c r="F26" i="6" s="1"/>
  <c r="F36" i="6" l="1"/>
  <c r="F34" i="6" s="1"/>
  <c r="M26" i="6"/>
  <c r="F10" i="6" s="1"/>
  <c r="F12" i="6" l="1"/>
  <c r="F11" i="6"/>
  <c r="J8" i="6"/>
  <c r="J9" i="6" l="1"/>
  <c r="F13" i="6"/>
  <c r="R2" i="4" a="1"/>
  <c r="R2" i="4"/>
  <c r="J4" i="4"/>
  <c r="O4" i="4"/>
  <c r="P4" i="4"/>
  <c r="Q4" i="4"/>
  <c r="R4" i="4"/>
  <c r="S4" i="4"/>
  <c r="T4" i="4"/>
  <c r="O5" i="4"/>
  <c r="P5" i="4"/>
  <c r="Q5" i="4"/>
  <c r="R5" i="4"/>
  <c r="S5" i="4"/>
  <c r="T5" i="4"/>
  <c r="I6" i="4"/>
  <c r="O6" i="4"/>
  <c r="P6" i="4"/>
  <c r="Q6" i="4"/>
  <c r="R6" i="4"/>
  <c r="S6" i="4"/>
  <c r="T6" i="4"/>
  <c r="O7" i="4"/>
  <c r="P7" i="4"/>
  <c r="Q7" i="4"/>
  <c r="R7" i="4"/>
  <c r="S7" i="4"/>
  <c r="T7" i="4"/>
  <c r="J8" i="4"/>
  <c r="O8" i="4"/>
  <c r="P8" i="4"/>
  <c r="Q8" i="4"/>
  <c r="R8" i="4"/>
  <c r="S8" i="4"/>
  <c r="T8" i="4"/>
  <c r="O9" i="4"/>
  <c r="P9" i="4"/>
  <c r="Q9" i="4"/>
  <c r="R9" i="4"/>
  <c r="S9" i="4"/>
  <c r="T9" i="4"/>
  <c r="F10" i="4"/>
  <c r="J10" i="4"/>
  <c r="O10" i="4"/>
  <c r="P10" i="4"/>
  <c r="Q10" i="4"/>
  <c r="R10" i="4"/>
  <c r="S10" i="4"/>
  <c r="T10" i="4"/>
  <c r="F11" i="4"/>
  <c r="M11" i="4"/>
  <c r="O11" i="4"/>
  <c r="P11" i="4"/>
  <c r="Q11" i="4"/>
  <c r="R11" i="4"/>
  <c r="S11" i="4"/>
  <c r="T11" i="4"/>
  <c r="F12" i="4"/>
  <c r="M12" i="4"/>
  <c r="F13" i="4"/>
  <c r="M13" i="4"/>
  <c r="F14" i="4"/>
  <c r="M14" i="4"/>
  <c r="F15" i="4"/>
  <c r="F16" i="4"/>
  <c r="R16" i="4" a="1"/>
  <c r="R16" i="4"/>
  <c r="F17" i="4"/>
  <c r="O18" i="4"/>
  <c r="P18" i="4"/>
  <c r="Q18" i="4"/>
  <c r="R18" i="4"/>
  <c r="S18" i="4"/>
  <c r="O19" i="4"/>
  <c r="P19" i="4"/>
  <c r="Q19" i="4"/>
  <c r="R19" i="4"/>
  <c r="S19" i="4"/>
  <c r="E20" i="4"/>
  <c r="H20" i="4"/>
  <c r="M20" i="4"/>
  <c r="O20" i="4"/>
  <c r="P20" i="4"/>
  <c r="Q20" i="4"/>
  <c r="R20" i="4"/>
  <c r="S20" i="4"/>
  <c r="C21" i="4"/>
  <c r="E21" i="4"/>
  <c r="F21" i="4"/>
  <c r="M21" i="4"/>
  <c r="O21" i="4"/>
  <c r="P21" i="4"/>
  <c r="Q21" i="4"/>
  <c r="R21" i="4"/>
  <c r="S21" i="4"/>
  <c r="M22" i="4"/>
  <c r="O22" i="4"/>
  <c r="P22" i="4"/>
  <c r="Q22" i="4"/>
  <c r="R22" i="4"/>
  <c r="S22" i="4"/>
  <c r="D23" i="4"/>
  <c r="M23" i="4"/>
  <c r="O23" i="4"/>
  <c r="P23" i="4"/>
  <c r="Q23" i="4"/>
  <c r="R23" i="4"/>
  <c r="S23" i="4"/>
  <c r="M24" i="4"/>
  <c r="O24" i="4"/>
  <c r="P24" i="4"/>
  <c r="Q24" i="4"/>
  <c r="R24" i="4"/>
  <c r="S24" i="4"/>
  <c r="G25" i="4"/>
  <c r="M25" i="4"/>
  <c r="O25" i="4"/>
  <c r="P25" i="4"/>
  <c r="Q25" i="4"/>
  <c r="R25" i="4"/>
  <c r="S25" i="4"/>
  <c r="M26" i="4"/>
  <c r="H27" i="4"/>
  <c r="I27" i="4"/>
  <c r="J27" i="4"/>
  <c r="M27" i="4"/>
  <c r="M28" i="4"/>
  <c r="M29" i="4"/>
  <c r="M30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X17" i="3"/>
  <c r="Z18" i="3"/>
  <c r="U22" i="3"/>
  <c r="U23" i="3"/>
  <c r="X23" i="3"/>
  <c r="Y23" i="3"/>
  <c r="Z23" i="3"/>
  <c r="J34" i="3"/>
  <c r="J35" i="3"/>
  <c r="Z55" i="3"/>
  <c r="AB55" i="3"/>
  <c r="Z56" i="3"/>
  <c r="AB56" i="3"/>
  <c r="W57" i="3"/>
  <c r="AA57" i="3"/>
  <c r="N58" i="3"/>
  <c r="P58" i="3"/>
  <c r="Q58" i="3"/>
  <c r="U58" i="3"/>
  <c r="V58" i="3"/>
  <c r="X58" i="3"/>
  <c r="Y58" i="3"/>
  <c r="Z58" i="3"/>
  <c r="AB58" i="3"/>
  <c r="AC58" i="3"/>
  <c r="AD58" i="3"/>
  <c r="U59" i="3"/>
  <c r="V59" i="3"/>
  <c r="Y59" i="3"/>
  <c r="AC59" i="3"/>
  <c r="Q61" i="3"/>
  <c r="U61" i="3"/>
  <c r="Z61" i="3"/>
  <c r="U62" i="3"/>
  <c r="W62" i="3"/>
  <c r="X62" i="3"/>
  <c r="Z62" i="3"/>
  <c r="W63" i="3"/>
  <c r="X63" i="3"/>
  <c r="T64" i="3"/>
  <c r="U65" i="3"/>
  <c r="V69" i="3"/>
  <c r="U70" i="3"/>
  <c r="W70" i="3"/>
  <c r="X70" i="3"/>
  <c r="Y70" i="3"/>
  <c r="U71" i="3"/>
  <c r="W71" i="3"/>
  <c r="X71" i="3"/>
  <c r="Y71" i="3"/>
  <c r="U72" i="3"/>
  <c r="T100" i="3"/>
  <c r="T101" i="3"/>
  <c r="T102" i="3"/>
  <c r="T103" i="3"/>
  <c r="T104" i="3"/>
  <c r="T105" i="3"/>
  <c r="T106" i="3"/>
  <c r="T107" i="3"/>
  <c r="T108" i="3"/>
  <c r="T109" i="3"/>
  <c r="Z113" i="3"/>
  <c r="Z114" i="3"/>
  <c r="Z115" i="3"/>
  <c r="AA115" i="3"/>
  <c r="AB115" i="3"/>
  <c r="Z116" i="3"/>
  <c r="Z117" i="3"/>
  <c r="AA117" i="3"/>
  <c r="AB117" i="3"/>
  <c r="Z118" i="3"/>
  <c r="AA118" i="3"/>
  <c r="AB118" i="3"/>
  <c r="Z119" i="3"/>
  <c r="AA119" i="3"/>
  <c r="AB119" i="3"/>
  <c r="Z120" i="3"/>
  <c r="AA120" i="3"/>
  <c r="AB120" i="3"/>
  <c r="Z121" i="3"/>
  <c r="AA121" i="3"/>
  <c r="Z122" i="3"/>
  <c r="AA122" i="3"/>
  <c r="Z123" i="3"/>
  <c r="AA123" i="3"/>
  <c r="Z124" i="3"/>
  <c r="N137" i="3" a="1"/>
  <c r="N137" i="3"/>
  <c r="N138" i="3"/>
  <c r="N139" i="3"/>
  <c r="E49" i="2"/>
  <c r="I57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H29" i="5"/>
  <c r="E30" i="5"/>
  <c r="N30" i="5"/>
  <c r="N31" i="5"/>
  <c r="G32" i="5"/>
  <c r="N32" i="5"/>
  <c r="G33" i="5"/>
  <c r="N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W34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  <comment ref="AD38" authorId="0" shapeId="0" xr:uid="{84ABF23D-06E9-4B6E-ABA7-9B89EA03DD3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
В205</t>
        </r>
        <r>
          <rPr>
            <sz val="9"/>
            <color indexed="81"/>
            <rFont val="Tahoma"/>
            <family val="2"/>
            <charset val="204"/>
          </rPr>
          <t xml:space="preserve">
=ЕСЛИ(K203=ИСТИНА;500;Втулка!O5)
заменил на =еснд(Втулка!O5;500)
</t>
        </r>
      </text>
    </comment>
    <comment ref="V39" authorId="0" shapeId="0" xr:uid="{DAFDC628-4943-4F80-BF88-5B7430762B13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Q44" authorId="0" shapeId="0" xr:uid="{9EDC1E1C-C837-4FDB-B93E-3C2406992939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Прибыль  - 0.5 … 1 от массы отливки.
ОФ - коэффициент 2,6 </t>
        </r>
      </text>
    </comment>
    <comment ref="W58" authorId="0" shapeId="0" xr:uid="{1B9BE0A5-AF1C-40A8-B0EC-BD26E47781C8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AA58" authorId="0" shapeId="0" xr:uid="{0E0120AB-E4D7-4EC4-A755-A16BD4781B0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&quot;Изложницы без бурта&quot;;Extended Properties=&quot;&quot;" command="SELECT * FROM [Изложницы без бурта]"/>
  </connection>
  <connection id="4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Изложницы с буртом;Extended Properties=&quot;&quot;" command="SELECT * FROM [Изложницы с буртом]"/>
  </connection>
  <connection id="5" xr16:uid="{46000479-72B3-4433-B2F2-2F282000AD01}" keepAlive="1" name="Запрос — Изложницы1" description="Соединение с запросом &quot;Изложницы1&quot; в книге." type="5" refreshedVersion="6" background="1" saveData="1">
    <dbPr connection="Provider=Microsoft.Mashup.OleDb.1;Data Source=$Workbook$;Location=Изложницы1;Extended Properties=&quot;&quot;" command="SELECT * FROM [Изложницы1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8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&quot;Прибыльные надставки&quot;;Extended Properties=&quot;&quot;" command="SELECT * FROM [Прибыльные надставки]"/>
  </connection>
  <connection id="9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0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1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<sst xmlns="http://schemas.openxmlformats.org/spreadsheetml/2006/main" count="5166" uniqueCount="2155">
  <si>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</si>
  <si>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</si>
  <si>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</si>
  <si>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</si>
  <si>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</si>
  <si>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</si>
  <si>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</si>
  <si>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</si>
  <si>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</si>
  <si>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</si>
  <si>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</si>
  <si>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</si>
  <si>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</si>
  <si>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</si>
  <si>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</si>
  <si>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</si>
  <si>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</si>
  <si>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</si>
  <si>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</si>
  <si>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</si>
  <si>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</si>
  <si>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</si>
  <si>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</si>
  <si>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</si>
  <si>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</si>
  <si>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</si>
  <si>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</si>
  <si>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</si>
  <si>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</si>
  <si>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</si>
  <si>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</si>
  <si>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</si>
  <si>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</si>
  <si>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</si>
  <si>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</si>
  <si>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</si>
  <si>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</si>
  <si>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</si>
  <si>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</si>
  <si>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</si>
  <si>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</si>
  <si>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</si>
  <si>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</si>
  <si>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</si>
  <si>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</si>
  <si>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</si>
  <si>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</si>
  <si>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</si>
  <si>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</si>
  <si>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</si>
  <si>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</si>
  <si>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</si>
  <si>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</si>
  <si>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</si>
  <si>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</si>
  <si>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</si>
  <si>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</si>
  <si>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</si>
  <si>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</si>
  <si>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</si>
  <si>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</si>
  <si>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</si>
  <si>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</si>
  <si>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</si>
  <si>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</si>
  <si>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</si>
  <si>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</si>
  <si>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</si>
  <si>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</si>
  <si>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</si>
  <si>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</si>
  <si>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</si>
  <si>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</si>
  <si>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</si>
  <si>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</si>
  <si>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</si>
  <si>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</si>
  <si>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</si>
  <si>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</si>
  <si>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</si>
  <si>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</si>
  <si>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</si>
  <si>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</si>
  <si>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</si>
  <si>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</si>
  <si>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</si>
  <si>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</si>
  <si>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</si>
  <si>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</si>
  <si>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</si>
  <si>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</si>
  <si>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</si>
  <si>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</si>
  <si>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</si>
  <si>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</si>
  <si>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</si>
  <si>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</si>
  <si>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</si>
  <si>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</si>
  <si>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</si>
  <si>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</si>
  <si>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</si>
  <si>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</si>
  <si>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</si>
  <si>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</si>
  <si>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</si>
  <si>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</si>
  <si>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</si>
  <si>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</si>
  <si>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</si>
  <si>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</si>
  <si>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</si>
  <si>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</si>
  <si>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</si>
  <si>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</si>
  <si>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</si>
  <si>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</si>
  <si>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</si>
  <si>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</si>
  <si>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</si>
  <si>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</si>
  <si>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</si>
  <si>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</si>
  <si>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</si>
  <si>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</si>
  <si>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</si>
  <si>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</si>
  <si>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</si>
  <si>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</si>
  <si>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</si>
  <si>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</si>
  <si>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</si>
  <si>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</si>
  <si>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</si>
  <si>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</si>
  <si>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</si>
  <si>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</si>
  <si>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</si>
  <si>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</si>
  <si>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</si>
  <si>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242.04.462-1</t>
  </si>
  <si>
    <t>242.04.462-2</t>
  </si>
  <si>
    <t>242.04.462-3</t>
  </si>
  <si>
    <t>242.04.462-4</t>
  </si>
  <si>
    <t>242.04.462-5</t>
  </si>
  <si>
    <t>242.04.462-6</t>
  </si>
  <si>
    <t>242.04.462-7</t>
  </si>
  <si>
    <t>242.04.462-8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</si>
  <si>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</si>
  <si>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</si>
  <si>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</si>
  <si>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</si>
  <si>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</si>
  <si>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</si>
  <si>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</si>
  <si>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</si>
  <si>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</si>
  <si>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</si>
  <si>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</si>
  <si>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</si>
  <si>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</si>
  <si>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</si>
  <si>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</si>
  <si>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</si>
  <si>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</si>
  <si>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</si>
  <si>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</si>
  <si>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</si>
  <si>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</si>
  <si>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</si>
  <si>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</si>
  <si>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</si>
  <si>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</si>
  <si>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</si>
  <si>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 xml:space="preserve">Стояк </t>
  </si>
  <si>
    <t>Питатель</t>
  </si>
  <si>
    <t>Всего</t>
  </si>
  <si>
    <t>Диаметр</t>
  </si>
  <si>
    <t>Диаметр отл.</t>
  </si>
  <si>
    <t>На длине</t>
  </si>
  <si>
    <t>шлаковика</t>
  </si>
  <si>
    <t>град.</t>
  </si>
  <si>
    <t>242.04.463-6</t>
  </si>
  <si>
    <t>242.04.463-7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</si>
  <si>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</si>
  <si>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</si>
  <si>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</si>
  <si>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</si>
  <si>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</si>
  <si>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</si>
  <si>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</si>
  <si>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</si>
  <si>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</si>
  <si>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</si>
  <si>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</si>
  <si>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</si>
  <si>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</si>
  <si>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</si>
  <si>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</si>
  <si>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</si>
  <si>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</si>
  <si>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</si>
  <si>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</si>
  <si>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</si>
  <si>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</si>
  <si>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</si>
  <si>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</si>
  <si>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</si>
  <si>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</si>
  <si>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</si>
  <si>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</si>
  <si>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</si>
  <si>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</si>
  <si>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</si>
  <si>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</si>
  <si>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</si>
  <si>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</si>
  <si>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</si>
  <si>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</si>
  <si>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</si>
  <si>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</si>
  <si>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</si>
  <si>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</si>
  <si>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</si>
  <si>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</si>
  <si>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</si>
  <si>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</si>
  <si>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</si>
  <si>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</si>
  <si>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</si>
  <si>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</si>
  <si>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</si>
  <si>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</si>
  <si>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</si>
  <si>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</si>
  <si>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</si>
  <si>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</si>
  <si>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</si>
  <si>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</si>
  <si>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</si>
  <si>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</si>
  <si>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</si>
  <si>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</si>
  <si>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</si>
  <si>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</si>
  <si>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</si>
  <si>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</si>
  <si>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</si>
  <si>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</si>
  <si>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</si>
  <si>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</si>
  <si>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</si>
  <si>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</si>
  <si>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</si>
  <si>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</si>
  <si>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</si>
  <si>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</si>
  <si>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</si>
  <si>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</si>
  <si>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</si>
  <si>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п.п  таблицы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</si>
  <si>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</si>
  <si>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</si>
  <si>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</si>
  <si>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</si>
  <si>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</si>
  <si>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</si>
  <si>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</si>
  <si>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</si>
  <si>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</si>
  <si>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</si>
  <si>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</si>
  <si>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</si>
  <si>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</si>
  <si>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</si>
  <si>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</si>
  <si>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</si>
  <si>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</si>
  <si>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</si>
  <si>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</si>
  <si>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</si>
  <si>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L5</t>
  </si>
  <si>
    <t>припуск на сторону</t>
  </si>
  <si>
    <t>Высота прибыли расчетная.</t>
  </si>
  <si>
    <t>Диаметр прибыли (ср.)</t>
  </si>
  <si>
    <t>* Использовать холодильники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</si>
  <si>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</si>
  <si>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</si>
  <si>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</si>
  <si>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</si>
  <si>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</si>
  <si>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</si>
  <si>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</si>
  <si>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</si>
  <si>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</si>
  <si>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</si>
  <si>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</si>
  <si>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</si>
  <si>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</si>
  <si>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</si>
  <si>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</si>
  <si>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табл=</t>
  </si>
  <si>
    <t>Минимальная длина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</si>
  <si>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</si>
  <si>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</si>
  <si>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</si>
  <si>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</si>
  <si>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</si>
  <si>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</si>
  <si>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</si>
  <si>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</si>
  <si>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</si>
  <si>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</si>
  <si>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</si>
  <si>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</si>
  <si>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</si>
  <si>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</si>
  <si>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</si>
  <si>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</si>
  <si>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</si>
  <si>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</si>
  <si>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</si>
  <si>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</si>
  <si>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</si>
  <si>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</si>
  <si>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</si>
  <si>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</si>
  <si>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</si>
  <si>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</si>
  <si>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</si>
  <si>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</si>
  <si>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</si>
  <si>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</si>
  <si>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</si>
  <si>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</si>
  <si>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</si>
  <si>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</si>
  <si>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</si>
  <si>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</si>
  <si>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</si>
  <si>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</si>
  <si>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</si>
  <si>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</si>
  <si>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</si>
  <si>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</si>
  <si>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</si>
  <si>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</si>
  <si>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</si>
  <si>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</si>
  <si>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</si>
  <si>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</si>
  <si>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</si>
  <si>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</si>
  <si>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</si>
  <si>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</si>
  <si>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</si>
  <si>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</si>
  <si>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</si>
  <si>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</si>
  <si>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</si>
  <si>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</si>
  <si>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</si>
  <si>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</si>
  <si>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</si>
  <si>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</si>
  <si>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</si>
  <si>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</si>
  <si>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</si>
  <si>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</si>
  <si>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</si>
  <si>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</si>
  <si>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</si>
  <si>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</si>
  <si>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</si>
  <si>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</si>
  <si>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</si>
  <si>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</si>
  <si>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</si>
  <si>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</si>
  <si>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</si>
  <si>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</si>
  <si>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</si>
  <si>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</si>
  <si>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</si>
  <si>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</si>
  <si>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</si>
  <si>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</si>
  <si>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</si>
  <si>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</si>
  <si>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</si>
  <si>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</si>
  <si>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</si>
  <si>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</si>
  <si>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</si>
  <si>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</si>
  <si>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</si>
  <si>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</si>
  <si>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</si>
  <si>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</si>
  <si>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</si>
  <si>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</si>
  <si>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</si>
  <si>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</si>
  <si>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</si>
  <si>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</si>
  <si>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</si>
  <si>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</si>
  <si>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</si>
  <si>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</si>
  <si>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</si>
  <si>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</si>
  <si>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</si>
  <si>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</si>
  <si>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</si>
  <si>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</si>
  <si>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</si>
  <si>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</si>
  <si>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</si>
  <si>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</si>
  <si>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</si>
  <si>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</si>
  <si>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</si>
  <si>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</si>
  <si>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</si>
  <si>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</si>
  <si>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</si>
  <si>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</si>
  <si>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</si>
  <si>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</si>
  <si>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</si>
  <si>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</si>
  <si>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</si>
  <si>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</si>
  <si>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</si>
  <si>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</si>
  <si>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</si>
  <si>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</si>
  <si>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</si>
  <si>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</si>
  <si>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</si>
  <si>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</si>
  <si>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</si>
  <si>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</si>
  <si>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</si>
  <si>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</si>
  <si>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</si>
  <si>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</si>
  <si>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</si>
  <si>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</si>
  <si>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</si>
  <si>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</si>
  <si>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</si>
  <si>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</si>
  <si>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</si>
  <si>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</si>
  <si>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</si>
  <si>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</si>
  <si>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</si>
  <si>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</si>
  <si>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</si>
  <si>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</si>
  <si>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</si>
  <si>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</si>
  <si>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</si>
  <si>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</si>
  <si>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</si>
  <si>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</si>
  <si>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</si>
  <si>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</si>
  <si>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</si>
  <si>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</si>
  <si>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</si>
  <si>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</si>
  <si>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</si>
  <si>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</si>
  <si>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</si>
  <si>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</si>
  <si>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</si>
  <si>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</si>
  <si>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</si>
  <si>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</si>
  <si>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</si>
  <si>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</si>
  <si>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</si>
  <si>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</si>
  <si>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</si>
  <si>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</si>
  <si>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</si>
  <si>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</si>
  <si>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</si>
  <si>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</si>
  <si>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</si>
  <si>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</si>
  <si>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</si>
  <si>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</si>
  <si>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</si>
  <si>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</si>
  <si>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</si>
  <si>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</si>
  <si>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</si>
  <si>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</si>
  <si>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</si>
  <si>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</si>
  <si>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</si>
  <si>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</si>
  <si>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</si>
  <si>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</si>
  <si>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</si>
  <si>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</si>
  <si>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</si>
  <si>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</si>
  <si>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</si>
  <si>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</si>
  <si>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</si>
  <si>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</si>
  <si>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</si>
  <si>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</si>
  <si>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</si>
  <si>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</si>
  <si>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</si>
  <si>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</si>
  <si>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</si>
  <si>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</si>
  <si>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</si>
  <si>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</si>
  <si>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</si>
  <si>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</si>
  <si>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</si>
  <si>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</si>
  <si>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</si>
  <si>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</si>
  <si>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</si>
  <si>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</si>
  <si>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</si>
  <si>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</si>
  <si>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</si>
  <si>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</si>
  <si>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</si>
  <si>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</si>
  <si>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</si>
  <si>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</si>
  <si>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</si>
  <si>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</si>
  <si>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</si>
  <si>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</si>
  <si>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</si>
  <si>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</si>
  <si>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</si>
  <si>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</si>
  <si>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</si>
  <si>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</si>
  <si>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</si>
  <si>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</si>
  <si>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</si>
  <si>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</si>
  <si>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</si>
  <si>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</si>
  <si>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</si>
  <si>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</si>
  <si>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</si>
  <si>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</si>
  <si>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</si>
  <si>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</si>
  <si>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</si>
  <si>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</si>
  <si>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</si>
  <si>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</si>
  <si>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</si>
  <si>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</si>
  <si>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</si>
  <si>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</si>
  <si>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</si>
  <si>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</si>
  <si>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</si>
  <si>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</si>
  <si>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</si>
  <si>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</si>
  <si>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</si>
  <si>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</si>
  <si>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</si>
  <si>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</si>
  <si>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</si>
  <si>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</si>
  <si>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</si>
  <si>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</si>
  <si>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</si>
  <si>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</si>
  <si>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</si>
  <si>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</si>
  <si>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</si>
  <si>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</si>
  <si>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</si>
  <si>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</si>
  <si>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</si>
  <si>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</si>
  <si>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</si>
  <si>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</si>
  <si>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</si>
  <si>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</si>
  <si>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</si>
  <si>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</si>
  <si>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</si>
  <si>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</si>
  <si>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</si>
  <si>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</si>
  <si>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</si>
  <si>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</si>
  <si>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</si>
  <si>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</si>
  <si>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</si>
  <si>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</si>
  <si>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</si>
  <si>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</si>
  <si>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</si>
  <si>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</si>
  <si>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</si>
  <si>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</si>
  <si>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</si>
  <si>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</si>
  <si>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</si>
  <si>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</si>
  <si>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</si>
  <si>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</si>
  <si>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</si>
  <si>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</si>
  <si>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</si>
  <si>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</si>
  <si>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</si>
  <si>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</si>
  <si>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</si>
  <si>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</si>
  <si>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</si>
  <si>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</si>
  <si>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</si>
  <si>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</si>
  <si>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</si>
  <si>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</si>
  <si>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</si>
  <si>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</si>
  <si>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</si>
  <si>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</si>
  <si>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</si>
  <si>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</si>
  <si>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</si>
  <si>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</si>
  <si>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</si>
  <si>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</si>
  <si>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</si>
  <si>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</si>
  <si>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</si>
  <si>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</si>
  <si>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</si>
  <si>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</si>
  <si>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</si>
  <si>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</si>
  <si>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</si>
  <si>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</si>
  <si>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</si>
  <si>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</si>
  <si>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</si>
  <si>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</si>
  <si>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</si>
  <si>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</si>
  <si>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</si>
  <si>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</si>
  <si>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</si>
  <si>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</si>
  <si>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</si>
  <si>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</si>
  <si>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</si>
  <si>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</si>
  <si>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</si>
  <si>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</si>
  <si>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</si>
  <si>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</si>
  <si>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</si>
  <si>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</si>
  <si>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</si>
  <si>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</si>
  <si>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</si>
  <si>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</si>
  <si>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</si>
  <si>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</si>
  <si>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</si>
  <si>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</si>
  <si>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</si>
  <si>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</si>
  <si>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</si>
  <si>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</si>
  <si>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</si>
  <si>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</si>
  <si>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</si>
  <si>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по бочке</t>
  </si>
  <si>
    <t>по бурту</t>
  </si>
  <si>
    <t>(от 14.02.24 Котов)</t>
  </si>
  <si>
    <t>G-CuPb15Sn7</t>
  </si>
  <si>
    <t>ц/б с буртом</t>
  </si>
  <si>
    <t>ряд Ø бурта</t>
  </si>
  <si>
    <t>Наружный Ø</t>
  </si>
  <si>
    <t>Внутренний Ø</t>
  </si>
  <si>
    <t>Припуски на М/О отливок при ручной формовке: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</si>
  <si>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</si>
  <si>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</si>
  <si>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</si>
  <si>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</si>
  <si>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</si>
  <si>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</si>
  <si>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</si>
  <si>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</si>
  <si>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</si>
  <si>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</si>
  <si>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</si>
  <si>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</si>
  <si>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</si>
  <si>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</si>
  <si>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</si>
  <si>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</si>
  <si>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</si>
  <si>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</si>
  <si>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</si>
  <si>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</si>
  <si>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</si>
  <si>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</si>
  <si>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</si>
  <si>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</si>
  <si>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</si>
  <si>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</si>
  <si>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</si>
  <si>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</si>
  <si>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</si>
  <si>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</si>
  <si>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</si>
  <si>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</si>
  <si>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</si>
  <si>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</si>
  <si>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</si>
  <si>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</si>
  <si>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</si>
  <si>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</si>
  <si>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</si>
  <si>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</si>
  <si>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</si>
  <si>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</si>
  <si>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</si>
  <si>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</si>
  <si>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</si>
  <si>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</si>
  <si>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</si>
  <si>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</si>
  <si>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</si>
  <si>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</si>
  <si>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</si>
  <si>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захват</t>
  </si>
  <si>
    <t>15 15 15</t>
  </si>
  <si>
    <t>20 20 20</t>
  </si>
  <si>
    <t>12 15 15</t>
  </si>
  <si>
    <t>14 17 17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</si>
  <si>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</si>
  <si>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</si>
  <si>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</si>
  <si>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</si>
  <si>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</si>
  <si>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</si>
  <si>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</si>
  <si>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t>Расход</t>
  </si>
  <si>
    <t>Масса жидк.</t>
  </si>
  <si>
    <t>Деталь - Чертеж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</si>
  <si>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</si>
  <si>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</si>
  <si>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</si>
  <si>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</si>
  <si>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</si>
  <si>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</si>
  <si>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</si>
  <si>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</si>
  <si>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</si>
  <si>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</si>
  <si>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</si>
  <si>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</si>
  <si>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</si>
  <si>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</si>
  <si>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</si>
  <si>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</si>
  <si>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</si>
  <si>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t>Архив технологий</t>
  </si>
  <si>
    <t>L12</t>
  </si>
  <si>
    <t>Толщина             L12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</si>
  <si>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</si>
  <si>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</si>
  <si>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</si>
  <si>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</si>
  <si>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</si>
  <si>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</si>
  <si>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</si>
  <si>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</si>
  <si>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</si>
  <si>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</si>
  <si>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Заготовка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</si>
  <si>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</si>
  <si>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</si>
  <si>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</si>
  <si>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</si>
  <si>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</si>
  <si>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</si>
  <si>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</si>
  <si>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</si>
  <si>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</si>
  <si>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</si>
  <si>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</si>
  <si>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</si>
  <si>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</si>
  <si>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</si>
  <si>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</si>
  <si>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</si>
  <si>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</si>
  <si>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</si>
  <si>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</si>
  <si>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</si>
  <si>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</si>
  <si>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</si>
  <si>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</si>
  <si>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</si>
  <si>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</si>
  <si>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</si>
  <si>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</si>
  <si>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</si>
  <si>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</si>
  <si>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</si>
  <si>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</si>
  <si>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</si>
  <si>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</si>
  <si>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</si>
  <si>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</si>
  <si>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</si>
  <si>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</si>
  <si>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</si>
  <si>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</si>
  <si>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</si>
  <si>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Бандаж, Кольцо</t>
  </si>
  <si>
    <t>Высота бандажа:</t>
  </si>
  <si>
    <t>Высота кольца:</t>
  </si>
  <si>
    <t xml:space="preserve"> + толкатель, усадка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</si>
  <si>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</si>
  <si>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</si>
  <si>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</si>
  <si>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</si>
  <si>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</si>
  <si>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</si>
  <si>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</si>
  <si>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</si>
  <si>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</si>
  <si>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</si>
  <si>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</si>
  <si>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</si>
  <si>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</si>
  <si>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</si>
  <si>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</si>
  <si>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</si>
  <si>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 xml:space="preserve">Половина </t>
  </si>
  <si>
    <t>1/2 прибыли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</si>
  <si>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</si>
  <si>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</si>
  <si>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</si>
  <si>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</si>
  <si>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</si>
  <si>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</si>
  <si>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</si>
  <si>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</si>
  <si>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</si>
  <si>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</si>
  <si>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</si>
  <si>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</si>
  <si>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</si>
  <si>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</si>
  <si>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</si>
  <si>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</si>
  <si>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</si>
  <si>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</si>
  <si>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</si>
  <si>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</si>
  <si>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</si>
  <si>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</si>
  <si>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</si>
  <si>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</si>
  <si>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</si>
  <si>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</si>
  <si>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</si>
  <si>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</si>
  <si>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</si>
  <si>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</si>
  <si>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</si>
  <si>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</si>
  <si>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</si>
  <si>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</si>
  <si>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</si>
  <si>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</si>
  <si>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</si>
  <si>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</si>
  <si>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</si>
  <si>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</si>
  <si>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</si>
  <si>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</si>
  <si>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</si>
  <si>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</si>
  <si>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</si>
  <si>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</si>
  <si>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</si>
  <si>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</si>
  <si>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</si>
  <si>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</si>
  <si>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</si>
  <si>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</si>
  <si>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</si>
  <si>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</si>
  <si>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</si>
  <si>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</si>
  <si>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</si>
  <si>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</si>
  <si>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</si>
  <si>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</si>
  <si>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</si>
  <si>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</si>
  <si>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</si>
  <si>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</si>
  <si>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</si>
  <si>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</si>
  <si>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</si>
  <si>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</si>
  <si>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кокиля</t>
  </si>
  <si>
    <t>Подбор длины заготовки: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</si>
  <si>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</si>
  <si>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</si>
  <si>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</si>
  <si>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</si>
  <si>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</si>
  <si>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</si>
  <si>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</si>
  <si>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</si>
  <si>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</si>
  <si>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</si>
  <si>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</si>
  <si>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</si>
  <si>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</si>
  <si>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</si>
  <si>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</si>
  <si>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</si>
  <si>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</si>
  <si>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</si>
  <si>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</si>
  <si>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</si>
  <si>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</si>
  <si>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</si>
  <si>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</si>
  <si>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</si>
  <si>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</si>
  <si>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</si>
  <si>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</si>
  <si>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</si>
  <si>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</si>
  <si>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</si>
  <si>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</si>
  <si>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</si>
  <si>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</si>
  <si>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</si>
  <si>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</si>
  <si>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</si>
  <si>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</si>
  <si>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</si>
  <si>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</si>
  <si>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</si>
  <si>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</si>
  <si>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</si>
  <si>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</si>
  <si>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</si>
  <si>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</si>
  <si>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</si>
  <si>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MIN      Диам. наружный</t>
  </si>
  <si>
    <t xml:space="preserve">Диаметр  </t>
  </si>
  <si>
    <t>тип лс</t>
  </si>
  <si>
    <t>Литниковая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</si>
  <si>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</si>
  <si>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</si>
  <si>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</si>
  <si>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</si>
  <si>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</si>
  <si>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</si>
  <si>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</si>
  <si>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</si>
  <si>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</si>
  <si>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</si>
  <si>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</si>
  <si>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</si>
  <si>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</si>
  <si>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</si>
  <si>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</si>
  <si>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</si>
  <si>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Бочка</t>
  </si>
  <si>
    <t xml:space="preserve">Бурт 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</si>
  <si>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</si>
  <si>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</si>
  <si>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</si>
  <si>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</si>
  <si>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</si>
  <si>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</si>
  <si>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</si>
  <si>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</si>
  <si>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По бурту</t>
  </si>
  <si>
    <t>По бочке</t>
  </si>
  <si>
    <t>длина бурта &gt; 60</t>
  </si>
  <si>
    <t>Д3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</si>
  <si>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</si>
  <si>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</si>
  <si>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</si>
  <si>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</si>
  <si>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</si>
  <si>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</si>
  <si>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</si>
  <si>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</si>
  <si>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</si>
  <si>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</si>
  <si>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</si>
  <si>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</si>
  <si>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</si>
  <si>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</si>
  <si>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</si>
  <si>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</si>
  <si>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</si>
  <si>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</si>
  <si>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</si>
  <si>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</si>
  <si>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</si>
  <si>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</si>
  <si>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</si>
  <si>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</si>
  <si>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</si>
  <si>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</si>
  <si>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</si>
  <si>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</si>
  <si>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</si>
  <si>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</si>
  <si>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</si>
  <si>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</si>
  <si>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</si>
  <si>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</si>
  <si>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</si>
  <si>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</si>
  <si>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</si>
  <si>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</si>
  <si>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</si>
  <si>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</si>
  <si>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</si>
  <si>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</si>
  <si>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</si>
  <si>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</si>
  <si>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</si>
  <si>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</si>
  <si>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</si>
  <si>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</si>
  <si>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</si>
  <si>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</si>
  <si>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</si>
  <si>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</si>
  <si>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</si>
  <si>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</si>
  <si>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</si>
  <si>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</si>
  <si>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</si>
  <si>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</si>
  <si>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</si>
  <si>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</si>
  <si>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</si>
  <si>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</si>
  <si>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</si>
  <si>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</si>
  <si>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</si>
  <si>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</si>
  <si>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</si>
  <si>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</si>
  <si>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</si>
  <si>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</si>
  <si>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</si>
  <si>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</si>
  <si>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</si>
  <si>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</si>
  <si>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</si>
  <si>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</si>
  <si>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</si>
  <si>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</si>
  <si>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</si>
  <si>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</si>
  <si>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</si>
  <si>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</si>
  <si>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</si>
  <si>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</si>
  <si>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</si>
  <si>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</si>
  <si>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</si>
  <si>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</si>
  <si>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</si>
  <si>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</si>
  <si>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</si>
  <si>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</si>
  <si>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</si>
  <si>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</si>
  <si>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</si>
  <si>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</si>
  <si>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</si>
  <si>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</si>
  <si>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</si>
  <si>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</si>
  <si>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</si>
  <si>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</si>
  <si>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</si>
  <si>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</si>
  <si>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</si>
  <si>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</si>
  <si>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</si>
  <si>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</si>
  <si>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</si>
  <si>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</si>
  <si>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</si>
  <si>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</si>
  <si>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</si>
  <si>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</si>
  <si>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</si>
  <si>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</si>
  <si>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</si>
  <si>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</si>
  <si>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</si>
  <si>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</si>
  <si>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</si>
  <si>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</si>
  <si>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</si>
  <si>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</si>
  <si>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</si>
  <si>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</si>
  <si>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</si>
  <si>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</si>
  <si>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</si>
  <si>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</si>
  <si>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</si>
  <si>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</si>
  <si>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</si>
  <si>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</si>
  <si>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</si>
  <si>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</si>
  <si>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</si>
  <si>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</si>
  <si>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</si>
  <si>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</si>
  <si>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</si>
  <si>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</si>
  <si>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</si>
  <si>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</si>
  <si>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</si>
  <si>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</si>
  <si>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</si>
  <si>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</si>
  <si>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</si>
  <si>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</si>
  <si>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</si>
  <si>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</si>
  <si>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</si>
  <si>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</si>
  <si>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</si>
  <si>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</si>
  <si>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</si>
  <si>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</si>
  <si>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</si>
  <si>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</si>
  <si>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</si>
  <si>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</si>
  <si>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</si>
  <si>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</si>
  <si>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</si>
  <si>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</si>
  <si>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</si>
  <si>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</si>
  <si>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</si>
  <si>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</si>
  <si>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</si>
  <si>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</si>
  <si>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</si>
  <si>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</si>
  <si>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</si>
  <si>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</si>
  <si>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</si>
  <si>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</si>
  <si>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</si>
  <si>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</si>
  <si>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</si>
  <si>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</si>
  <si>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</si>
  <si>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</si>
  <si>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</si>
  <si>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</si>
  <si>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</si>
  <si>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</si>
  <si>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</si>
  <si>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</si>
  <si>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</si>
  <si>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</si>
  <si>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</si>
  <si>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</si>
  <si>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</si>
  <si>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</si>
  <si>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</si>
  <si>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</si>
  <si>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</si>
  <si>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</si>
  <si>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</si>
  <si>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</si>
  <si>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</si>
  <si>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</si>
  <si>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</si>
  <si>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</si>
  <si>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</si>
  <si>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</si>
  <si>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</si>
  <si>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</si>
  <si>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</si>
  <si>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</si>
  <si>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</si>
  <si>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</si>
  <si>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</si>
  <si>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</si>
  <si>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</si>
  <si>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</si>
  <si>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</si>
  <si>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</si>
  <si>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</si>
  <si>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</si>
  <si>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</si>
  <si>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</si>
  <si>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</si>
  <si>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</si>
  <si>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</si>
  <si>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</si>
  <si>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</si>
  <si>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</si>
  <si>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</si>
  <si>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</si>
  <si>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</si>
  <si>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1060.21.607/610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</si>
  <si>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</si>
  <si>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</si>
  <si>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</si>
  <si>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</si>
  <si>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</si>
  <si>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</si>
  <si>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</si>
  <si>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</si>
  <si>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</si>
  <si>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</si>
  <si>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</si>
  <si>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</si>
  <si>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</si>
  <si>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</si>
  <si>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</si>
  <si>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</si>
  <si>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</si>
  <si>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</si>
  <si>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</si>
  <si>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</si>
  <si>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</si>
  <si>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</si>
  <si>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</si>
  <si>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</si>
  <si>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</si>
  <si>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</si>
  <si>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</si>
  <si>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</si>
  <si>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</si>
  <si>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</si>
  <si>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</si>
  <si>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</si>
  <si>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</si>
  <si>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</si>
  <si>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</si>
  <si>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</si>
  <si>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</si>
  <si>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</si>
  <si>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</si>
  <si>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</si>
  <si>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</si>
  <si>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</si>
  <si>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</si>
  <si>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</si>
  <si>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</si>
  <si>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</si>
  <si>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</si>
  <si>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</si>
  <si>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</si>
  <si>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</si>
  <si>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</si>
  <si>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</si>
  <si>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</si>
  <si>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</si>
  <si>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</si>
  <si>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</si>
  <si>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</si>
  <si>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</si>
  <si>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</si>
  <si>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</si>
  <si>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</si>
  <si>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</si>
  <si>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</si>
  <si>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</si>
  <si>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</si>
  <si>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</si>
  <si>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</si>
  <si>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</si>
  <si>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</si>
  <si>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</si>
  <si>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</si>
  <si>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</si>
  <si>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</si>
  <si>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</si>
  <si>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</si>
  <si>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</si>
  <si>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</si>
  <si>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</si>
  <si>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</si>
  <si>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</si>
  <si>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</si>
  <si>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</si>
  <si>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</si>
  <si>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</si>
  <si>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</si>
  <si>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</si>
  <si>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</si>
  <si>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</si>
  <si>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</si>
  <si>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</si>
  <si>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</si>
  <si>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</si>
  <si>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</si>
  <si>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</si>
  <si>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</si>
  <si>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</si>
  <si>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</si>
  <si>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</si>
  <si>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</si>
  <si>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</si>
  <si>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</si>
  <si>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</si>
  <si>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</si>
  <si>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</si>
  <si>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</si>
  <si>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</si>
  <si>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</si>
  <si>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</si>
  <si>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</si>
  <si>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</si>
  <si>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</si>
  <si>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</si>
  <si>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</si>
  <si>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</si>
  <si>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</si>
  <si>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</si>
  <si>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</si>
  <si>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</si>
  <si>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</si>
  <si>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</si>
  <si>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</si>
  <si>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</si>
  <si>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</si>
  <si>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</si>
  <si>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</si>
  <si>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</si>
  <si>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</si>
  <si>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</si>
  <si>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</si>
  <si>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</si>
  <si>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</si>
  <si>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</si>
  <si>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</si>
  <si>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</si>
  <si>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</si>
  <si>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</si>
  <si>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</si>
  <si>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</si>
  <si>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</si>
  <si>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</si>
  <si>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</si>
  <si>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</si>
  <si>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</si>
  <si>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</si>
  <si>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</si>
  <si>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</si>
  <si>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</si>
  <si>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</si>
  <si>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</si>
  <si>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</si>
  <si>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</si>
  <si>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</si>
  <si>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</si>
  <si>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</si>
  <si>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</si>
  <si>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</si>
  <si>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</si>
  <si>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</si>
  <si>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</si>
  <si>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</si>
  <si>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</si>
  <si>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</si>
  <si>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</si>
  <si>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</si>
  <si>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</si>
  <si>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</si>
  <si>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</si>
  <si>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</si>
  <si>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</si>
  <si>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</si>
  <si>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</si>
  <si>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</si>
  <si>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</si>
  <si>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</si>
  <si>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</si>
  <si>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</si>
  <si>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</si>
  <si>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</si>
  <si>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</si>
  <si>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</si>
  <si>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</si>
  <si>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</si>
  <si>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</si>
  <si>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</si>
  <si>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</si>
  <si>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</si>
  <si>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</si>
  <si>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</si>
  <si>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</si>
  <si>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</si>
  <si>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</si>
  <si>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</si>
  <si>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</si>
  <si>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</si>
  <si>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</si>
  <si>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</si>
  <si>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</si>
  <si>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</si>
  <si>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</si>
  <si>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</si>
  <si>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</si>
  <si>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</si>
  <si>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</si>
  <si>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</si>
  <si>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</si>
  <si>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</si>
  <si>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</si>
  <si>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</si>
  <si>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</si>
  <si>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</si>
  <si>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</si>
  <si>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</si>
  <si>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</si>
  <si>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</si>
  <si>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</si>
  <si>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</si>
  <si>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</si>
  <si>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</si>
  <si>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</si>
  <si>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</si>
  <si>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</si>
  <si>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</si>
  <si>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</si>
  <si>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</si>
  <si>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</si>
  <si>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</si>
  <si>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</si>
  <si>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</si>
  <si>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</si>
  <si>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</si>
  <si>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</si>
  <si>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</si>
  <si>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</si>
  <si>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</si>
  <si>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</si>
  <si>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</si>
  <si>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</si>
  <si>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</si>
  <si>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</si>
  <si>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</si>
  <si>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</si>
  <si>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</si>
  <si>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</si>
  <si>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</si>
  <si>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</si>
  <si>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</si>
  <si>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</si>
  <si>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</si>
  <si>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</si>
  <si>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</si>
  <si>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</si>
  <si>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</si>
  <si>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</si>
  <si>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</si>
  <si>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</si>
  <si>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</si>
  <si>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</si>
  <si>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</si>
  <si>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</si>
  <si>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</si>
  <si>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</si>
  <si>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</si>
  <si>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</si>
  <si>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</si>
  <si>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</si>
  <si>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</si>
  <si>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</si>
  <si>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</si>
  <si>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</si>
  <si>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</si>
  <si>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</si>
  <si>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</si>
  <si>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</si>
  <si>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</si>
  <si>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</si>
  <si>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</si>
  <si>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</si>
  <si>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</si>
  <si>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</si>
  <si>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</si>
  <si>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</si>
  <si>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</si>
  <si>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</si>
  <si>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</si>
  <si>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</si>
  <si>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</si>
  <si>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</si>
  <si>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</si>
  <si>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</si>
  <si>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</si>
  <si>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</si>
  <si>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</si>
  <si>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</si>
  <si>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</si>
  <si>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</si>
  <si>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</si>
  <si>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</si>
  <si>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</si>
  <si>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</si>
  <si>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</si>
  <si>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</si>
  <si>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</si>
  <si>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</si>
  <si>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</si>
  <si>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</si>
  <si>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</si>
  <si>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</si>
  <si>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</si>
  <si>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</si>
  <si>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</si>
  <si>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</si>
  <si>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</si>
  <si>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</si>
  <si>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</si>
  <si>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</si>
  <si>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</si>
  <si>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</si>
  <si>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</si>
  <si>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</si>
  <si>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</si>
  <si>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</si>
  <si>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</si>
  <si>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</si>
  <si>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</si>
  <si>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</si>
  <si>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</si>
  <si>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</si>
  <si>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</si>
  <si>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</si>
  <si>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</si>
  <si>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</si>
  <si>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</si>
  <si>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</si>
  <si>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</si>
  <si>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</si>
  <si>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</si>
  <si>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</si>
  <si>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</si>
  <si>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</si>
  <si>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</si>
  <si>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</si>
  <si>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</si>
  <si>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</si>
  <si>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</si>
  <si>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</si>
  <si>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</si>
  <si>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</si>
  <si>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</si>
  <si>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</si>
  <si>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</si>
  <si>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</si>
  <si>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</si>
  <si>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</si>
  <si>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</si>
  <si>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</si>
  <si>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</si>
  <si>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</si>
  <si>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</si>
  <si>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</si>
  <si>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</si>
  <si>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</si>
  <si>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</si>
  <si>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</si>
  <si>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</si>
  <si>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</si>
  <si>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</si>
  <si>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</si>
  <si>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</si>
  <si>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</si>
  <si>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</si>
  <si>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</si>
  <si>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</si>
  <si>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</si>
  <si>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</si>
  <si>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</si>
  <si>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</si>
  <si>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</si>
  <si>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</si>
  <si>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</si>
  <si>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</si>
  <si>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</si>
  <si>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</si>
  <si>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</si>
  <si>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</si>
  <si>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</si>
  <si>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</si>
  <si>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</si>
  <si>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</si>
  <si>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</si>
  <si>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</si>
  <si>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</si>
  <si>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</si>
  <si>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</si>
  <si>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</si>
  <si>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</si>
  <si>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</si>
  <si>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</si>
  <si>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</si>
  <si>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</si>
  <si>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</si>
  <si>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</si>
  <si>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</si>
  <si>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</si>
  <si>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</si>
  <si>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</si>
  <si>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</si>
  <si>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</si>
  <si>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</si>
  <si>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</si>
  <si>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</si>
  <si>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</si>
  <si>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</si>
  <si>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</si>
  <si>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</si>
  <si>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</si>
  <si>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</si>
  <si>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</si>
  <si>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</si>
  <si>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</si>
  <si>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</si>
  <si>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</si>
  <si>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</si>
  <si>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</si>
  <si>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</si>
  <si>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</si>
  <si>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</si>
  <si>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</si>
  <si>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</si>
  <si>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</si>
  <si>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</si>
  <si>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</si>
  <si>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</si>
  <si>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</si>
  <si>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</si>
  <si>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</si>
  <si>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</si>
  <si>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</si>
  <si>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</si>
  <si>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</si>
  <si>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</si>
  <si>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</si>
  <si>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</si>
  <si>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</si>
  <si>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</si>
  <si>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</si>
  <si>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</si>
  <si>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</si>
  <si>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</si>
  <si>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</si>
  <si>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</si>
  <si>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</si>
  <si>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</si>
  <si>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</si>
  <si>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</si>
  <si>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</si>
  <si>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</si>
  <si>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</si>
  <si>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</si>
  <si>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</si>
  <si>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</si>
  <si>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</si>
  <si>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</si>
  <si>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</si>
  <si>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</si>
  <si>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</si>
  <si>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</si>
  <si>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</si>
  <si>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</si>
  <si>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</si>
  <si>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</si>
  <si>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</si>
  <si>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</si>
  <si>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</si>
  <si>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</si>
  <si>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</si>
  <si>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</si>
  <si>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</si>
  <si>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</si>
  <si>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</si>
  <si>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</si>
  <si>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</si>
  <si>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</si>
  <si>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</si>
  <si>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</si>
  <si>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</si>
  <si>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</si>
  <si>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</si>
  <si>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</si>
  <si>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</si>
  <si>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</si>
  <si>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</si>
  <si>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</si>
  <si>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</si>
  <si>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</si>
  <si>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</si>
  <si>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</si>
  <si>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</si>
  <si>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</si>
  <si>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</si>
  <si>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</si>
  <si>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</si>
  <si>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</si>
  <si>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</si>
  <si>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</si>
  <si>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</si>
  <si>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</si>
  <si>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</si>
  <si>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</si>
  <si>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</si>
  <si>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</si>
  <si>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</si>
  <si>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</si>
  <si>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</si>
  <si>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</si>
  <si>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</si>
  <si>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</si>
  <si>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</si>
  <si>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</si>
  <si>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</si>
  <si>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</si>
  <si>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</si>
  <si>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</si>
  <si>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</si>
  <si>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</si>
  <si>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</si>
  <si>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</si>
  <si>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</si>
  <si>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</si>
  <si>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</si>
  <si>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</si>
  <si>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</si>
  <si>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</si>
  <si>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</si>
  <si>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</si>
  <si>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</si>
  <si>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</si>
  <si>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</si>
  <si>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</si>
  <si>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</si>
  <si>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</si>
  <si>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</si>
  <si>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</si>
  <si>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</si>
  <si>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</si>
  <si>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</si>
  <si>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</si>
  <si>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</si>
  <si>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</si>
  <si>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</si>
  <si>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</si>
  <si>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</si>
  <si>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</si>
  <si>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</si>
  <si>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</si>
  <si>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</si>
  <si>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</si>
  <si>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</si>
  <si>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</si>
  <si>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</si>
  <si>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</si>
  <si>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</si>
  <si>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</si>
  <si>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</si>
  <si>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</si>
  <si>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</si>
  <si>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</si>
  <si>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</si>
  <si>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</si>
  <si>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</si>
  <si>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</si>
  <si>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</si>
  <si>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</si>
  <si>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</si>
  <si>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</si>
  <si>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</si>
  <si>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</si>
  <si>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</si>
  <si>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</si>
  <si>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</si>
  <si>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</si>
  <si>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</si>
  <si>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</si>
  <si>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</si>
  <si>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</si>
  <si>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</si>
  <si>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</si>
  <si>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</si>
  <si>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</si>
  <si>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</si>
  <si>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</si>
  <si>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</si>
  <si>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</si>
  <si>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</si>
  <si>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</si>
  <si>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</si>
  <si>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</si>
  <si>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</si>
  <si>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</si>
  <si>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</si>
  <si>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</si>
  <si>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</si>
  <si>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</si>
  <si>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</si>
  <si>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</si>
  <si>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</si>
  <si>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</si>
  <si>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</si>
  <si>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</si>
  <si>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</si>
  <si>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</si>
  <si>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</si>
  <si>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</si>
  <si>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</si>
  <si>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</si>
  <si>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</si>
  <si>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</si>
  <si>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</si>
  <si>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</si>
  <si>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</si>
  <si>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</si>
  <si>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</si>
  <si>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</si>
  <si>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</si>
  <si>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</si>
  <si>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</si>
  <si>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</si>
  <si>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</si>
  <si>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</si>
  <si>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</si>
  <si>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</si>
  <si>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</si>
  <si>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</si>
  <si>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</si>
  <si>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</si>
  <si>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</si>
  <si>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</si>
  <si>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</si>
  <si>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</si>
  <si>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</si>
  <si>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</si>
  <si>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</si>
  <si>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</si>
  <si>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</si>
  <si>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</si>
  <si>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</si>
  <si>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</si>
  <si>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</si>
  <si>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</si>
  <si>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</si>
  <si>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</si>
  <si>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</si>
  <si>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</si>
  <si>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</si>
  <si>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</si>
  <si>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</si>
  <si>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</si>
  <si>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</si>
  <si>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</si>
  <si>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</si>
  <si>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</si>
  <si>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</si>
  <si>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</si>
  <si>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</si>
  <si>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</si>
  <si>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</si>
  <si>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</si>
  <si>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</si>
  <si>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</si>
  <si>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</si>
  <si>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</si>
  <si>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</si>
  <si>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</si>
  <si>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</si>
  <si>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</si>
  <si>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</si>
  <si>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</si>
  <si>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</si>
  <si>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</si>
  <si>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</si>
  <si>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</si>
  <si>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</si>
  <si>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</si>
  <si>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</si>
  <si>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</si>
  <si>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</si>
  <si>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</si>
  <si>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</si>
  <si>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</si>
  <si>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</si>
  <si>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</si>
  <si>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</si>
  <si>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</si>
  <si>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</si>
  <si>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</si>
  <si>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</si>
  <si>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</si>
  <si>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</si>
  <si>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</si>
  <si>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</si>
  <si>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</si>
  <si>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</si>
  <si>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</si>
  <si>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</si>
  <si>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</si>
  <si>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</si>
  <si>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</si>
  <si>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</si>
  <si>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</si>
  <si>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</si>
  <si>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</si>
  <si>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</si>
  <si>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</si>
  <si>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</si>
  <si>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</si>
  <si>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</si>
  <si>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</si>
  <si>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</si>
  <si>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</si>
  <si>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</si>
  <si>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</si>
  <si>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</si>
  <si>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</si>
  <si>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</si>
  <si>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</si>
  <si>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72.47357</t>
  </si>
  <si>
    <t>Без толкателя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</si>
  <si>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</si>
  <si>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</si>
  <si>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</si>
  <si>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</si>
  <si>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</si>
  <si>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</si>
  <si>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</si>
  <si>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</si>
  <si>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</si>
  <si>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</si>
  <si>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</si>
  <si>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</si>
  <si>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</si>
  <si>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</si>
  <si>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</si>
  <si>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</si>
  <si>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</si>
  <si>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</si>
  <si>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</si>
  <si>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</si>
  <si>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</si>
  <si>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</si>
  <si>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</si>
  <si>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</si>
  <si>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</si>
  <si>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</si>
  <si>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</si>
  <si>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</si>
  <si>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</si>
  <si>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</si>
  <si>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</si>
  <si>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</si>
  <si>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Заготовка вкладыша</t>
  </si>
  <si>
    <t xml:space="preserve"> /  2</t>
  </si>
  <si>
    <t>РЧЗ 3-440636</t>
  </si>
  <si>
    <t xml:space="preserve"> /  РЧЗ 3-440637</t>
  </si>
  <si>
    <t>Покупная позиция</t>
  </si>
  <si>
    <t>старая</t>
  </si>
  <si>
    <t>* Указаны размеры модели</t>
  </si>
  <si>
    <t>*Использовать холодильники</t>
  </si>
  <si>
    <t>ц/б</t>
  </si>
  <si>
    <t>Формовочные уклоны ОСТ 24.916.01-79</t>
  </si>
  <si>
    <t>N штук</t>
  </si>
  <si>
    <t>Опоки втулки</t>
  </si>
  <si>
    <t>Опоки бурт втулки</t>
  </si>
  <si>
    <t>ОСТ 24.916.01-79</t>
  </si>
  <si>
    <t>Температура заливки кокилей для планок</t>
  </si>
  <si>
    <t>От  1400 8 бобышек</t>
  </si>
  <si>
    <t>.623 кольцо - 2 прибыли !  +  стояк (без бобышек)</t>
  </si>
  <si>
    <t>ПРИМЕЧАНИЯ:</t>
  </si>
  <si>
    <t>----&gt;</t>
  </si>
  <si>
    <t>344974-008</t>
  </si>
  <si>
    <t>1275.04.212</t>
  </si>
  <si>
    <t>Диаметр \ Высота</t>
  </si>
  <si>
    <t>7 7 8</t>
  </si>
  <si>
    <t>8 8 9</t>
  </si>
  <si>
    <t xml:space="preserve">9 10 10 </t>
  </si>
  <si>
    <t>10 11 11</t>
  </si>
  <si>
    <t>11 12 12</t>
  </si>
  <si>
    <t>13 13 13</t>
  </si>
  <si>
    <t>11077.28.159-с</t>
  </si>
  <si>
    <t>первая формовка август 2024</t>
  </si>
  <si>
    <t>Исправлена длина : 450→460 (Н.Н. - 28.08.2024)</t>
  </si>
  <si>
    <t>Исправлена длина : 470→460 (Н.Н. - 28.08.2024)</t>
  </si>
  <si>
    <t>Кокиль без дна (Котов, 04.09.2024) - можно стационарно (можно выбить)</t>
  </si>
  <si>
    <t>Нет кокиля - Котов 26.08.2024</t>
  </si>
  <si>
    <t>665 - Размер возле заливочной крышки. Сетка разгара ( от 06.2024) Кокиль раздутый (Н.Н. - 28.08.2024)</t>
  </si>
  <si>
    <t>Заливочная крышка пос.700                                 заливочное отв.-100мм</t>
  </si>
  <si>
    <t>Н.Н. - 28.08.2024</t>
  </si>
  <si>
    <t xml:space="preserve"> сент. 2024</t>
  </si>
  <si>
    <t>1729.001</t>
  </si>
  <si>
    <t xml:space="preserve"> сент.2024</t>
  </si>
  <si>
    <t>Утвердил Котов 25.10.23 (чтобы не переписывать расчетный файл.)</t>
  </si>
  <si>
    <t>3441119-009</t>
  </si>
  <si>
    <t>Тр-104-13</t>
  </si>
  <si>
    <t>3441123-009</t>
  </si>
  <si>
    <t>ЦИ.1144А</t>
  </si>
  <si>
    <t>585/420х370х45/660</t>
  </si>
  <si>
    <t>3441127-009</t>
  </si>
  <si>
    <t>ООО  "Юнитех"</t>
  </si>
  <si>
    <t>Бурт Ø=</t>
  </si>
  <si>
    <t>Диаметр надставки № 51, мм</t>
  </si>
  <si>
    <t>580/30</t>
  </si>
  <si>
    <t>Котов</t>
  </si>
  <si>
    <t>Ковалев</t>
  </si>
  <si>
    <t>Ø 2039</t>
  </si>
  <si>
    <t>Ø 1978</t>
  </si>
  <si>
    <t>Ø 1173</t>
  </si>
  <si>
    <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1093</t>
    </r>
  </si>
  <si>
    <t>Ø 1389</t>
  </si>
  <si>
    <t>364</t>
  </si>
  <si>
    <t>уклон по бурту</t>
  </si>
  <si>
    <t>уклон по бочке</t>
  </si>
  <si>
    <t>20-60</t>
  </si>
  <si>
    <t>расчет</t>
  </si>
  <si>
    <t>у модели</t>
  </si>
  <si>
    <t>Ср. диаметр бурта</t>
  </si>
  <si>
    <t>Ср. диаметр бочки</t>
  </si>
  <si>
    <t>Припуск на разрезку</t>
  </si>
  <si>
    <t>Diff</t>
  </si>
  <si>
    <r>
      <t xml:space="preserve">На ц/б кокили прибыльные надставки </t>
    </r>
    <r>
      <rPr>
        <u/>
        <sz val="14"/>
        <color rgb="FF000000"/>
        <rFont val="Calibri"/>
        <family val="2"/>
        <charset val="204"/>
      </rPr>
      <t>не устанавливаются!</t>
    </r>
  </si>
  <si>
    <t>(надставка упирается в уши кокиля - образуется щель.)</t>
  </si>
  <si>
    <t>есть переходное кольцо на цб кокили с посадкой 360</t>
  </si>
  <si>
    <t>есть переходное кольцо на цб кокили с посадкой 470</t>
  </si>
  <si>
    <t>для остальных посадок требуется проточка надставок.</t>
  </si>
  <si>
    <t>398х357х18мм.</t>
  </si>
  <si>
    <t>494х455х15мм.</t>
  </si>
  <si>
    <r>
      <rPr>
        <sz val="11"/>
        <color rgb="FF000000"/>
        <rFont val="Calibri"/>
        <family val="2"/>
        <charset val="204"/>
      </rPr>
      <t xml:space="preserve">Ø </t>
    </r>
    <r>
      <rPr>
        <sz val="11"/>
        <color rgb="FF000000"/>
        <rFont val="Calibri"/>
        <family val="2"/>
        <charset val="1"/>
      </rPr>
      <t>кокиля</t>
    </r>
  </si>
  <si>
    <t>модель нар.</t>
  </si>
  <si>
    <t>модель вн.</t>
  </si>
  <si>
    <t>ИСТИНА</t>
  </si>
  <si>
    <t>для втулок</t>
  </si>
  <si>
    <t>ср толщ планки</t>
  </si>
  <si>
    <t>Ф.уклон</t>
  </si>
  <si>
    <t>110± мм. прибыли используется как бурт</t>
  </si>
  <si>
    <t>Модель изношена.  Модель из 2 частей: по  150 мм., и отъемная прибыль 180 мм. (+ 60 мм. к длине отъемной части)</t>
  </si>
  <si>
    <t>Модель из 2 частей: 500 мм., 165 мм., и отъемная прибыль 240 мм. (+ 100 мм. к длине отъемной части)</t>
  </si>
  <si>
    <t>Кокиль разъемный, прибыль: Ø180/190, h-40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</si>
  <si>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</si>
  <si>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бурт кокиля &lt; 60</t>
  </si>
  <si>
    <t>по факту</t>
  </si>
  <si>
    <t>по детали</t>
  </si>
  <si>
    <t>припуск м/о (Расчет по детали)</t>
  </si>
  <si>
    <t>Припуск м/о (Расчет по кокилю)</t>
  </si>
  <si>
    <t>стенка</t>
  </si>
  <si>
    <t xml:space="preserve"> по бурту:</t>
  </si>
  <si>
    <t>по бочке:</t>
  </si>
  <si>
    <t>Диам детали</t>
  </si>
  <si>
    <t>З.Кольцо</t>
  </si>
  <si>
    <t>По нар.диам</t>
  </si>
  <si>
    <t>По вн.диам.</t>
  </si>
  <si>
    <t>На захват</t>
  </si>
  <si>
    <t>На разрезку</t>
  </si>
  <si>
    <t>(с коэфф.)</t>
  </si>
  <si>
    <t>п.п.</t>
  </si>
  <si>
    <t>температура</t>
  </si>
  <si>
    <t>h приб, коэф.</t>
  </si>
  <si>
    <t>под прибылью</t>
  </si>
  <si>
    <t>на разрезку</t>
  </si>
  <si>
    <t>таблица припусков Оловянистые бронзы</t>
  </si>
  <si>
    <t>Припуск на М/О оловянные бронзы, ЦАМы:</t>
  </si>
  <si>
    <r>
      <t xml:space="preserve">Припуск на М/О Алюминиевые бронзы, латуни - </t>
    </r>
    <r>
      <rPr>
        <sz val="11"/>
        <color rgb="FFFF0000"/>
        <rFont val="Arial"/>
        <family val="2"/>
        <charset val="204"/>
      </rPr>
      <t>Толщ. стенки детали &lt;=35</t>
    </r>
  </si>
  <si>
    <t>Планки. Фасон</t>
  </si>
  <si>
    <t>Посадка крышки ц/б кокиля</t>
  </si>
  <si>
    <t>17;23</t>
  </si>
  <si>
    <t>припуск а</t>
  </si>
  <si>
    <t>припуск б</t>
  </si>
  <si>
    <t>10;15</t>
  </si>
  <si>
    <t>10;10</t>
  </si>
  <si>
    <t>15;17</t>
  </si>
  <si>
    <t>13;15</t>
  </si>
  <si>
    <t>12;13</t>
  </si>
  <si>
    <t>17;20</t>
  </si>
  <si>
    <t>15;15</t>
  </si>
  <si>
    <t>20;25</t>
  </si>
  <si>
    <t>15;20</t>
  </si>
  <si>
    <t>25;30</t>
  </si>
  <si>
    <t>27;33</t>
  </si>
  <si>
    <t>23;27</t>
  </si>
  <si>
    <t>Доп.захват</t>
  </si>
  <si>
    <t>102.53.745 - 064</t>
  </si>
  <si>
    <t>102.53.745 - 061</t>
  </si>
  <si>
    <t>Длина модели</t>
  </si>
  <si>
    <t>б/н1</t>
  </si>
  <si>
    <t>б/н2</t>
  </si>
  <si>
    <t>б/н3</t>
  </si>
  <si>
    <t>Столбец1</t>
  </si>
  <si>
    <t>переточен с 220/230  Большая трещина Костерин С.П. 22.03.2021</t>
  </si>
  <si>
    <t>Трещины.  Требуется расточка.  Н.Н. - 10.10.2024 /есть нарощалки Ø260х410, Ø220/230х465 (5694.392.0105)</t>
  </si>
  <si>
    <t>Кокиль разъемный, прибыль: Ø180/190, h-40. Заливка 1 раз за плавку, из-за протекания по разъему</t>
  </si>
  <si>
    <t>Кокиль вытряхной. Возможно использовать как нарощалку</t>
  </si>
  <si>
    <t>припуск</t>
  </si>
  <si>
    <t>наружный</t>
  </si>
  <si>
    <t>внутренний</t>
  </si>
  <si>
    <r>
      <rPr>
        <sz val="11"/>
        <rFont val="Calibri"/>
        <family val="2"/>
        <charset val="204"/>
      </rPr>
      <t>Ø</t>
    </r>
    <r>
      <rPr>
        <sz val="11"/>
        <rFont val="Arial"/>
        <family val="2"/>
        <charset val="204"/>
      </rPr>
      <t xml:space="preserve"> посадки</t>
    </r>
  </si>
  <si>
    <t>Минимальная крышка</t>
  </si>
  <si>
    <t>Dц (посадка на ц/б машину)</t>
  </si>
  <si>
    <t>300 (17 машина)</t>
  </si>
  <si>
    <t>посадка</t>
  </si>
  <si>
    <t>посадочн.Д</t>
  </si>
  <si>
    <t>№ Чертежа</t>
  </si>
  <si>
    <t>Посадочный диаметр</t>
  </si>
  <si>
    <t>Использовать холодильники</t>
  </si>
  <si>
    <t>отливка точно.</t>
  </si>
  <si>
    <t>Column8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</si>
</sst>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  <numFmt numFmtId="180" formatCode="0.00000"/>
    <numFmt numFmtId="181" formatCode="&quot;п.п № &quot;0"/>
    <numFmt numFmtId="182" formatCode="0.0&quot; мм.&quot;"/>
  </numFmts>
  <fonts count="14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b/>
      <u/>
      <sz val="12"/>
      <name val="Calibri"/>
      <family val="2"/>
      <scheme val="minor"/>
    </font>
    <font>
      <u/>
      <sz val="12"/>
      <color rgb="FF000000"/>
      <name val="Calibri"/>
      <family val="2"/>
    </font>
    <font>
      <u/>
      <sz val="12"/>
      <name val="Calibri"/>
      <family val="2"/>
      <scheme val="minor"/>
    </font>
    <font>
      <sz val="14"/>
      <color rgb="FF000000"/>
      <name val="Calibri"/>
      <family val="2"/>
      <charset val="1"/>
    </font>
    <font>
      <u/>
      <sz val="14"/>
      <color rgb="FF000000"/>
      <name val="Calibri"/>
      <family val="2"/>
      <charset val="204"/>
    </font>
    <font>
      <sz val="12"/>
      <color theme="5" tint="-0.249977111117893"/>
      <name val="Calibri"/>
      <family val="2"/>
      <charset val="204"/>
      <scheme val="minor"/>
    </font>
    <font>
      <sz val="14"/>
      <color rgb="FF000000"/>
      <name val="Calibri"/>
      <family val="2"/>
      <charset val="204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6" tint="0.79998168889431442"/>
        <bgColor indexed="64"/>
      </patternFill>
    </fill>
  </fills>
  <borders count="7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22" fillId="2" borderId="1" applyProtection="0"/>
    <xf numFmtId="0" fontId="62" fillId="0" borderId="0" applyNumberFormat="0" applyFill="0" applyBorder="0" applyAlignment="0" applyProtection="0"/>
    <xf numFmtId="164" fontId="84" fillId="0" borderId="0" applyFont="0" applyFill="0" applyBorder="0" applyAlignment="0" applyProtection="0"/>
    <xf numFmtId="0" fontId="15" fillId="0" borderId="0"/>
  </cellStyleXfs>
  <cellXfs count="221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0" fillId="0" borderId="8" xfId="0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9" borderId="5" xfId="0" applyFont="1" applyFill="1" applyBorder="1"/>
    <xf numFmtId="0" fontId="40" fillId="14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0" borderId="0" xfId="0" applyFill="1" applyBorder="1"/>
    <xf numFmtId="0" fontId="30" fillId="20" borderId="28" xfId="0" applyFont="1" applyFill="1" applyBorder="1" applyAlignment="1">
      <alignment horizontal="right"/>
    </xf>
    <xf numFmtId="0" fontId="30" fillId="20" borderId="5" xfId="0" applyFont="1" applyFill="1" applyBorder="1"/>
    <xf numFmtId="0" fontId="30" fillId="20" borderId="0" xfId="0" applyFont="1" applyFill="1" applyBorder="1" applyAlignment="1">
      <alignment horizontal="right"/>
    </xf>
    <xf numFmtId="0" fontId="30" fillId="20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0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1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48" fillId="5" borderId="0" xfId="0" applyFont="1" applyFill="1"/>
    <xf numFmtId="0" fontId="18" fillId="5" borderId="0" xfId="0" applyFont="1" applyFill="1"/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23" fillId="5" borderId="5" xfId="0" applyFont="1" applyFill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23" fillId="0" borderId="0" xfId="0" applyFont="1" applyFill="1"/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16" borderId="0" xfId="0" applyFont="1" applyFill="1" applyBorder="1"/>
    <xf numFmtId="0" fontId="42" fillId="0" borderId="0" xfId="0" applyFont="1" applyFill="1"/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4" borderId="0" xfId="0" applyFont="1" applyFill="1"/>
    <xf numFmtId="0" fontId="12" fillId="0" borderId="0" xfId="0" applyFont="1"/>
    <xf numFmtId="0" fontId="23" fillId="24" borderId="5" xfId="0" applyFont="1" applyFill="1" applyBorder="1"/>
    <xf numFmtId="0" fontId="23" fillId="24" borderId="5" xfId="0" applyFont="1" applyFill="1" applyBorder="1" applyAlignment="1">
      <alignment horizontal="center"/>
    </xf>
    <xf numFmtId="0" fontId="55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8" fillId="0" borderId="8" xfId="0" applyFont="1" applyBorder="1" applyAlignment="1">
      <alignment horizontal="right"/>
    </xf>
    <xf numFmtId="0" fontId="58" fillId="0" borderId="9" xfId="0" applyFont="1" applyBorder="1"/>
    <xf numFmtId="0" fontId="18" fillId="0" borderId="7" xfId="0" applyFont="1" applyBorder="1"/>
    <xf numFmtId="0" fontId="59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49" fontId="14" fillId="0" borderId="12" xfId="0" applyNumberFormat="1" applyFont="1" applyBorder="1" applyAlignment="1">
      <alignment horizontal="right"/>
    </xf>
    <xf numFmtId="0" fontId="59" fillId="0" borderId="0" xfId="0" applyFont="1" applyBorder="1"/>
    <xf numFmtId="49" fontId="59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64" fillId="0" borderId="0" xfId="0" applyFont="1" applyBorder="1"/>
    <xf numFmtId="0" fontId="0" fillId="26" borderId="5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7" borderId="5" xfId="0" applyFill="1" applyBorder="1" applyAlignment="1">
      <alignment horizontal="center" vertical="center"/>
    </xf>
    <xf numFmtId="0" fontId="0" fillId="26" borderId="31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27" borderId="5" xfId="0" applyFill="1" applyBorder="1"/>
    <xf numFmtId="0" fontId="0" fillId="0" borderId="0" xfId="0" applyFill="1" applyBorder="1" applyAlignment="1">
      <alignment horizontal="center" vertical="center"/>
    </xf>
    <xf numFmtId="0" fontId="65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1" xfId="0" applyBorder="1"/>
    <xf numFmtId="0" fontId="0" fillId="28" borderId="18" xfId="0" applyFill="1" applyBorder="1"/>
    <xf numFmtId="0" fontId="66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57" fillId="0" borderId="0" xfId="0" applyFont="1" applyBorder="1"/>
    <xf numFmtId="2" fontId="57" fillId="0" borderId="9" xfId="0" applyNumberFormat="1" applyFont="1" applyBorder="1" applyAlignment="1">
      <alignment horizontal="center"/>
    </xf>
    <xf numFmtId="0" fontId="57" fillId="0" borderId="0" xfId="0" applyNumberFormat="1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2" fontId="57" fillId="0" borderId="12" xfId="0" applyNumberFormat="1" applyFont="1" applyBorder="1" applyAlignment="1">
      <alignment horizontal="center"/>
    </xf>
    <xf numFmtId="0" fontId="57" fillId="0" borderId="0" xfId="0" applyFont="1" applyBorder="1" applyAlignment="1">
      <alignment horizontal="center"/>
    </xf>
    <xf numFmtId="0" fontId="57" fillId="0" borderId="0" xfId="0" applyFont="1" applyBorder="1" applyAlignment="1">
      <alignment horizontal="right"/>
    </xf>
    <xf numFmtId="0" fontId="41" fillId="0" borderId="0" xfId="0" applyFont="1" applyBorder="1"/>
    <xf numFmtId="0" fontId="57" fillId="0" borderId="0" xfId="0" applyFont="1"/>
    <xf numFmtId="1" fontId="68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57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57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1" fillId="0" borderId="0" xfId="0" applyFont="1" applyAlignment="1">
      <alignment horizontal="right"/>
    </xf>
    <xf numFmtId="0" fontId="60" fillId="0" borderId="7" xfId="0" applyFont="1" applyFill="1" applyBorder="1" applyAlignment="1">
      <alignment horizontal="right"/>
    </xf>
    <xf numFmtId="0" fontId="57" fillId="0" borderId="9" xfId="0" applyFont="1" applyBorder="1" applyAlignment="1">
      <alignment horizontal="left"/>
    </xf>
    <xf numFmtId="2" fontId="71" fillId="0" borderId="0" xfId="0" applyNumberFormat="1" applyFont="1" applyAlignment="1">
      <alignment horizontal="center"/>
    </xf>
    <xf numFmtId="2" fontId="72" fillId="0" borderId="0" xfId="0" applyNumberFormat="1" applyFont="1" applyAlignment="1">
      <alignment horizontal="left"/>
    </xf>
    <xf numFmtId="0" fontId="69" fillId="0" borderId="9" xfId="0" applyFont="1" applyBorder="1" applyAlignment="1">
      <alignment horizontal="center"/>
    </xf>
    <xf numFmtId="0" fontId="69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3" fillId="0" borderId="0" xfId="0" applyFont="1" applyBorder="1" applyAlignment="1">
      <alignment horizontal="center"/>
    </xf>
    <xf numFmtId="0" fontId="73" fillId="0" borderId="8" xfId="0" applyFont="1" applyBorder="1"/>
    <xf numFmtId="0" fontId="73" fillId="0" borderId="0" xfId="0" applyFont="1"/>
    <xf numFmtId="0" fontId="73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8" xfId="0" applyFont="1" applyFill="1" applyBorder="1" applyAlignment="1">
      <alignment horizontal="left"/>
    </xf>
    <xf numFmtId="0" fontId="73" fillId="0" borderId="19" xfId="0" applyFont="1" applyBorder="1" applyAlignment="1">
      <alignment horizontal="left"/>
    </xf>
    <xf numFmtId="0" fontId="69" fillId="0" borderId="9" xfId="0" applyNumberFormat="1" applyFont="1" applyBorder="1" applyAlignment="1">
      <alignment horizontal="center"/>
    </xf>
    <xf numFmtId="0" fontId="57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3" fillId="0" borderId="8" xfId="0" applyFont="1" applyBorder="1" applyAlignment="1">
      <alignment horizontal="left"/>
    </xf>
    <xf numFmtId="0" fontId="67" fillId="19" borderId="8" xfId="0" applyFont="1" applyFill="1" applyBorder="1" applyAlignment="1">
      <alignment horizontal="left"/>
    </xf>
    <xf numFmtId="0" fontId="74" fillId="19" borderId="0" xfId="0" applyFont="1" applyFill="1" applyBorder="1"/>
    <xf numFmtId="0" fontId="67" fillId="19" borderId="0" xfId="0" applyFont="1" applyFill="1" applyBorder="1"/>
    <xf numFmtId="0" fontId="67" fillId="19" borderId="12" xfId="0" applyFont="1" applyFill="1" applyBorder="1"/>
    <xf numFmtId="2" fontId="74" fillId="19" borderId="0" xfId="0" applyNumberFormat="1" applyFont="1" applyFill="1" applyBorder="1"/>
    <xf numFmtId="0" fontId="67" fillId="19" borderId="19" xfId="0" applyFont="1" applyFill="1" applyBorder="1"/>
    <xf numFmtId="0" fontId="75" fillId="19" borderId="10" xfId="0" applyFont="1" applyFill="1" applyBorder="1" applyAlignment="1">
      <alignment horizontal="left"/>
    </xf>
    <xf numFmtId="0" fontId="76" fillId="19" borderId="8" xfId="0" applyFont="1" applyFill="1" applyBorder="1" applyAlignment="1">
      <alignment horizontal="left"/>
    </xf>
    <xf numFmtId="0" fontId="76" fillId="19" borderId="9" xfId="0" applyFont="1" applyFill="1" applyBorder="1" applyAlignment="1">
      <alignment horizontal="left"/>
    </xf>
    <xf numFmtId="0" fontId="75" fillId="19" borderId="13" xfId="0" applyFont="1" applyFill="1" applyBorder="1"/>
    <xf numFmtId="0" fontId="77" fillId="19" borderId="0" xfId="0" applyFont="1" applyFill="1" applyBorder="1"/>
    <xf numFmtId="0" fontId="77" fillId="19" borderId="12" xfId="0" applyFont="1" applyFill="1" applyBorder="1"/>
    <xf numFmtId="0" fontId="76" fillId="0" borderId="13" xfId="0" applyFont="1" applyFill="1" applyBorder="1"/>
    <xf numFmtId="0" fontId="76" fillId="19" borderId="0" xfId="0" applyFont="1" applyFill="1" applyBorder="1"/>
    <xf numFmtId="0" fontId="76" fillId="19" borderId="12" xfId="0" applyFont="1" applyFill="1" applyBorder="1" applyAlignment="1">
      <alignment horizontal="right"/>
    </xf>
    <xf numFmtId="2" fontId="76" fillId="19" borderId="12" xfId="0" applyNumberFormat="1" applyFont="1" applyFill="1" applyBorder="1" applyAlignment="1">
      <alignment horizontal="right"/>
    </xf>
    <xf numFmtId="0" fontId="76" fillId="19" borderId="13" xfId="0" applyFont="1" applyFill="1" applyBorder="1"/>
    <xf numFmtId="0" fontId="76" fillId="19" borderId="12" xfId="0" applyFont="1" applyFill="1" applyBorder="1"/>
    <xf numFmtId="2" fontId="77" fillId="12" borderId="13" xfId="0" applyNumberFormat="1" applyFont="1" applyFill="1" applyBorder="1"/>
    <xf numFmtId="2" fontId="77" fillId="19" borderId="0" xfId="0" applyNumberFormat="1" applyFont="1" applyFill="1" applyBorder="1"/>
    <xf numFmtId="2" fontId="77" fillId="19" borderId="12" xfId="0" applyNumberFormat="1" applyFont="1" applyFill="1" applyBorder="1"/>
    <xf numFmtId="0" fontId="38" fillId="19" borderId="7" xfId="0" applyFont="1" applyFill="1" applyBorder="1"/>
    <xf numFmtId="0" fontId="38" fillId="19" borderId="0" xfId="0" applyFont="1" applyFill="1" applyBorder="1"/>
    <xf numFmtId="0" fontId="76" fillId="19" borderId="12" xfId="0" applyFont="1" applyFill="1" applyBorder="1" applyAlignment="1">
      <alignment horizontal="left"/>
    </xf>
    <xf numFmtId="0" fontId="76" fillId="19" borderId="7" xfId="0" applyFont="1" applyFill="1" applyBorder="1"/>
    <xf numFmtId="49" fontId="76" fillId="19" borderId="7" xfId="0" applyNumberFormat="1" applyFont="1" applyFill="1" applyBorder="1" applyAlignment="1">
      <alignment horizontal="left"/>
    </xf>
    <xf numFmtId="0" fontId="38" fillId="19" borderId="12" xfId="0" applyFont="1" applyFill="1" applyBorder="1"/>
    <xf numFmtId="0" fontId="76" fillId="19" borderId="7" xfId="0" applyFont="1" applyFill="1" applyBorder="1" applyAlignment="1">
      <alignment horizontal="left"/>
    </xf>
    <xf numFmtId="0" fontId="38" fillId="19" borderId="19" xfId="0" applyFont="1" applyFill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67" fillId="19" borderId="25" xfId="0" applyFont="1" applyFill="1" applyBorder="1"/>
    <xf numFmtId="2" fontId="74" fillId="19" borderId="26" xfId="0" applyNumberFormat="1" applyFont="1" applyFill="1" applyBorder="1"/>
    <xf numFmtId="0" fontId="76" fillId="19" borderId="27" xfId="0" applyFont="1" applyFill="1" applyBorder="1" applyAlignment="1">
      <alignment horizontal="left"/>
    </xf>
    <xf numFmtId="0" fontId="77" fillId="19" borderId="25" xfId="0" applyFont="1" applyFill="1" applyBorder="1"/>
    <xf numFmtId="0" fontId="76" fillId="19" borderId="25" xfId="0" applyFont="1" applyFill="1" applyBorder="1" applyAlignment="1">
      <alignment horizontal="right"/>
    </xf>
    <xf numFmtId="2" fontId="76" fillId="19" borderId="25" xfId="0" applyNumberFormat="1" applyFont="1" applyFill="1" applyBorder="1" applyAlignment="1">
      <alignment horizontal="right"/>
    </xf>
    <xf numFmtId="0" fontId="76" fillId="19" borderId="25" xfId="0" applyFont="1" applyFill="1" applyBorder="1"/>
    <xf numFmtId="2" fontId="77" fillId="19" borderId="26" xfId="0" applyNumberFormat="1" applyFont="1" applyFill="1" applyBorder="1"/>
    <xf numFmtId="0" fontId="38" fillId="19" borderId="27" xfId="0" applyFont="1" applyFill="1" applyBorder="1"/>
    <xf numFmtId="0" fontId="76" fillId="19" borderId="25" xfId="0" applyFont="1" applyFill="1" applyBorder="1" applyAlignment="1">
      <alignment horizontal="left"/>
    </xf>
    <xf numFmtId="0" fontId="38" fillId="19" borderId="25" xfId="0" applyFont="1" applyFill="1" applyBorder="1"/>
    <xf numFmtId="0" fontId="38" fillId="19" borderId="26" xfId="0" applyFont="1" applyFill="1" applyBorder="1"/>
    <xf numFmtId="0" fontId="38" fillId="29" borderId="15" xfId="0" applyFont="1" applyFill="1" applyBorder="1"/>
    <xf numFmtId="0" fontId="0" fillId="29" borderId="8" xfId="0" applyFill="1" applyBorder="1"/>
    <xf numFmtId="0" fontId="76" fillId="29" borderId="7" xfId="0" applyFont="1" applyFill="1" applyBorder="1" applyAlignment="1">
      <alignment horizontal="left"/>
    </xf>
    <xf numFmtId="0" fontId="0" fillId="29" borderId="0" xfId="0" applyFill="1" applyBorder="1"/>
    <xf numFmtId="0" fontId="74" fillId="29" borderId="12" xfId="0" applyFont="1" applyFill="1" applyBorder="1"/>
    <xf numFmtId="0" fontId="67" fillId="29" borderId="12" xfId="0" applyFont="1" applyFill="1" applyBorder="1"/>
    <xf numFmtId="0" fontId="76" fillId="29" borderId="7" xfId="0" applyFont="1" applyFill="1" applyBorder="1" applyAlignment="1">
      <alignment horizontal="right"/>
    </xf>
    <xf numFmtId="0" fontId="38" fillId="29" borderId="7" xfId="0" applyFont="1" applyFill="1" applyBorder="1"/>
    <xf numFmtId="0" fontId="0" fillId="29" borderId="7" xfId="0" applyFill="1" applyBorder="1"/>
    <xf numFmtId="2" fontId="74" fillId="29" borderId="12" xfId="0" applyNumberFormat="1" applyFont="1" applyFill="1" applyBorder="1"/>
    <xf numFmtId="0" fontId="0" fillId="29" borderId="18" xfId="0" applyFill="1" applyBorder="1"/>
    <xf numFmtId="0" fontId="0" fillId="29" borderId="19" xfId="0" applyFill="1" applyBorder="1"/>
    <xf numFmtId="0" fontId="0" fillId="29" borderId="20" xfId="0" applyFill="1" applyBorder="1"/>
    <xf numFmtId="20" fontId="0" fillId="0" borderId="8" xfId="0" quotePrefix="1" applyNumberFormat="1" applyFont="1" applyBorder="1"/>
    <xf numFmtId="0" fontId="5" fillId="0" borderId="19" xfId="0" applyFont="1" applyFill="1" applyBorder="1"/>
    <xf numFmtId="0" fontId="79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78" fillId="0" borderId="8" xfId="0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0" fontId="78" fillId="0" borderId="19" xfId="0" applyFont="1" applyBorder="1" applyAlignment="1">
      <alignment horizontal="left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78" fillId="0" borderId="0" xfId="0" quotePrefix="1" applyNumberFormat="1" applyFont="1" applyBorder="1" applyAlignment="1">
      <alignment horizontal="right"/>
    </xf>
    <xf numFmtId="0" fontId="78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1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64" fillId="0" borderId="7" xfId="0" applyFont="1" applyBorder="1"/>
    <xf numFmtId="0" fontId="64" fillId="0" borderId="8" xfId="0" applyFont="1" applyBorder="1"/>
    <xf numFmtId="0" fontId="64" fillId="0" borderId="0" xfId="0" applyFont="1"/>
    <xf numFmtId="0" fontId="82" fillId="0" borderId="9" xfId="0" applyFont="1" applyBorder="1"/>
    <xf numFmtId="0" fontId="64" fillId="0" borderId="12" xfId="0" applyFont="1" applyBorder="1"/>
    <xf numFmtId="0" fontId="27" fillId="0" borderId="0" xfId="0" applyFont="1" applyBorder="1"/>
    <xf numFmtId="49" fontId="64" fillId="0" borderId="0" xfId="0" applyNumberFormat="1" applyFont="1" applyBorder="1" applyAlignment="1">
      <alignment horizontal="left"/>
    </xf>
    <xf numFmtId="0" fontId="64" fillId="0" borderId="15" xfId="0" applyFont="1" applyBorder="1"/>
    <xf numFmtId="0" fontId="64" fillId="0" borderId="9" xfId="0" applyFont="1" applyBorder="1"/>
    <xf numFmtId="0" fontId="27" fillId="0" borderId="0" xfId="0" applyFont="1" applyBorder="1" applyAlignment="1">
      <alignment horizontal="left"/>
    </xf>
    <xf numFmtId="2" fontId="64" fillId="0" borderId="12" xfId="0" applyNumberFormat="1" applyFont="1" applyBorder="1" applyAlignment="1">
      <alignment horizontal="center"/>
    </xf>
    <xf numFmtId="0" fontId="64" fillId="0" borderId="0" xfId="0" applyNumberFormat="1" applyFont="1" applyBorder="1" applyAlignment="1">
      <alignment horizontal="right"/>
    </xf>
    <xf numFmtId="165" fontId="64" fillId="0" borderId="0" xfId="0" applyNumberFormat="1" applyFont="1" applyBorder="1" applyAlignment="1">
      <alignment horizontal="left"/>
    </xf>
    <xf numFmtId="0" fontId="83" fillId="0" borderId="0" xfId="0" applyNumberFormat="1" applyFont="1" applyBorder="1" applyAlignment="1">
      <alignment horizontal="right"/>
    </xf>
    <xf numFmtId="0" fontId="64" fillId="0" borderId="0" xfId="0" applyFont="1" applyFill="1" applyBorder="1"/>
    <xf numFmtId="0" fontId="64" fillId="0" borderId="12" xfId="0" applyFont="1" applyBorder="1" applyAlignment="1">
      <alignment horizontal="center"/>
    </xf>
    <xf numFmtId="0" fontId="64" fillId="0" borderId="0" xfId="0" applyFont="1" applyBorder="1" applyAlignment="1">
      <alignment horizontal="right"/>
    </xf>
    <xf numFmtId="0" fontId="64" fillId="0" borderId="18" xfId="0" applyFont="1" applyBorder="1"/>
    <xf numFmtId="0" fontId="64" fillId="0" borderId="19" xfId="0" applyFont="1" applyBorder="1"/>
    <xf numFmtId="0" fontId="64" fillId="0" borderId="19" xfId="0" applyFont="1" applyBorder="1" applyAlignment="1">
      <alignment horizontal="right"/>
    </xf>
    <xf numFmtId="0" fontId="64" fillId="0" borderId="20" xfId="0" applyFont="1" applyBorder="1" applyAlignment="1">
      <alignment horizontal="center"/>
    </xf>
    <xf numFmtId="0" fontId="64" fillId="0" borderId="0" xfId="0" applyFont="1" applyBorder="1" applyAlignment="1">
      <alignment horizontal="center"/>
    </xf>
    <xf numFmtId="49" fontId="64" fillId="0" borderId="0" xfId="0" applyNumberFormat="1" applyFont="1" applyBorder="1"/>
    <xf numFmtId="49" fontId="64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1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64" fillId="0" borderId="0" xfId="0" applyNumberFormat="1" applyFont="1" applyBorder="1" applyAlignment="1">
      <alignment horizontal="left"/>
    </xf>
    <xf numFmtId="0" fontId="64" fillId="0" borderId="2" xfId="0" applyFont="1" applyBorder="1"/>
    <xf numFmtId="0" fontId="64" fillId="0" borderId="4" xfId="0" applyFont="1" applyBorder="1"/>
    <xf numFmtId="0" fontId="64" fillId="0" borderId="3" xfId="0" applyFont="1" applyBorder="1"/>
    <xf numFmtId="0" fontId="64" fillId="0" borderId="19" xfId="0" applyFont="1" applyBorder="1" applyAlignment="1">
      <alignment horizontal="left"/>
    </xf>
    <xf numFmtId="0" fontId="64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2" fillId="0" borderId="0" xfId="2"/>
    <xf numFmtId="0" fontId="0" fillId="0" borderId="43" xfId="0" applyBorder="1"/>
    <xf numFmtId="0" fontId="0" fillId="0" borderId="47" xfId="0" applyBorder="1"/>
    <xf numFmtId="0" fontId="0" fillId="0" borderId="45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2" fillId="0" borderId="0" xfId="0" applyFont="1" applyBorder="1"/>
    <xf numFmtId="0" fontId="82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82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2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86" fillId="0" borderId="0" xfId="0" applyFont="1" applyBorder="1"/>
    <xf numFmtId="0" fontId="87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87" fillId="0" borderId="0" xfId="0" applyFont="1" applyBorder="1" applyAlignment="1">
      <alignment horizontal="center"/>
    </xf>
    <xf numFmtId="0" fontId="34" fillId="0" borderId="5" xfId="0" applyFont="1" applyFill="1" applyBorder="1"/>
    <xf numFmtId="1" fontId="82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5" fillId="0" borderId="0" xfId="0" applyFont="1" applyBorder="1"/>
    <xf numFmtId="1" fontId="57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57" fillId="0" borderId="5" xfId="0" applyNumberFormat="1" applyFont="1" applyBorder="1" applyAlignment="1">
      <alignment horizontal="center"/>
    </xf>
    <xf numFmtId="0" fontId="57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4" xfId="0" applyBorder="1"/>
    <xf numFmtId="0" fontId="0" fillId="0" borderId="52" xfId="0" applyBorder="1"/>
    <xf numFmtId="0" fontId="0" fillId="0" borderId="54" xfId="0" applyBorder="1"/>
    <xf numFmtId="167" fontId="0" fillId="0" borderId="0" xfId="0" applyNumberFormat="1"/>
    <xf numFmtId="0" fontId="93" fillId="0" borderId="5" xfId="0" applyFont="1" applyBorder="1" applyAlignment="1">
      <alignment horizontal="center"/>
    </xf>
    <xf numFmtId="0" fontId="94" fillId="0" borderId="0" xfId="0" applyFont="1"/>
    <xf numFmtId="1" fontId="95" fillId="0" borderId="5" xfId="0" applyNumberFormat="1" applyFont="1" applyBorder="1" applyAlignment="1">
      <alignment horizontal="center"/>
    </xf>
    <xf numFmtId="0" fontId="26" fillId="5" borderId="13" xfId="0" applyFont="1" applyFill="1" applyBorder="1"/>
    <xf numFmtId="0" fontId="0" fillId="0" borderId="0" xfId="0" applyFill="1" applyBorder="1" applyAlignment="1">
      <alignment horizontal="left"/>
    </xf>
    <xf numFmtId="0" fontId="98" fillId="0" borderId="0" xfId="2" applyFont="1"/>
    <xf numFmtId="0" fontId="0" fillId="0" borderId="53" xfId="0" applyBorder="1"/>
    <xf numFmtId="0" fontId="78" fillId="0" borderId="0" xfId="0" applyNumberFormat="1" applyFont="1" applyBorder="1" applyAlignment="1">
      <alignment horizontal="right"/>
    </xf>
    <xf numFmtId="0" fontId="11" fillId="22" borderId="7" xfId="0" applyFont="1" applyFill="1" applyBorder="1" applyAlignment="1"/>
    <xf numFmtId="0" fontId="11" fillId="22" borderId="0" xfId="0" applyFont="1" applyFill="1" applyBorder="1" applyAlignment="1"/>
    <xf numFmtId="0" fontId="62" fillId="0" borderId="0" xfId="2" applyNumberFormat="1"/>
    <xf numFmtId="0" fontId="23" fillId="12" borderId="12" xfId="0" applyFont="1" applyFill="1" applyBorder="1"/>
    <xf numFmtId="0" fontId="23" fillId="12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2" borderId="0" xfId="0" applyFont="1" applyFill="1" applyBorder="1" applyAlignment="1"/>
    <xf numFmtId="0" fontId="47" fillId="5" borderId="0" xfId="0" applyFont="1" applyFill="1" applyBorder="1"/>
    <xf numFmtId="0" fontId="23" fillId="12" borderId="19" xfId="0" applyFont="1" applyFill="1" applyBorder="1"/>
    <xf numFmtId="0" fontId="23" fillId="5" borderId="20" xfId="0" applyFont="1" applyFill="1" applyBorder="1"/>
    <xf numFmtId="0" fontId="23" fillId="12" borderId="12" xfId="0" applyFont="1" applyFill="1" applyBorder="1" applyAlignment="1"/>
    <xf numFmtId="0" fontId="23" fillId="12" borderId="20" xfId="0" applyFont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64" fillId="0" borderId="0" xfId="0" applyNumberFormat="1" applyFont="1" applyBorder="1" applyAlignment="1">
      <alignment horizontal="left"/>
    </xf>
    <xf numFmtId="0" fontId="64" fillId="0" borderId="0" xfId="0" applyFont="1" applyAlignment="1">
      <alignment horizontal="left"/>
    </xf>
    <xf numFmtId="0" fontId="64" fillId="0" borderId="19" xfId="0" applyNumberFormat="1" applyFont="1" applyBorder="1" applyAlignment="1">
      <alignment horizontal="right"/>
    </xf>
    <xf numFmtId="0" fontId="64" fillId="0" borderId="8" xfId="0" applyFont="1" applyBorder="1" applyAlignment="1">
      <alignment horizontal="left"/>
    </xf>
    <xf numFmtId="49" fontId="64" fillId="0" borderId="8" xfId="0" applyNumberFormat="1" applyFont="1" applyBorder="1"/>
    <xf numFmtId="49" fontId="64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86" fillId="0" borderId="0" xfId="0" applyFont="1" applyBorder="1" applyAlignment="1">
      <alignment horizontal="left"/>
    </xf>
    <xf numFmtId="49" fontId="101" fillId="0" borderId="0" xfId="0" applyNumberFormat="1" applyFont="1" applyBorder="1" applyAlignment="1">
      <alignment horizontal="right"/>
    </xf>
    <xf numFmtId="0" fontId="101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102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03" fillId="0" borderId="0" xfId="1" applyFont="1" applyFill="1" applyBorder="1" applyAlignment="1" applyProtection="1"/>
    <xf numFmtId="0" fontId="23" fillId="0" borderId="7" xfId="0" applyFont="1" applyFill="1" applyBorder="1"/>
    <xf numFmtId="0" fontId="23" fillId="0" borderId="18" xfId="0" applyFont="1" applyFill="1" applyBorder="1"/>
    <xf numFmtId="0" fontId="23" fillId="12" borderId="15" xfId="0" applyFont="1" applyFill="1" applyBorder="1"/>
    <xf numFmtId="0" fontId="23" fillId="24" borderId="8" xfId="0" applyFont="1" applyFill="1" applyBorder="1"/>
    <xf numFmtId="0" fontId="23" fillId="11" borderId="8" xfId="0" applyFont="1" applyFill="1" applyBorder="1"/>
    <xf numFmtId="0" fontId="23" fillId="12" borderId="7" xfId="0" applyFont="1" applyFill="1" applyBorder="1"/>
    <xf numFmtId="0" fontId="23" fillId="24" borderId="0" xfId="0" applyFont="1" applyFill="1" applyBorder="1"/>
    <xf numFmtId="0" fontId="23" fillId="11" borderId="0" xfId="0" applyFont="1" applyFill="1" applyBorder="1"/>
    <xf numFmtId="0" fontId="23" fillId="24" borderId="19" xfId="0" applyFont="1" applyFill="1" applyBorder="1"/>
    <xf numFmtId="0" fontId="23" fillId="11" borderId="19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25" borderId="7" xfId="0" applyFont="1" applyFill="1" applyBorder="1"/>
    <xf numFmtId="0" fontId="23" fillId="25" borderId="0" xfId="0" applyFont="1" applyFill="1" applyBorder="1"/>
    <xf numFmtId="0" fontId="27" fillId="0" borderId="0" xfId="0" applyFont="1" applyFill="1" applyBorder="1"/>
    <xf numFmtId="0" fontId="42" fillId="0" borderId="0" xfId="0" applyFont="1" applyBorder="1"/>
    <xf numFmtId="0" fontId="42" fillId="30" borderId="0" xfId="0" applyFont="1" applyFill="1" applyBorder="1"/>
    <xf numFmtId="0" fontId="23" fillId="0" borderId="6" xfId="0" applyFont="1" applyBorder="1"/>
    <xf numFmtId="0" fontId="23" fillId="0" borderId="35" xfId="0" applyFont="1" applyBorder="1"/>
    <xf numFmtId="0" fontId="23" fillId="0" borderId="58" xfId="0" applyFont="1" applyBorder="1"/>
    <xf numFmtId="0" fontId="23" fillId="0" borderId="39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64" fillId="0" borderId="0" xfId="0" applyFont="1" applyFill="1"/>
    <xf numFmtId="0" fontId="64" fillId="0" borderId="0" xfId="0" applyFont="1" applyFill="1" applyBorder="1" applyAlignment="1"/>
    <xf numFmtId="0" fontId="0" fillId="0" borderId="59" xfId="0" applyBorder="1"/>
    <xf numFmtId="0" fontId="54" fillId="28" borderId="7" xfId="0" applyFont="1" applyFill="1" applyBorder="1"/>
    <xf numFmtId="0" fontId="0" fillId="0" borderId="60" xfId="0" applyBorder="1"/>
    <xf numFmtId="0" fontId="54" fillId="28" borderId="13" xfId="0" applyFont="1" applyFill="1" applyBorder="1"/>
    <xf numFmtId="0" fontId="54" fillId="28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29" borderId="2" xfId="0" applyFill="1" applyBorder="1"/>
    <xf numFmtId="0" fontId="0" fillId="29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29" borderId="7" xfId="0" applyFont="1" applyFill="1" applyBorder="1"/>
    <xf numFmtId="0" fontId="0" fillId="29" borderId="12" xfId="0" applyFill="1" applyBorder="1" applyAlignment="1">
      <alignment horizontal="right"/>
    </xf>
    <xf numFmtId="0" fontId="57" fillId="29" borderId="7" xfId="0" applyFont="1" applyFill="1" applyBorder="1"/>
    <xf numFmtId="0" fontId="0" fillId="29" borderId="12" xfId="0" applyFill="1" applyBorder="1"/>
    <xf numFmtId="0" fontId="0" fillId="29" borderId="36" xfId="0" applyFill="1" applyBorder="1"/>
    <xf numFmtId="0" fontId="0" fillId="29" borderId="13" xfId="0" applyFill="1" applyBorder="1"/>
    <xf numFmtId="0" fontId="0" fillId="29" borderId="57" xfId="0" applyFill="1" applyBorder="1"/>
    <xf numFmtId="0" fontId="59" fillId="31" borderId="15" xfId="0" applyFont="1" applyFill="1" applyBorder="1" applyAlignment="1">
      <alignment horizontal="left"/>
    </xf>
    <xf numFmtId="0" fontId="0" fillId="31" borderId="9" xfId="0" applyFill="1" applyBorder="1"/>
    <xf numFmtId="0" fontId="59" fillId="31" borderId="7" xfId="0" applyFont="1" applyFill="1" applyBorder="1"/>
    <xf numFmtId="0" fontId="0" fillId="31" borderId="12" xfId="0" applyFill="1" applyBorder="1"/>
    <xf numFmtId="0" fontId="0" fillId="31" borderId="56" xfId="0" applyFill="1" applyBorder="1"/>
    <xf numFmtId="0" fontId="27" fillId="0" borderId="0" xfId="0" applyFont="1" applyFill="1"/>
    <xf numFmtId="3" fontId="23" fillId="0" borderId="0" xfId="0" applyNumberFormat="1" applyFont="1" applyBorder="1"/>
    <xf numFmtId="0" fontId="5" fillId="29" borderId="15" xfId="0" applyFont="1" applyFill="1" applyBorder="1"/>
    <xf numFmtId="0" fontId="104" fillId="0" borderId="9" xfId="0" applyFont="1" applyBorder="1"/>
    <xf numFmtId="0" fontId="0" fillId="29" borderId="9" xfId="0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2" borderId="2" xfId="0" applyFont="1" applyFill="1" applyBorder="1" applyAlignment="1">
      <alignment horizontal="right"/>
    </xf>
    <xf numFmtId="0" fontId="25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5" fillId="12" borderId="0" xfId="0" applyFont="1" applyFill="1" applyAlignment="1">
      <alignment horizontal="left"/>
    </xf>
    <xf numFmtId="0" fontId="0" fillId="12" borderId="0" xfId="0" applyFill="1" applyAlignment="1">
      <alignment horizontal="left"/>
    </xf>
    <xf numFmtId="0" fontId="0" fillId="32" borderId="12" xfId="0" applyFill="1" applyBorder="1"/>
    <xf numFmtId="0" fontId="0" fillId="29" borderId="10" xfId="0" applyFill="1" applyBorder="1"/>
    <xf numFmtId="0" fontId="0" fillId="29" borderId="11" xfId="0" applyFill="1" applyBorder="1"/>
    <xf numFmtId="0" fontId="0" fillId="29" borderId="16" xfId="0" applyFill="1" applyBorder="1"/>
    <xf numFmtId="0" fontId="0" fillId="29" borderId="17" xfId="0" applyFill="1" applyBorder="1"/>
    <xf numFmtId="0" fontId="82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19" borderId="65" xfId="0" applyFill="1" applyBorder="1"/>
    <xf numFmtId="0" fontId="0" fillId="19" borderId="63" xfId="0" applyFill="1" applyBorder="1"/>
    <xf numFmtId="2" fontId="0" fillId="19" borderId="64" xfId="0" applyNumberFormat="1" applyFill="1" applyBorder="1"/>
    <xf numFmtId="2" fontId="105" fillId="0" borderId="0" xfId="0" applyNumberFormat="1" applyFont="1" applyAlignment="1">
      <alignment horizontal="center"/>
    </xf>
    <xf numFmtId="0" fontId="76" fillId="19" borderId="7" xfId="0" applyNumberFormat="1" applyFont="1" applyFill="1" applyBorder="1" applyAlignment="1">
      <alignment horizontal="left"/>
    </xf>
    <xf numFmtId="0" fontId="38" fillId="19" borderId="7" xfId="0" applyNumberFormat="1" applyFont="1" applyFill="1" applyBorder="1"/>
    <xf numFmtId="0" fontId="76" fillId="19" borderId="7" xfId="0" applyNumberFormat="1" applyFont="1" applyFill="1" applyBorder="1"/>
    <xf numFmtId="0" fontId="76" fillId="19" borderId="7" xfId="0" applyNumberFormat="1" applyFont="1" applyFill="1" applyBorder="1" applyAlignment="1">
      <alignment horizontal="right"/>
    </xf>
    <xf numFmtId="0" fontId="23" fillId="25" borderId="8" xfId="0" applyFont="1" applyFill="1" applyBorder="1"/>
    <xf numFmtId="0" fontId="70" fillId="0" borderId="0" xfId="2" applyFont="1"/>
    <xf numFmtId="0" fontId="57" fillId="0" borderId="0" xfId="0" applyNumberFormat="1" applyFont="1" applyBorder="1" applyAlignment="1">
      <alignment horizontal="right"/>
    </xf>
    <xf numFmtId="0" fontId="73" fillId="0" borderId="19" xfId="0" applyFont="1" applyBorder="1" applyAlignment="1">
      <alignment horizontal="right"/>
    </xf>
    <xf numFmtId="0" fontId="57" fillId="0" borderId="0" xfId="0" applyNumberFormat="1" applyFont="1" applyBorder="1" applyAlignment="1">
      <alignment horizontal="center"/>
    </xf>
    <xf numFmtId="165" fontId="57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31" borderId="62" xfId="0" applyFill="1" applyBorder="1" applyAlignment="1">
      <alignment horizontal="center"/>
    </xf>
    <xf numFmtId="0" fontId="5" fillId="29" borderId="27" xfId="0" applyFont="1" applyFill="1" applyBorder="1" applyAlignment="1">
      <alignment horizontal="center" vertical="center"/>
    </xf>
    <xf numFmtId="0" fontId="5" fillId="29" borderId="26" xfId="0" applyFont="1" applyFill="1" applyBorder="1" applyAlignment="1">
      <alignment horizontal="center" vertical="center"/>
    </xf>
    <xf numFmtId="49" fontId="55" fillId="0" borderId="0" xfId="0" quotePrefix="1" applyNumberFormat="1" applyFont="1" applyBorder="1"/>
    <xf numFmtId="0" fontId="0" fillId="0" borderId="7" xfId="0" applyFill="1" applyBorder="1"/>
    <xf numFmtId="0" fontId="0" fillId="0" borderId="0" xfId="0" applyFill="1" applyBorder="1" applyAlignment="1"/>
    <xf numFmtId="0" fontId="0" fillId="29" borderId="3" xfId="0" applyFill="1" applyBorder="1"/>
    <xf numFmtId="165" fontId="0" fillId="0" borderId="0" xfId="0" applyNumberFormat="1"/>
    <xf numFmtId="0" fontId="0" fillId="31" borderId="34" xfId="0" applyFill="1" applyBorder="1" applyAlignment="1">
      <alignment horizontal="left"/>
    </xf>
    <xf numFmtId="0" fontId="106" fillId="12" borderId="2" xfId="2" applyFont="1" applyFill="1" applyBorder="1" applyAlignment="1"/>
    <xf numFmtId="0" fontId="70" fillId="12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29" borderId="37" xfId="0" applyFill="1" applyBorder="1"/>
    <xf numFmtId="0" fontId="0" fillId="29" borderId="34" xfId="0" applyFill="1" applyBorder="1"/>
    <xf numFmtId="0" fontId="0" fillId="0" borderId="17" xfId="0" applyFill="1" applyBorder="1"/>
    <xf numFmtId="0" fontId="0" fillId="0" borderId="66" xfId="0" applyBorder="1"/>
    <xf numFmtId="0" fontId="57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7" xfId="0" applyFont="1" applyBorder="1" applyAlignment="1">
      <alignment horizontal="center"/>
    </xf>
    <xf numFmtId="0" fontId="46" fillId="3" borderId="67" xfId="0" applyFont="1" applyFill="1" applyBorder="1" applyAlignment="1">
      <alignment horizontal="center"/>
    </xf>
    <xf numFmtId="0" fontId="46" fillId="0" borderId="59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6" xfId="0" applyFont="1" applyBorder="1" applyAlignment="1">
      <alignment horizontal="center"/>
    </xf>
    <xf numFmtId="0" fontId="46" fillId="0" borderId="36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08" fillId="0" borderId="0" xfId="0" applyFont="1" applyBorder="1"/>
    <xf numFmtId="0" fontId="107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56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78" fillId="0" borderId="8" xfId="0" applyFont="1" applyBorder="1" applyAlignment="1">
      <alignment horizontal="right"/>
    </xf>
    <xf numFmtId="0" fontId="80" fillId="0" borderId="0" xfId="0" applyFont="1" applyBorder="1" applyAlignment="1">
      <alignment horizontal="right"/>
    </xf>
    <xf numFmtId="0" fontId="78" fillId="0" borderId="0" xfId="0" applyFont="1" applyBorder="1" applyAlignment="1">
      <alignment horizontal="right"/>
    </xf>
    <xf numFmtId="0" fontId="78" fillId="0" borderId="19" xfId="0" applyFont="1" applyBorder="1" applyAlignment="1">
      <alignment horizontal="right"/>
    </xf>
    <xf numFmtId="0" fontId="0" fillId="29" borderId="5" xfId="0" applyFill="1" applyBorder="1"/>
    <xf numFmtId="0" fontId="0" fillId="34" borderId="41" xfId="0" applyFill="1" applyBorder="1"/>
    <xf numFmtId="0" fontId="0" fillId="0" borderId="20" xfId="0" applyBorder="1" applyAlignment="1">
      <alignment horizontal="center"/>
    </xf>
    <xf numFmtId="165" fontId="21" fillId="0" borderId="14" xfId="0" applyNumberFormat="1" applyFont="1" applyBorder="1"/>
    <xf numFmtId="0" fontId="21" fillId="0" borderId="17" xfId="0" applyFont="1" applyBorder="1"/>
    <xf numFmtId="0" fontId="21" fillId="21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8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64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6" borderId="7" xfId="0" applyFill="1" applyBorder="1"/>
    <xf numFmtId="0" fontId="0" fillId="26" borderId="0" xfId="0" applyFill="1" applyBorder="1"/>
    <xf numFmtId="0" fontId="0" fillId="26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7" borderId="7" xfId="0" applyFill="1" applyBorder="1"/>
    <xf numFmtId="0" fontId="0" fillId="37" borderId="0" xfId="0" applyFill="1" applyBorder="1"/>
    <xf numFmtId="0" fontId="0" fillId="37" borderId="25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6" xfId="0" applyFill="1" applyBorder="1"/>
    <xf numFmtId="0" fontId="0" fillId="26" borderId="15" xfId="0" applyFill="1" applyBorder="1"/>
    <xf numFmtId="0" fontId="0" fillId="26" borderId="8" xfId="0" applyFill="1" applyBorder="1"/>
    <xf numFmtId="0" fontId="0" fillId="26" borderId="27" xfId="0" applyFill="1" applyBorder="1"/>
    <xf numFmtId="49" fontId="55" fillId="0" borderId="0" xfId="0" applyNumberFormat="1" applyFont="1" applyBorder="1" applyAlignment="1">
      <alignment horizontal="center"/>
    </xf>
    <xf numFmtId="49" fontId="55" fillId="0" borderId="0" xfId="0" quotePrefix="1" applyNumberFormat="1" applyFont="1" applyBorder="1" applyAlignment="1">
      <alignment horizontal="right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7" xfId="0" applyFont="1" applyFill="1" applyBorder="1"/>
    <xf numFmtId="0" fontId="23" fillId="0" borderId="42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0" fontId="0" fillId="36" borderId="27" xfId="0" applyFill="1" applyBorder="1"/>
    <xf numFmtId="0" fontId="6" fillId="0" borderId="0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54" fillId="28" borderId="18" xfId="0" applyFont="1" applyFill="1" applyBorder="1"/>
    <xf numFmtId="0" fontId="23" fillId="0" borderId="69" xfId="0" applyFont="1" applyBorder="1"/>
    <xf numFmtId="0" fontId="23" fillId="0" borderId="0" xfId="0" applyFont="1" applyBorder="1" applyAlignment="1">
      <alignment horizontal="right"/>
    </xf>
    <xf numFmtId="0" fontId="23" fillId="0" borderId="19" xfId="0" applyFont="1" applyFill="1" applyBorder="1" applyAlignment="1">
      <alignment horizontal="right"/>
    </xf>
    <xf numFmtId="0" fontId="54" fillId="28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11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7" xfId="0" applyFont="1" applyFill="1" applyBorder="1"/>
    <xf numFmtId="0" fontId="23" fillId="5" borderId="40" xfId="0" applyFont="1" applyFill="1" applyBorder="1"/>
    <xf numFmtId="0" fontId="23" fillId="5" borderId="40" xfId="0" applyFont="1" applyFill="1" applyBorder="1" applyAlignment="1">
      <alignment horizontal="center"/>
    </xf>
    <xf numFmtId="0" fontId="23" fillId="5" borderId="38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57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165" fontId="0" fillId="0" borderId="6" xfId="0" applyNumberFormat="1" applyBorder="1"/>
    <xf numFmtId="0" fontId="67" fillId="34" borderId="27" xfId="0" applyFont="1" applyFill="1" applyBorder="1" applyAlignment="1">
      <alignment horizontal="left"/>
    </xf>
    <xf numFmtId="0" fontId="74" fillId="34" borderId="26" xfId="0" applyFont="1" applyFill="1" applyBorder="1"/>
    <xf numFmtId="0" fontId="0" fillId="0" borderId="4" xfId="0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84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0" fontId="97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67" fillId="34" borderId="35" xfId="0" applyFont="1" applyFill="1" applyBorder="1" applyAlignment="1">
      <alignment horizontal="left"/>
    </xf>
    <xf numFmtId="0" fontId="74" fillId="34" borderId="36" xfId="0" applyFont="1" applyFill="1" applyBorder="1"/>
    <xf numFmtId="0" fontId="38" fillId="0" borderId="0" xfId="0" applyFont="1"/>
    <xf numFmtId="0" fontId="76" fillId="0" borderId="0" xfId="0" applyFont="1"/>
    <xf numFmtId="0" fontId="38" fillId="0" borderId="0" xfId="0" applyFont="1" applyAlignment="1">
      <alignment horizontal="left"/>
    </xf>
    <xf numFmtId="2" fontId="75" fillId="0" borderId="0" xfId="0" applyNumberFormat="1" applyFont="1"/>
    <xf numFmtId="0" fontId="76" fillId="34" borderId="27" xfId="0" applyFont="1" applyFill="1" applyBorder="1" applyAlignment="1">
      <alignment horizontal="right"/>
    </xf>
    <xf numFmtId="0" fontId="77" fillId="34" borderId="26" xfId="0" applyFont="1" applyFill="1" applyBorder="1" applyAlignment="1">
      <alignment horizontal="right"/>
    </xf>
    <xf numFmtId="0" fontId="76" fillId="34" borderId="6" xfId="0" applyFont="1" applyFill="1" applyBorder="1"/>
    <xf numFmtId="0" fontId="38" fillId="0" borderId="12" xfId="0" applyFont="1" applyBorder="1"/>
    <xf numFmtId="0" fontId="76" fillId="0" borderId="12" xfId="0" applyFont="1" applyBorder="1" applyAlignment="1">
      <alignment horizontal="right"/>
    </xf>
    <xf numFmtId="0" fontId="76" fillId="34" borderId="35" xfId="0" applyFont="1" applyFill="1" applyBorder="1" applyAlignment="1">
      <alignment horizontal="left"/>
    </xf>
    <xf numFmtId="0" fontId="76" fillId="34" borderId="39" xfId="0" applyFont="1" applyFill="1" applyBorder="1" applyAlignment="1">
      <alignment horizontal="left"/>
    </xf>
    <xf numFmtId="0" fontId="77" fillId="34" borderId="36" xfId="0" applyFont="1" applyFill="1" applyBorder="1"/>
    <xf numFmtId="0" fontId="77" fillId="34" borderId="51" xfId="0" applyFont="1" applyFill="1" applyBorder="1"/>
    <xf numFmtId="0" fontId="76" fillId="0" borderId="13" xfId="0" applyFont="1" applyBorder="1"/>
    <xf numFmtId="0" fontId="76" fillId="0" borderId="14" xfId="0" applyFont="1" applyBorder="1" applyAlignment="1">
      <alignment horizontal="right"/>
    </xf>
    <xf numFmtId="0" fontId="76" fillId="29" borderId="15" xfId="0" applyFont="1" applyFill="1" applyBorder="1"/>
    <xf numFmtId="0" fontId="76" fillId="29" borderId="8" xfId="0" applyFont="1" applyFill="1" applyBorder="1"/>
    <xf numFmtId="0" fontId="76" fillId="29" borderId="7" xfId="0" applyFont="1" applyFill="1" applyBorder="1"/>
    <xf numFmtId="0" fontId="76" fillId="29" borderId="0" xfId="0" applyFont="1" applyFill="1" applyBorder="1"/>
    <xf numFmtId="0" fontId="38" fillId="29" borderId="7" xfId="0" applyFont="1" applyFill="1" applyBorder="1" applyAlignment="1">
      <alignment horizontal="left"/>
    </xf>
    <xf numFmtId="0" fontId="38" fillId="29" borderId="0" xfId="0" applyFont="1" applyFill="1" applyBorder="1"/>
    <xf numFmtId="0" fontId="76" fillId="29" borderId="8" xfId="0" applyFont="1" applyFill="1" applyBorder="1" applyAlignment="1">
      <alignment horizontal="left"/>
    </xf>
    <xf numFmtId="0" fontId="77" fillId="29" borderId="0" xfId="0" applyFont="1" applyFill="1" applyBorder="1"/>
    <xf numFmtId="2" fontId="77" fillId="29" borderId="19" xfId="0" applyNumberFormat="1" applyFont="1" applyFill="1" applyBorder="1"/>
    <xf numFmtId="0" fontId="76" fillId="29" borderId="12" xfId="0" applyNumberFormat="1" applyFont="1" applyFill="1" applyBorder="1" applyAlignment="1">
      <alignment horizontal="right"/>
    </xf>
    <xf numFmtId="0" fontId="38" fillId="29" borderId="12" xfId="0" applyFont="1" applyFill="1" applyBorder="1"/>
    <xf numFmtId="0" fontId="76" fillId="29" borderId="13" xfId="0" applyFont="1" applyFill="1" applyBorder="1"/>
    <xf numFmtId="0" fontId="76" fillId="29" borderId="14" xfId="0" applyFont="1" applyFill="1" applyBorder="1"/>
    <xf numFmtId="2" fontId="77" fillId="29" borderId="16" xfId="0" applyNumberFormat="1" applyFont="1" applyFill="1" applyBorder="1"/>
    <xf numFmtId="2" fontId="77" fillId="29" borderId="17" xfId="0" applyNumberFormat="1" applyFont="1" applyFill="1" applyBorder="1"/>
    <xf numFmtId="0" fontId="76" fillId="29" borderId="12" xfId="0" applyFont="1" applyFill="1" applyBorder="1" applyAlignment="1">
      <alignment horizontal="right"/>
    </xf>
    <xf numFmtId="0" fontId="76" fillId="29" borderId="12" xfId="0" applyFont="1" applyFill="1" applyBorder="1"/>
    <xf numFmtId="2" fontId="77" fillId="29" borderId="6" xfId="0" applyNumberFormat="1" applyFont="1" applyFill="1" applyBorder="1"/>
    <xf numFmtId="0" fontId="112" fillId="0" borderId="0" xfId="0" applyFont="1"/>
    <xf numFmtId="0" fontId="113" fillId="0" borderId="0" xfId="0" applyFont="1"/>
    <xf numFmtId="0" fontId="23" fillId="5" borderId="35" xfId="0" applyFont="1" applyFill="1" applyBorder="1"/>
    <xf numFmtId="0" fontId="23" fillId="5" borderId="58" xfId="0" applyFont="1" applyFill="1" applyBorder="1"/>
    <xf numFmtId="0" fontId="23" fillId="5" borderId="58" xfId="0" applyFont="1" applyFill="1" applyBorder="1" applyAlignment="1">
      <alignment horizontal="center"/>
    </xf>
    <xf numFmtId="0" fontId="23" fillId="5" borderId="39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0" fontId="67" fillId="0" borderId="7" xfId="0" applyNumberFormat="1" applyFont="1" applyFill="1" applyBorder="1" applyAlignment="1">
      <alignment horizontal="left"/>
    </xf>
    <xf numFmtId="2" fontId="0" fillId="29" borderId="20" xfId="0" applyNumberFormat="1" applyFill="1" applyBorder="1"/>
    <xf numFmtId="0" fontId="69" fillId="29" borderId="38" xfId="0" applyFont="1" applyFill="1" applyBorder="1"/>
    <xf numFmtId="0" fontId="0" fillId="29" borderId="14" xfId="0" applyFill="1" applyBorder="1"/>
    <xf numFmtId="0" fontId="0" fillId="34" borderId="71" xfId="0" applyFill="1" applyBorder="1"/>
    <xf numFmtId="0" fontId="0" fillId="29" borderId="66" xfId="0" applyFill="1" applyBorder="1"/>
    <xf numFmtId="0" fontId="0" fillId="29" borderId="45" xfId="0" applyFill="1" applyBorder="1"/>
    <xf numFmtId="0" fontId="0" fillId="29" borderId="68" xfId="0" applyFill="1" applyBorder="1"/>
    <xf numFmtId="2" fontId="57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14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76" fillId="29" borderId="14" xfId="0" applyFont="1" applyFill="1" applyBorder="1" applyAlignment="1">
      <alignment horizontal="right"/>
    </xf>
    <xf numFmtId="0" fontId="76" fillId="29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07" fillId="0" borderId="0" xfId="0" applyFont="1" applyBorder="1"/>
    <xf numFmtId="0" fontId="115" fillId="0" borderId="0" xfId="0" applyFont="1" applyBorder="1"/>
    <xf numFmtId="0" fontId="64" fillId="0" borderId="28" xfId="0" applyFont="1" applyBorder="1"/>
    <xf numFmtId="0" fontId="64" fillId="0" borderId="45" xfId="0" applyFont="1" applyBorder="1"/>
    <xf numFmtId="0" fontId="64" fillId="12" borderId="32" xfId="0" applyFont="1" applyFill="1" applyBorder="1"/>
    <xf numFmtId="0" fontId="64" fillId="12" borderId="9" xfId="0" applyFont="1" applyFill="1" applyBorder="1"/>
    <xf numFmtId="0" fontId="116" fillId="0" borderId="0" xfId="0" applyFont="1" applyBorder="1"/>
    <xf numFmtId="0" fontId="117" fillId="0" borderId="0" xfId="0" applyFont="1" applyBorder="1" applyAlignment="1">
      <alignment horizontal="left"/>
    </xf>
    <xf numFmtId="0" fontId="116" fillId="0" borderId="0" xfId="0" applyFont="1" applyBorder="1" applyAlignment="1">
      <alignment horizontal="left"/>
    </xf>
    <xf numFmtId="0" fontId="64" fillId="0" borderId="69" xfId="0" applyFont="1" applyBorder="1"/>
    <xf numFmtId="0" fontId="64" fillId="0" borderId="66" xfId="0" applyFont="1" applyBorder="1"/>
    <xf numFmtId="0" fontId="64" fillId="0" borderId="2" xfId="0" applyFont="1" applyBorder="1" applyAlignment="1"/>
    <xf numFmtId="0" fontId="64" fillId="0" borderId="3" xfId="0" applyFont="1" applyBorder="1" applyAlignment="1"/>
    <xf numFmtId="0" fontId="64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42" fillId="0" borderId="5" xfId="0" applyFont="1" applyFill="1" applyBorder="1"/>
    <xf numFmtId="0" fontId="23" fillId="38" borderId="10" xfId="0" applyFont="1" applyFill="1" applyBorder="1" applyAlignment="1">
      <alignment horizontal="right"/>
    </xf>
    <xf numFmtId="0" fontId="23" fillId="38" borderId="22" xfId="0" applyFont="1" applyFill="1" applyBorder="1"/>
    <xf numFmtId="0" fontId="64" fillId="0" borderId="61" xfId="0" applyFont="1" applyBorder="1"/>
    <xf numFmtId="0" fontId="64" fillId="0" borderId="50" xfId="0" applyFont="1" applyBorder="1"/>
    <xf numFmtId="0" fontId="64" fillId="0" borderId="72" xfId="0" applyFont="1" applyBorder="1"/>
    <xf numFmtId="0" fontId="0" fillId="13" borderId="14" xfId="0" applyFill="1" applyBorder="1"/>
    <xf numFmtId="0" fontId="0" fillId="13" borderId="17" xfId="0" applyFill="1" applyBorder="1"/>
    <xf numFmtId="0" fontId="118" fillId="0" borderId="0" xfId="0" applyFont="1" applyFill="1" applyBorder="1" applyAlignment="1">
      <alignment horizontal="center" vertical="center"/>
    </xf>
    <xf numFmtId="0" fontId="119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64" fillId="0" borderId="0" xfId="0" applyFont="1" applyFill="1" applyBorder="1" applyAlignment="1">
      <alignment horizontal="left"/>
    </xf>
    <xf numFmtId="0" fontId="64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64" fillId="0" borderId="0" xfId="0" applyNumberFormat="1" applyFont="1" applyBorder="1"/>
    <xf numFmtId="0" fontId="64" fillId="0" borderId="7" xfId="0" applyFont="1" applyBorder="1" applyAlignment="1">
      <alignment horizontal="right"/>
    </xf>
    <xf numFmtId="0" fontId="64" fillId="0" borderId="9" xfId="0" applyFont="1" applyBorder="1" applyAlignment="1">
      <alignment horizontal="center"/>
    </xf>
    <xf numFmtId="0" fontId="64" fillId="0" borderId="6" xfId="0" applyFont="1" applyBorder="1" applyAlignment="1">
      <alignment horizontal="center"/>
    </xf>
    <xf numFmtId="0" fontId="64" fillId="0" borderId="27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10" fillId="0" borderId="8" xfId="0" applyFont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0" borderId="7" xfId="0" applyFont="1" applyFill="1" applyBorder="1"/>
    <xf numFmtId="0" fontId="0" fillId="0" borderId="0" xfId="0"/>
    <xf numFmtId="0" fontId="64" fillId="0" borderId="0" xfId="0" applyFont="1" applyBorder="1" applyAlignment="1"/>
    <xf numFmtId="170" fontId="64" fillId="0" borderId="0" xfId="0" applyNumberFormat="1" applyFont="1" applyBorder="1"/>
    <xf numFmtId="0" fontId="64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64" fillId="0" borderId="0" xfId="0" applyNumberFormat="1" applyFont="1"/>
    <xf numFmtId="0" fontId="64" fillId="0" borderId="15" xfId="0" applyNumberFormat="1" applyFont="1" applyBorder="1"/>
    <xf numFmtId="0" fontId="64" fillId="0" borderId="8" xfId="0" applyNumberFormat="1" applyFont="1" applyBorder="1"/>
    <xf numFmtId="0" fontId="64" fillId="0" borderId="8" xfId="0" applyNumberFormat="1" applyFont="1" applyBorder="1" applyAlignment="1">
      <alignment horizontal="right"/>
    </xf>
    <xf numFmtId="0" fontId="82" fillId="0" borderId="8" xfId="0" applyNumberFormat="1" applyFont="1" applyBorder="1" applyAlignment="1">
      <alignment horizontal="left"/>
    </xf>
    <xf numFmtId="0" fontId="82" fillId="0" borderId="9" xfId="0" applyNumberFormat="1" applyFont="1" applyBorder="1"/>
    <xf numFmtId="0" fontId="64" fillId="0" borderId="7" xfId="0" applyNumberFormat="1" applyFont="1" applyBorder="1"/>
    <xf numFmtId="0" fontId="82" fillId="0" borderId="0" xfId="0" applyNumberFormat="1" applyFont="1" applyBorder="1"/>
    <xf numFmtId="0" fontId="64" fillId="0" borderId="18" xfId="0" applyNumberFormat="1" applyFont="1" applyBorder="1"/>
    <xf numFmtId="0" fontId="64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64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64" fillId="0" borderId="12" xfId="0" applyNumberFormat="1" applyFont="1" applyBorder="1" applyAlignment="1">
      <alignment horizontal="center"/>
    </xf>
    <xf numFmtId="0" fontId="64" fillId="0" borderId="0" xfId="0" applyNumberFormat="1" applyFont="1" applyFill="1" applyBorder="1"/>
    <xf numFmtId="0" fontId="8" fillId="0" borderId="0" xfId="0" applyNumberFormat="1" applyFont="1" applyBorder="1"/>
    <xf numFmtId="0" fontId="64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27" fillId="0" borderId="0" xfId="0" applyFont="1" applyFill="1" applyBorder="1" applyAlignment="1">
      <alignment horizontal="left"/>
    </xf>
    <xf numFmtId="0" fontId="64" fillId="0" borderId="0" xfId="0" applyNumberFormat="1" applyFont="1" applyFill="1" applyBorder="1" applyAlignment="1">
      <alignment horizontal="right"/>
    </xf>
    <xf numFmtId="0" fontId="29" fillId="0" borderId="0" xfId="0" applyFont="1" applyFill="1" applyBorder="1"/>
    <xf numFmtId="0" fontId="81" fillId="0" borderId="0" xfId="0" applyFont="1" applyFill="1" applyBorder="1"/>
    <xf numFmtId="0" fontId="86" fillId="0" borderId="0" xfId="0" applyFont="1" applyFill="1" applyBorder="1" applyAlignment="1">
      <alignment horizontal="left"/>
    </xf>
    <xf numFmtId="49" fontId="29" fillId="0" borderId="0" xfId="0" applyNumberFormat="1" applyFont="1" applyFill="1" applyBorder="1"/>
    <xf numFmtId="0" fontId="27" fillId="0" borderId="0" xfId="0" applyFont="1" applyFill="1" applyBorder="1" applyAlignment="1"/>
    <xf numFmtId="0" fontId="81" fillId="0" borderId="19" xfId="0" applyFont="1" applyBorder="1"/>
    <xf numFmtId="0" fontId="64" fillId="0" borderId="9" xfId="0" applyNumberFormat="1" applyFont="1" applyBorder="1"/>
    <xf numFmtId="3" fontId="23" fillId="0" borderId="12" xfId="0" applyNumberFormat="1" applyFont="1" applyBorder="1"/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0" fillId="0" borderId="0" xfId="0"/>
    <xf numFmtId="0" fontId="64" fillId="0" borderId="2" xfId="0" applyNumberFormat="1" applyFont="1" applyBorder="1"/>
    <xf numFmtId="0" fontId="64" fillId="0" borderId="3" xfId="0" applyNumberFormat="1" applyFont="1" applyBorder="1"/>
    <xf numFmtId="0" fontId="64" fillId="0" borderId="4" xfId="0" applyNumberFormat="1" applyFont="1" applyBorder="1"/>
    <xf numFmtId="0" fontId="27" fillId="0" borderId="0" xfId="0" applyNumberFormat="1" applyFont="1" applyBorder="1" applyAlignment="1"/>
    <xf numFmtId="0" fontId="64" fillId="0" borderId="20" xfId="0" applyNumberFormat="1" applyFont="1" applyBorder="1"/>
    <xf numFmtId="1" fontId="64" fillId="0" borderId="0" xfId="0" applyNumberFormat="1" applyFont="1"/>
    <xf numFmtId="0" fontId="64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64" fillId="0" borderId="0" xfId="0" quotePrefix="1" applyFont="1"/>
    <xf numFmtId="0" fontId="64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86" fillId="0" borderId="0" xfId="0" applyFont="1" applyBorder="1" applyAlignment="1">
      <alignment horizontal="right"/>
    </xf>
    <xf numFmtId="1" fontId="64" fillId="0" borderId="0" xfId="0" applyNumberFormat="1" applyFont="1" applyBorder="1" applyAlignment="1">
      <alignment horizontal="right"/>
    </xf>
    <xf numFmtId="0" fontId="64" fillId="3" borderId="13" xfId="0" applyFont="1" applyFill="1" applyBorder="1"/>
    <xf numFmtId="0" fontId="81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64" fillId="0" borderId="0" xfId="0" applyFont="1" applyBorder="1" applyAlignment="1">
      <alignment horizontal="left"/>
    </xf>
    <xf numFmtId="0" fontId="0" fillId="0" borderId="0" xfId="0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86" fillId="12" borderId="3" xfId="0" applyFont="1" applyFill="1" applyBorder="1"/>
    <xf numFmtId="0" fontId="64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20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4" xfId="0" applyFont="1" applyFill="1" applyBorder="1"/>
    <xf numFmtId="0" fontId="64" fillId="0" borderId="7" xfId="0" applyFont="1" applyFill="1" applyBorder="1"/>
    <xf numFmtId="0" fontId="78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5" borderId="42" xfId="0" applyFont="1" applyFill="1" applyBorder="1" applyAlignment="1">
      <alignment horizontal="center"/>
    </xf>
    <xf numFmtId="0" fontId="5" fillId="40" borderId="24" xfId="0" applyFont="1" applyFill="1" applyBorder="1"/>
    <xf numFmtId="0" fontId="5" fillId="40" borderId="41" xfId="0" applyFont="1" applyFill="1" applyBorder="1"/>
    <xf numFmtId="0" fontId="0" fillId="12" borderId="7" xfId="0" applyFill="1" applyBorder="1"/>
    <xf numFmtId="0" fontId="5" fillId="35" borderId="24" xfId="0" applyFont="1" applyFill="1" applyBorder="1" applyAlignment="1">
      <alignment horizontal="center"/>
    </xf>
    <xf numFmtId="0" fontId="5" fillId="0" borderId="0" xfId="0" applyFont="1" applyFill="1" applyBorder="1"/>
    <xf numFmtId="0" fontId="64" fillId="0" borderId="0" xfId="0" applyFont="1" applyBorder="1" applyAlignment="1">
      <alignment horizontal="left"/>
    </xf>
    <xf numFmtId="0" fontId="81" fillId="3" borderId="36" xfId="0" applyFont="1" applyFill="1" applyBorder="1"/>
    <xf numFmtId="0" fontId="64" fillId="3" borderId="10" xfId="0" applyFont="1" applyFill="1" applyBorder="1"/>
    <xf numFmtId="0" fontId="64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2" xfId="0" applyNumberFormat="1" applyFont="1" applyBorder="1"/>
    <xf numFmtId="0" fontId="23" fillId="0" borderId="53" xfId="0" applyFont="1" applyBorder="1"/>
    <xf numFmtId="0" fontId="47" fillId="5" borderId="43" xfId="0" applyFont="1" applyFill="1" applyBorder="1"/>
    <xf numFmtId="0" fontId="23" fillId="5" borderId="47" xfId="0" applyFont="1" applyFill="1" applyBorder="1"/>
    <xf numFmtId="0" fontId="23" fillId="5" borderId="45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4" xfId="0" applyFont="1" applyFill="1" applyBorder="1"/>
    <xf numFmtId="0" fontId="47" fillId="5" borderId="52" xfId="0" applyFont="1" applyFill="1" applyBorder="1"/>
    <xf numFmtId="0" fontId="23" fillId="5" borderId="54" xfId="0" applyFont="1" applyFill="1" applyBorder="1"/>
    <xf numFmtId="0" fontId="23" fillId="5" borderId="31" xfId="0" applyFont="1" applyFill="1" applyBorder="1" applyAlignment="1">
      <alignment horizontal="center"/>
    </xf>
    <xf numFmtId="0" fontId="23" fillId="12" borderId="22" xfId="0" applyFont="1" applyFill="1" applyBorder="1"/>
    <xf numFmtId="0" fontId="23" fillId="12" borderId="5" xfId="0" applyFont="1" applyFill="1" applyBorder="1"/>
    <xf numFmtId="0" fontId="0" fillId="0" borderId="0" xfId="0" applyBorder="1"/>
    <xf numFmtId="0" fontId="27" fillId="5" borderId="57" xfId="0" applyFont="1" applyFill="1" applyBorder="1"/>
    <xf numFmtId="0" fontId="29" fillId="5" borderId="10" xfId="0" applyFont="1" applyFill="1" applyBorder="1"/>
    <xf numFmtId="0" fontId="82" fillId="0" borderId="8" xfId="0" applyFont="1" applyBorder="1" applyAlignment="1">
      <alignment horizontal="left"/>
    </xf>
    <xf numFmtId="0" fontId="64" fillId="0" borderId="0" xfId="0" applyFont="1" applyBorder="1"/>
    <xf numFmtId="172" fontId="64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39" borderId="14" xfId="0" applyFill="1" applyBorder="1"/>
    <xf numFmtId="0" fontId="0" fillId="39" borderId="12" xfId="0" applyFill="1" applyBorder="1"/>
    <xf numFmtId="0" fontId="0" fillId="39" borderId="11" xfId="0" applyFill="1" applyBorder="1"/>
    <xf numFmtId="0" fontId="0" fillId="39" borderId="20" xfId="0" applyFill="1" applyBorder="1"/>
    <xf numFmtId="0" fontId="0" fillId="5" borderId="62" xfId="0" applyFill="1" applyBorder="1"/>
    <xf numFmtId="0" fontId="64" fillId="0" borderId="14" xfId="0" applyFont="1" applyFill="1" applyBorder="1"/>
    <xf numFmtId="0" fontId="57" fillId="0" borderId="0" xfId="0" applyFont="1" applyFill="1" applyBorder="1"/>
    <xf numFmtId="165" fontId="57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1" fillId="0" borderId="7" xfId="0" applyNumberFormat="1" applyFont="1" applyBorder="1" applyAlignment="1">
      <alignment horizontal="right"/>
    </xf>
    <xf numFmtId="0" fontId="0" fillId="27" borderId="31" xfId="0" applyFill="1" applyBorder="1"/>
    <xf numFmtId="0" fontId="0" fillId="27" borderId="31" xfId="0" applyFill="1" applyBorder="1" applyAlignment="1">
      <alignment horizontal="center" vertical="center"/>
    </xf>
    <xf numFmtId="0" fontId="0" fillId="26" borderId="28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7" xfId="0" applyFill="1" applyBorder="1" applyAlignment="1">
      <alignment vertical="center"/>
    </xf>
    <xf numFmtId="0" fontId="0" fillId="0" borderId="47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4" xfId="0" applyBorder="1" applyAlignment="1">
      <alignment horizontal="left"/>
    </xf>
    <xf numFmtId="0" fontId="0" fillId="0" borderId="41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27" borderId="41" xfId="0" applyFill="1" applyBorder="1" applyAlignment="1">
      <alignment horizontal="left" vertical="center"/>
    </xf>
    <xf numFmtId="0" fontId="0" fillId="27" borderId="44" xfId="0" applyFill="1" applyBorder="1" applyAlignment="1">
      <alignment horizontal="left" vertical="center"/>
    </xf>
    <xf numFmtId="0" fontId="0" fillId="26" borderId="45" xfId="0" applyFill="1" applyBorder="1" applyAlignment="1">
      <alignment horizontal="center" vertical="center"/>
    </xf>
    <xf numFmtId="0" fontId="0" fillId="26" borderId="42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/>
    </xf>
    <xf numFmtId="0" fontId="0" fillId="27" borderId="42" xfId="0" applyFill="1" applyBorder="1" applyAlignment="1">
      <alignment horizontal="center" vertical="center"/>
    </xf>
    <xf numFmtId="0" fontId="0" fillId="27" borderId="42" xfId="0" applyFill="1" applyBorder="1"/>
    <xf numFmtId="0" fontId="0" fillId="29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0" fillId="0" borderId="0" xfId="0" applyNumberFormat="1" applyFont="1" applyBorder="1" applyAlignment="1">
      <alignment horizontal="left"/>
    </xf>
    <xf numFmtId="0" fontId="64" fillId="0" borderId="19" xfId="0" quotePrefix="1" applyNumberFormat="1" applyFont="1" applyBorder="1" applyAlignment="1">
      <alignment horizontal="right"/>
    </xf>
    <xf numFmtId="0" fontId="64" fillId="0" borderId="19" xfId="0" applyNumberFormat="1" applyFont="1" applyBorder="1" applyAlignment="1">
      <alignment horizontal="left"/>
    </xf>
    <xf numFmtId="0" fontId="0" fillId="36" borderId="6" xfId="0" applyFill="1" applyBorder="1"/>
    <xf numFmtId="0" fontId="0" fillId="0" borderId="0" xfId="0"/>
    <xf numFmtId="0" fontId="45" fillId="2" borderId="74" xfId="1" applyFont="1" applyBorder="1" applyAlignment="1" applyProtection="1"/>
    <xf numFmtId="0" fontId="45" fillId="2" borderId="75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64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21" fillId="0" borderId="0" xfId="0" quotePrefix="1" applyNumberFormat="1" applyFont="1" applyBorder="1" applyAlignment="1">
      <alignment horizontal="right"/>
    </xf>
    <xf numFmtId="0" fontId="121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22" fillId="0" borderId="8" xfId="0" applyFont="1" applyBorder="1"/>
    <xf numFmtId="0" fontId="8" fillId="0" borderId="9" xfId="0" applyFont="1" applyBorder="1"/>
    <xf numFmtId="49" fontId="122" fillId="0" borderId="12" xfId="0" applyNumberFormat="1" applyFont="1" applyBorder="1" applyAlignment="1"/>
    <xf numFmtId="0" fontId="8" fillId="0" borderId="0" xfId="0" applyFont="1"/>
    <xf numFmtId="0" fontId="122" fillId="0" borderId="3" xfId="0" applyFont="1" applyBorder="1" applyAlignment="1">
      <alignment horizontal="left"/>
    </xf>
    <xf numFmtId="0" fontId="122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22" fillId="0" borderId="37" xfId="0" applyFont="1" applyBorder="1" applyAlignment="1">
      <alignment horizontal="center"/>
    </xf>
    <xf numFmtId="0" fontId="122" fillId="0" borderId="4" xfId="0" applyFont="1" applyBorder="1" applyAlignment="1">
      <alignment horizontal="center"/>
    </xf>
    <xf numFmtId="0" fontId="122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23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22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22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22" fillId="0" borderId="6" xfId="0" applyFont="1" applyBorder="1" applyAlignment="1">
      <alignment horizontal="center"/>
    </xf>
    <xf numFmtId="0" fontId="122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64" fillId="0" borderId="7" xfId="0" applyNumberFormat="1" applyFont="1" applyFill="1" applyBorder="1" applyAlignment="1">
      <alignment horizontal="right"/>
    </xf>
    <xf numFmtId="0" fontId="64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64" fillId="0" borderId="19" xfId="0" applyNumberFormat="1" applyFont="1" applyFill="1" applyBorder="1" applyAlignment="1">
      <alignment horizontal="right"/>
    </xf>
    <xf numFmtId="0" fontId="64" fillId="0" borderId="20" xfId="0" applyNumberFormat="1" applyFont="1" applyFill="1" applyBorder="1" applyAlignment="1">
      <alignment horizontal="right"/>
    </xf>
    <xf numFmtId="0" fontId="81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24" fillId="0" borderId="7" xfId="0" applyFont="1" applyBorder="1" applyAlignment="1">
      <alignment horizontal="left"/>
    </xf>
    <xf numFmtId="0" fontId="23" fillId="0" borderId="0" xfId="0" quotePrefix="1" applyFont="1" applyBorder="1"/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57" fillId="0" borderId="0" xfId="0" applyNumberFormat="1" applyFont="1" applyBorder="1" applyAlignment="1">
      <alignment horizontal="right"/>
    </xf>
    <xf numFmtId="0" fontId="0" fillId="0" borderId="0" xfId="0"/>
    <xf numFmtId="0" fontId="0" fillId="0" borderId="41" xfId="0" applyBorder="1"/>
    <xf numFmtId="0" fontId="0" fillId="37" borderId="2" xfId="0" applyFill="1" applyBorder="1"/>
    <xf numFmtId="0" fontId="0" fillId="37" borderId="4" xfId="0" applyFill="1" applyBorder="1"/>
    <xf numFmtId="0" fontId="64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4" fillId="0" borderId="0" xfId="0" applyFont="1" applyFill="1" applyBorder="1"/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7" fillId="0" borderId="19" xfId="0" applyFont="1" applyBorder="1" applyAlignment="1"/>
    <xf numFmtId="0" fontId="64" fillId="0" borderId="2" xfId="0" applyFont="1" applyBorder="1" applyAlignment="1">
      <alignment horizontal="centerContinuous"/>
    </xf>
    <xf numFmtId="0" fontId="64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64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64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64" fillId="0" borderId="7" xfId="0" applyFont="1" applyBorder="1" applyAlignment="1">
      <alignment horizontal="centerContinuous"/>
    </xf>
    <xf numFmtId="0" fontId="64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64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64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1" fillId="9" borderId="2" xfId="0" applyFont="1" applyFill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57" fillId="0" borderId="2" xfId="0" applyNumberFormat="1" applyFont="1" applyBorder="1" applyAlignment="1">
      <alignment horizontal="centerContinuous"/>
    </xf>
    <xf numFmtId="14" fontId="57" fillId="0" borderId="3" xfId="0" applyNumberFormat="1" applyFont="1" applyBorder="1" applyAlignment="1">
      <alignment horizontal="centerContinuous"/>
    </xf>
    <xf numFmtId="14" fontId="57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0" fillId="0" borderId="0" xfId="0"/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0" xfId="0"/>
    <xf numFmtId="2" fontId="0" fillId="13" borderId="20" xfId="0" applyNumberFormat="1" applyFill="1" applyBorder="1"/>
    <xf numFmtId="0" fontId="0" fillId="0" borderId="44" xfId="0" applyFill="1" applyBorder="1"/>
    <xf numFmtId="0" fontId="0" fillId="0" borderId="54" xfId="0" applyFill="1" applyBorder="1"/>
    <xf numFmtId="0" fontId="0" fillId="0" borderId="31" xfId="0" applyBorder="1"/>
    <xf numFmtId="0" fontId="0" fillId="0" borderId="28" xfId="0" applyBorder="1"/>
    <xf numFmtId="0" fontId="23" fillId="0" borderId="8" xfId="0" applyFont="1" applyFill="1" applyBorder="1" applyAlignment="1">
      <alignment horizontal="right"/>
    </xf>
    <xf numFmtId="0" fontId="42" fillId="16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64" fillId="13" borderId="13" xfId="0" applyFont="1" applyFill="1" applyBorder="1" applyAlignment="1"/>
    <xf numFmtId="0" fontId="64" fillId="13" borderId="14" xfId="0" applyFont="1" applyFill="1" applyBorder="1" applyAlignment="1">
      <alignment horizontal="right"/>
    </xf>
    <xf numFmtId="0" fontId="21" fillId="13" borderId="7" xfId="0" applyFont="1" applyFill="1" applyBorder="1"/>
    <xf numFmtId="0" fontId="21" fillId="13" borderId="14" xfId="0" applyFont="1" applyFill="1" applyBorder="1" applyAlignment="1">
      <alignment horizontal="right"/>
    </xf>
    <xf numFmtId="0" fontId="64" fillId="13" borderId="13" xfId="0" applyFont="1" applyFill="1" applyBorder="1"/>
    <xf numFmtId="0" fontId="64" fillId="13" borderId="16" xfId="0" applyFont="1" applyFill="1" applyBorder="1"/>
    <xf numFmtId="0" fontId="64" fillId="13" borderId="17" xfId="0" applyFont="1" applyFill="1" applyBorder="1"/>
    <xf numFmtId="0" fontId="0" fillId="0" borderId="0" xfId="0"/>
    <xf numFmtId="0" fontId="27" fillId="25" borderId="0" xfId="0" applyFont="1" applyFill="1" applyBorder="1" applyAlignment="1">
      <alignment horizontal="right"/>
    </xf>
    <xf numFmtId="2" fontId="26" fillId="5" borderId="51" xfId="0" applyNumberFormat="1" applyFont="1" applyFill="1" applyBorder="1"/>
    <xf numFmtId="0" fontId="0" fillId="0" borderId="0" xfId="0"/>
    <xf numFmtId="0" fontId="0" fillId="0" borderId="41" xfId="0" applyFill="1" applyBorder="1"/>
    <xf numFmtId="0" fontId="0" fillId="20" borderId="31" xfId="0" applyFill="1" applyBorder="1" applyAlignment="1">
      <alignment horizontal="centerContinuous"/>
    </xf>
    <xf numFmtId="0" fontId="0" fillId="20" borderId="32" xfId="0" applyFill="1" applyBorder="1" applyAlignment="1">
      <alignment horizontal="centerContinuous"/>
    </xf>
    <xf numFmtId="0" fontId="0" fillId="39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2" borderId="0" xfId="4" applyFill="1" applyBorder="1" applyAlignment="1">
      <alignment horizontal="center" vertical="center"/>
    </xf>
    <xf numFmtId="0" fontId="15" fillId="12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64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64" fillId="13" borderId="5" xfId="0" applyFont="1" applyFill="1" applyBorder="1" applyAlignment="1">
      <alignment horizontal="centerContinuous"/>
    </xf>
    <xf numFmtId="0" fontId="81" fillId="43" borderId="37" xfId="0" applyFont="1" applyFill="1" applyBorder="1"/>
    <xf numFmtId="0" fontId="0" fillId="6" borderId="38" xfId="0" applyFill="1" applyBorder="1"/>
    <xf numFmtId="49" fontId="64" fillId="0" borderId="0" xfId="0" applyNumberFormat="1" applyFont="1" applyFill="1" applyBorder="1" applyAlignment="1"/>
    <xf numFmtId="0" fontId="64" fillId="0" borderId="0" xfId="0" applyNumberFormat="1" applyFont="1" applyFill="1" applyBorder="1" applyAlignment="1"/>
    <xf numFmtId="171" fontId="64" fillId="0" borderId="0" xfId="0" applyNumberFormat="1" applyFont="1" applyBorder="1"/>
    <xf numFmtId="171" fontId="64" fillId="0" borderId="0" xfId="0" applyNumberFormat="1" applyFont="1" applyBorder="1" applyAlignment="1">
      <alignment horizontal="left"/>
    </xf>
    <xf numFmtId="171" fontId="64" fillId="0" borderId="0" xfId="0" quotePrefix="1" applyNumberFormat="1" applyFont="1" applyBorder="1" applyAlignment="1">
      <alignment horizontal="right"/>
    </xf>
    <xf numFmtId="171" fontId="64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64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49" fontId="122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124" fillId="12" borderId="0" xfId="0" applyNumberFormat="1" applyFont="1" applyFill="1"/>
    <xf numFmtId="0" fontId="26" fillId="33" borderId="0" xfId="0" applyNumberFormat="1" applyFont="1" applyFill="1"/>
    <xf numFmtId="0" fontId="0" fillId="35" borderId="61" xfId="0" applyFill="1" applyBorder="1"/>
    <xf numFmtId="0" fontId="0" fillId="35" borderId="70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64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64" fillId="20" borderId="14" xfId="0" applyFont="1" applyFill="1" applyBorder="1"/>
    <xf numFmtId="0" fontId="27" fillId="7" borderId="16" xfId="0" applyFont="1" applyFill="1" applyBorder="1"/>
    <xf numFmtId="0" fontId="64" fillId="9" borderId="10" xfId="0" applyFont="1" applyFill="1" applyBorder="1"/>
    <xf numFmtId="0" fontId="64" fillId="8" borderId="11" xfId="0" applyFont="1" applyFill="1" applyBorder="1"/>
    <xf numFmtId="0" fontId="64" fillId="7" borderId="16" xfId="0" applyFont="1" applyFill="1" applyBorder="1"/>
    <xf numFmtId="0" fontId="64" fillId="8" borderId="12" xfId="0" applyFont="1" applyFill="1" applyBorder="1"/>
    <xf numFmtId="0" fontId="60" fillId="0" borderId="14" xfId="0" applyNumberFormat="1" applyFont="1" applyFill="1" applyBorder="1"/>
    <xf numFmtId="0" fontId="61" fillId="0" borderId="14" xfId="0" applyNumberFormat="1" applyFont="1" applyFill="1" applyBorder="1"/>
    <xf numFmtId="0" fontId="27" fillId="0" borderId="14" xfId="0" applyFont="1" applyFill="1" applyBorder="1"/>
    <xf numFmtId="0" fontId="64" fillId="0" borderId="17" xfId="0" applyFont="1" applyFill="1" applyBorder="1"/>
    <xf numFmtId="0" fontId="64" fillId="20" borderId="17" xfId="0" applyFont="1" applyFill="1" applyBorder="1"/>
    <xf numFmtId="0" fontId="64" fillId="8" borderId="7" xfId="0" applyFont="1" applyFill="1" applyBorder="1"/>
    <xf numFmtId="0" fontId="64" fillId="43" borderId="37" xfId="0" applyFont="1" applyFill="1" applyBorder="1"/>
    <xf numFmtId="0" fontId="64" fillId="43" borderId="2" xfId="0" applyFont="1" applyFill="1" applyBorder="1"/>
    <xf numFmtId="0" fontId="64" fillId="6" borderId="38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23" fillId="5" borderId="76" xfId="0" applyFont="1" applyFill="1" applyBorder="1"/>
    <xf numFmtId="0" fontId="23" fillId="5" borderId="56" xfId="0" applyFont="1" applyFill="1" applyBorder="1"/>
    <xf numFmtId="0" fontId="127" fillId="0" borderId="0" xfId="0" applyFont="1" applyAlignment="1"/>
    <xf numFmtId="0" fontId="125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2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3" xfId="0" applyFont="1" applyFill="1" applyBorder="1"/>
    <xf numFmtId="0" fontId="23" fillId="5" borderId="44" xfId="0" applyFont="1" applyFill="1" applyBorder="1"/>
    <xf numFmtId="0" fontId="23" fillId="5" borderId="52" xfId="0" applyFont="1" applyFill="1" applyBorder="1"/>
    <xf numFmtId="0" fontId="23" fillId="5" borderId="61" xfId="0" applyFont="1" applyFill="1" applyBorder="1"/>
    <xf numFmtId="0" fontId="23" fillId="5" borderId="70" xfId="0" applyFont="1" applyFill="1" applyBorder="1"/>
    <xf numFmtId="0" fontId="23" fillId="5" borderId="69" xfId="0" applyFont="1" applyFill="1" applyBorder="1"/>
    <xf numFmtId="0" fontId="23" fillId="5" borderId="72" xfId="0" applyFont="1" applyFill="1" applyBorder="1" applyAlignment="1">
      <alignment horizontal="right"/>
    </xf>
    <xf numFmtId="0" fontId="27" fillId="29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64" fillId="39" borderId="0" xfId="0" applyFont="1" applyFill="1" applyBorder="1" applyAlignment="1">
      <alignment horizontal="center"/>
    </xf>
    <xf numFmtId="0" fontId="64" fillId="29" borderId="0" xfId="0" applyFont="1" applyFill="1" applyBorder="1" applyAlignment="1">
      <alignment horizontal="center"/>
    </xf>
    <xf numFmtId="0" fontId="64" fillId="13" borderId="28" xfId="0" applyFont="1" applyFill="1" applyBorder="1" applyAlignment="1">
      <alignment horizontal="centerContinuous"/>
    </xf>
    <xf numFmtId="0" fontId="64" fillId="44" borderId="13" xfId="0" applyFont="1" applyFill="1" applyBorder="1"/>
    <xf numFmtId="0" fontId="64" fillId="5" borderId="16" xfId="0" applyFont="1" applyFill="1" applyBorder="1" applyAlignment="1"/>
    <xf numFmtId="0" fontId="81" fillId="39" borderId="18" xfId="0" applyFont="1" applyFill="1" applyBorder="1"/>
    <xf numFmtId="0" fontId="100" fillId="3" borderId="16" xfId="0" applyFont="1" applyFill="1" applyBorder="1"/>
    <xf numFmtId="0" fontId="81" fillId="45" borderId="37" xfId="0" applyFont="1" applyFill="1" applyBorder="1"/>
    <xf numFmtId="0" fontId="81" fillId="8" borderId="15" xfId="0" applyFont="1" applyFill="1" applyBorder="1" applyAlignment="1"/>
    <xf numFmtId="0" fontId="64" fillId="44" borderId="10" xfId="0" applyFont="1" applyFill="1" applyBorder="1"/>
    <xf numFmtId="0" fontId="64" fillId="39" borderId="13" xfId="0" applyFont="1" applyFill="1" applyBorder="1"/>
    <xf numFmtId="0" fontId="64" fillId="39" borderId="16" xfId="0" applyFont="1" applyFill="1" applyBorder="1"/>
    <xf numFmtId="0" fontId="64" fillId="5" borderId="10" xfId="0" applyFont="1" applyFill="1" applyBorder="1" applyAlignment="1"/>
    <xf numFmtId="0" fontId="81" fillId="36" borderId="15" xfId="0" applyFont="1" applyFill="1" applyBorder="1"/>
    <xf numFmtId="0" fontId="27" fillId="0" borderId="14" xfId="0" applyNumberFormat="1" applyFont="1" applyBorder="1"/>
    <xf numFmtId="0" fontId="64" fillId="0" borderId="17" xfId="0" applyNumberFormat="1" applyFont="1" applyFill="1" applyBorder="1"/>
    <xf numFmtId="0" fontId="29" fillId="45" borderId="38" xfId="0" applyNumberFormat="1" applyFont="1" applyFill="1" applyBorder="1"/>
    <xf numFmtId="0" fontId="81" fillId="8" borderId="9" xfId="0" applyNumberFormat="1" applyFont="1" applyFill="1" applyBorder="1" applyAlignment="1"/>
    <xf numFmtId="0" fontId="64" fillId="13" borderId="14" xfId="0" applyNumberFormat="1" applyFont="1" applyFill="1" applyBorder="1" applyAlignment="1">
      <alignment horizontal="right"/>
    </xf>
    <xf numFmtId="0" fontId="64" fillId="13" borderId="17" xfId="0" applyNumberFormat="1" applyFont="1" applyFill="1" applyBorder="1"/>
    <xf numFmtId="0" fontId="64" fillId="39" borderId="20" xfId="0" applyNumberFormat="1" applyFont="1" applyFill="1" applyBorder="1"/>
    <xf numFmtId="0" fontId="27" fillId="39" borderId="11" xfId="0" applyNumberFormat="1" applyFont="1" applyFill="1" applyBorder="1"/>
    <xf numFmtId="0" fontId="27" fillId="39" borderId="14" xfId="0" applyNumberFormat="1" applyFont="1" applyFill="1" applyBorder="1"/>
    <xf numFmtId="0" fontId="64" fillId="39" borderId="14" xfId="0" applyNumberFormat="1" applyFont="1" applyFill="1" applyBorder="1"/>
    <xf numFmtId="0" fontId="64" fillId="39" borderId="17" xfId="0" applyNumberFormat="1" applyFont="1" applyFill="1" applyBorder="1"/>
    <xf numFmtId="0" fontId="64" fillId="36" borderId="9" xfId="0" applyNumberFormat="1" applyFont="1" applyFill="1" applyBorder="1"/>
    <xf numFmtId="0" fontId="64" fillId="5" borderId="11" xfId="0" applyNumberFormat="1" applyFont="1" applyFill="1" applyBorder="1"/>
    <xf numFmtId="0" fontId="64" fillId="5" borderId="17" xfId="0" applyNumberFormat="1" applyFont="1" applyFill="1" applyBorder="1"/>
    <xf numFmtId="0" fontId="81" fillId="23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6" borderId="61" xfId="0" applyFont="1" applyFill="1" applyBorder="1"/>
    <xf numFmtId="0" fontId="27" fillId="46" borderId="70" xfId="0" applyFont="1" applyFill="1" applyBorder="1"/>
    <xf numFmtId="0" fontId="64" fillId="23" borderId="39" xfId="0" applyNumberFormat="1" applyFont="1" applyFill="1" applyBorder="1"/>
    <xf numFmtId="0" fontId="81" fillId="23" borderId="10" xfId="0" applyFont="1" applyFill="1" applyBorder="1"/>
    <xf numFmtId="0" fontId="64" fillId="23" borderId="17" xfId="0" applyNumberFormat="1" applyFont="1" applyFill="1" applyBorder="1"/>
    <xf numFmtId="0" fontId="64" fillId="8" borderId="13" xfId="0" applyFont="1" applyFill="1" applyBorder="1"/>
    <xf numFmtId="0" fontId="64" fillId="8" borderId="14" xfId="0" applyNumberFormat="1" applyFont="1" applyFill="1" applyBorder="1"/>
    <xf numFmtId="0" fontId="29" fillId="0" borderId="5" xfId="0" applyFont="1" applyFill="1" applyBorder="1"/>
    <xf numFmtId="0" fontId="81" fillId="0" borderId="5" xfId="0" applyFont="1" applyBorder="1"/>
    <xf numFmtId="0" fontId="29" fillId="0" borderId="5" xfId="0" applyFont="1" applyFill="1" applyBorder="1" applyAlignment="1">
      <alignment horizontal="left"/>
    </xf>
    <xf numFmtId="0" fontId="27" fillId="25" borderId="0" xfId="0" applyFont="1" applyFill="1" applyBorder="1" applyAlignment="1">
      <alignment horizontal="center"/>
    </xf>
    <xf numFmtId="0" fontId="27" fillId="29" borderId="0" xfId="0" applyFont="1" applyFill="1" applyBorder="1" applyAlignment="1">
      <alignment horizontal="center"/>
    </xf>
    <xf numFmtId="0" fontId="64" fillId="0" borderId="31" xfId="0" applyFont="1" applyBorder="1"/>
    <xf numFmtId="0" fontId="64" fillId="0" borderId="32" xfId="0" applyNumberFormat="1" applyFont="1" applyFill="1" applyBorder="1" applyAlignment="1"/>
    <xf numFmtId="49" fontId="64" fillId="0" borderId="32" xfId="0" applyNumberFormat="1" applyFont="1" applyFill="1" applyBorder="1" applyAlignment="1"/>
    <xf numFmtId="49" fontId="64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86" fillId="0" borderId="20" xfId="0" applyNumberFormat="1" applyFont="1" applyFill="1" applyBorder="1" applyAlignment="1">
      <alignment horizontal="left" vertical="center"/>
    </xf>
    <xf numFmtId="177" fontId="64" fillId="0" borderId="12" xfId="0" quotePrefix="1" applyNumberFormat="1" applyFont="1" applyBorder="1" applyAlignment="1">
      <alignment horizontal="left"/>
    </xf>
    <xf numFmtId="0" fontId="82" fillId="0" borderId="8" xfId="0" applyNumberFormat="1" applyFont="1" applyBorder="1" applyAlignment="1">
      <alignment horizontal="centerContinuous"/>
    </xf>
    <xf numFmtId="0" fontId="82" fillId="0" borderId="0" xfId="0" applyNumberFormat="1" applyFont="1" applyBorder="1" applyAlignment="1">
      <alignment horizontal="centerContinuous"/>
    </xf>
    <xf numFmtId="49" fontId="64" fillId="0" borderId="0" xfId="0" applyNumberFormat="1" applyFont="1" applyBorder="1" applyAlignment="1">
      <alignment horizontal="right"/>
    </xf>
    <xf numFmtId="0" fontId="0" fillId="20" borderId="28" xfId="0" applyFill="1" applyBorder="1" applyAlignment="1">
      <alignment horizontal="centerContinuous"/>
    </xf>
    <xf numFmtId="0" fontId="0" fillId="29" borderId="31" xfId="0" applyFill="1" applyBorder="1" applyAlignment="1">
      <alignment horizontal="centerContinuous"/>
    </xf>
    <xf numFmtId="0" fontId="0" fillId="29" borderId="32" xfId="0" applyFill="1" applyBorder="1" applyAlignment="1">
      <alignment horizontal="centerContinuous"/>
    </xf>
    <xf numFmtId="0" fontId="0" fillId="29" borderId="28" xfId="0" applyFill="1" applyBorder="1"/>
    <xf numFmtId="0" fontId="0" fillId="39" borderId="28" xfId="0" applyFill="1" applyBorder="1" applyAlignment="1">
      <alignment horizontal="centerContinuous"/>
    </xf>
    <xf numFmtId="0" fontId="0" fillId="35" borderId="35" xfId="0" applyFill="1" applyBorder="1"/>
    <xf numFmtId="0" fontId="0" fillId="35" borderId="9" xfId="0" applyFill="1" applyBorder="1"/>
    <xf numFmtId="0" fontId="0" fillId="5" borderId="34" xfId="0" applyFill="1" applyBorder="1"/>
    <xf numFmtId="0" fontId="0" fillId="47" borderId="20" xfId="0" applyFill="1" applyBorder="1"/>
    <xf numFmtId="0" fontId="27" fillId="5" borderId="36" xfId="0" applyFont="1" applyFill="1" applyBorder="1"/>
    <xf numFmtId="0" fontId="0" fillId="39" borderId="51" xfId="0" applyFill="1" applyBorder="1"/>
    <xf numFmtId="0" fontId="5" fillId="9" borderId="10" xfId="0" applyFont="1" applyFill="1" applyBorder="1"/>
    <xf numFmtId="0" fontId="5" fillId="47" borderId="11" xfId="0" applyFont="1" applyFill="1" applyBorder="1"/>
    <xf numFmtId="0" fontId="5" fillId="9" borderId="16" xfId="0" applyFont="1" applyFill="1" applyBorder="1"/>
    <xf numFmtId="0" fontId="5" fillId="47" borderId="17" xfId="0" applyFont="1" applyFill="1" applyBorder="1"/>
    <xf numFmtId="0" fontId="8" fillId="3" borderId="10" xfId="0" applyFont="1" applyFill="1" applyBorder="1"/>
    <xf numFmtId="0" fontId="130" fillId="5" borderId="16" xfId="0" applyFont="1" applyFill="1" applyBorder="1"/>
    <xf numFmtId="0" fontId="29" fillId="19" borderId="37" xfId="0" applyFont="1" applyFill="1" applyBorder="1"/>
    <xf numFmtId="0" fontId="12" fillId="19" borderId="4" xfId="0" applyFont="1" applyFill="1" applyBorder="1"/>
    <xf numFmtId="0" fontId="5" fillId="46" borderId="35" xfId="0" applyFont="1" applyFill="1" applyBorder="1"/>
    <xf numFmtId="0" fontId="5" fillId="20" borderId="9" xfId="0" applyFont="1" applyFill="1" applyBorder="1"/>
    <xf numFmtId="0" fontId="0" fillId="39" borderId="0" xfId="0" applyFill="1" applyBorder="1"/>
    <xf numFmtId="0" fontId="64" fillId="13" borderId="42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39" borderId="0" xfId="0" applyFont="1" applyFill="1" applyBorder="1" applyAlignment="1">
      <alignment horizontal="center"/>
    </xf>
    <xf numFmtId="0" fontId="46" fillId="29" borderId="0" xfId="0" applyFont="1" applyFill="1" applyBorder="1" applyAlignment="1">
      <alignment horizontal="center"/>
    </xf>
    <xf numFmtId="0" fontId="131" fillId="48" borderId="27" xfId="0" applyFont="1" applyFill="1" applyBorder="1"/>
    <xf numFmtId="0" fontId="132" fillId="49" borderId="15" xfId="0" applyFont="1" applyFill="1" applyBorder="1" applyAlignment="1">
      <alignment horizontal="center"/>
    </xf>
    <xf numFmtId="0" fontId="132" fillId="49" borderId="8" xfId="0" applyFont="1" applyFill="1" applyBorder="1" applyAlignment="1">
      <alignment horizontal="center"/>
    </xf>
    <xf numFmtId="0" fontId="132" fillId="49" borderId="9" xfId="0" applyFont="1" applyFill="1" applyBorder="1" applyAlignment="1">
      <alignment horizontal="center"/>
    </xf>
    <xf numFmtId="0" fontId="0" fillId="29" borderId="21" xfId="0" applyFill="1" applyBorder="1"/>
    <xf numFmtId="0" fontId="0" fillId="29" borderId="30" xfId="0" applyFill="1" applyBorder="1"/>
    <xf numFmtId="0" fontId="67" fillId="19" borderId="25" xfId="0" applyNumberFormat="1" applyFont="1" applyFill="1" applyBorder="1" applyAlignment="1">
      <alignment horizontal="left"/>
    </xf>
    <xf numFmtId="0" fontId="67" fillId="19" borderId="27" xfId="0" applyNumberFormat="1" applyFont="1" applyFill="1" applyBorder="1" applyAlignment="1">
      <alignment horizontal="left"/>
    </xf>
    <xf numFmtId="0" fontId="67" fillId="0" borderId="13" xfId="0" applyNumberFormat="1" applyFont="1" applyFill="1" applyBorder="1"/>
    <xf numFmtId="0" fontId="67" fillId="19" borderId="13" xfId="0" applyNumberFormat="1" applyFont="1" applyFill="1" applyBorder="1"/>
    <xf numFmtId="0" fontId="74" fillId="12" borderId="13" xfId="0" applyNumberFormat="1" applyFont="1" applyFill="1" applyBorder="1"/>
    <xf numFmtId="0" fontId="67" fillId="19" borderId="7" xfId="0" applyNumberFormat="1" applyFont="1" applyFill="1" applyBorder="1"/>
    <xf numFmtId="0" fontId="0" fillId="0" borderId="25" xfId="0" applyNumberFormat="1" applyBorder="1"/>
    <xf numFmtId="0" fontId="67" fillId="19" borderId="25" xfId="0" applyNumberFormat="1" applyFont="1" applyFill="1" applyBorder="1" applyAlignment="1">
      <alignment horizontal="right"/>
    </xf>
    <xf numFmtId="0" fontId="67" fillId="19" borderId="25" xfId="0" applyNumberFormat="1" applyFont="1" applyFill="1" applyBorder="1"/>
    <xf numFmtId="0" fontId="67" fillId="19" borderId="26" xfId="0" applyNumberFormat="1" applyFont="1" applyFill="1" applyBorder="1"/>
    <xf numFmtId="0" fontId="67" fillId="0" borderId="6" xfId="0" applyNumberFormat="1" applyFont="1" applyFill="1" applyBorder="1"/>
    <xf numFmtId="0" fontId="69" fillId="0" borderId="27" xfId="0" applyNumberFormat="1" applyFont="1" applyBorder="1" applyAlignment="1">
      <alignment horizontal="center"/>
    </xf>
    <xf numFmtId="0" fontId="69" fillId="0" borderId="20" xfId="0" applyNumberFormat="1" applyFont="1" applyBorder="1" applyAlignment="1">
      <alignment horizontal="center"/>
    </xf>
    <xf numFmtId="0" fontId="69" fillId="0" borderId="26" xfId="0" quotePrefix="1" applyNumberFormat="1" applyFont="1" applyBorder="1" applyAlignment="1">
      <alignment horizontal="center"/>
    </xf>
    <xf numFmtId="0" fontId="11" fillId="13" borderId="10" xfId="0" applyNumberFormat="1" applyFont="1" applyFill="1" applyBorder="1"/>
    <xf numFmtId="0" fontId="50" fillId="13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1" borderId="11" xfId="0" applyNumberFormat="1" applyFont="1" applyFill="1" applyBorder="1"/>
    <xf numFmtId="0" fontId="11" fillId="5" borderId="13" xfId="0" applyNumberFormat="1" applyFont="1" applyFill="1" applyBorder="1"/>
    <xf numFmtId="0" fontId="11" fillId="41" borderId="12" xfId="0" applyNumberFormat="1" applyFont="1" applyFill="1" applyBorder="1"/>
    <xf numFmtId="0" fontId="11" fillId="41" borderId="14" xfId="0" applyNumberFormat="1" applyFont="1" applyFill="1" applyBorder="1"/>
    <xf numFmtId="0" fontId="11" fillId="41" borderId="20" xfId="0" applyNumberFormat="1" applyFont="1" applyFill="1" applyBorder="1"/>
    <xf numFmtId="0" fontId="11" fillId="5" borderId="36" xfId="0" applyNumberFormat="1" applyFont="1" applyFill="1" applyBorder="1" applyAlignment="1">
      <alignment horizontal="left"/>
    </xf>
    <xf numFmtId="0" fontId="11" fillId="41" borderId="51" xfId="0" applyNumberFormat="1" applyFont="1" applyFill="1" applyBorder="1"/>
    <xf numFmtId="0" fontId="115" fillId="35" borderId="2" xfId="0" applyNumberFormat="1" applyFont="1" applyFill="1" applyBorder="1"/>
    <xf numFmtId="0" fontId="8" fillId="5" borderId="2" xfId="0" applyNumberFormat="1" applyFont="1" applyFill="1" applyBorder="1"/>
    <xf numFmtId="0" fontId="34" fillId="15" borderId="57" xfId="0" applyNumberFormat="1" applyFont="1" applyFill="1" applyBorder="1"/>
    <xf numFmtId="0" fontId="34" fillId="16" borderId="15" xfId="0" applyNumberFormat="1" applyFont="1" applyFill="1" applyBorder="1"/>
    <xf numFmtId="0" fontId="35" fillId="0" borderId="9" xfId="0" applyNumberFormat="1" applyFont="1" applyBorder="1"/>
    <xf numFmtId="0" fontId="34" fillId="16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39" borderId="36" xfId="0" applyNumberFormat="1" applyFont="1" applyFill="1" applyBorder="1"/>
    <xf numFmtId="0" fontId="34" fillId="39" borderId="13" xfId="0" applyNumberFormat="1" applyFont="1" applyFill="1" applyBorder="1"/>
    <xf numFmtId="0" fontId="8" fillId="39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20" fillId="8" borderId="4" xfId="0" applyNumberFormat="1" applyFont="1" applyFill="1" applyBorder="1" applyAlignment="1">
      <alignment horizontal="right"/>
    </xf>
    <xf numFmtId="0" fontId="120" fillId="35" borderId="4" xfId="0" applyNumberFormat="1" applyFont="1" applyFill="1" applyBorder="1"/>
    <xf numFmtId="0" fontId="11" fillId="0" borderId="4" xfId="0" applyNumberFormat="1" applyFont="1" applyFill="1" applyBorder="1"/>
    <xf numFmtId="0" fontId="35" fillId="17" borderId="53" xfId="0" applyNumberFormat="1" applyFont="1" applyFill="1" applyBorder="1"/>
    <xf numFmtId="0" fontId="64" fillId="0" borderId="9" xfId="0" applyNumberFormat="1" applyFont="1" applyBorder="1" applyAlignment="1">
      <alignment horizontal="left"/>
    </xf>
    <xf numFmtId="178" fontId="64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07" fillId="8" borderId="2" xfId="0" applyFont="1" applyFill="1" applyBorder="1" applyAlignment="1">
      <alignment horizontal="right"/>
    </xf>
    <xf numFmtId="0" fontId="107" fillId="8" borderId="4" xfId="0" applyFont="1" applyFill="1" applyBorder="1" applyAlignment="1">
      <alignment horizontal="right"/>
    </xf>
    <xf numFmtId="0" fontId="107" fillId="5" borderId="10" xfId="0" applyFont="1" applyFill="1" applyBorder="1" applyAlignment="1">
      <alignment horizontal="left"/>
    </xf>
    <xf numFmtId="0" fontId="107" fillId="5" borderId="36" xfId="0" applyFont="1" applyFill="1" applyBorder="1" applyAlignment="1">
      <alignment horizontal="left"/>
    </xf>
    <xf numFmtId="0" fontId="107" fillId="5" borderId="13" xfId="0" applyFont="1" applyFill="1" applyBorder="1" applyAlignment="1">
      <alignment horizontal="left"/>
    </xf>
    <xf numFmtId="0" fontId="107" fillId="5" borderId="16" xfId="0" applyFont="1" applyFill="1" applyBorder="1" applyAlignment="1">
      <alignment horizontal="left"/>
    </xf>
    <xf numFmtId="0" fontId="107" fillId="5" borderId="35" xfId="0" applyFont="1" applyFill="1" applyBorder="1" applyAlignment="1">
      <alignment horizontal="left"/>
    </xf>
    <xf numFmtId="0" fontId="107" fillId="5" borderId="46" xfId="0" applyFont="1" applyFill="1" applyBorder="1" applyAlignment="1">
      <alignment horizontal="left"/>
    </xf>
    <xf numFmtId="0" fontId="107" fillId="5" borderId="37" xfId="0" applyFont="1" applyFill="1" applyBorder="1" applyAlignment="1">
      <alignment horizontal="left"/>
    </xf>
    <xf numFmtId="0" fontId="115" fillId="8" borderId="2" xfId="0" applyFont="1" applyFill="1" applyBorder="1" applyAlignment="1">
      <alignment horizontal="right"/>
    </xf>
    <xf numFmtId="0" fontId="133" fillId="8" borderId="4" xfId="0" applyFont="1" applyFill="1" applyBorder="1" applyAlignment="1">
      <alignment horizontal="right"/>
    </xf>
    <xf numFmtId="0" fontId="107" fillId="5" borderId="36" xfId="0" applyFont="1" applyFill="1" applyBorder="1" applyAlignment="1">
      <alignment horizontal="right"/>
    </xf>
    <xf numFmtId="0" fontId="107" fillId="33" borderId="13" xfId="0" applyFont="1" applyFill="1" applyBorder="1" applyAlignment="1">
      <alignment horizontal="left"/>
    </xf>
    <xf numFmtId="0" fontId="107" fillId="8" borderId="15" xfId="0" applyFont="1" applyFill="1" applyBorder="1" applyAlignment="1">
      <alignment horizontal="center"/>
    </xf>
    <xf numFmtId="0" fontId="107" fillId="17" borderId="7" xfId="0" applyFont="1" applyFill="1" applyBorder="1" applyAlignment="1">
      <alignment horizontal="center"/>
    </xf>
    <xf numFmtId="0" fontId="107" fillId="23" borderId="10" xfId="0" applyFont="1" applyFill="1" applyBorder="1"/>
    <xf numFmtId="0" fontId="107" fillId="23" borderId="16" xfId="0" applyFont="1" applyFill="1" applyBorder="1"/>
    <xf numFmtId="0" fontId="113" fillId="0" borderId="11" xfId="0" applyFont="1" applyBorder="1" applyAlignment="1">
      <alignment horizontal="right"/>
    </xf>
    <xf numFmtId="0" fontId="113" fillId="0" borderId="14" xfId="0" applyFont="1" applyBorder="1" applyAlignment="1">
      <alignment horizontal="right"/>
    </xf>
    <xf numFmtId="0" fontId="113" fillId="0" borderId="17" xfId="0" applyFont="1" applyBorder="1" applyAlignment="1">
      <alignment horizontal="right"/>
    </xf>
    <xf numFmtId="169" fontId="113" fillId="5" borderId="9" xfId="0" applyNumberFormat="1" applyFont="1" applyFill="1" applyBorder="1" applyAlignment="1">
      <alignment horizontal="right"/>
    </xf>
    <xf numFmtId="0" fontId="113" fillId="0" borderId="29" xfId="0" applyFont="1" applyFill="1" applyBorder="1" applyAlignment="1">
      <alignment horizontal="right"/>
    </xf>
    <xf numFmtId="0" fontId="112" fillId="5" borderId="4" xfId="0" applyFont="1" applyFill="1" applyBorder="1" applyAlignment="1">
      <alignment horizontal="right"/>
    </xf>
    <xf numFmtId="0" fontId="113" fillId="18" borderId="51" xfId="0" applyFont="1" applyFill="1" applyBorder="1" applyAlignment="1">
      <alignment horizontal="right"/>
    </xf>
    <xf numFmtId="0" fontId="113" fillId="18" borderId="14" xfId="0" applyFont="1" applyFill="1" applyBorder="1" applyAlignment="1">
      <alignment horizontal="right"/>
    </xf>
    <xf numFmtId="0" fontId="113" fillId="18" borderId="12" xfId="0" applyFont="1" applyFill="1" applyBorder="1" applyAlignment="1">
      <alignment horizontal="right"/>
    </xf>
    <xf numFmtId="2" fontId="113" fillId="5" borderId="51" xfId="0" applyNumberFormat="1" applyFont="1" applyFill="1" applyBorder="1" applyAlignment="1">
      <alignment horizontal="right"/>
    </xf>
    <xf numFmtId="0" fontId="113" fillId="5" borderId="14" xfId="0" applyFont="1" applyFill="1" applyBorder="1" applyAlignment="1">
      <alignment horizontal="right"/>
    </xf>
    <xf numFmtId="0" fontId="113" fillId="0" borderId="20" xfId="0" applyNumberFormat="1" applyFont="1" applyBorder="1" applyAlignment="1">
      <alignment horizontal="right"/>
    </xf>
    <xf numFmtId="2" fontId="113" fillId="33" borderId="14" xfId="0" applyNumberFormat="1" applyFont="1" applyFill="1" applyBorder="1" applyAlignment="1">
      <alignment horizontal="right"/>
    </xf>
    <xf numFmtId="2" fontId="113" fillId="5" borderId="17" xfId="0" applyNumberFormat="1" applyFont="1" applyFill="1" applyBorder="1" applyAlignment="1">
      <alignment horizontal="right"/>
    </xf>
    <xf numFmtId="0" fontId="113" fillId="8" borderId="9" xfId="0" applyFont="1" applyFill="1" applyBorder="1" applyAlignment="1">
      <alignment horizontal="right"/>
    </xf>
    <xf numFmtId="0" fontId="113" fillId="17" borderId="12" xfId="0" applyFont="1" applyFill="1" applyBorder="1" applyAlignment="1">
      <alignment horizontal="right"/>
    </xf>
    <xf numFmtId="165" fontId="113" fillId="17" borderId="12" xfId="0" applyNumberFormat="1" applyFont="1" applyFill="1" applyBorder="1" applyAlignment="1">
      <alignment horizontal="right"/>
    </xf>
    <xf numFmtId="0" fontId="113" fillId="23" borderId="11" xfId="0" applyFont="1" applyFill="1" applyBorder="1" applyAlignment="1">
      <alignment horizontal="right"/>
    </xf>
    <xf numFmtId="0" fontId="113" fillId="23" borderId="17" xfId="0" applyFont="1" applyFill="1" applyBorder="1" applyAlignment="1">
      <alignment horizontal="right"/>
    </xf>
    <xf numFmtId="0" fontId="113" fillId="6" borderId="14" xfId="0" applyFont="1" applyFill="1" applyBorder="1" applyAlignment="1">
      <alignment horizontal="right"/>
    </xf>
    <xf numFmtId="2" fontId="113" fillId="5" borderId="14" xfId="0" applyNumberFormat="1" applyFont="1" applyFill="1" applyBorder="1" applyAlignment="1">
      <alignment horizontal="right"/>
    </xf>
    <xf numFmtId="0" fontId="107" fillId="5" borderId="34" xfId="0" applyFont="1" applyFill="1" applyBorder="1" applyAlignment="1">
      <alignment horizontal="left"/>
    </xf>
    <xf numFmtId="0" fontId="124" fillId="0" borderId="0" xfId="0" applyFont="1" applyFill="1" applyBorder="1"/>
    <xf numFmtId="0" fontId="134" fillId="0" borderId="0" xfId="0" applyFont="1" applyFill="1" applyBorder="1" applyAlignment="1">
      <alignment horizontal="center"/>
    </xf>
    <xf numFmtId="0" fontId="122" fillId="0" borderId="0" xfId="0" applyFont="1" applyFill="1" applyBorder="1" applyAlignment="1">
      <alignment horizontal="center"/>
    </xf>
    <xf numFmtId="0" fontId="122" fillId="0" borderId="0" xfId="0" applyFont="1" applyFill="1" applyBorder="1"/>
    <xf numFmtId="0" fontId="135" fillId="0" borderId="0" xfId="0" applyFont="1" applyFill="1" applyBorder="1" applyAlignment="1">
      <alignment horizontal="center"/>
    </xf>
    <xf numFmtId="2" fontId="122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22" fillId="0" borderId="0" xfId="0" applyNumberFormat="1" applyFont="1" applyFill="1" applyBorder="1"/>
    <xf numFmtId="0" fontId="0" fillId="16" borderId="2" xfId="0" applyFill="1" applyBorder="1" applyAlignment="1"/>
    <xf numFmtId="0" fontId="0" fillId="16" borderId="4" xfId="0" applyFill="1" applyBorder="1" applyAlignment="1"/>
    <xf numFmtId="0" fontId="0" fillId="13" borderId="62" xfId="0" applyFill="1" applyBorder="1"/>
    <xf numFmtId="0" fontId="0" fillId="13" borderId="60" xfId="0" applyFill="1" applyBorder="1"/>
    <xf numFmtId="0" fontId="0" fillId="13" borderId="38" xfId="0" applyFill="1" applyBorder="1"/>
    <xf numFmtId="0" fontId="0" fillId="13" borderId="39" xfId="0" applyFill="1" applyBorder="1"/>
    <xf numFmtId="0" fontId="54" fillId="28" borderId="2" xfId="0" applyFont="1" applyFill="1" applyBorder="1" applyAlignment="1"/>
    <xf numFmtId="0" fontId="0" fillId="16" borderId="61" xfId="0" applyFill="1" applyBorder="1"/>
    <xf numFmtId="0" fontId="0" fillId="16" borderId="70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3" borderId="57" xfId="0" applyNumberFormat="1" applyFont="1" applyFill="1" applyBorder="1"/>
    <xf numFmtId="0" fontId="11" fillId="18" borderId="53" xfId="0" applyNumberFormat="1" applyFont="1" applyFill="1" applyBorder="1"/>
    <xf numFmtId="0" fontId="11" fillId="6" borderId="14" xfId="0" applyNumberFormat="1" applyFont="1" applyFill="1" applyBorder="1"/>
    <xf numFmtId="0" fontId="0" fillId="8" borderId="37" xfId="0" applyFill="1" applyBorder="1"/>
    <xf numFmtId="2" fontId="0" fillId="8" borderId="38" xfId="0" applyNumberFormat="1" applyFill="1" applyBorder="1"/>
    <xf numFmtId="0" fontId="120" fillId="14" borderId="5" xfId="0" applyFont="1" applyFill="1" applyBorder="1" applyAlignment="1">
      <alignment horizontal="right"/>
    </xf>
    <xf numFmtId="0" fontId="120" fillId="9" borderId="31" xfId="0" applyFont="1" applyFill="1" applyBorder="1"/>
    <xf numFmtId="0" fontId="54" fillId="33" borderId="2" xfId="0" applyFont="1" applyFill="1" applyBorder="1"/>
    <xf numFmtId="0" fontId="0" fillId="33" borderId="4" xfId="0" applyFill="1" applyBorder="1"/>
    <xf numFmtId="0" fontId="54" fillId="30" borderId="15" xfId="0" applyFont="1" applyFill="1" applyBorder="1"/>
    <xf numFmtId="0" fontId="54" fillId="30" borderId="7" xfId="0" applyFont="1" applyFill="1" applyBorder="1"/>
    <xf numFmtId="0" fontId="54" fillId="30" borderId="18" xfId="0" applyFont="1" applyFill="1" applyBorder="1"/>
    <xf numFmtId="0" fontId="54" fillId="36" borderId="2" xfId="0" applyFont="1" applyFill="1" applyBorder="1"/>
    <xf numFmtId="0" fontId="0" fillId="23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6" borderId="10" xfId="0" applyFill="1" applyBorder="1" applyAlignment="1"/>
    <xf numFmtId="0" fontId="0" fillId="16" borderId="11" xfId="0" applyFill="1" applyBorder="1" applyAlignment="1"/>
    <xf numFmtId="0" fontId="0" fillId="16" borderId="35" xfId="0" applyFill="1" applyBorder="1" applyAlignment="1"/>
    <xf numFmtId="0" fontId="0" fillId="16" borderId="39" xfId="0" applyFill="1" applyBorder="1" applyAlignment="1"/>
    <xf numFmtId="0" fontId="64" fillId="0" borderId="18" xfId="0" applyFont="1" applyBorder="1" applyAlignment="1">
      <alignment horizontal="center"/>
    </xf>
    <xf numFmtId="0" fontId="64" fillId="0" borderId="20" xfId="0" applyFont="1" applyBorder="1" applyAlignment="1"/>
    <xf numFmtId="0" fontId="64" fillId="0" borderId="18" xfId="0" applyFont="1" applyBorder="1" applyAlignment="1"/>
    <xf numFmtId="0" fontId="64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0" fontId="40" fillId="45" borderId="24" xfId="0" applyFont="1" applyFill="1" applyBorder="1"/>
    <xf numFmtId="0" fontId="136" fillId="33" borderId="0" xfId="0" applyFont="1" applyFill="1"/>
    <xf numFmtId="0" fontId="137" fillId="25" borderId="5" xfId="0" applyFont="1" applyFill="1" applyBorder="1" applyAlignment="1"/>
    <xf numFmtId="0" fontId="120" fillId="9" borderId="5" xfId="0" applyFont="1" applyFill="1" applyBorder="1"/>
    <xf numFmtId="0" fontId="115" fillId="3" borderId="5" xfId="0" applyFont="1" applyFill="1" applyBorder="1"/>
    <xf numFmtId="0" fontId="115" fillId="4" borderId="31" xfId="0" applyFont="1" applyFill="1" applyBorder="1" applyAlignment="1"/>
    <xf numFmtId="0" fontId="115" fillId="5" borderId="5" xfId="0" applyFont="1" applyFill="1" applyBorder="1"/>
    <xf numFmtId="0" fontId="133" fillId="14" borderId="5" xfId="0" applyFont="1" applyFill="1" applyBorder="1"/>
    <xf numFmtId="0" fontId="133" fillId="8" borderId="42" xfId="0" applyFont="1" applyFill="1" applyBorder="1"/>
    <xf numFmtId="0" fontId="115" fillId="20" borderId="42" xfId="0" applyFont="1" applyFill="1" applyBorder="1"/>
    <xf numFmtId="0" fontId="133" fillId="9" borderId="5" xfId="0" applyFont="1" applyFill="1" applyBorder="1"/>
    <xf numFmtId="0" fontId="133" fillId="3" borderId="31" xfId="0" applyFont="1" applyFill="1" applyBorder="1" applyAlignment="1"/>
    <xf numFmtId="0" fontId="120" fillId="0" borderId="5" xfId="0" applyFont="1" applyBorder="1"/>
    <xf numFmtId="0" fontId="120" fillId="4" borderId="28" xfId="0" applyFont="1" applyFill="1" applyBorder="1" applyAlignment="1"/>
    <xf numFmtId="0" fontId="120" fillId="5" borderId="5" xfId="0" applyFont="1" applyFill="1" applyBorder="1"/>
    <xf numFmtId="0" fontId="120" fillId="0" borderId="28" xfId="0" applyFont="1" applyBorder="1"/>
    <xf numFmtId="0" fontId="120" fillId="8" borderId="32" xfId="0" applyFont="1" applyFill="1" applyBorder="1"/>
    <xf numFmtId="0" fontId="136" fillId="39" borderId="32" xfId="0" applyFont="1" applyFill="1" applyBorder="1"/>
    <xf numFmtId="0" fontId="120" fillId="5" borderId="31" xfId="0" applyFont="1" applyFill="1" applyBorder="1" applyAlignment="1">
      <alignment horizontal="right"/>
    </xf>
    <xf numFmtId="0" fontId="120" fillId="4" borderId="32" xfId="0" applyFont="1" applyFill="1" applyBorder="1" applyAlignment="1"/>
    <xf numFmtId="0" fontId="120" fillId="3" borderId="32" xfId="0" applyFont="1" applyFill="1" applyBorder="1" applyAlignment="1"/>
    <xf numFmtId="168" fontId="64" fillId="39" borderId="14" xfId="0" applyNumberFormat="1" applyFont="1" applyFill="1" applyBorder="1"/>
    <xf numFmtId="168" fontId="81" fillId="3" borderId="14" xfId="0" applyNumberFormat="1" applyFont="1" applyFill="1" applyBorder="1"/>
    <xf numFmtId="0" fontId="82" fillId="0" borderId="9" xfId="0" applyNumberFormat="1" applyFont="1" applyBorder="1" applyAlignment="1">
      <alignment horizontal="right"/>
    </xf>
    <xf numFmtId="173" fontId="42" fillId="0" borderId="0" xfId="0" applyNumberFormat="1" applyFont="1" applyBorder="1" applyAlignment="1">
      <alignment horizontal="right"/>
    </xf>
    <xf numFmtId="0" fontId="11" fillId="23" borderId="51" xfId="0" applyNumberFormat="1" applyFont="1" applyFill="1" applyBorder="1"/>
    <xf numFmtId="0" fontId="35" fillId="23" borderId="14" xfId="0" applyNumberFormat="1" applyFont="1" applyFill="1" applyBorder="1"/>
    <xf numFmtId="0" fontId="11" fillId="23" borderId="14" xfId="0" applyNumberFormat="1" applyFont="1" applyFill="1" applyBorder="1"/>
    <xf numFmtId="0" fontId="24" fillId="12" borderId="45" xfId="0" applyFont="1" applyFill="1" applyBorder="1" applyAlignment="1">
      <alignment vertical="top" wrapText="1"/>
    </xf>
    <xf numFmtId="0" fontId="24" fillId="12" borderId="30" xfId="0" applyFont="1" applyFill="1" applyBorder="1" applyAlignment="1">
      <alignment vertical="top" wrapText="1"/>
    </xf>
    <xf numFmtId="0" fontId="24" fillId="12" borderId="44" xfId="0" applyFont="1" applyFill="1" applyBorder="1" applyAlignment="1">
      <alignment vertical="top" wrapText="1"/>
    </xf>
    <xf numFmtId="0" fontId="24" fillId="12" borderId="54" xfId="0" applyFont="1" applyFill="1" applyBorder="1" applyAlignment="1">
      <alignment vertical="top" wrapText="1"/>
    </xf>
    <xf numFmtId="0" fontId="24" fillId="12" borderId="21" xfId="0" applyFont="1" applyFill="1" applyBorder="1" applyAlignment="1">
      <alignment vertical="top"/>
    </xf>
    <xf numFmtId="0" fontId="136" fillId="12" borderId="43" xfId="0" applyFont="1" applyFill="1" applyBorder="1" applyAlignment="1">
      <alignment horizontal="left"/>
    </xf>
    <xf numFmtId="0" fontId="120" fillId="12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19" borderId="64" xfId="0" applyNumberFormat="1" applyFill="1" applyBorder="1"/>
    <xf numFmtId="0" fontId="69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64" fillId="0" borderId="12" xfId="0" applyFont="1" applyBorder="1" applyAlignment="1">
      <alignment horizontal="right"/>
    </xf>
    <xf numFmtId="2" fontId="64" fillId="39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3" borderId="0" xfId="4" applyFill="1" applyBorder="1" applyAlignment="1">
      <alignment horizontal="center" vertical="center"/>
    </xf>
    <xf numFmtId="0" fontId="12" fillId="12" borderId="0" xfId="0" applyFont="1" applyFill="1"/>
    <xf numFmtId="0" fontId="24" fillId="12" borderId="0" xfId="0" applyFont="1" applyFill="1" applyBorder="1"/>
    <xf numFmtId="0" fontId="5" fillId="0" borderId="0" xfId="0" applyNumberFormat="1" applyFont="1"/>
    <xf numFmtId="0" fontId="8" fillId="0" borderId="0" xfId="0" quotePrefix="1" applyFont="1" applyBorder="1" applyAlignment="1">
      <alignment horizontal="left"/>
    </xf>
    <xf numFmtId="0" fontId="138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86" fillId="0" borderId="8" xfId="0" applyFont="1" applyBorder="1" applyAlignment="1">
      <alignment horizontal="right"/>
    </xf>
    <xf numFmtId="0" fontId="86" fillId="0" borderId="8" xfId="0" applyFont="1" applyFill="1" applyBorder="1" applyAlignment="1">
      <alignment horizontal="right"/>
    </xf>
    <xf numFmtId="10" fontId="64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23" fillId="0" borderId="8" xfId="0" applyFont="1" applyBorder="1" applyAlignment="1"/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16" borderId="12" xfId="0" applyFont="1" applyFill="1" applyBorder="1"/>
    <xf numFmtId="0" fontId="23" fillId="16" borderId="19" xfId="0" applyFont="1" applyFill="1" applyBorder="1"/>
    <xf numFmtId="0" fontId="23" fillId="16" borderId="20" xfId="0" applyFont="1" applyFill="1" applyBorder="1"/>
    <xf numFmtId="0" fontId="23" fillId="16" borderId="0" xfId="0" applyFont="1" applyFill="1" applyBorder="1" applyAlignment="1">
      <alignment horizontal="right"/>
    </xf>
    <xf numFmtId="0" fontId="23" fillId="16" borderId="12" xfId="0" applyFont="1" applyFill="1" applyBorder="1" applyAlignment="1">
      <alignment horizontal="right"/>
    </xf>
    <xf numFmtId="0" fontId="64" fillId="0" borderId="38" xfId="0" applyFont="1" applyFill="1" applyBorder="1"/>
    <xf numFmtId="0" fontId="0" fillId="0" borderId="0" xfId="0" quotePrefix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71" fontId="0" fillId="0" borderId="0" xfId="0" applyNumberFormat="1" applyFont="1" applyBorder="1"/>
    <xf numFmtId="171" fontId="26" fillId="0" borderId="0" xfId="0" applyNumberFormat="1" applyFont="1" applyBorder="1"/>
    <xf numFmtId="174" fontId="0" fillId="0" borderId="0" xfId="0" applyNumberFormat="1" applyFont="1" applyBorder="1"/>
    <xf numFmtId="0" fontId="0" fillId="0" borderId="0" xfId="0" applyNumberFormat="1" applyBorder="1"/>
    <xf numFmtId="0" fontId="0" fillId="0" borderId="7" xfId="0" applyNumberFormat="1" applyBorder="1" applyAlignment="1">
      <alignment horizontal="right"/>
    </xf>
    <xf numFmtId="17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33" fillId="0" borderId="19" xfId="0" applyFont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8" fillId="0" borderId="0" xfId="0" applyFont="1" applyBorder="1" applyAlignment="1"/>
    <xf numFmtId="0" fontId="0" fillId="0" borderId="6" xfId="0" applyFont="1" applyBorder="1" applyAlignment="1">
      <alignment horizontal="center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9" xfId="0" applyFont="1" applyBorder="1" applyAlignment="1">
      <alignment horizontal="center"/>
    </xf>
    <xf numFmtId="49" fontId="33" fillId="0" borderId="0" xfId="0" applyNumberFormat="1" applyFont="1" applyBorder="1" applyAlignment="1">
      <alignment horizontal="left"/>
    </xf>
    <xf numFmtId="49" fontId="0" fillId="0" borderId="18" xfId="0" applyNumberFormat="1" applyBorder="1"/>
    <xf numFmtId="49" fontId="5" fillId="0" borderId="19" xfId="0" applyNumberFormat="1" applyFont="1" applyBorder="1"/>
    <xf numFmtId="49" fontId="0" fillId="0" borderId="19" xfId="0" applyNumberFormat="1" applyFont="1" applyBorder="1"/>
    <xf numFmtId="49" fontId="11" fillId="0" borderId="19" xfId="0" applyNumberFormat="1" applyFont="1" applyBorder="1"/>
    <xf numFmtId="0" fontId="0" fillId="0" borderId="7" xfId="0" applyNumberFormat="1" applyBorder="1"/>
    <xf numFmtId="0" fontId="0" fillId="0" borderId="0" xfId="0" applyNumberFormat="1" applyFont="1" applyBorder="1" applyAlignment="1">
      <alignment horizontal="left"/>
    </xf>
    <xf numFmtId="0" fontId="0" fillId="0" borderId="0" xfId="0" applyNumberFormat="1" applyFont="1" applyFill="1" applyBorder="1"/>
    <xf numFmtId="0" fontId="14" fillId="0" borderId="0" xfId="0" applyNumberFormat="1" applyFont="1" applyBorder="1"/>
    <xf numFmtId="0" fontId="14" fillId="0" borderId="0" xfId="0" applyNumberFormat="1" applyFont="1" applyBorder="1" applyAlignment="1">
      <alignment horizontal="center"/>
    </xf>
    <xf numFmtId="0" fontId="26" fillId="0" borderId="0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5" fillId="0" borderId="0" xfId="0" applyNumberFormat="1" applyFont="1" applyBorder="1"/>
    <xf numFmtId="171" fontId="86" fillId="0" borderId="19" xfId="0" applyNumberFormat="1" applyFont="1" applyBorder="1" applyAlignment="1">
      <alignment horizontal="right" vertical="center"/>
    </xf>
    <xf numFmtId="0" fontId="73" fillId="0" borderId="3" xfId="0" applyFont="1" applyBorder="1"/>
    <xf numFmtId="168" fontId="77" fillId="12" borderId="13" xfId="0" applyNumberFormat="1" applyFont="1" applyFill="1" applyBorder="1"/>
    <xf numFmtId="180" fontId="5" fillId="0" borderId="0" xfId="0" applyNumberFormat="1" applyFont="1" applyFill="1" applyBorder="1"/>
    <xf numFmtId="0" fontId="73" fillId="0" borderId="0" xfId="0" applyNumberFormat="1" applyFont="1" applyBorder="1" applyAlignment="1">
      <alignment horizontal="left"/>
    </xf>
    <xf numFmtId="0" fontId="139" fillId="0" borderId="0" xfId="0" applyFont="1" applyBorder="1"/>
    <xf numFmtId="0" fontId="140" fillId="0" borderId="0" xfId="0" applyFont="1"/>
    <xf numFmtId="0" fontId="141" fillId="0" borderId="0" xfId="0" applyFont="1" applyBorder="1"/>
    <xf numFmtId="174" fontId="23" fillId="0" borderId="0" xfId="0" quotePrefix="1" applyNumberFormat="1" applyFont="1" applyBorder="1" applyAlignment="1">
      <alignment horizontal="right"/>
    </xf>
    <xf numFmtId="0" fontId="42" fillId="0" borderId="8" xfId="0" applyFont="1" applyFill="1" applyBorder="1" applyAlignment="1">
      <alignment horizontal="left"/>
    </xf>
    <xf numFmtId="0" fontId="23" fillId="3" borderId="5" xfId="0" applyNumberFormat="1" applyFont="1" applyFill="1" applyBorder="1"/>
    <xf numFmtId="0" fontId="142" fillId="0" borderId="0" xfId="0" applyFont="1"/>
    <xf numFmtId="0" fontId="26" fillId="0" borderId="21" xfId="0" applyFont="1" applyBorder="1"/>
    <xf numFmtId="182" fontId="0" fillId="0" borderId="8" xfId="0" applyNumberFormat="1" applyFont="1" applyBorder="1" applyAlignment="1">
      <alignment horizontal="left"/>
    </xf>
    <xf numFmtId="0" fontId="0" fillId="0" borderId="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69" fillId="0" borderId="25" xfId="0" quotePrefix="1" applyNumberFormat="1" applyFont="1" applyBorder="1" applyAlignment="1">
      <alignment horizontal="center"/>
    </xf>
    <xf numFmtId="1" fontId="33" fillId="0" borderId="0" xfId="0" applyNumberFormat="1" applyFont="1" applyBorder="1" applyAlignment="1">
      <alignment vertical="top"/>
    </xf>
    <xf numFmtId="0" fontId="0" fillId="0" borderId="0" xfId="0" applyFill="1"/>
    <xf numFmtId="0" fontId="11" fillId="5" borderId="14" xfId="0" applyNumberFormat="1" applyFont="1" applyFill="1" applyBorder="1"/>
    <xf numFmtId="0" fontId="0" fillId="0" borderId="4" xfId="0" applyNumberFormat="1" applyBorder="1"/>
    <xf numFmtId="0" fontId="0" fillId="0" borderId="0" xfId="0" applyFill="1"/>
    <xf numFmtId="0" fontId="23" fillId="0" borderId="7" xfId="0" applyNumberFormat="1" applyFont="1" applyBorder="1"/>
    <xf numFmtId="0" fontId="23" fillId="0" borderId="0" xfId="0" applyNumberFormat="1" applyFont="1" applyBorder="1"/>
    <xf numFmtId="0" fontId="23" fillId="25" borderId="0" xfId="0" applyNumberFormat="1" applyFont="1" applyFill="1" applyBorder="1"/>
    <xf numFmtId="0" fontId="23" fillId="5" borderId="0" xfId="0" applyNumberFormat="1" applyFont="1" applyFill="1" applyBorder="1"/>
    <xf numFmtId="0" fontId="23" fillId="5" borderId="7" xfId="0" applyNumberFormat="1" applyFont="1" applyFill="1" applyBorder="1"/>
    <xf numFmtId="0" fontId="23" fillId="25" borderId="7" xfId="0" applyNumberFormat="1" applyFont="1" applyFill="1" applyBorder="1"/>
    <xf numFmtId="0" fontId="23" fillId="0" borderId="0" xfId="0" applyNumberFormat="1" applyFont="1" applyFill="1" applyBorder="1"/>
    <xf numFmtId="0" fontId="34" fillId="0" borderId="0" xfId="0" applyNumberFormat="1" applyFont="1" applyFill="1" applyBorder="1"/>
    <xf numFmtId="0" fontId="11" fillId="0" borderId="0" xfId="0" applyNumberFormat="1" applyFont="1" applyFill="1" applyBorder="1"/>
    <xf numFmtId="0" fontId="8" fillId="0" borderId="0" xfId="0" applyNumberFormat="1" applyFont="1" applyFill="1" applyBorder="1"/>
    <xf numFmtId="165" fontId="11" fillId="0" borderId="0" xfId="0" applyNumberFormat="1" applyFont="1" applyFill="1" applyBorder="1"/>
    <xf numFmtId="0" fontId="0" fillId="0" borderId="0" xfId="0" applyFill="1"/>
    <xf numFmtId="2" fontId="29" fillId="0" borderId="31" xfId="0" applyNumberFormat="1" applyFont="1" applyFill="1" applyBorder="1"/>
    <xf numFmtId="0" fontId="29" fillId="17" borderId="5" xfId="0" applyNumberFormat="1" applyFont="1" applyFill="1" applyBorder="1"/>
    <xf numFmtId="0" fontId="42" fillId="0" borderId="5" xfId="0" applyFont="1" applyBorder="1"/>
    <xf numFmtId="0" fontId="23" fillId="16" borderId="8" xfId="0" applyFont="1" applyFill="1" applyBorder="1"/>
    <xf numFmtId="0" fontId="23" fillId="16" borderId="9" xfId="0" applyFont="1" applyFill="1" applyBorder="1"/>
    <xf numFmtId="0" fontId="23" fillId="16" borderId="15" xfId="0" applyFont="1" applyFill="1" applyBorder="1"/>
    <xf numFmtId="0" fontId="23" fillId="16" borderId="7" xfId="0" applyFont="1" applyFill="1" applyBorder="1"/>
    <xf numFmtId="0" fontId="23" fillId="16" borderId="7" xfId="0" applyFont="1" applyFill="1" applyBorder="1" applyAlignment="1">
      <alignment horizontal="right"/>
    </xf>
    <xf numFmtId="0" fontId="23" fillId="16" borderId="18" xfId="0" applyFont="1" applyFill="1" applyBorder="1" applyAlignment="1">
      <alignment horizontal="right"/>
    </xf>
    <xf numFmtId="0" fontId="23" fillId="16" borderId="8" xfId="0" applyFont="1" applyFill="1" applyBorder="1" applyAlignment="1">
      <alignment horizontal="right"/>
    </xf>
    <xf numFmtId="0" fontId="23" fillId="16" borderId="18" xfId="0" applyFont="1" applyFill="1" applyBorder="1"/>
    <xf numFmtId="0" fontId="23" fillId="16" borderId="19" xfId="0" applyFont="1" applyFill="1" applyBorder="1" applyAlignment="1">
      <alignment horizontal="right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23" fillId="13" borderId="8" xfId="0" applyFont="1" applyFill="1" applyBorder="1" applyAlignment="1"/>
    <xf numFmtId="0" fontId="23" fillId="0" borderId="19" xfId="0" applyNumberFormat="1" applyFont="1" applyFill="1" applyBorder="1"/>
    <xf numFmtId="0" fontId="23" fillId="0" borderId="0" xfId="0" applyNumberFormat="1" applyFont="1" applyFill="1" applyBorder="1" applyAlignment="1">
      <alignment horizontal="left"/>
    </xf>
    <xf numFmtId="0" fontId="23" fillId="13" borderId="9" xfId="0" applyFont="1" applyFill="1" applyBorder="1" applyAlignment="1"/>
    <xf numFmtId="0" fontId="23" fillId="0" borderId="12" xfId="0" applyNumberFormat="1" applyFont="1" applyFill="1" applyBorder="1" applyAlignment="1">
      <alignment horizontal="centerContinuous"/>
    </xf>
    <xf numFmtId="0" fontId="23" fillId="0" borderId="12" xfId="0" applyNumberFormat="1" applyFont="1" applyBorder="1"/>
    <xf numFmtId="0" fontId="23" fillId="0" borderId="12" xfId="0" applyNumberFormat="1" applyFont="1" applyFill="1" applyBorder="1"/>
    <xf numFmtId="0" fontId="27" fillId="0" borderId="7" xfId="0" applyFont="1" applyFill="1" applyBorder="1"/>
    <xf numFmtId="0" fontId="27" fillId="0" borderId="18" xfId="0" applyFont="1" applyFill="1" applyBorder="1"/>
    <xf numFmtId="0" fontId="30" fillId="0" borderId="48" xfId="0" applyFont="1" applyBorder="1"/>
    <xf numFmtId="0" fontId="30" fillId="17" borderId="23" xfId="0" applyFont="1" applyFill="1" applyBorder="1"/>
    <xf numFmtId="0" fontId="23" fillId="36" borderId="0" xfId="0" applyFont="1" applyFill="1" applyBorder="1"/>
    <xf numFmtId="0" fontId="23" fillId="8" borderId="12" xfId="0" applyFont="1" applyFill="1" applyBorder="1"/>
    <xf numFmtId="0" fontId="23" fillId="8" borderId="8" xfId="0" applyFont="1" applyFill="1" applyBorder="1"/>
    <xf numFmtId="0" fontId="23" fillId="12" borderId="9" xfId="0" applyFont="1" applyFill="1" applyBorder="1"/>
    <xf numFmtId="0" fontId="23" fillId="36" borderId="7" xfId="0" applyFont="1" applyFill="1" applyBorder="1"/>
    <xf numFmtId="0" fontId="23" fillId="29" borderId="18" xfId="0" applyFont="1" applyFill="1" applyBorder="1"/>
    <xf numFmtId="0" fontId="23" fillId="29" borderId="19" xfId="0" applyFont="1" applyFill="1" applyBorder="1"/>
    <xf numFmtId="0" fontId="23" fillId="26" borderId="8" xfId="0" applyFont="1" applyFill="1" applyBorder="1" applyAlignment="1">
      <alignment horizontal="center" vertical="top"/>
    </xf>
    <xf numFmtId="1" fontId="23" fillId="26" borderId="0" xfId="0" applyNumberFormat="1" applyFont="1" applyFill="1" applyBorder="1" applyAlignment="1">
      <alignment horizontal="center" vertical="top"/>
    </xf>
    <xf numFmtId="0" fontId="23" fillId="26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left" vertical="top"/>
    </xf>
    <xf numFmtId="0" fontId="42" fillId="28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 vertical="center"/>
    </xf>
    <xf numFmtId="0" fontId="23" fillId="28" borderId="0" xfId="0" applyFont="1" applyFill="1" applyBorder="1" applyAlignment="1">
      <alignment horizontal="left"/>
    </xf>
    <xf numFmtId="0" fontId="23" fillId="17" borderId="7" xfId="0" applyFont="1" applyFill="1" applyBorder="1"/>
    <xf numFmtId="0" fontId="23" fillId="17" borderId="18" xfId="0" applyFont="1" applyFill="1" applyBorder="1"/>
    <xf numFmtId="0" fontId="23" fillId="17" borderId="0" xfId="0" applyFont="1" applyFill="1" applyBorder="1"/>
    <xf numFmtId="0" fontId="23" fillId="17" borderId="45" xfId="0" applyFont="1" applyFill="1" applyBorder="1"/>
    <xf numFmtId="0" fontId="23" fillId="17" borderId="30" xfId="0" applyFont="1" applyFill="1" applyBorder="1"/>
    <xf numFmtId="0" fontId="23" fillId="28" borderId="43" xfId="0" applyFont="1" applyFill="1" applyBorder="1"/>
    <xf numFmtId="0" fontId="23" fillId="28" borderId="44" xfId="0" applyFont="1" applyFill="1" applyBorder="1"/>
    <xf numFmtId="0" fontId="27" fillId="28" borderId="0" xfId="0" applyFont="1" applyFill="1" applyBorder="1"/>
    <xf numFmtId="0" fontId="23" fillId="17" borderId="47" xfId="0" applyFont="1" applyFill="1" applyBorder="1"/>
    <xf numFmtId="181" fontId="23" fillId="28" borderId="0" xfId="0" applyNumberFormat="1" applyFont="1" applyFill="1" applyBorder="1" applyAlignment="1">
      <alignment horizontal="left"/>
    </xf>
    <xf numFmtId="0" fontId="23" fillId="28" borderId="47" xfId="0" applyFont="1" applyFill="1" applyBorder="1"/>
    <xf numFmtId="0" fontId="27" fillId="28" borderId="47" xfId="0" applyFont="1" applyFill="1" applyBorder="1"/>
    <xf numFmtId="0" fontId="0" fillId="28" borderId="45" xfId="0" applyFill="1" applyBorder="1"/>
    <xf numFmtId="0" fontId="23" fillId="28" borderId="21" xfId="0" applyFont="1" applyFill="1" applyBorder="1"/>
    <xf numFmtId="0" fontId="0" fillId="28" borderId="30" xfId="0" applyFill="1" applyBorder="1"/>
    <xf numFmtId="181" fontId="23" fillId="28" borderId="52" xfId="0" applyNumberFormat="1" applyFont="1" applyFill="1" applyBorder="1" applyAlignment="1">
      <alignment horizontal="left"/>
    </xf>
    <xf numFmtId="0" fontId="27" fillId="28" borderId="52" xfId="0" applyFont="1" applyFill="1" applyBorder="1"/>
    <xf numFmtId="0" fontId="0" fillId="28" borderId="54" xfId="0" applyFill="1" applyBorder="1"/>
    <xf numFmtId="0" fontId="23" fillId="28" borderId="45" xfId="0" applyFont="1" applyFill="1" applyBorder="1"/>
    <xf numFmtId="0" fontId="23" fillId="28" borderId="30" xfId="0" applyFont="1" applyFill="1" applyBorder="1"/>
    <xf numFmtId="0" fontId="23" fillId="28" borderId="54" xfId="0" applyFont="1" applyFill="1" applyBorder="1"/>
    <xf numFmtId="0" fontId="23" fillId="17" borderId="66" xfId="0" applyFont="1" applyFill="1" applyBorder="1"/>
    <xf numFmtId="0" fontId="23" fillId="17" borderId="69" xfId="0" applyFont="1" applyFill="1" applyBorder="1"/>
    <xf numFmtId="0" fontId="23" fillId="0" borderId="7" xfId="0" applyFont="1" applyBorder="1" applyAlignment="1">
      <alignment horizontal="right"/>
    </xf>
    <xf numFmtId="0" fontId="42" fillId="28" borderId="0" xfId="0" applyFont="1" applyFill="1" applyBorder="1"/>
    <xf numFmtId="0" fontId="23" fillId="0" borderId="47" xfId="0" applyFont="1" applyBorder="1" applyAlignment="1">
      <alignment horizontal="right"/>
    </xf>
    <xf numFmtId="0" fontId="23" fillId="0" borderId="52" xfId="0" applyFont="1" applyBorder="1"/>
    <xf numFmtId="0" fontId="42" fillId="28" borderId="52" xfId="0" applyFont="1" applyFill="1" applyBorder="1"/>
    <xf numFmtId="0" fontId="23" fillId="0" borderId="66" xfId="0" applyFont="1" applyBorder="1"/>
    <xf numFmtId="0" fontId="23" fillId="0" borderId="78" xfId="0" applyFont="1" applyBorder="1"/>
    <xf numFmtId="0" fontId="23" fillId="5" borderId="13" xfId="0" applyFont="1" applyFill="1" applyBorder="1"/>
    <xf numFmtId="0" fontId="23" fillId="26" borderId="9" xfId="0" applyFont="1" applyFill="1" applyBorder="1" applyAlignment="1">
      <alignment horizontal="center" vertical="top"/>
    </xf>
    <xf numFmtId="0" fontId="23" fillId="26" borderId="12" xfId="0" applyFont="1" applyFill="1" applyBorder="1" applyAlignment="1">
      <alignment horizontal="center" vertical="top"/>
    </xf>
    <xf numFmtId="0" fontId="23" fillId="5" borderId="12" xfId="0" applyFont="1" applyFill="1" applyBorder="1" applyAlignment="1">
      <alignment horizontal="center" vertical="top"/>
    </xf>
    <xf numFmtId="0" fontId="47" fillId="5" borderId="12" xfId="0" applyFont="1" applyFill="1" applyBorder="1" applyAlignment="1">
      <alignment horizontal="center" vertical="top"/>
    </xf>
    <xf numFmtId="0" fontId="23" fillId="12" borderId="10" xfId="0" applyFont="1" applyFill="1" applyBorder="1" applyAlignment="1">
      <alignment horizontal="left"/>
    </xf>
    <xf numFmtId="0" fontId="23" fillId="5" borderId="15" xfId="0" applyFont="1" applyFill="1" applyBorder="1" applyAlignment="1">
      <alignment horizontal="left"/>
    </xf>
    <xf numFmtId="0" fontId="23" fillId="3" borderId="7" xfId="0" applyFont="1" applyFill="1" applyBorder="1" applyAlignment="1">
      <alignment horizontal="left"/>
    </xf>
    <xf numFmtId="0" fontId="46" fillId="0" borderId="0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31" fillId="0" borderId="18" xfId="0" applyFont="1" applyFill="1" applyBorder="1" applyAlignment="1">
      <alignment horizontal="center"/>
    </xf>
    <xf numFmtId="0" fontId="46" fillId="0" borderId="19" xfId="0" applyFont="1" applyFill="1" applyBorder="1" applyAlignment="1">
      <alignment horizontal="center"/>
    </xf>
    <xf numFmtId="0" fontId="31" fillId="0" borderId="19" xfId="0" applyFont="1" applyFill="1" applyBorder="1" applyAlignment="1">
      <alignment horizontal="center"/>
    </xf>
    <xf numFmtId="0" fontId="42" fillId="29" borderId="18" xfId="0" applyFont="1" applyFill="1" applyBorder="1"/>
    <xf numFmtId="0" fontId="42" fillId="29" borderId="19" xfId="0" applyFont="1" applyFill="1" applyBorder="1"/>
    <xf numFmtId="0" fontId="23" fillId="29" borderId="0" xfId="0" applyFont="1" applyFill="1" applyBorder="1"/>
    <xf numFmtId="0" fontId="23" fillId="0" borderId="19" xfId="0" applyFont="1" applyFill="1" applyBorder="1"/>
    <xf numFmtId="0" fontId="23" fillId="0" borderId="20" xfId="0" applyFont="1" applyFill="1" applyBorder="1"/>
    <xf numFmtId="0" fontId="23" fillId="0" borderId="47" xfId="0" applyFont="1" applyFill="1" applyBorder="1" applyAlignment="1">
      <alignment horizontal="right"/>
    </xf>
    <xf numFmtId="0" fontId="23" fillId="12" borderId="0" xfId="0" applyFont="1" applyFill="1"/>
    <xf numFmtId="0" fontId="23" fillId="18" borderId="7" xfId="0" applyNumberFormat="1" applyFont="1" applyFill="1" applyBorder="1"/>
    <xf numFmtId="0" fontId="23" fillId="18" borderId="0" xfId="0" applyNumberFormat="1" applyFont="1" applyFill="1" applyBorder="1"/>
    <xf numFmtId="0" fontId="30" fillId="18" borderId="0" xfId="0" applyFont="1" applyFill="1" applyBorder="1"/>
    <xf numFmtId="0" fontId="27" fillId="18" borderId="0" xfId="0" applyFont="1" applyFill="1" applyBorder="1"/>
    <xf numFmtId="0" fontId="23" fillId="0" borderId="44" xfId="0" applyFont="1" applyBorder="1"/>
    <xf numFmtId="0" fontId="23" fillId="0" borderId="54" xfId="0" applyFont="1" applyBorder="1"/>
    <xf numFmtId="0" fontId="23" fillId="0" borderId="31" xfId="0" applyFont="1" applyBorder="1"/>
    <xf numFmtId="0" fontId="23" fillId="0" borderId="28" xfId="0" applyFont="1" applyBorder="1"/>
    <xf numFmtId="0" fontId="64" fillId="0" borderId="0" xfId="0" applyFont="1" applyBorder="1" applyAlignment="1">
      <alignment horizontal="left"/>
    </xf>
    <xf numFmtId="0" fontId="64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7" fillId="25" borderId="9" xfId="0" applyFont="1" applyFill="1" applyBorder="1" applyAlignment="1" applyProtection="1">
      <alignment horizontal="left"/>
      <protection locked="0"/>
    </xf>
    <xf numFmtId="0" fontId="64" fillId="0" borderId="8" xfId="0" applyNumberFormat="1" applyFont="1" applyBorder="1" applyAlignment="1">
      <alignment horizontal="left"/>
    </xf>
    <xf numFmtId="178" fontId="64" fillId="0" borderId="0" xfId="0" applyNumberFormat="1" applyFont="1" applyBorder="1" applyAlignment="1">
      <alignment horizontal="right"/>
    </xf>
    <xf numFmtId="0" fontId="64" fillId="0" borderId="8" xfId="0" applyFont="1" applyBorder="1" applyAlignment="1">
      <alignment horizontal="center"/>
    </xf>
    <xf numFmtId="0" fontId="86" fillId="0" borderId="0" xfId="0" quotePrefix="1" applyNumberFormat="1" applyFont="1" applyBorder="1" applyAlignment="1">
      <alignment horizontal="right"/>
    </xf>
    <xf numFmtId="0" fontId="86" fillId="0" borderId="0" xfId="0" applyNumberFormat="1" applyFont="1" applyBorder="1" applyAlignment="1">
      <alignment horizontal="right"/>
    </xf>
    <xf numFmtId="0" fontId="64" fillId="0" borderId="0" xfId="0" applyFont="1" applyAlignment="1">
      <alignment horizontal="right"/>
    </xf>
    <xf numFmtId="0" fontId="29" fillId="0" borderId="3" xfId="0" applyFont="1" applyBorder="1"/>
    <xf numFmtId="0" fontId="86" fillId="0" borderId="8" xfId="0" applyFont="1" applyBorder="1"/>
    <xf numFmtId="0" fontId="29" fillId="0" borderId="8" xfId="0" applyFont="1" applyBorder="1"/>
    <xf numFmtId="0" fontId="29" fillId="0" borderId="9" xfId="0" applyFont="1" applyBorder="1"/>
    <xf numFmtId="0" fontId="86" fillId="0" borderId="0" xfId="0" quotePrefix="1" applyNumberFormat="1" applyFont="1" applyBorder="1" applyAlignment="1">
      <alignment horizontal="left"/>
    </xf>
    <xf numFmtId="2" fontId="64" fillId="0" borderId="9" xfId="0" applyNumberFormat="1" applyFont="1" applyBorder="1" applyAlignment="1">
      <alignment horizontal="center"/>
    </xf>
    <xf numFmtId="165" fontId="64" fillId="0" borderId="0" xfId="0" applyNumberFormat="1" applyFont="1" applyBorder="1" applyAlignment="1">
      <alignment horizontal="right"/>
    </xf>
    <xf numFmtId="0" fontId="64" fillId="0" borderId="12" xfId="0" applyFont="1" applyBorder="1" applyAlignment="1">
      <alignment horizontal="left"/>
    </xf>
    <xf numFmtId="0" fontId="27" fillId="0" borderId="8" xfId="0" applyFont="1" applyBorder="1"/>
    <xf numFmtId="1" fontId="27" fillId="0" borderId="0" xfId="0" applyNumberFormat="1" applyFont="1" applyBorder="1" applyAlignment="1">
      <alignment horizontal="left"/>
    </xf>
    <xf numFmtId="0" fontId="27" fillId="0" borderId="7" xfId="0" applyFont="1" applyBorder="1" applyAlignment="1">
      <alignment horizontal="right"/>
    </xf>
    <xf numFmtId="173" fontId="27" fillId="0" borderId="0" xfId="0" applyNumberFormat="1" applyFont="1" applyBorder="1" applyAlignment="1">
      <alignment horizontal="left"/>
    </xf>
    <xf numFmtId="0" fontId="27" fillId="0" borderId="0" xfId="0" applyNumberFormat="1" applyFont="1" applyBorder="1" applyAlignment="1">
      <alignment horizontal="center"/>
    </xf>
    <xf numFmtId="174" fontId="27" fillId="0" borderId="19" xfId="0" applyNumberFormat="1" applyFont="1" applyBorder="1" applyAlignment="1">
      <alignment horizontal="center"/>
    </xf>
    <xf numFmtId="0" fontId="27" fillId="0" borderId="3" xfId="0" applyFont="1" applyBorder="1" applyAlignment="1">
      <alignment horizontal="left"/>
    </xf>
    <xf numFmtId="0" fontId="27" fillId="0" borderId="2" xfId="0" applyFont="1" applyBorder="1"/>
    <xf numFmtId="0" fontId="27" fillId="0" borderId="15" xfId="0" applyFont="1" applyBorder="1" applyAlignment="1">
      <alignment horizontal="center"/>
    </xf>
    <xf numFmtId="0" fontId="27" fillId="0" borderId="7" xfId="0" applyFont="1" applyBorder="1"/>
    <xf numFmtId="165" fontId="64" fillId="0" borderId="7" xfId="0" applyNumberFormat="1" applyFont="1" applyBorder="1" applyAlignment="1">
      <alignment horizontal="center"/>
    </xf>
    <xf numFmtId="165" fontId="64" fillId="0" borderId="15" xfId="0" applyNumberFormat="1" applyFont="1" applyBorder="1" applyAlignment="1">
      <alignment horizontal="center"/>
    </xf>
    <xf numFmtId="0" fontId="27" fillId="0" borderId="15" xfId="0" applyNumberFormat="1" applyFont="1" applyBorder="1" applyAlignment="1">
      <alignment horizontal="centerContinuous"/>
    </xf>
    <xf numFmtId="0" fontId="27" fillId="0" borderId="8" xfId="0" applyNumberFormat="1" applyFont="1" applyBorder="1" applyAlignment="1">
      <alignment horizontal="centerContinuous"/>
    </xf>
    <xf numFmtId="0" fontId="27" fillId="0" borderId="9" xfId="0" applyNumberFormat="1" applyFont="1" applyBorder="1" applyAlignment="1">
      <alignment horizontal="centerContinuous"/>
    </xf>
    <xf numFmtId="0" fontId="64" fillId="0" borderId="12" xfId="0" applyFont="1" applyBorder="1" applyAlignment="1">
      <alignment horizontal="centerContinuous"/>
    </xf>
    <xf numFmtId="0" fontId="27" fillId="0" borderId="15" xfId="0" applyFont="1" applyBorder="1"/>
    <xf numFmtId="165" fontId="64" fillId="0" borderId="8" xfId="0" applyNumberFormat="1" applyFont="1" applyBorder="1" applyAlignment="1">
      <alignment horizontal="center"/>
    </xf>
    <xf numFmtId="0" fontId="64" fillId="0" borderId="3" xfId="0" applyFont="1" applyBorder="1" applyAlignment="1">
      <alignment horizontal="left"/>
    </xf>
    <xf numFmtId="0" fontId="27" fillId="0" borderId="18" xfId="0" applyFont="1" applyBorder="1"/>
    <xf numFmtId="49" fontId="64" fillId="0" borderId="8" xfId="0" applyNumberFormat="1" applyFont="1" applyBorder="1" applyAlignment="1">
      <alignment horizontal="left"/>
    </xf>
    <xf numFmtId="0" fontId="27" fillId="0" borderId="2" xfId="0" applyFont="1" applyBorder="1" applyAlignment="1">
      <alignment horizontal="centerContinuous" vertical="distributed"/>
    </xf>
    <xf numFmtId="0" fontId="64" fillId="0" borderId="4" xfId="0" applyFont="1" applyBorder="1" applyAlignment="1">
      <alignment horizontal="centerContinuous" vertical="distributed"/>
    </xf>
    <xf numFmtId="14" fontId="64" fillId="0" borderId="4" xfId="0" applyNumberFormat="1" applyFont="1" applyBorder="1" applyAlignment="1">
      <alignment horizontal="center"/>
    </xf>
    <xf numFmtId="0" fontId="64" fillId="0" borderId="6" xfId="0" applyFont="1" applyBorder="1" applyAlignment="1">
      <alignment horizontal="left"/>
    </xf>
    <xf numFmtId="0" fontId="64" fillId="0" borderId="6" xfId="0" applyFont="1" applyBorder="1"/>
    <xf numFmtId="0" fontId="64" fillId="0" borderId="3" xfId="0" applyFont="1" applyBorder="1" applyAlignment="1">
      <alignment horizontal="center"/>
    </xf>
    <xf numFmtId="0" fontId="64" fillId="39" borderId="12" xfId="0" applyFont="1" applyFill="1" applyBorder="1"/>
    <xf numFmtId="165" fontId="30" fillId="0" borderId="0" xfId="0" applyNumberFormat="1" applyFont="1" applyBorder="1" applyAlignment="1">
      <alignment horizontal="right"/>
    </xf>
    <xf numFmtId="0" fontId="12" fillId="0" borderId="8" xfId="0" applyFont="1" applyBorder="1" applyAlignment="1" applyProtection="1">
      <alignment horizontal="left"/>
      <protection locked="0"/>
    </xf>
    <xf numFmtId="179" fontId="12" fillId="50" borderId="0" xfId="0" applyNumberFormat="1" applyFont="1" applyFill="1" applyBorder="1"/>
    <xf numFmtId="0" fontId="94" fillId="0" borderId="9" xfId="0" applyFont="1" applyBorder="1" applyAlignment="1">
      <alignment horizontal="right"/>
    </xf>
    <xf numFmtId="0" fontId="0" fillId="35" borderId="3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62" fillId="13" borderId="31" xfId="2" applyFill="1" applyBorder="1" applyAlignment="1">
      <alignment horizontal="center"/>
    </xf>
    <xf numFmtId="0" fontId="62" fillId="13" borderId="32" xfId="2" applyFill="1" applyBorder="1" applyAlignment="1">
      <alignment horizontal="center"/>
    </xf>
    <xf numFmtId="0" fontId="62" fillId="13" borderId="28" xfId="2" applyFill="1" applyBorder="1" applyAlignment="1">
      <alignment horizontal="center"/>
    </xf>
    <xf numFmtId="0" fontId="62" fillId="21" borderId="32" xfId="2" applyFill="1" applyBorder="1" applyAlignment="1">
      <alignment horizontal="center"/>
    </xf>
    <xf numFmtId="0" fontId="62" fillId="21" borderId="28" xfId="2" applyFill="1" applyBorder="1" applyAlignment="1">
      <alignment horizontal="center"/>
    </xf>
    <xf numFmtId="0" fontId="64" fillId="0" borderId="0" xfId="0" applyFont="1" applyBorder="1" applyAlignment="1">
      <alignment horizontal="left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144" fillId="0" borderId="8" xfId="0" applyFont="1" applyBorder="1"/>
    <xf numFmtId="0" fontId="0" fillId="0" borderId="0" xfId="0" applyFill="1" applyBorder="1" applyAlignment="1">
      <alignment horizontal="centerContinuous"/>
    </xf>
    <xf numFmtId="0" fontId="12" fillId="0" borderId="0" xfId="0" applyFont="1" applyFill="1" applyBorder="1" applyAlignment="1">
      <alignment horizontal="centerContinuous"/>
    </xf>
    <xf numFmtId="0" fontId="12" fillId="0" borderId="0" xfId="0" applyFont="1" applyFill="1" applyBorder="1"/>
    <xf numFmtId="0" fontId="12" fillId="0" borderId="0" xfId="0" applyFont="1" applyFill="1" applyBorder="1" applyAlignment="1"/>
    <xf numFmtId="0" fontId="0" fillId="35" borderId="2" xfId="0" applyFill="1" applyBorder="1" applyAlignment="1">
      <alignment horizontal="left"/>
    </xf>
    <xf numFmtId="0" fontId="64" fillId="13" borderId="5" xfId="0" applyFont="1" applyFill="1" applyBorder="1" applyAlignment="1">
      <alignment horizontal="center"/>
    </xf>
    <xf numFmtId="0" fontId="62" fillId="13" borderId="31" xfId="2" applyFill="1" applyBorder="1" applyAlignment="1">
      <alignment horizontal="left"/>
    </xf>
    <xf numFmtId="0" fontId="64" fillId="21" borderId="5" xfId="0" applyFont="1" applyFill="1" applyBorder="1" applyAlignment="1">
      <alignment horizontal="center"/>
    </xf>
    <xf numFmtId="0" fontId="64" fillId="21" borderId="28" xfId="0" applyFont="1" applyFill="1" applyBorder="1" applyAlignment="1">
      <alignment horizontal="center"/>
    </xf>
    <xf numFmtId="0" fontId="62" fillId="21" borderId="31" xfId="2" applyFill="1" applyBorder="1" applyAlignment="1">
      <alignment horizontal="left"/>
    </xf>
    <xf numFmtId="0" fontId="0" fillId="35" borderId="4" xfId="0" applyFill="1" applyBorder="1" applyAlignment="1">
      <alignment horizontal="center"/>
    </xf>
    <xf numFmtId="0" fontId="12" fillId="0" borderId="19" xfId="0" applyNumberFormat="1" applyFont="1" applyBorder="1" applyAlignment="1">
      <alignment horizontal="right"/>
    </xf>
    <xf numFmtId="2" fontId="30" fillId="0" borderId="0" xfId="0" applyNumberFormat="1" applyFont="1" applyBorder="1" applyAlignment="1">
      <alignment horizontal="right"/>
    </xf>
    <xf numFmtId="0" fontId="54" fillId="28" borderId="36" xfId="0" applyFont="1" applyFill="1" applyBorder="1"/>
    <xf numFmtId="0" fontId="0" fillId="13" borderId="51" xfId="0" applyFill="1" applyBorder="1"/>
    <xf numFmtId="0" fontId="41" fillId="0" borderId="0" xfId="0" applyFont="1" applyFill="1" applyBorder="1" applyAlignment="1"/>
    <xf numFmtId="0" fontId="3" fillId="0" borderId="0" xfId="0" applyFont="1" applyFill="1" applyBorder="1"/>
    <xf numFmtId="0" fontId="2" fillId="0" borderId="0" xfId="0" applyFont="1" applyFill="1" applyBorder="1" applyAlignment="1"/>
    <xf numFmtId="0" fontId="96" fillId="0" borderId="0" xfId="0" applyFont="1" applyFill="1" applyBorder="1" applyAlignment="1"/>
    <xf numFmtId="168" fontId="57" fillId="0" borderId="0" xfId="0" applyNumberFormat="1" applyFont="1" applyFill="1" applyBorder="1"/>
    <xf numFmtId="0" fontId="57" fillId="0" borderId="0" xfId="0" applyFont="1" applyFill="1" applyBorder="1" applyAlignment="1"/>
    <xf numFmtId="0" fontId="41" fillId="0" borderId="0" xfId="0" applyFont="1" applyFill="1" applyBorder="1"/>
    <xf numFmtId="0" fontId="4" fillId="0" borderId="0" xfId="0" applyFont="1" applyFill="1" applyBorder="1" applyAlignment="1">
      <alignment horizontal="left"/>
    </xf>
    <xf numFmtId="0" fontId="96" fillId="0" borderId="0" xfId="0" applyFont="1" applyFill="1" applyBorder="1"/>
    <xf numFmtId="0" fontId="96" fillId="0" borderId="0" xfId="0" applyFont="1" applyFill="1" applyBorder="1" applyAlignment="1">
      <alignment horizontal="left"/>
    </xf>
    <xf numFmtId="2" fontId="97" fillId="0" borderId="0" xfId="0" applyNumberFormat="1" applyFont="1" applyFill="1" applyBorder="1"/>
    <xf numFmtId="0" fontId="2" fillId="0" borderId="0" xfId="0" applyFont="1" applyFill="1" applyBorder="1"/>
    <xf numFmtId="2" fontId="5" fillId="0" borderId="0" xfId="0" applyNumberFormat="1" applyFont="1" applyFill="1" applyBorder="1" applyAlignment="1">
      <alignment horizontal="left"/>
    </xf>
    <xf numFmtId="0" fontId="12" fillId="26" borderId="45" xfId="0" applyFont="1" applyFill="1" applyBorder="1" applyAlignment="1">
      <alignment horizontal="center" vertical="center"/>
    </xf>
    <xf numFmtId="0" fontId="12" fillId="26" borderId="42" xfId="0" applyFont="1" applyFill="1" applyBorder="1" applyAlignment="1">
      <alignment horizontal="center" vertical="center"/>
    </xf>
    <xf numFmtId="0" fontId="12" fillId="26" borderId="43" xfId="0" applyFont="1" applyFill="1" applyBorder="1" applyAlignment="1">
      <alignment horizontal="center" vertical="center"/>
    </xf>
    <xf numFmtId="0" fontId="12" fillId="27" borderId="42" xfId="0" applyFont="1" applyFill="1" applyBorder="1" applyAlignment="1">
      <alignment horizontal="center" vertical="center"/>
    </xf>
    <xf numFmtId="0" fontId="12" fillId="27" borderId="42" xfId="0" applyFont="1" applyFill="1" applyBorder="1"/>
    <xf numFmtId="0" fontId="81" fillId="0" borderId="5" xfId="0" applyFont="1" applyFill="1" applyBorder="1"/>
    <xf numFmtId="0" fontId="64" fillId="25" borderId="42" xfId="0" applyFont="1" applyFill="1" applyBorder="1"/>
    <xf numFmtId="0" fontId="64" fillId="25" borderId="24" xfId="0" applyFont="1" applyFill="1" applyBorder="1"/>
    <xf numFmtId="0" fontId="64" fillId="25" borderId="41" xfId="0" applyFont="1" applyFill="1" applyBorder="1"/>
    <xf numFmtId="0" fontId="27" fillId="0" borderId="0" xfId="0" applyFont="1" applyBorder="1" applyAlignment="1">
      <alignment horizontal="left" vertical="top"/>
    </xf>
    <xf numFmtId="0" fontId="23" fillId="0" borderId="21" xfId="0" applyFont="1" applyBorder="1"/>
    <xf numFmtId="0" fontId="23" fillId="0" borderId="30" xfId="0" applyFont="1" applyBorder="1"/>
    <xf numFmtId="0" fontId="0" fillId="30" borderId="12" xfId="0" applyFill="1" applyBorder="1"/>
    <xf numFmtId="0" fontId="0" fillId="30" borderId="39" xfId="0" applyFill="1" applyBorder="1"/>
    <xf numFmtId="0" fontId="0" fillId="30" borderId="29" xfId="0" applyFill="1" applyBorder="1"/>
    <xf numFmtId="0" fontId="54" fillId="30" borderId="46" xfId="0" applyFont="1" applyFill="1" applyBorder="1"/>
    <xf numFmtId="0" fontId="0" fillId="30" borderId="62" xfId="0" applyFill="1" applyBorder="1"/>
    <xf numFmtId="0" fontId="15" fillId="0" borderId="21" xfId="4" applyBorder="1" applyAlignment="1">
      <alignment horizontal="center" vertical="center"/>
    </xf>
    <xf numFmtId="165" fontId="15" fillId="0" borderId="30" xfId="4" applyNumberFormat="1" applyBorder="1" applyAlignment="1">
      <alignment horizontal="right"/>
    </xf>
    <xf numFmtId="165" fontId="15" fillId="0" borderId="30" xfId="4" applyNumberFormat="1" applyFill="1" applyBorder="1" applyAlignment="1">
      <alignment horizontal="right" vertical="center"/>
    </xf>
    <xf numFmtId="0" fontId="15" fillId="0" borderId="21" xfId="4" applyFill="1" applyBorder="1" applyAlignment="1">
      <alignment horizontal="center" vertical="center"/>
    </xf>
    <xf numFmtId="0" fontId="15" fillId="0" borderId="44" xfId="4" applyFill="1" applyBorder="1" applyAlignment="1">
      <alignment horizontal="center" vertical="center"/>
    </xf>
    <xf numFmtId="0" fontId="15" fillId="0" borderId="52" xfId="4" applyFill="1" applyBorder="1" applyAlignment="1">
      <alignment horizontal="center" vertical="center"/>
    </xf>
    <xf numFmtId="0" fontId="15" fillId="42" borderId="52" xfId="4" applyFill="1" applyBorder="1" applyAlignment="1">
      <alignment horizontal="center" vertical="center"/>
    </xf>
    <xf numFmtId="0" fontId="15" fillId="12" borderId="52" xfId="4" applyFill="1" applyBorder="1" applyAlignment="1">
      <alignment horizontal="center" vertical="center"/>
    </xf>
    <xf numFmtId="0" fontId="15" fillId="33" borderId="52" xfId="4" applyFill="1" applyBorder="1" applyAlignment="1">
      <alignment horizontal="center" vertical="center"/>
    </xf>
    <xf numFmtId="165" fontId="15" fillId="0" borderId="52" xfId="4" applyNumberFormat="1" applyFill="1" applyBorder="1" applyAlignment="1">
      <alignment horizontal="right" vertical="center"/>
    </xf>
    <xf numFmtId="165" fontId="15" fillId="0" borderId="52" xfId="4" applyNumberFormat="1" applyBorder="1" applyAlignment="1">
      <alignment horizontal="right"/>
    </xf>
    <xf numFmtId="165" fontId="15" fillId="0" borderId="54" xfId="4" applyNumberFormat="1" applyBorder="1" applyAlignment="1">
      <alignment horizontal="right"/>
    </xf>
    <xf numFmtId="0" fontId="19" fillId="5" borderId="5" xfId="0" applyFont="1" applyFill="1" applyBorder="1" applyAlignment="1">
      <alignment horizontal="right"/>
    </xf>
    <xf numFmtId="0" fontId="12" fillId="5" borderId="30" xfId="0" applyFont="1" applyFill="1" applyBorder="1" applyAlignment="1">
      <alignment horizontal="right"/>
    </xf>
    <xf numFmtId="0" fontId="40" fillId="14" borderId="5" xfId="0" applyFont="1" applyFill="1" applyBorder="1" applyAlignment="1">
      <alignment horizontal="right"/>
    </xf>
    <xf numFmtId="0" fontId="12" fillId="0" borderId="0" xfId="0" applyNumberFormat="1" applyFont="1" applyBorder="1" applyAlignment="1">
      <alignment horizontal="left"/>
    </xf>
    <xf numFmtId="0" fontId="42" fillId="24" borderId="0" xfId="0" applyFont="1" applyFill="1"/>
    <xf numFmtId="0" fontId="23" fillId="0" borderId="41" xfId="0" applyFont="1" applyBorder="1"/>
    <xf numFmtId="0" fontId="0" fillId="5" borderId="57" xfId="0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23" fillId="0" borderId="77" xfId="0" applyFont="1" applyBorder="1"/>
    <xf numFmtId="0" fontId="113" fillId="37" borderId="14" xfId="0" applyFont="1" applyFill="1" applyBorder="1" applyAlignment="1">
      <alignment horizontal="right"/>
    </xf>
    <xf numFmtId="0" fontId="113" fillId="6" borderId="11" xfId="0" applyFont="1" applyFill="1" applyBorder="1" applyAlignment="1">
      <alignment horizontal="right"/>
    </xf>
    <xf numFmtId="0" fontId="8" fillId="5" borderId="18" xfId="0" applyFont="1" applyFill="1" applyBorder="1"/>
    <xf numFmtId="0" fontId="11" fillId="5" borderId="17" xfId="0" applyFont="1" applyFill="1" applyBorder="1"/>
    <xf numFmtId="0" fontId="23" fillId="5" borderId="66" xfId="0" applyFont="1" applyFill="1" applyBorder="1"/>
    <xf numFmtId="0" fontId="23" fillId="5" borderId="16" xfId="0" applyFont="1" applyFill="1" applyBorder="1"/>
    <xf numFmtId="0" fontId="0" fillId="0" borderId="12" xfId="0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right"/>
    </xf>
    <xf numFmtId="0" fontId="64" fillId="0" borderId="7" xfId="0" applyFont="1" applyBorder="1" applyAlignment="1">
      <alignment horizontal="left"/>
    </xf>
    <xf numFmtId="0" fontId="64" fillId="0" borderId="0" xfId="0" applyFont="1" applyBorder="1" applyAlignment="1">
      <alignment horizontal="left"/>
    </xf>
    <xf numFmtId="0" fontId="62" fillId="13" borderId="31" xfId="2" applyFill="1" applyBorder="1" applyAlignment="1">
      <alignment horizontal="center"/>
    </xf>
    <xf numFmtId="0" fontId="62" fillId="13" borderId="32" xfId="2" applyFill="1" applyBorder="1" applyAlignment="1">
      <alignment horizontal="center"/>
    </xf>
    <xf numFmtId="0" fontId="62" fillId="13" borderId="28" xfId="2" applyFill="1" applyBorder="1" applyAlignment="1">
      <alignment horizontal="center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9" borderId="15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/>
    </xf>
    <xf numFmtId="0" fontId="81" fillId="8" borderId="7" xfId="0" applyFont="1" applyFill="1" applyBorder="1" applyAlignment="1">
      <alignment horizontal="center"/>
    </xf>
    <xf numFmtId="0" fontId="81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22" fillId="0" borderId="2" xfId="0" applyFont="1" applyBorder="1" applyAlignment="1">
      <alignment horizontal="center"/>
    </xf>
    <xf numFmtId="0" fontId="122" fillId="0" borderId="4" xfId="0" applyFont="1" applyBorder="1" applyAlignment="1">
      <alignment horizontal="center"/>
    </xf>
    <xf numFmtId="0" fontId="122" fillId="0" borderId="3" xfId="0" applyFont="1" applyBorder="1" applyAlignment="1">
      <alignment horizontal="center"/>
    </xf>
    <xf numFmtId="0" fontId="122" fillId="0" borderId="7" xfId="0" applyNumberFormat="1" applyFont="1" applyBorder="1" applyAlignment="1">
      <alignment horizontal="center"/>
    </xf>
    <xf numFmtId="0" fontId="122" fillId="0" borderId="0" xfId="0" applyNumberFormat="1" applyFont="1" applyBorder="1" applyAlignment="1">
      <alignment horizontal="center"/>
    </xf>
    <xf numFmtId="0" fontId="122" fillId="0" borderId="12" xfId="0" applyNumberFormat="1" applyFont="1" applyBorder="1" applyAlignment="1">
      <alignment horizontal="center"/>
    </xf>
    <xf numFmtId="0" fontId="109" fillId="25" borderId="2" xfId="2" applyFont="1" applyFill="1" applyBorder="1" applyAlignment="1">
      <alignment horizontal="center"/>
    </xf>
    <xf numFmtId="0" fontId="109" fillId="25" borderId="4" xfId="2" applyFont="1" applyFill="1" applyBorder="1" applyAlignment="1">
      <alignment horizontal="center"/>
    </xf>
    <xf numFmtId="14" fontId="122" fillId="0" borderId="2" xfId="0" applyNumberFormat="1" applyFont="1" applyBorder="1" applyAlignment="1">
      <alignment horizontal="center"/>
    </xf>
    <xf numFmtId="14" fontId="122" fillId="0" borderId="3" xfId="0" applyNumberFormat="1" applyFont="1" applyBorder="1" applyAlignment="1">
      <alignment horizontal="center"/>
    </xf>
    <xf numFmtId="14" fontId="122" fillId="0" borderId="4" xfId="0" applyNumberFormat="1" applyFont="1" applyBorder="1" applyAlignment="1">
      <alignment horizontal="center"/>
    </xf>
    <xf numFmtId="0" fontId="145" fillId="0" borderId="15" xfId="0" applyFont="1" applyFill="1" applyBorder="1" applyAlignment="1">
      <alignment horizontal="center" vertical="center"/>
    </xf>
    <xf numFmtId="0" fontId="145" fillId="0" borderId="8" xfId="0" applyFont="1" applyFill="1" applyBorder="1" applyAlignment="1">
      <alignment horizontal="center" vertical="center"/>
    </xf>
    <xf numFmtId="0" fontId="145" fillId="0" borderId="9" xfId="0" applyFont="1" applyFill="1" applyBorder="1" applyAlignment="1">
      <alignment horizontal="center" vertic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0" fillId="0" borderId="0" xfId="0" applyFill="1" applyAlignment="1"/>
    <xf numFmtId="14" fontId="64" fillId="0" borderId="2" xfId="0" applyNumberFormat="1" applyFont="1" applyBorder="1" applyAlignment="1">
      <alignment horizontal="center"/>
    </xf>
    <xf numFmtId="14" fontId="64" fillId="0" borderId="4" xfId="0" applyNumberFormat="1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0" fillId="27" borderId="55" xfId="0" applyFill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14" fontId="60" fillId="0" borderId="2" xfId="0" applyNumberFormat="1" applyFont="1" applyBorder="1" applyAlignment="1">
      <alignment horizontal="center"/>
    </xf>
    <xf numFmtId="14" fontId="60" fillId="0" borderId="3" xfId="0" applyNumberFormat="1" applyFont="1" applyBorder="1" applyAlignment="1">
      <alignment horizontal="center"/>
    </xf>
    <xf numFmtId="14" fontId="60" fillId="0" borderId="4" xfId="0" applyNumberFormat="1" applyFont="1" applyBorder="1" applyAlignment="1">
      <alignment horizontal="center"/>
    </xf>
    <xf numFmtId="0" fontId="19" fillId="12" borderId="10" xfId="0" applyFont="1" applyFill="1" applyBorder="1" applyAlignment="1">
      <alignment horizontal="center"/>
    </xf>
    <xf numFmtId="0" fontId="19" fillId="12" borderId="22" xfId="0" applyFont="1" applyFill="1" applyBorder="1" applyAlignment="1">
      <alignment horizontal="center"/>
    </xf>
    <xf numFmtId="0" fontId="19" fillId="12" borderId="11" xfId="0" applyFont="1" applyFill="1" applyBorder="1" applyAlignment="1">
      <alignment horizontal="center"/>
    </xf>
    <xf numFmtId="0" fontId="21" fillId="21" borderId="13" xfId="0" applyFont="1" applyFill="1" applyBorder="1" applyAlignment="1">
      <alignment horizontal="center"/>
    </xf>
    <xf numFmtId="0" fontId="21" fillId="21" borderId="5" xfId="0" applyFont="1" applyFill="1" applyBorder="1" applyAlignment="1">
      <alignment horizontal="center"/>
    </xf>
    <xf numFmtId="0" fontId="21" fillId="21" borderId="16" xfId="0" applyFont="1" applyFill="1" applyBorder="1" applyAlignment="1">
      <alignment horizontal="center"/>
    </xf>
    <xf numFmtId="0" fontId="21" fillId="21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4" fillId="0" borderId="48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8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85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86" fillId="0" borderId="31" xfId="0" applyFont="1" applyBorder="1" applyAlignment="1">
      <alignment horizontal="left"/>
    </xf>
    <xf numFmtId="0" fontId="86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88" fillId="0" borderId="0" xfId="0" applyFont="1" applyBorder="1" applyAlignment="1">
      <alignment horizontal="center" vertical="center"/>
    </xf>
    <xf numFmtId="0" fontId="88" fillId="0" borderId="12" xfId="0" applyFont="1" applyBorder="1" applyAlignment="1">
      <alignment horizontal="center" vertical="center"/>
    </xf>
    <xf numFmtId="0" fontId="87" fillId="0" borderId="52" xfId="0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3" xfId="0" applyFont="1" applyBorder="1" applyAlignment="1">
      <alignment horizontal="center" vertical="center"/>
    </xf>
    <xf numFmtId="0" fontId="35" fillId="0" borderId="51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94" fillId="0" borderId="8" xfId="0" applyFont="1" applyBorder="1" applyAlignment="1">
      <alignment horizontal="center"/>
    </xf>
    <xf numFmtId="0" fontId="94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4" xfId="0" applyBorder="1"/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56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125" fillId="0" borderId="42" xfId="4" applyFont="1" applyBorder="1" applyAlignment="1">
      <alignment horizontal="center" vertical="center" wrapText="1"/>
    </xf>
    <xf numFmtId="0" fontId="125" fillId="0" borderId="41" xfId="4" applyFont="1" applyBorder="1" applyAlignment="1">
      <alignment horizontal="center" vertical="center" wrapText="1"/>
    </xf>
    <xf numFmtId="0" fontId="125" fillId="12" borderId="42" xfId="4" applyFont="1" applyFill="1" applyBorder="1" applyAlignment="1">
      <alignment horizontal="center" vertical="center" wrapText="1"/>
    </xf>
    <xf numFmtId="0" fontId="125" fillId="12" borderId="41" xfId="4" applyFont="1" applyFill="1" applyBorder="1" applyAlignment="1">
      <alignment horizontal="center" vertical="center" wrapText="1"/>
    </xf>
    <xf numFmtId="0" fontId="125" fillId="42" borderId="42" xfId="4" applyFont="1" applyFill="1" applyBorder="1" applyAlignment="1">
      <alignment horizontal="center" vertical="center" wrapText="1"/>
    </xf>
    <xf numFmtId="0" fontId="125" fillId="42" borderId="41" xfId="4" applyFont="1" applyFill="1" applyBorder="1" applyAlignment="1">
      <alignment horizontal="center" vertical="center" wrapText="1"/>
    </xf>
    <xf numFmtId="0" fontId="125" fillId="0" borderId="42" xfId="4" applyFont="1" applyBorder="1" applyAlignment="1">
      <alignment horizontal="center" wrapText="1"/>
    </xf>
    <xf numFmtId="0" fontId="125" fillId="0" borderId="41" xfId="4" applyFont="1" applyBorder="1" applyAlignment="1">
      <alignment horizontal="center" wrapText="1"/>
    </xf>
    <xf numFmtId="0" fontId="126" fillId="0" borderId="45" xfId="4" applyFont="1" applyBorder="1" applyAlignment="1">
      <alignment horizontal="center" wrapText="1"/>
    </xf>
    <xf numFmtId="0" fontId="126" fillId="0" borderId="54" xfId="4" applyFont="1" applyBorder="1" applyAlignment="1">
      <alignment horizontal="center" wrapText="1"/>
    </xf>
    <xf numFmtId="0" fontId="125" fillId="33" borderId="43" xfId="4" applyFont="1" applyFill="1" applyBorder="1" applyAlignment="1">
      <alignment horizontal="center" vertical="center" wrapText="1"/>
    </xf>
    <xf numFmtId="0" fontId="125" fillId="33" borderId="44" xfId="4" applyFont="1" applyFill="1" applyBorder="1" applyAlignment="1">
      <alignment horizontal="center" vertical="center" wrapText="1"/>
    </xf>
    <xf numFmtId="0" fontId="126" fillId="0" borderId="47" xfId="4" applyFont="1" applyBorder="1" applyAlignment="1">
      <alignment horizontal="center" wrapText="1"/>
    </xf>
    <xf numFmtId="0" fontId="126" fillId="0" borderId="52" xfId="4" applyFont="1" applyBorder="1" applyAlignment="1">
      <alignment horizontal="center" wrapText="1"/>
    </xf>
    <xf numFmtId="0" fontId="63" fillId="0" borderId="3" xfId="0" applyFont="1" applyBorder="1" applyAlignment="1">
      <alignment horizontal="center"/>
    </xf>
    <xf numFmtId="14" fontId="57" fillId="0" borderId="2" xfId="0" applyNumberFormat="1" applyFont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4" borderId="31" xfId="0" applyFill="1" applyBorder="1" applyAlignment="1">
      <alignment horizontal="center"/>
    </xf>
    <xf numFmtId="0" fontId="0" fillId="34" borderId="32" xfId="0" applyFill="1" applyBorder="1" applyAlignment="1">
      <alignment horizontal="center"/>
    </xf>
    <xf numFmtId="0" fontId="0" fillId="34" borderId="28" xfId="0" applyFill="1" applyBorder="1" applyAlignment="1">
      <alignment horizontal="center"/>
    </xf>
    <xf numFmtId="0" fontId="0" fillId="29" borderId="31" xfId="0" applyFill="1" applyBorder="1" applyAlignment="1">
      <alignment horizontal="left"/>
    </xf>
    <xf numFmtId="0" fontId="0" fillId="29" borderId="28" xfId="0" applyFill="1" applyBorder="1" applyAlignment="1">
      <alignment horizontal="left"/>
    </xf>
    <xf numFmtId="0" fontId="76" fillId="29" borderId="18" xfId="0" applyFont="1" applyFill="1" applyBorder="1" applyAlignment="1">
      <alignment horizontal="center"/>
    </xf>
    <xf numFmtId="0" fontId="76" fillId="29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29" borderId="69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1" fillId="0" borderId="43" xfId="0" applyNumberFormat="1" applyFont="1" applyBorder="1" applyAlignment="1">
      <alignment horizontal="left" vertical="top" wrapText="1"/>
    </xf>
    <xf numFmtId="0" fontId="21" fillId="0" borderId="47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52" xfId="0" applyNumberFormat="1" applyFont="1" applyBorder="1" applyAlignment="1">
      <alignment horizontal="left" vertical="top" wrapText="1"/>
    </xf>
    <xf numFmtId="0" fontId="21" fillId="0" borderId="54" xfId="0" applyNumberFormat="1" applyFont="1" applyBorder="1" applyAlignment="1">
      <alignment horizontal="left" vertical="top" wrapText="1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68" fillId="0" borderId="15" xfId="0" applyFont="1" applyBorder="1" applyAlignment="1">
      <alignment horizontal="center"/>
    </xf>
    <xf numFmtId="0" fontId="68" fillId="0" borderId="8" xfId="0" applyFont="1" applyBorder="1" applyAlignment="1">
      <alignment horizontal="center"/>
    </xf>
    <xf numFmtId="0" fontId="68" fillId="0" borderId="9" xfId="0" applyFont="1" applyBorder="1" applyAlignment="1">
      <alignment horizontal="center"/>
    </xf>
    <xf numFmtId="0" fontId="68" fillId="0" borderId="18" xfId="0" applyFont="1" applyBorder="1" applyAlignment="1">
      <alignment horizontal="center"/>
    </xf>
    <xf numFmtId="0" fontId="68" fillId="0" borderId="19" xfId="0" applyFont="1" applyBorder="1" applyAlignment="1">
      <alignment horizontal="center"/>
    </xf>
    <xf numFmtId="0" fontId="68" fillId="0" borderId="20" xfId="0" applyFont="1" applyBorder="1" applyAlignment="1">
      <alignment horizontal="center"/>
    </xf>
    <xf numFmtId="0" fontId="0" fillId="29" borderId="5" xfId="0" applyFill="1" applyBorder="1" applyAlignment="1">
      <alignment horizontal="left"/>
    </xf>
    <xf numFmtId="0" fontId="0" fillId="0" borderId="0" xfId="0" applyFill="1"/>
    <xf numFmtId="0" fontId="0" fillId="34" borderId="5" xfId="0" applyFill="1" applyBorder="1" applyAlignment="1">
      <alignment horizontal="center"/>
    </xf>
    <xf numFmtId="0" fontId="0" fillId="34" borderId="61" xfId="0" applyFill="1" applyBorder="1" applyAlignment="1">
      <alignment horizontal="center"/>
    </xf>
    <xf numFmtId="0" fontId="0" fillId="34" borderId="49" xfId="0" applyFill="1" applyBorder="1" applyAlignment="1">
      <alignment horizontal="center"/>
    </xf>
    <xf numFmtId="0" fontId="0" fillId="34" borderId="70" xfId="0" applyFill="1" applyBorder="1" applyAlignment="1">
      <alignment horizontal="center"/>
    </xf>
    <xf numFmtId="0" fontId="40" fillId="0" borderId="43" xfId="0" applyNumberFormat="1" applyFont="1" applyBorder="1" applyAlignment="1">
      <alignment horizontal="left" vertical="top" wrapText="1"/>
    </xf>
    <xf numFmtId="0" fontId="40" fillId="0" borderId="47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52" xfId="0" applyNumberFormat="1" applyFont="1" applyBorder="1" applyAlignment="1">
      <alignment horizontal="left" vertical="top" wrapText="1"/>
    </xf>
    <xf numFmtId="0" fontId="40" fillId="0" borderId="54" xfId="0" applyNumberFormat="1" applyFont="1" applyBorder="1" applyAlignment="1">
      <alignment horizontal="left" vertical="top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3" fillId="24" borderId="5" xfId="0" applyFont="1" applyFill="1" applyBorder="1" applyAlignment="1">
      <alignment horizontal="center"/>
    </xf>
    <xf numFmtId="0" fontId="45" fillId="2" borderId="73" xfId="1" applyFont="1" applyBorder="1" applyAlignment="1" applyProtection="1">
      <alignment horizontal="center"/>
    </xf>
    <xf numFmtId="0" fontId="45" fillId="2" borderId="74" xfId="1" applyFont="1" applyBorder="1" applyAlignment="1" applyProtection="1">
      <alignment horizontal="center"/>
    </xf>
    <xf numFmtId="0" fontId="64" fillId="8" borderId="2" xfId="0" applyNumberFormat="1" applyFont="1" applyFill="1" applyBorder="1" applyAlignment="1">
      <alignment horizontal="center"/>
    </xf>
    <xf numFmtId="0" fontId="64" fillId="8" borderId="3" xfId="0" applyNumberFormat="1" applyFont="1" applyFill="1" applyBorder="1" applyAlignment="1">
      <alignment horizontal="center"/>
    </xf>
    <xf numFmtId="0" fontId="64" fillId="8" borderId="4" xfId="0" applyNumberFormat="1" applyFont="1" applyFill="1" applyBorder="1" applyAlignment="1">
      <alignment horizont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4"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gray0625">
          <fgColor auto="1"/>
          <bgColor rgb="FFFF0000"/>
        </patternFill>
      </fill>
    </dxf>
    <dxf>
      <fill>
        <patternFill patternType="solid">
          <fgColor auto="1"/>
          <bgColor rgb="FF92D050"/>
        </patternFill>
      </fill>
    </dxf>
    <dxf>
      <fill>
        <patternFill patternType="gray0625">
          <fgColor auto="1"/>
          <bgColor rgb="FFFF0000"/>
        </patternFill>
      </fill>
    </dxf>
    <dxf>
      <fill>
        <patternFill patternType="gray0625">
          <fgColor rgb="FF92D050"/>
          <bgColor rgb="FF92D050"/>
        </patternFill>
      </fill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EC6114"/>
        </patternFill>
      </fill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2929"/>
      <color rgb="FFFD908B"/>
      <color rgb="FFCC9900"/>
      <color rgb="FF996633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Y$33" lockText="1" noThreeD="1"/>
</file>

<file path=xl/ctrlProps/ctrlProp2.xml><?xml version="1.0" encoding="utf-8"?>
<formControlPr xmlns="http://schemas.microsoft.com/office/spreadsheetml/2009/9/main" objectType="CheckBox" fmlaLink="Данные!$V$36" lockText="1" noThreeD="1"/>
</file>

<file path=xl/ctrlProps/ctrlProp3.xml><?xml version="1.0" encoding="utf-8"?>
<formControlPr xmlns="http://schemas.microsoft.com/office/spreadsheetml/2009/9/main" objectType="CheckBox" fmlaLink="Данные!$AD$38" lockText="1" noThreeD="1"/>
</file>

<file path=xl/ctrlProps/ctrlProp4.xml><?xml version="1.0" encoding="utf-8"?>
<formControlPr xmlns="http://schemas.microsoft.com/office/spreadsheetml/2009/9/main" objectType="CheckBox" fmlaLink="Данные!$T$68" lockText="1" noThreeD="1"/>
</file>

<file path=xl/ctrlProps/ctrlProp5.xml><?xml version="1.0" encoding="utf-8"?>
<formControlPr xmlns="http://schemas.microsoft.com/office/spreadsheetml/2009/9/main" objectType="CheckBox" fmlaLink="Данные!$Z$17" lockText="1" noThreeD="1"/>
</file>

<file path=xl/ctrlProps/ctrlProp6.xml><?xml version="1.0" encoding="utf-8"?>
<formControlPr xmlns="http://schemas.microsoft.com/office/spreadsheetml/2009/9/main" objectType="CheckBox" fmlaLink="Данные!$O$50" lockText="1" noThreeD="1"/>
</file>

<file path=xl/ctrlProps/ctrlProp7.xml><?xml version="1.0" encoding="utf-8"?>
<formControlPr xmlns="http://schemas.microsoft.com/office/spreadsheetml/2009/9/main" objectType="CheckBox" fmlaLink="Данные!$O$49" lockText="1" noThreeD="1"/>
</file>

<file path=xl/ctrlProps/ctrlProp8.xml><?xml version="1.0" encoding="utf-8"?>
<formControlPr xmlns="http://schemas.microsoft.com/office/spreadsheetml/2009/9/main" objectType="CheckBox" fmlaLink="$N$26" lockText="1" noThreeD="1"/>
</file>

<file path=xl/ctrlProps/ctrlProp9.xml><?xml version="1.0" encoding="utf-8"?>
<formControlPr xmlns="http://schemas.microsoft.com/office/spreadsheetml/2009/9/main" objectType="CheckBox" checked="Checked" fmlaLink="Сухарь!$O$17" lockText="1" noThreeD="1"/>
</file>

<file path=xl/ctrlProps/ctrlProp10.xml><?xml version="1.0" encoding="utf-8"?>
<formControlPr xmlns="http://schemas.microsoft.com/office/spreadsheetml/2009/9/main" objectType="CheckBox" fmlaLink="$AB$24" lockText="1" noThreeD="1"/>
</file>

<file path=xl/ctrlProps/ctrlProp11.xml><?xml version="1.0" encoding="utf-8"?>
<formControlPr xmlns="http://schemas.microsoft.com/office/spreadsheetml/2009/9/main" objectType="CheckBox" fmlaLink="$AB$25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jpg"/><Relationship Id="rId7" Type="http://schemas.openxmlformats.org/officeDocument/2006/relationships/image" Target="../media/image9.jpeg"/><Relationship Id="rId12" Type="http://schemas.openxmlformats.org/officeDocument/2006/relationships/image" Target="../media/image14.jpg"/><Relationship Id="rId2" Type="http://schemas.openxmlformats.org/officeDocument/2006/relationships/image" Target="../media/image4.jpeg"/><Relationship Id="rId1" Type="http://schemas.openxmlformats.org/officeDocument/2006/relationships/image" Target="../media/image3.jp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jpg"/><Relationship Id="rId10" Type="http://schemas.openxmlformats.org/officeDocument/2006/relationships/image" Target="../media/image12.png"/><Relationship Id="rId4" Type="http://schemas.openxmlformats.org/officeDocument/2006/relationships/image" Target="../media/image6.jpeg"/><Relationship Id="rId9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noFill/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23</xdr:row>
      <xdr:rowOff>35449</xdr:rowOff>
    </xdr:from>
    <xdr:to>
      <xdr:col>7</xdr:col>
      <xdr:colOff>536272</xdr:colOff>
      <xdr:row>25</xdr:row>
      <xdr:rowOff>35448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27</xdr:row>
          <xdr:rowOff>167640</xdr:rowOff>
        </xdr:from>
        <xdr:to>
          <xdr:col>14</xdr:col>
          <xdr:colOff>731520</xdr:colOff>
          <xdr:row>29</xdr:row>
          <xdr:rowOff>30480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34</xdr:row>
      <xdr:rowOff>42751</xdr:rowOff>
    </xdr:from>
    <xdr:to>
      <xdr:col>3</xdr:col>
      <xdr:colOff>320040</xdr:colOff>
      <xdr:row>35</xdr:row>
      <xdr:rowOff>95004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701040</xdr:colOff>
          <xdr:row>30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</xdr:colOff>
          <xdr:row>31</xdr:row>
          <xdr:rowOff>38100</xdr:rowOff>
        </xdr:from>
        <xdr:to>
          <xdr:col>15</xdr:col>
          <xdr:colOff>60960</xdr:colOff>
          <xdr:row>32</xdr:row>
          <xdr:rowOff>68580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43542</xdr:colOff>
      <xdr:row>25</xdr:row>
      <xdr:rowOff>76200</xdr:rowOff>
    </xdr:from>
    <xdr:to>
      <xdr:col>18</xdr:col>
      <xdr:colOff>87085</xdr:colOff>
      <xdr:row>28</xdr:row>
      <xdr:rowOff>76199</xdr:rowOff>
    </xdr:to>
    <xdr:sp macro="[0]!ЭтаКнига.Mass_relations" textlink="">
      <xdr:nvSpPr>
        <xdr:cNvPr id="38" name="Прямоугольник: скругленные углы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2028713" y="5061857"/>
          <a:ext cx="1741715" cy="609599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13</xdr:col>
      <xdr:colOff>32655</xdr:colOff>
      <xdr:row>30</xdr:row>
      <xdr:rowOff>141516</xdr:rowOff>
    </xdr:from>
    <xdr:to>
      <xdr:col>13</xdr:col>
      <xdr:colOff>1872343</xdr:colOff>
      <xdr:row>32</xdr:row>
      <xdr:rowOff>152402</xdr:rowOff>
    </xdr:to>
    <xdr:sp macro="[0]!btn_vtulka_sbros" textlink="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904512" y="6161316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  <xdr:twoCellAnchor>
    <xdr:from>
      <xdr:col>16</xdr:col>
      <xdr:colOff>43544</xdr:colOff>
      <xdr:row>29</xdr:row>
      <xdr:rowOff>2</xdr:rowOff>
    </xdr:from>
    <xdr:to>
      <xdr:col>18</xdr:col>
      <xdr:colOff>119743</xdr:colOff>
      <xdr:row>30</xdr:row>
      <xdr:rowOff>185058</xdr:rowOff>
    </xdr:to>
    <xdr:sp macro="[0]!ЭтаКнига.Mass_detali" textlink="">
      <xdr:nvSpPr>
        <xdr:cNvPr id="26" name="Прямоугольник: скругленные угл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2028715" y="5812973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16</xdr:col>
      <xdr:colOff>54430</xdr:colOff>
      <xdr:row>32</xdr:row>
      <xdr:rowOff>0</xdr:rowOff>
    </xdr:from>
    <xdr:to>
      <xdr:col>18</xdr:col>
      <xdr:colOff>87086</xdr:colOff>
      <xdr:row>33</xdr:row>
      <xdr:rowOff>163286</xdr:rowOff>
    </xdr:to>
    <xdr:sp macro="[0]!ЭтаКнига.calc_start" textlink="">
      <xdr:nvSpPr>
        <xdr:cNvPr id="28" name="Прямоугольник: скругленные углы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2039601" y="6433457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</xdr:colOff>
          <xdr:row>31</xdr:row>
          <xdr:rowOff>7620</xdr:rowOff>
        </xdr:from>
        <xdr:to>
          <xdr:col>13</xdr:col>
          <xdr:colOff>38100</xdr:colOff>
          <xdr:row>32</xdr:row>
          <xdr:rowOff>45720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21771</xdr:colOff>
      <xdr:row>25</xdr:row>
      <xdr:rowOff>152400</xdr:rowOff>
    </xdr:from>
    <xdr:to>
      <xdr:col>15</xdr:col>
      <xdr:colOff>1230086</xdr:colOff>
      <xdr:row>28</xdr:row>
      <xdr:rowOff>119742</xdr:rowOff>
    </xdr:to>
    <xdr:sp macro="[0]!ЭтаКнига.Mass_relations" textlink="">
      <xdr:nvSpPr>
        <xdr:cNvPr id="52" name="Прямоугольник: скругленные углы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11310257" y="5138057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10884</xdr:colOff>
      <xdr:row>29</xdr:row>
      <xdr:rowOff>65314</xdr:rowOff>
    </xdr:from>
    <xdr:to>
      <xdr:col>15</xdr:col>
      <xdr:colOff>1251855</xdr:colOff>
      <xdr:row>31</xdr:row>
      <xdr:rowOff>54428</xdr:rowOff>
    </xdr:to>
    <xdr:sp macro="[0]!ЭтаКнига.Mass_detali" textlink="">
      <xdr:nvSpPr>
        <xdr:cNvPr id="53" name="Прямоугольник: скругленные углы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11299370" y="5856514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32656</xdr:colOff>
      <xdr:row>32</xdr:row>
      <xdr:rowOff>43543</xdr:rowOff>
    </xdr:from>
    <xdr:to>
      <xdr:col>15</xdr:col>
      <xdr:colOff>1230084</xdr:colOff>
      <xdr:row>34</xdr:row>
      <xdr:rowOff>10886</xdr:rowOff>
    </xdr:to>
    <xdr:sp macro="[0]!ЭтаКнига.calc_start" textlink="">
      <xdr:nvSpPr>
        <xdr:cNvPr id="54" name="Прямоугольник: скругленные углы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11321142" y="6433457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  <xdr:twoCellAnchor>
    <xdr:from>
      <xdr:col>11</xdr:col>
      <xdr:colOff>10886</xdr:colOff>
      <xdr:row>31</xdr:row>
      <xdr:rowOff>0</xdr:rowOff>
    </xdr:from>
    <xdr:to>
      <xdr:col>11</xdr:col>
      <xdr:colOff>1850574</xdr:colOff>
      <xdr:row>33</xdr:row>
      <xdr:rowOff>32657</xdr:rowOff>
    </xdr:to>
    <xdr:sp macro="[0]!btn_burt_vtulka_sbros" textlink="">
      <xdr:nvSpPr>
        <xdr:cNvPr id="55" name="Прямоугольник: скругленные углы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8109857" y="6193971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16</xdr:col>
      <xdr:colOff>26692</xdr:colOff>
      <xdr:row>11</xdr:row>
      <xdr:rowOff>16853</xdr:rowOff>
    </xdr:from>
    <xdr:to>
      <xdr:col>18</xdr:col>
      <xdr:colOff>76200</xdr:colOff>
      <xdr:row>26</xdr:row>
      <xdr:rowOff>29621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32149" y="2226653"/>
          <a:ext cx="1442880" cy="2984568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348342</xdr:colOff>
      <xdr:row>27</xdr:row>
      <xdr:rowOff>152400</xdr:rowOff>
    </xdr:from>
    <xdr:to>
      <xdr:col>18</xdr:col>
      <xdr:colOff>283027</xdr:colOff>
      <xdr:row>29</xdr:row>
      <xdr:rowOff>97972</xdr:rowOff>
    </xdr:to>
    <xdr:sp macro="[0]!ЭтаКнига.calc_start" textlink="">
      <xdr:nvSpPr>
        <xdr:cNvPr id="43" name="Прямоугольник: скругленные углы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10907485" y="5540829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  <xdr:twoCellAnchor>
    <xdr:from>
      <xdr:col>12</xdr:col>
      <xdr:colOff>21772</xdr:colOff>
      <xdr:row>30</xdr:row>
      <xdr:rowOff>54429</xdr:rowOff>
    </xdr:from>
    <xdr:to>
      <xdr:col>12</xdr:col>
      <xdr:colOff>1861460</xdr:colOff>
      <xdr:row>32</xdr:row>
      <xdr:rowOff>76201</xdr:rowOff>
    </xdr:to>
    <xdr:sp macro="[0]!btn_konus_vtulka_sbros" textlink="">
      <xdr:nvSpPr>
        <xdr:cNvPr id="44" name="Прямоугольник: скругленные углы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7641772" y="6052458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  <xdr:twoCellAnchor>
    <xdr:from>
      <xdr:col>15</xdr:col>
      <xdr:colOff>337454</xdr:colOff>
      <xdr:row>30</xdr:row>
      <xdr:rowOff>65316</xdr:rowOff>
    </xdr:from>
    <xdr:to>
      <xdr:col>18</xdr:col>
      <xdr:colOff>315682</xdr:colOff>
      <xdr:row>32</xdr:row>
      <xdr:rowOff>54430</xdr:rowOff>
    </xdr:to>
    <xdr:sp macro="[0]!ЭтаКнига.Mass_detali" textlink="">
      <xdr:nvSpPr>
        <xdr:cNvPr id="45" name="Прямоугольник: скругленные углы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0896597" y="6063345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26693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2669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± 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182880</xdr:colOff>
          <xdr:row>2</xdr:row>
          <xdr:rowOff>22860</xdr:rowOff>
        </xdr:from>
        <xdr:to>
          <xdr:col>16</xdr:col>
          <xdr:colOff>83820</xdr:colOff>
          <xdr:row>3</xdr:row>
          <xdr:rowOff>7620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87086</xdr:colOff>
      <xdr:row>0</xdr:row>
      <xdr:rowOff>108856</xdr:rowOff>
    </xdr:from>
    <xdr:to>
      <xdr:col>19</xdr:col>
      <xdr:colOff>576944</xdr:colOff>
      <xdr:row>3</xdr:row>
      <xdr:rowOff>65312</xdr:rowOff>
    </xdr:to>
    <xdr:sp macro="[0]!ЭтаКнига.Mass_relations" textlink="">
      <xdr:nvSpPr>
        <xdr:cNvPr id="22" name="Прямоугольник: скругленные углы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0733315" y="108856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17</xdr:col>
      <xdr:colOff>87086</xdr:colOff>
      <xdr:row>4</xdr:row>
      <xdr:rowOff>97970</xdr:rowOff>
    </xdr:from>
    <xdr:to>
      <xdr:col>19</xdr:col>
      <xdr:colOff>609600</xdr:colOff>
      <xdr:row>6</xdr:row>
      <xdr:rowOff>97970</xdr:rowOff>
    </xdr:to>
    <xdr:sp macro="[0]!ЭтаКнига.Mass_detali" textlink="">
      <xdr:nvSpPr>
        <xdr:cNvPr id="23" name="Прямоугольник: скругленные углы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0733315" y="914399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12</xdr:col>
      <xdr:colOff>54428</xdr:colOff>
      <xdr:row>40</xdr:row>
      <xdr:rowOff>152398</xdr:rowOff>
    </xdr:from>
    <xdr:to>
      <xdr:col>13</xdr:col>
      <xdr:colOff>174174</xdr:colOff>
      <xdr:row>42</xdr:row>
      <xdr:rowOff>163284</xdr:rowOff>
    </xdr:to>
    <xdr:sp macro="[0]!btn_centrob_sbros" textlink="">
      <xdr:nvSpPr>
        <xdr:cNvPr id="24" name="Прямоугольник: скругленные углы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6890657" y="8240484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360520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2983977" y="285845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604429</xdr:colOff>
      <xdr:row>24</xdr:row>
      <xdr:rowOff>79603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3227886" y="494551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350441</xdr:colOff>
      <xdr:row>18</xdr:row>
      <xdr:rowOff>150001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401412" y="378583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300046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2161503" y="3755240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</xdr:colOff>
      <xdr:row>0</xdr:row>
      <xdr:rowOff>195943</xdr:rowOff>
    </xdr:from>
    <xdr:to>
      <xdr:col>15</xdr:col>
      <xdr:colOff>413662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70576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414751</xdr:colOff>
      <xdr:row>0</xdr:row>
      <xdr:rowOff>197031</xdr:rowOff>
    </xdr:from>
    <xdr:to>
      <xdr:col>18</xdr:col>
      <xdr:colOff>545379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00465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546467</xdr:colOff>
      <xdr:row>0</xdr:row>
      <xdr:rowOff>198120</xdr:rowOff>
    </xdr:from>
    <xdr:to>
      <xdr:col>21</xdr:col>
      <xdr:colOff>546467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30353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547556</xdr:colOff>
      <xdr:row>0</xdr:row>
      <xdr:rowOff>199209</xdr:rowOff>
    </xdr:from>
    <xdr:to>
      <xdr:col>24</xdr:col>
      <xdr:colOff>449585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60242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>
    <xdr:from>
      <xdr:col>14</xdr:col>
      <xdr:colOff>87085</xdr:colOff>
      <xdr:row>15</xdr:row>
      <xdr:rowOff>87085</xdr:rowOff>
    </xdr:from>
    <xdr:to>
      <xdr:col>15</xdr:col>
      <xdr:colOff>457200</xdr:colOff>
      <xdr:row>18</xdr:row>
      <xdr:rowOff>54427</xdr:rowOff>
    </xdr:to>
    <xdr:sp macro="[0]!ЭтаКнига.Mass_relations" textlink="">
      <xdr:nvSpPr>
        <xdr:cNvPr id="39" name="Прямоугольник: скругленные углы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9557656" y="3102428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87085</xdr:colOff>
      <xdr:row>19</xdr:row>
      <xdr:rowOff>65314</xdr:rowOff>
    </xdr:from>
    <xdr:to>
      <xdr:col>15</xdr:col>
      <xdr:colOff>489856</xdr:colOff>
      <xdr:row>21</xdr:row>
      <xdr:rowOff>65313</xdr:rowOff>
    </xdr:to>
    <xdr:sp macro="[0]!ЭтаКнига.Mass_detali" textlink="">
      <xdr:nvSpPr>
        <xdr:cNvPr id="40" name="Прямоугольник: скругленные углы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9557656" y="3886200"/>
          <a:ext cx="1817914" cy="391884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11</xdr:col>
      <xdr:colOff>10885</xdr:colOff>
      <xdr:row>29</xdr:row>
      <xdr:rowOff>185056</xdr:rowOff>
    </xdr:from>
    <xdr:to>
      <xdr:col>12</xdr:col>
      <xdr:colOff>108858</xdr:colOff>
      <xdr:row>32</xdr:row>
      <xdr:rowOff>21771</xdr:rowOff>
    </xdr:to>
    <xdr:sp macro="[0]!btn_centrob_burt_sbros" textlink="">
      <xdr:nvSpPr>
        <xdr:cNvPr id="42" name="Прямоугольник: скругленные углы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6585856" y="6030685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  <xdr:twoCellAnchor>
    <xdr:from>
      <xdr:col>20</xdr:col>
      <xdr:colOff>152401</xdr:colOff>
      <xdr:row>15</xdr:row>
      <xdr:rowOff>21770</xdr:rowOff>
    </xdr:from>
    <xdr:to>
      <xdr:col>22</xdr:col>
      <xdr:colOff>185058</xdr:colOff>
      <xdr:row>17</xdr:row>
      <xdr:rowOff>43542</xdr:rowOff>
    </xdr:to>
    <xdr:sp macro="[0]!btn_select_cb_burt" textlink="">
      <xdr:nvSpPr>
        <xdr:cNvPr id="41" name="Прямоугольник: скругленные углы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3955487" y="3037113"/>
          <a:ext cx="1251857" cy="435429"/>
        </a:xfrm>
        <a:prstGeom prst="roundRect">
          <a:avLst/>
        </a:prstGeom>
        <a:gradFill>
          <a:gsLst>
            <a:gs pos="12000">
              <a:schemeClr val="accent1">
                <a:lumMod val="5000"/>
                <a:lumOff val="95000"/>
              </a:schemeClr>
            </a:gs>
            <a:gs pos="71000">
              <a:schemeClr val="accent1">
                <a:lumMod val="45000"/>
                <a:lumOff val="55000"/>
              </a:schemeClr>
            </a:gs>
            <a:gs pos="100000">
              <a:srgbClr val="00B050"/>
            </a:gs>
            <a:gs pos="100000">
              <a:srgbClr val="0070C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Выбрать</a:t>
          </a:r>
        </a:p>
      </xdr:txBody>
    </xdr:sp>
    <xdr:clientData/>
  </xdr:twoCellAnchor>
  <xdr:twoCellAnchor>
    <xdr:from>
      <xdr:col>22</xdr:col>
      <xdr:colOff>533400</xdr:colOff>
      <xdr:row>15</xdr:row>
      <xdr:rowOff>10886</xdr:rowOff>
    </xdr:from>
    <xdr:to>
      <xdr:col>24</xdr:col>
      <xdr:colOff>468086</xdr:colOff>
      <xdr:row>18</xdr:row>
      <xdr:rowOff>97971</xdr:rowOff>
    </xdr:to>
    <xdr:sp macro="[0]!btn_reset_filter_cb_burt" textlink="">
      <xdr:nvSpPr>
        <xdr:cNvPr id="43" name="Прямоугольник: скругленные углы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15555686" y="3026229"/>
          <a:ext cx="1251857" cy="696685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7000">
              <a:srgbClr val="FFFF00"/>
            </a:gs>
            <a:gs pos="100000">
              <a:srgbClr val="FF2929"/>
            </a:gs>
            <a:gs pos="0">
              <a:srgbClr val="FF000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Сброс фильтров</a:t>
          </a:r>
        </a:p>
        <a:p>
          <a:pPr algn="ctr"/>
          <a:endParaRPr lang="ru-RU" sz="1600" b="1">
            <a:solidFill>
              <a:sysClr val="windowText" lastClr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227074</xdr:colOff>
      <xdr:row>19</xdr:row>
      <xdr:rowOff>0</xdr:rowOff>
    </xdr:from>
    <xdr:to>
      <xdr:col>3</xdr:col>
      <xdr:colOff>227074</xdr:colOff>
      <xdr:row>25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236434</xdr:colOff>
      <xdr:row>31</xdr:row>
      <xdr:rowOff>0</xdr:rowOff>
    </xdr:from>
    <xdr:to>
      <xdr:col>3</xdr:col>
      <xdr:colOff>236434</xdr:colOff>
      <xdr:row>35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642731</xdr:colOff>
      <xdr:row>18</xdr:row>
      <xdr:rowOff>192157</xdr:rowOff>
    </xdr:from>
    <xdr:to>
      <xdr:col>8</xdr:col>
      <xdr:colOff>144728</xdr:colOff>
      <xdr:row>18</xdr:row>
      <xdr:rowOff>192157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485861" y="4015409"/>
          <a:ext cx="754328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100790</xdr:colOff>
      <xdr:row>19</xdr:row>
      <xdr:rowOff>8965</xdr:rowOff>
    </xdr:from>
    <xdr:to>
      <xdr:col>8</xdr:col>
      <xdr:colOff>102530</xdr:colOff>
      <xdr:row>25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337716</xdr:colOff>
      <xdr:row>25</xdr:row>
      <xdr:rowOff>12521</xdr:rowOff>
    </xdr:from>
    <xdr:to>
      <xdr:col>8</xdr:col>
      <xdr:colOff>146080</xdr:colOff>
      <xdr:row>25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1688</xdr:colOff>
      <xdr:row>24</xdr:row>
      <xdr:rowOff>142561</xdr:rowOff>
    </xdr:from>
    <xdr:to>
      <xdr:col>3</xdr:col>
      <xdr:colOff>5406</xdr:colOff>
      <xdr:row>28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217714</xdr:colOff>
      <xdr:row>25</xdr:row>
      <xdr:rowOff>18720</xdr:rowOff>
    </xdr:from>
    <xdr:to>
      <xdr:col>3</xdr:col>
      <xdr:colOff>227074</xdr:colOff>
      <xdr:row>27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227074</xdr:colOff>
      <xdr:row>26</xdr:row>
      <xdr:rowOff>152280</xdr:rowOff>
    </xdr:from>
    <xdr:to>
      <xdr:col>4</xdr:col>
      <xdr:colOff>124885</xdr:colOff>
      <xdr:row>26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26</xdr:row>
      <xdr:rowOff>152280</xdr:rowOff>
    </xdr:from>
    <xdr:to>
      <xdr:col>3</xdr:col>
      <xdr:colOff>18720</xdr:colOff>
      <xdr:row>26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26</xdr:row>
      <xdr:rowOff>152280</xdr:rowOff>
    </xdr:from>
    <xdr:to>
      <xdr:col>3</xdr:col>
      <xdr:colOff>227074</xdr:colOff>
      <xdr:row>26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709446</xdr:colOff>
      <xdr:row>24</xdr:row>
      <xdr:rowOff>147321</xdr:rowOff>
    </xdr:from>
    <xdr:to>
      <xdr:col>7</xdr:col>
      <xdr:colOff>0</xdr:colOff>
      <xdr:row>28</xdr:row>
      <xdr:rowOff>80961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>
          <a:off x="4543259" y="5181284"/>
          <a:ext cx="4929" cy="76231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5406</xdr:colOff>
      <xdr:row>28</xdr:row>
      <xdr:rowOff>0</xdr:rowOff>
    </xdr:from>
    <xdr:to>
      <xdr:col>6</xdr:col>
      <xdr:colOff>693233</xdr:colOff>
      <xdr:row>28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446056</xdr:colOff>
      <xdr:row>35</xdr:row>
      <xdr:rowOff>32263</xdr:rowOff>
    </xdr:from>
    <xdr:to>
      <xdr:col>8</xdr:col>
      <xdr:colOff>107657</xdr:colOff>
      <xdr:row>35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84035</xdr:colOff>
      <xdr:row>30</xdr:row>
      <xdr:rowOff>169834</xdr:rowOff>
    </xdr:from>
    <xdr:to>
      <xdr:col>8</xdr:col>
      <xdr:colOff>84035</xdr:colOff>
      <xdr:row>35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555518</xdr:colOff>
      <xdr:row>25</xdr:row>
      <xdr:rowOff>92808</xdr:rowOff>
    </xdr:from>
    <xdr:to>
      <xdr:col>1</xdr:col>
      <xdr:colOff>561277</xdr:colOff>
      <xdr:row>28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549964</xdr:colOff>
      <xdr:row>28</xdr:row>
      <xdr:rowOff>3717</xdr:rowOff>
    </xdr:from>
    <xdr:to>
      <xdr:col>2</xdr:col>
      <xdr:colOff>580186</xdr:colOff>
      <xdr:row>28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695738" y="5847926"/>
          <a:ext cx="593439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19</xdr:row>
      <xdr:rowOff>104760</xdr:rowOff>
    </xdr:from>
    <xdr:to>
      <xdr:col>9</xdr:col>
      <xdr:colOff>294840</xdr:colOff>
      <xdr:row>22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131404</xdr:colOff>
      <xdr:row>30</xdr:row>
      <xdr:rowOff>29202</xdr:rowOff>
    </xdr:from>
    <xdr:to>
      <xdr:col>9</xdr:col>
      <xdr:colOff>416884</xdr:colOff>
      <xdr:row>32</xdr:row>
      <xdr:rowOff>114522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955261" y="6201402"/>
          <a:ext cx="285480" cy="46632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26</xdr:row>
      <xdr:rowOff>18690</xdr:rowOff>
    </xdr:from>
    <xdr:to>
      <xdr:col>5</xdr:col>
      <xdr:colOff>448765</xdr:colOff>
      <xdr:row>28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25</xdr:row>
      <xdr:rowOff>19080</xdr:rowOff>
    </xdr:from>
    <xdr:to>
      <xdr:col>4</xdr:col>
      <xdr:colOff>482400</xdr:colOff>
      <xdr:row>27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</xdr:col>
      <xdr:colOff>322730</xdr:colOff>
      <xdr:row>18</xdr:row>
      <xdr:rowOff>8964</xdr:rowOff>
    </xdr:from>
    <xdr:to>
      <xdr:col>3</xdr:col>
      <xdr:colOff>8965</xdr:colOff>
      <xdr:row>18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18</xdr:row>
      <xdr:rowOff>8964</xdr:rowOff>
    </xdr:from>
    <xdr:to>
      <xdr:col>4</xdr:col>
      <xdr:colOff>0</xdr:colOff>
      <xdr:row>18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37</xdr:row>
      <xdr:rowOff>0</xdr:rowOff>
    </xdr:from>
    <xdr:to>
      <xdr:col>3</xdr:col>
      <xdr:colOff>53788</xdr:colOff>
      <xdr:row>37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35</xdr:row>
      <xdr:rowOff>57631</xdr:rowOff>
    </xdr:from>
    <xdr:to>
      <xdr:col>2</xdr:col>
      <xdr:colOff>367553</xdr:colOff>
      <xdr:row>37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28</xdr:row>
          <xdr:rowOff>220980</xdr:rowOff>
        </xdr:from>
        <xdr:to>
          <xdr:col>13</xdr:col>
          <xdr:colOff>76200</xdr:colOff>
          <xdr:row>30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27</xdr:row>
      <xdr:rowOff>35858</xdr:rowOff>
    </xdr:from>
    <xdr:to>
      <xdr:col>12</xdr:col>
      <xdr:colOff>1111623</xdr:colOff>
      <xdr:row>27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24</xdr:col>
      <xdr:colOff>231427</xdr:colOff>
      <xdr:row>1</xdr:row>
      <xdr:rowOff>62207</xdr:rowOff>
    </xdr:from>
    <xdr:to>
      <xdr:col>29</xdr:col>
      <xdr:colOff>547010</xdr:colOff>
      <xdr:row>20</xdr:row>
      <xdr:rowOff>74458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6505570" y="258150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2</xdr:col>
      <xdr:colOff>10511</xdr:colOff>
      <xdr:row>30</xdr:row>
      <xdr:rowOff>61425</xdr:rowOff>
    </xdr:from>
    <xdr:to>
      <xdr:col>3</xdr:col>
      <xdr:colOff>18130</xdr:colOff>
      <xdr:row>35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561277</xdr:colOff>
      <xdr:row>18</xdr:row>
      <xdr:rowOff>74676</xdr:rowOff>
    </xdr:from>
    <xdr:to>
      <xdr:col>3</xdr:col>
      <xdr:colOff>5406</xdr:colOff>
      <xdr:row>25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576942</xdr:colOff>
      <xdr:row>19</xdr:row>
      <xdr:rowOff>3752</xdr:rowOff>
    </xdr:from>
    <xdr:to>
      <xdr:col>6</xdr:col>
      <xdr:colOff>706820</xdr:colOff>
      <xdr:row>25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43542</xdr:colOff>
      <xdr:row>20</xdr:row>
      <xdr:rowOff>10886</xdr:rowOff>
    </xdr:from>
    <xdr:to>
      <xdr:col>6</xdr:col>
      <xdr:colOff>475706</xdr:colOff>
      <xdr:row>24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10884</xdr:colOff>
      <xdr:row>31</xdr:row>
      <xdr:rowOff>0</xdr:rowOff>
    </xdr:from>
    <xdr:to>
      <xdr:col>6</xdr:col>
      <xdr:colOff>685800</xdr:colOff>
      <xdr:row>35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32656</xdr:colOff>
      <xdr:row>32</xdr:row>
      <xdr:rowOff>21770</xdr:rowOff>
    </xdr:from>
    <xdr:to>
      <xdr:col>6</xdr:col>
      <xdr:colOff>460466</xdr:colOff>
      <xdr:row>34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22</xdr:row>
          <xdr:rowOff>30480</xdr:rowOff>
        </xdr:from>
        <xdr:to>
          <xdr:col>15</xdr:col>
          <xdr:colOff>114300</xdr:colOff>
          <xdr:row>24</xdr:row>
          <xdr:rowOff>22860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35</xdr:row>
      <xdr:rowOff>32658</xdr:rowOff>
    </xdr:from>
    <xdr:to>
      <xdr:col>6</xdr:col>
      <xdr:colOff>685800</xdr:colOff>
      <xdr:row>36</xdr:row>
      <xdr:rowOff>1</xdr:rowOff>
    </xdr:to>
    <xdr:sp macro="" textlink="">
      <xdr:nvSpPr>
        <xdr:cNvPr id="39" name="Холод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151915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21770</xdr:colOff>
      <xdr:row>1</xdr:row>
      <xdr:rowOff>54428</xdr:rowOff>
    </xdr:from>
    <xdr:to>
      <xdr:col>16</xdr:col>
      <xdr:colOff>261258</xdr:colOff>
      <xdr:row>13</xdr:row>
      <xdr:rowOff>152399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0170" y="250371"/>
              <a:ext cx="1828800" cy="24710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175256</xdr:colOff>
      <xdr:row>1</xdr:row>
      <xdr:rowOff>44626</xdr:rowOff>
    </xdr:from>
    <xdr:to>
      <xdr:col>23</xdr:col>
      <xdr:colOff>555168</xdr:colOff>
      <xdr:row>13</xdr:row>
      <xdr:rowOff>138515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5913" y="240569"/>
              <a:ext cx="1555569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263428</xdr:colOff>
      <xdr:row>1</xdr:row>
      <xdr:rowOff>45714</xdr:rowOff>
    </xdr:from>
    <xdr:to>
      <xdr:col>18</xdr:col>
      <xdr:colOff>478967</xdr:colOff>
      <xdr:row>13</xdr:row>
      <xdr:rowOff>139603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15199" y="241657"/>
              <a:ext cx="1510939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471349</xdr:colOff>
      <xdr:row>1</xdr:row>
      <xdr:rowOff>46803</xdr:rowOff>
    </xdr:from>
    <xdr:to>
      <xdr:col>21</xdr:col>
      <xdr:colOff>185056</xdr:colOff>
      <xdr:row>13</xdr:row>
      <xdr:rowOff>140692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18520" y="242746"/>
              <a:ext cx="1477193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>
    <xdr:from>
      <xdr:col>6</xdr:col>
      <xdr:colOff>631845</xdr:colOff>
      <xdr:row>30</xdr:row>
      <xdr:rowOff>170386</xdr:rowOff>
    </xdr:from>
    <xdr:to>
      <xdr:col>8</xdr:col>
      <xdr:colOff>133842</xdr:colOff>
      <xdr:row>30</xdr:row>
      <xdr:rowOff>170386</xdr:rowOff>
    </xdr:to>
    <xdr:sp macro="" textlink="">
      <xdr:nvSpPr>
        <xdr:cNvPr id="71" name="Line 83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>
        <a:xfrm>
          <a:off x="4474502" y="6342586"/>
          <a:ext cx="7538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32656</xdr:colOff>
      <xdr:row>29</xdr:row>
      <xdr:rowOff>185058</xdr:rowOff>
    </xdr:from>
    <xdr:to>
      <xdr:col>6</xdr:col>
      <xdr:colOff>696685</xdr:colOff>
      <xdr:row>30</xdr:row>
      <xdr:rowOff>163287</xdr:rowOff>
    </xdr:to>
    <xdr:sp macro="" textlink="">
      <xdr:nvSpPr>
        <xdr:cNvPr id="73" name="Холод2" hidden="1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>
        <a:xfrm>
          <a:off x="1328056" y="6161315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27214</xdr:colOff>
      <xdr:row>18</xdr:row>
      <xdr:rowOff>190500</xdr:rowOff>
    </xdr:from>
    <xdr:to>
      <xdr:col>7</xdr:col>
      <xdr:colOff>212270</xdr:colOff>
      <xdr:row>24</xdr:row>
      <xdr:rowOff>190500</xdr:rowOff>
    </xdr:to>
    <xdr:sp macro="" textlink="">
      <xdr:nvSpPr>
        <xdr:cNvPr id="74" name="Холод3" hidden="1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>
        <a:xfrm rot="5400000">
          <a:off x="4093027" y="4474030"/>
          <a:ext cx="1175657" cy="18505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717368</xdr:colOff>
      <xdr:row>31</xdr:row>
      <xdr:rowOff>5445</xdr:rowOff>
    </xdr:from>
    <xdr:to>
      <xdr:col>7</xdr:col>
      <xdr:colOff>183967</xdr:colOff>
      <xdr:row>35</xdr:row>
      <xdr:rowOff>17418</xdr:rowOff>
    </xdr:to>
    <xdr:sp macro="" textlink="">
      <xdr:nvSpPr>
        <xdr:cNvPr id="75" name="Холод4" hidden="1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>
        <a:xfrm rot="5400000">
          <a:off x="4265567" y="6755132"/>
          <a:ext cx="769618" cy="18505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10886</xdr:colOff>
      <xdr:row>14</xdr:row>
      <xdr:rowOff>185052</xdr:rowOff>
    </xdr:from>
    <xdr:to>
      <xdr:col>16</xdr:col>
      <xdr:colOff>402773</xdr:colOff>
      <xdr:row>17</xdr:row>
      <xdr:rowOff>163279</xdr:rowOff>
    </xdr:to>
    <xdr:sp macro="[0]!ЭтаКнига.Mass_relations" textlink="">
      <xdr:nvSpPr>
        <xdr:cNvPr id="70" name="Прямоугольник: скругленные углы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0069286" y="2950023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10886</xdr:colOff>
      <xdr:row>18</xdr:row>
      <xdr:rowOff>174166</xdr:rowOff>
    </xdr:from>
    <xdr:to>
      <xdr:col>16</xdr:col>
      <xdr:colOff>435429</xdr:colOff>
      <xdr:row>20</xdr:row>
      <xdr:rowOff>174166</xdr:rowOff>
    </xdr:to>
    <xdr:sp macro="[0]!ЭтаКнига.Mass_detali" textlink="">
      <xdr:nvSpPr>
        <xdr:cNvPr id="72" name="Прямоугольник: скругленные углы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>
        <a:xfrm>
          <a:off x="10069286" y="3733795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19</xdr:col>
      <xdr:colOff>130629</xdr:colOff>
      <xdr:row>15</xdr:row>
      <xdr:rowOff>32657</xdr:rowOff>
    </xdr:from>
    <xdr:to>
      <xdr:col>21</xdr:col>
      <xdr:colOff>206829</xdr:colOff>
      <xdr:row>17</xdr:row>
      <xdr:rowOff>65314</xdr:rowOff>
    </xdr:to>
    <xdr:sp macro="[0]!btn_Select_planka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3465629" y="2993571"/>
          <a:ext cx="1251857" cy="435429"/>
        </a:xfrm>
        <a:prstGeom prst="roundRect">
          <a:avLst/>
        </a:prstGeom>
        <a:gradFill>
          <a:gsLst>
            <a:gs pos="12000">
              <a:schemeClr val="accent1">
                <a:lumMod val="5000"/>
                <a:lumOff val="95000"/>
              </a:schemeClr>
            </a:gs>
            <a:gs pos="71000">
              <a:schemeClr val="accent1">
                <a:lumMod val="45000"/>
                <a:lumOff val="55000"/>
              </a:schemeClr>
            </a:gs>
            <a:gs pos="100000">
              <a:srgbClr val="00B050"/>
            </a:gs>
            <a:gs pos="100000">
              <a:srgbClr val="0070C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Выбрать</a:t>
          </a:r>
        </a:p>
      </xdr:txBody>
    </xdr:sp>
    <xdr:clientData/>
  </xdr:twoCellAnchor>
  <xdr:twoCellAnchor>
    <xdr:from>
      <xdr:col>21</xdr:col>
      <xdr:colOff>544286</xdr:colOff>
      <xdr:row>15</xdr:row>
      <xdr:rowOff>21772</xdr:rowOff>
    </xdr:from>
    <xdr:to>
      <xdr:col>24</xdr:col>
      <xdr:colOff>32657</xdr:colOff>
      <xdr:row>18</xdr:row>
      <xdr:rowOff>119742</xdr:rowOff>
    </xdr:to>
    <xdr:sp macro="[0]!btn_reset_filter_planka" textlink="">
      <xdr:nvSpPr>
        <xdr:cNvPr id="57" name="Прямоугольник: скругленные углы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>
          <a:off x="15054943" y="2982686"/>
          <a:ext cx="1251857" cy="696685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7000">
              <a:srgbClr val="FFFF00"/>
            </a:gs>
            <a:gs pos="100000">
              <a:srgbClr val="FF2929"/>
            </a:gs>
            <a:gs pos="0">
              <a:srgbClr val="FF000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Сброс фильтров</a:t>
          </a:r>
        </a:p>
        <a:p>
          <a:pPr algn="ctr"/>
          <a:endParaRPr lang="ru-RU" sz="1600" b="1">
            <a:solidFill>
              <a:sysClr val="windowText" lastClr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76200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3</xdr:col>
      <xdr:colOff>0</xdr:colOff>
      <xdr:row>39</xdr:row>
      <xdr:rowOff>0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14456"/>
          <a:ext cx="576943" cy="740230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0</xdr:colOff>
      <xdr:row>14</xdr:row>
      <xdr:rowOff>97974</xdr:rowOff>
    </xdr:from>
    <xdr:to>
      <xdr:col>16</xdr:col>
      <xdr:colOff>598714</xdr:colOff>
      <xdr:row>16</xdr:row>
      <xdr:rowOff>108859</xdr:rowOff>
    </xdr:to>
    <xdr:sp macro="[0]!ЭтаКнига.Mass_detali" textlink="">
      <xdr:nvSpPr>
        <xdr:cNvPr id="45" name="Прямоугольник: скругленные углы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/>
      </xdr:nvSpPr>
      <xdr:spPr>
        <a:xfrm>
          <a:off x="8490857" y="2754088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382589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55534" y="2555925"/>
          <a:ext cx="5209703" cy="350062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8975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421340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259978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263298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255135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27078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29181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29181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130628</xdr:colOff>
      <xdr:row>25</xdr:row>
      <xdr:rowOff>115010</xdr:rowOff>
    </xdr:from>
    <xdr:to>
      <xdr:col>99</xdr:col>
      <xdr:colOff>45437</xdr:colOff>
      <xdr:row>25</xdr:row>
      <xdr:rowOff>119743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997114" y="4806753"/>
          <a:ext cx="404667" cy="47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214895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233639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231274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234113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411598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392193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442363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391886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563117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114300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533399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  <xdr:oneCellAnchor>
    <xdr:from>
      <xdr:col>113</xdr:col>
      <xdr:colOff>205739</xdr:colOff>
      <xdr:row>13</xdr:row>
      <xdr:rowOff>85997</xdr:rowOff>
    </xdr:from>
    <xdr:ext cx="3871531" cy="3407229"/>
    <xdr:pic>
      <xdr:nvPicPr>
        <xdr:cNvPr id="78" name="Рисунок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8699" y="2501537"/>
          <a:ext cx="3871531" cy="3407229"/>
        </a:xfrm>
        <a:prstGeom prst="rect">
          <a:avLst/>
        </a:prstGeom>
      </xdr:spPr>
    </xdr:pic>
    <xdr:clientData/>
  </xdr:oneCellAnchor>
  <xdr:twoCellAnchor>
    <xdr:from>
      <xdr:col>114</xdr:col>
      <xdr:colOff>522263</xdr:colOff>
      <xdr:row>22</xdr:row>
      <xdr:rowOff>25205</xdr:rowOff>
    </xdr:from>
    <xdr:to>
      <xdr:col>115</xdr:col>
      <xdr:colOff>252632</xdr:colOff>
      <xdr:row>22</xdr:row>
      <xdr:rowOff>25205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>
          <a:off x="74344823" y="4101905"/>
          <a:ext cx="28662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495887</xdr:colOff>
      <xdr:row>22</xdr:row>
      <xdr:rowOff>25205</xdr:rowOff>
    </xdr:from>
    <xdr:to>
      <xdr:col>118</xdr:col>
      <xdr:colOff>173502</xdr:colOff>
      <xdr:row>22</xdr:row>
      <xdr:rowOff>25205</xdr:rowOff>
    </xdr:to>
    <xdr:cxnSp macro="">
      <xdr:nvCxnSpPr>
        <xdr:cNvPr id="99" name="Прямая соединительная линия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/>
      </xdr:nvCxnSpPr>
      <xdr:spPr>
        <a:xfrm>
          <a:off x="76383467" y="4101905"/>
          <a:ext cx="28721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122</xdr:col>
      <xdr:colOff>457199</xdr:colOff>
      <xdr:row>14</xdr:row>
      <xdr:rowOff>108857</xdr:rowOff>
    </xdr:from>
    <xdr:to>
      <xdr:col>128</xdr:col>
      <xdr:colOff>62048</xdr:colOff>
      <xdr:row>32</xdr:row>
      <xdr:rowOff>108858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41913" y="2754086"/>
          <a:ext cx="4125686" cy="3363686"/>
        </a:xfrm>
        <a:prstGeom prst="rect">
          <a:avLst/>
        </a:prstGeom>
      </xdr:spPr>
    </xdr:pic>
    <xdr:clientData/>
  </xdr:twoCellAnchor>
  <xdr:twoCellAnchor>
    <xdr:from>
      <xdr:col>10</xdr:col>
      <xdr:colOff>478971</xdr:colOff>
      <xdr:row>0</xdr:row>
      <xdr:rowOff>174171</xdr:rowOff>
    </xdr:from>
    <xdr:to>
      <xdr:col>10</xdr:col>
      <xdr:colOff>838200</xdr:colOff>
      <xdr:row>10</xdr:row>
      <xdr:rowOff>65313</xdr:rowOff>
    </xdr:to>
    <xdr:sp macro="[0]!ЭтаКнига.calc_start" textlink="">
      <xdr:nvSpPr>
        <xdr:cNvPr id="95" name="Прямоугольник: скругленные углы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>
        <a:xfrm rot="16200000">
          <a:off x="6270171" y="881742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0</xdr:colOff>
      <xdr:row>9</xdr:row>
      <xdr:rowOff>0</xdr:rowOff>
    </xdr:from>
    <xdr:to>
      <xdr:col>19</xdr:col>
      <xdr:colOff>417739</xdr:colOff>
      <xdr:row>11</xdr:row>
      <xdr:rowOff>29935</xdr:rowOff>
    </xdr:to>
    <xdr:sp macro="[0]!ЭтаКнига.Mass_detali" textlink="">
      <xdr:nvSpPr>
        <xdr:cNvPr id="46" name="Прямоугольник: скругленные углы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/>
      </xdr:nvSpPr>
      <xdr:spPr>
        <a:xfrm>
          <a:off x="8839200" y="1704975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17</xdr:col>
      <xdr:colOff>19050</xdr:colOff>
      <xdr:row>11</xdr:row>
      <xdr:rowOff>171450</xdr:rowOff>
    </xdr:from>
    <xdr:to>
      <xdr:col>19</xdr:col>
      <xdr:colOff>428625</xdr:colOff>
      <xdr:row>13</xdr:row>
      <xdr:rowOff>159204</xdr:rowOff>
    </xdr:to>
    <xdr:sp macro="[0]!ЭтаКнига.calc_start" textlink="">
      <xdr:nvSpPr>
        <xdr:cNvPr id="48" name="Прямоугольник: скругленные углы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SpPr/>
      </xdr:nvSpPr>
      <xdr:spPr>
        <a:xfrm>
          <a:off x="8858250" y="2238375"/>
          <a:ext cx="1809750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  <xdr:twoCellAnchor>
    <xdr:from>
      <xdr:col>14</xdr:col>
      <xdr:colOff>28575</xdr:colOff>
      <xdr:row>30</xdr:row>
      <xdr:rowOff>28575</xdr:rowOff>
    </xdr:from>
    <xdr:to>
      <xdr:col>15</xdr:col>
      <xdr:colOff>468088</xdr:colOff>
      <xdr:row>32</xdr:row>
      <xdr:rowOff>91168</xdr:rowOff>
    </xdr:to>
    <xdr:sp macro="[0]!btn_bandaj_reset" textlink="">
      <xdr:nvSpPr>
        <xdr:cNvPr id="49" name="Прямоугольник: скругленные углы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/>
      </xdr:nvSpPr>
      <xdr:spPr>
        <a:xfrm>
          <a:off x="6457950" y="5610225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18</xdr:row>
      <xdr:rowOff>15240</xdr:rowOff>
    </xdr:from>
    <xdr:to>
      <xdr:col>3</xdr:col>
      <xdr:colOff>0</xdr:colOff>
      <xdr:row>20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7620</xdr:rowOff>
    </xdr:from>
    <xdr:to>
      <xdr:col>7</xdr:col>
      <xdr:colOff>7620</xdr:colOff>
      <xdr:row>20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20</xdr:row>
      <xdr:rowOff>7620</xdr:rowOff>
    </xdr:from>
    <xdr:to>
      <xdr:col>3</xdr:col>
      <xdr:colOff>7620</xdr:colOff>
      <xdr:row>23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19</xdr:row>
      <xdr:rowOff>167640</xdr:rowOff>
    </xdr:from>
    <xdr:to>
      <xdr:col>7</xdr:col>
      <xdr:colOff>7620</xdr:colOff>
      <xdr:row>22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20</xdr:row>
      <xdr:rowOff>7620</xdr:rowOff>
    </xdr:from>
    <xdr:to>
      <xdr:col>2</xdr:col>
      <xdr:colOff>0</xdr:colOff>
      <xdr:row>25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20</xdr:row>
      <xdr:rowOff>38100</xdr:rowOff>
    </xdr:from>
    <xdr:to>
      <xdr:col>8</xdr:col>
      <xdr:colOff>0</xdr:colOff>
      <xdr:row>25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22</xdr:row>
      <xdr:rowOff>0</xdr:rowOff>
    </xdr:from>
    <xdr:to>
      <xdr:col>7</xdr:col>
      <xdr:colOff>15240</xdr:colOff>
      <xdr:row>22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25</xdr:row>
      <xdr:rowOff>0</xdr:rowOff>
    </xdr:from>
    <xdr:to>
      <xdr:col>8</xdr:col>
      <xdr:colOff>8965</xdr:colOff>
      <xdr:row>25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18</xdr:row>
      <xdr:rowOff>0</xdr:rowOff>
    </xdr:from>
    <xdr:to>
      <xdr:col>8</xdr:col>
      <xdr:colOff>441960</xdr:colOff>
      <xdr:row>18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20</xdr:row>
      <xdr:rowOff>0</xdr:rowOff>
    </xdr:from>
    <xdr:to>
      <xdr:col>8</xdr:col>
      <xdr:colOff>449580</xdr:colOff>
      <xdr:row>20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17</xdr:row>
      <xdr:rowOff>175260</xdr:rowOff>
    </xdr:from>
    <xdr:to>
      <xdr:col>8</xdr:col>
      <xdr:colOff>411480</xdr:colOff>
      <xdr:row>20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18</xdr:row>
      <xdr:rowOff>1</xdr:rowOff>
    </xdr:from>
    <xdr:to>
      <xdr:col>3</xdr:col>
      <xdr:colOff>4355</xdr:colOff>
      <xdr:row>20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3705</xdr:colOff>
      <xdr:row>17</xdr:row>
      <xdr:rowOff>194021</xdr:rowOff>
    </xdr:from>
    <xdr:to>
      <xdr:col>7</xdr:col>
      <xdr:colOff>732817</xdr:colOff>
      <xdr:row>19</xdr:row>
      <xdr:rowOff>189068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4129391" y="3296450"/>
          <a:ext cx="729112" cy="38693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18</xdr:row>
      <xdr:rowOff>4354</xdr:rowOff>
    </xdr:from>
    <xdr:to>
      <xdr:col>6</xdr:col>
      <xdr:colOff>701040</xdr:colOff>
      <xdr:row>18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189068</xdr:rowOff>
    </xdr:from>
    <xdr:to>
      <xdr:col>7</xdr:col>
      <xdr:colOff>366409</xdr:colOff>
      <xdr:row>20</xdr:row>
      <xdr:rowOff>7045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2593" y="3683382"/>
          <a:ext cx="3209502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17</xdr:row>
      <xdr:rowOff>44824</xdr:rowOff>
    </xdr:from>
    <xdr:to>
      <xdr:col>5</xdr:col>
      <xdr:colOff>8965</xdr:colOff>
      <xdr:row>21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192100</xdr:rowOff>
    </xdr:from>
    <xdr:to>
      <xdr:col>7</xdr:col>
      <xdr:colOff>729575</xdr:colOff>
      <xdr:row>21</xdr:row>
      <xdr:rowOff>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132171" y="3686414"/>
          <a:ext cx="723090" cy="19978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20</xdr:row>
      <xdr:rowOff>17929</xdr:rowOff>
    </xdr:from>
    <xdr:to>
      <xdr:col>3</xdr:col>
      <xdr:colOff>4355</xdr:colOff>
      <xdr:row>20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0</xdr:colOff>
      <xdr:row>13</xdr:row>
      <xdr:rowOff>0</xdr:rowOff>
    </xdr:from>
    <xdr:to>
      <xdr:col>13</xdr:col>
      <xdr:colOff>108857</xdr:colOff>
      <xdr:row>15</xdr:row>
      <xdr:rowOff>10885</xdr:rowOff>
    </xdr:to>
    <xdr:sp macro="[0]!ЭтаКнига.Mass_detali" textlink="">
      <xdr:nvSpPr>
        <xdr:cNvPr id="23" name="Прямоугольник: скругленные углы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6411686" y="2525486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786063</xdr:colOff>
      <xdr:row>31</xdr:row>
      <xdr:rowOff>32085</xdr:rowOff>
    </xdr:from>
    <xdr:to>
      <xdr:col>32</xdr:col>
      <xdr:colOff>1171073</xdr:colOff>
      <xdr:row>31</xdr:row>
      <xdr:rowOff>36095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CxnSpPr/>
      </xdr:nvCxnSpPr>
      <xdr:spPr>
        <a:xfrm flipV="1">
          <a:off x="17580543" y="4436445"/>
          <a:ext cx="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0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7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1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" xr16:uid="{F77BB107-64B8-49FD-9273-C58B758F8104}" autoFormatId="16" applyNumberFormats="0" applyBorderFormats="0" applyFontFormats="0" applyPatternFormats="0" applyAlignmentFormats="0" applyWidthHeightFormats="0">
  <queryTableRefresh nextId="8">
    <queryTableFields count="6">
      <queryTableField id="1" name="Dвн (внутренний)" tableColumnId="1"/>
      <queryTableField id="2" name="L (длина)" tableColumnId="2"/>
      <queryTableField id="3" name="Dпос (посадочный)" tableColumnId="3"/>
      <queryTableField id="6" name="Dц (посадка на ц/б машину)" tableColumnId="6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4" xr16:uid="{87D259D2-DB5A-45E1-84AB-0A7D5439F76A}" autoFormatId="16" applyNumberFormats="0" applyBorderFormats="0" applyFontFormats="0" applyPatternFormats="0" applyAlignmentFormats="0" applyWidthHeightFormats="0">
  <queryTableRefresh nextId="11">
    <queryTableFields count="8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8" name="Dц (посадка на ц/б машину)" tableColumnId="7"/>
      <queryTableField id="6" name="Номер чертежа" tableColumnId="6"/>
      <queryTableField id="9" name="Column8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9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8" xr16:uid="{71990D4C-AA5D-4DE5-A4C0-723A5CF9824D}" autoFormatId="16" applyNumberFormats="0" applyBorderFormats="0" applyFontFormats="0" applyPatternFormats="0" applyAlignmentFormats="0" applyWidthHeightFormats="0">
  <queryTableRefresh nextId="9">
    <queryTableFields count="8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8" dataBound="0" tableColumnId="8"/>
      <queryTableField id="7" name="Масса прибыли (БрА9Ж3Л), кг" tableColumnId="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5" xr16:uid="{02EDD743-52D4-40D2-8669-459F88830010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103"/>
    <tableColumn id="13" xr3:uid="{4325A253-7B5A-4ED1-B040-BAC2A1DB905F}" uniqueName="13" name="Д3" queryTableFieldId="13" dataDxfId="102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101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100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9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8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7"/>
    <tableColumn id="6" xr3:uid="{286882C6-2579-4E89-B3A0-191FE684D279}" uniqueName="6" name="Д.приб1" queryTableFieldId="6"/>
    <tableColumn id="7" xr3:uid="{5280AC5E-BA0C-4CFB-B5B9-08BC6C87D010}" uniqueName="7" name="Д.приб2" queryTableFieldId="7" dataDxfId="96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5"/>
    <tableColumn id="11" xr3:uid="{EA45EACD-42C8-4198-A437-32AA9BDC6750}" uniqueName="11" name="Толщ. щели" queryTableFieldId="11" dataDxfId="94"/>
    <tableColumn id="12" xr3:uid="{8C526EC5-7C4A-40F3-BCE0-62018326DA0A}" uniqueName="12" name="Опоки" queryTableFieldId="12" dataDxfId="9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92" dataDxfId="90" headerRowBorderDxfId="91" tableBorderDxfId="89">
  <autoFilter ref="O3:X13" xr:uid="{ABE37560-84C1-4D05-8D7E-960A33F276C2}"/>
  <tableColumns count="10">
    <tableColumn id="1" xr3:uid="{FB8420C4-BEA7-49A5-B768-6F4E5EA55D62}" name="№" dataDxfId="88"/>
    <tableColumn id="2" xr3:uid="{19531669-B118-462A-9055-792C183002DF}" name="L1" dataDxfId="87"/>
    <tableColumn id="3" xr3:uid="{5205A32A-EDB3-48A3-A1EF-0838E201EFD7}" name="H" dataDxfId="86"/>
    <tableColumn id="4" xr3:uid="{D1BDD49C-F02B-4D13-81BC-9F1D1DD2888F}" name="L2" dataDxfId="85"/>
    <tableColumn id="5" xr3:uid="{E816B15D-8AA0-412A-8A66-84CE595758B3}" name="L3" dataDxfId="84"/>
    <tableColumn id="6" xr3:uid="{247423F3-EA36-4ADC-B14A-05E4EC8AEEFB}" name="L12" dataDxfId="83"/>
    <tableColumn id="7" xr3:uid="{4DACD352-4E5F-4FA2-9C39-A4B9FC33C7AE}" name="h3" dataDxfId="82"/>
    <tableColumn id="8" xr3:uid="{490A7770-1C62-44E6-B9D4-EFBCF24557C5}" name="L4" dataDxfId="81"/>
    <tableColumn id="9" xr3:uid="{7CD5C006-C72C-4837-A606-F929C678C6F9}" name="L5" dataDxfId="80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79">
  <autoFilter ref="Q3:Y15" xr:uid="{8B5C5945-2911-4E90-8276-1FE71A2857E5}"/>
  <tableColumns count="9">
    <tableColumn id="1" xr3:uid="{3D418DE6-CB7E-4E9F-8937-CD60DFB79DA5}" name="Чертеж" dataDxfId="78">
      <calculatedColumnFormula>Таблицы!AQ90</calculatedColumnFormula>
    </tableColumn>
    <tableColumn id="2" xr3:uid="{184AC7AD-15D2-4E52-B3B3-BEA8476997C6}" name="Диам. нар." dataDxfId="77">
      <calculatedColumnFormula>Таблицы!AR90</calculatedColumnFormula>
    </tableColumn>
    <tableColumn id="3" xr3:uid="{BF9225B2-D01A-4C50-B94B-56332F0657DA}" name="Диам. внутр." dataDxfId="76">
      <calculatedColumnFormula>Таблицы!AS90</calculatedColumnFormula>
    </tableColumn>
    <tableColumn id="4" xr3:uid="{D630243F-EC88-400F-9601-841CC175E673}" name="высота" dataDxfId="75">
      <calculatedColumnFormula>Таблицы!AT90</calculatedColumnFormula>
    </tableColumn>
    <tableColumn id="5" xr3:uid="{E9C6917D-4495-49F5-9A6C-02F96575B8B2}" name="Масса д." dataDxfId="74">
      <calculatedColumnFormula>Таблицы!AU90</calculatedColumnFormula>
    </tableColumn>
    <tableColumn id="6" xr3:uid="{E64E474C-1431-4B5A-9D43-A44E4F6985DD}" name="черная" dataDxfId="73">
      <calculatedColumnFormula>Таблицы!AV90</calculatedColumnFormula>
    </tableColumn>
    <tableColumn id="7" xr3:uid="{970965E1-F8A0-45ED-8160-9F6788FCA53B}" name="жидкая" dataDxfId="72">
      <calculatedColumnFormula>Таблицы!AW90</calculatedColumnFormula>
    </tableColumn>
    <tableColumn id="8" xr3:uid="{960D0E11-0648-4C7C-B61F-81E4035AB850}" name="М/З" dataDxfId="71">
      <calculatedColumnFormula>Таблицы!AX90</calculatedColumnFormula>
    </tableColumn>
    <tableColumn id="9" xr3:uid="{7B407D08-5962-40E3-992A-509CBA9FB2A3}" name="комментарии" dataDxfId="70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26:Q40" totalsRowShown="0">
  <autoFilter ref="N26:Q40" xr:uid="{D772B752-CC56-40E5-B312-A328B62F0598}"/>
  <tableColumns count="4">
    <tableColumn id="1" xr3:uid="{29B0E7B5-7C7F-4597-9113-C5FA8D76583B}" name="Марка" dataDxfId="69" dataCellStyle="Excel Built-in Output"/>
    <tableColumn id="2" xr3:uid="{3905A58D-595A-428E-A540-39AC00788316}" name="толщ&lt;50" dataDxfId="68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67" headerRowCellStyle="Excel Built-in Output">
  <autoFilter ref="A2:J27" xr:uid="{40A72277-3E05-495F-8057-29C648031D96}"/>
  <tableColumns count="10">
    <tableColumn id="1" xr3:uid="{F99723D2-C577-4F57-9AD9-A99219A291CB}" name="Марка" dataDxfId="66"/>
    <tableColumn id="2" xr3:uid="{BD0E6219-9483-48F0-87DC-936106267111}" name="Толщ. стенки-0-15" dataDxfId="65" dataCellStyle="Excel Built-in Output"/>
    <tableColumn id="3" xr3:uid="{8C6CF5F7-2AE2-4BFF-988E-F17F3AF52F6F}" name="16-40" dataDxfId="64" dataCellStyle="Excel Built-in Output"/>
    <tableColumn id="4" xr3:uid="{DE715179-FAB7-40B9-A67C-43143E6EF517}" name="Более 40" dataDxfId="63" dataCellStyle="Excel Built-in Output"/>
    <tableColumn id="5" xr3:uid="{CFDDE62C-8600-4526-BB2D-64FA5A15BC83}" name="Более 50" dataDxfId="62" dataCellStyle="Excel Built-in Output"/>
    <tableColumn id="6" xr3:uid="{04E84829-187A-49B3-BD40-40290909C1E1}" name="Столбец2" dataDxfId="61" dataCellStyle="Excel Built-in Output"/>
    <tableColumn id="7" xr3:uid="{34A1EF87-E45E-4615-BFC0-2309852755D0}" name="До 1,9т." dataDxfId="60"/>
    <tableColumn id="8" xr3:uid="{FA839FFB-618E-4E95-88BE-1047F83C39E5}" name="тип лит.сист." dataDxfId="59" dataCellStyle="Excel Built-in Output"/>
    <tableColumn id="9" xr3:uid="{1E4797F3-D86D-4CDB-BA96-D421FCFF99EA}" name="Плотность" dataDxfId="58"/>
    <tableColumn id="10" xr3:uid="{3F94B0F0-0905-40F2-8454-084944A34FA4}" name="коэфф. Прибыли" dataDxfId="5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M67:R85" totalsRowShown="0" headerRowDxfId="56" dataDxfId="55" tableBorderDxfId="54">
  <autoFilter ref="M67:R85" xr:uid="{C7472005-B59F-465A-89ED-76F3EACD6101}"/>
  <tableColumns count="6">
    <tableColumn id="1" xr3:uid="{20EE8319-695C-4902-977D-D3D7B79F46DB}" name="№ строки" dataDxfId="53"/>
    <tableColumn id="2" xr3:uid="{94568FFA-0BF4-4907-9328-0B2127FBAE89}" name="h, мм." dataDxfId="52"/>
    <tableColumn id="3" xr3:uid="{E850BC01-1E48-447B-BC96-D2084F4047B9}" name="β, °" dataDxfId="51"/>
    <tableColumn id="4" xr3:uid="{E90632FB-0A74-4323-B942-462A5A390814}" name="мм." dataDxfId="50"/>
    <tableColumn id="5" xr3:uid="{F5F7DB8B-B68E-4EFC-9C4F-190ED97545A1}" name="β, °2" dataDxfId="49"/>
    <tableColumn id="6" xr3:uid="{29D1C7CC-1AA1-4C8C-92EE-C35DB479ACA5}" name="мм.3" dataDxfId="4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47" dataDxfId="46">
  <autoFilter ref="N2:P22" xr:uid="{F347DB60-A93D-48EA-B0F1-C6DCBB2EF377}"/>
  <tableColumns count="3">
    <tableColumn id="1" xr3:uid="{B4A3BE2B-E82E-477F-B67B-2022B6A1041F}" name="Ø посадки" dataDxfId="45"/>
    <tableColumn id="2" xr3:uid="{36D52F42-0E2A-4E96-988B-09525E26AED4}" name="№ чертежа" dataDxfId="44"/>
    <tableColumn id="3" xr3:uid="{38B10D72-CABE-41C5-9CE7-2A83CB46DE40}" name="Примечения" dataDxfId="4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X99:AC109" totalsRowShown="0" headerRowDxfId="42" dataDxfId="40" headerRowBorderDxfId="41" tableBorderDxfId="39">
  <autoFilter ref="X99:AC109" xr:uid="{A70F0A00-79A4-4E79-A1AD-FCE5731B1DF7}"/>
  <tableColumns count="6">
    <tableColumn id="1" xr3:uid="{1365FCB2-B316-4552-93A3-D2DF145C85F7}" name="Размер1" dataDxfId="38"/>
    <tableColumn id="2" xr3:uid="{9B53C081-DCA1-48B8-9986-D6DDEF8B8F92}" name="Размер2" dataDxfId="37"/>
    <tableColumn id="3" xr3:uid="{695FEF5E-E1A6-492B-A0D4-98BFF4E5C7EC}" name="Опока" dataDxfId="36"/>
    <tableColumn id="4" xr3:uid="{175E4652-494C-4A50-B01F-441B41E73AD4}" name="Рамка1" dataDxfId="35"/>
    <tableColumn id="5" xr3:uid="{A8091F1A-AADA-4670-A470-AB42DC02CEAE}" name="Рамка2" dataDxfId="34"/>
    <tableColumn id="6" xr3:uid="{F1CD7376-98F3-4F6F-B775-B61F3DB127C8}" name="Рамка3" dataDxfId="3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1" tableType="queryTable" totalsRowShown="0">
  <autoFilter ref="AD1:AN131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1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19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6" totalsRowShown="0">
  <autoFilter ref="BP2:BQ186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CA1154" tableType="queryTable" totalsRowShown="0">
  <autoFilter ref="BV1:CA1154" xr:uid="{9D69ADE2-BD1B-4D4D-96A4-DF32CB1B8B06}"/>
  <tableColumns count="6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6" xr3:uid="{BF7426F6-650F-4701-8E68-9CAA6E925F75}" uniqueName="6" name="Dц (посадка на ц/б машину)" queryTableFieldId="6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3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D1:CK141" tableType="queryTable" totalsRowShown="0">
  <autoFilter ref="CD1:CK141" xr:uid="{16111CA7-75D9-4AF8-A6E2-1658426F8CCF}"/>
  <tableColumns count="8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 dataDxfId="2"/>
    <tableColumn id="4" xr3:uid="{55D230AD-468B-4F1C-B3A9-A1EEF5BDABF8}" uniqueName="4" name="L1" queryTableFieldId="4"/>
    <tableColumn id="5" xr3:uid="{F3BD8BB1-7136-4DCF-BC0E-97F603E1457C}" uniqueName="5" name="Dпос (посадочный)" queryTableFieldId="5" dataDxfId="1"/>
    <tableColumn id="7" xr3:uid="{6045FA6B-B741-44EF-BE3B-170EDD633F54}" uniqueName="7" name="Dц (посадка на ц/б машину)" queryTableFieldId="8"/>
    <tableColumn id="6" xr3:uid="{0B4F5DAD-1A60-456D-BEFD-E7F9DBAEC5E8}" uniqueName="6" name="Номер чертежа" queryTableFieldId="6"/>
    <tableColumn id="8" xr3:uid="{3AB43573-7D59-4E37-B279-CCC471285CB2}" uniqueName="8" name="Column8" queryTableFieldId="9" dataDxfId="0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2" tableType="queryTable" totalsRowShown="0">
  <autoFilter ref="A1:P152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31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30"/>
    <tableColumn id="15" xr3:uid="{3632C3B1-6CB4-47D4-83E9-8EA697000CDD}" uniqueName="15" name="М/завалка" queryTableFieldId="15" dataDxfId="29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6" tableType="queryTable" totalsRowShown="0">
  <autoFilter ref="S1:X126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28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27"/>
    <tableColumn id="8" xr3:uid="{3A610A50-ACBA-4388-B2B3-A81CD0F95223}" uniqueName="8" name="комментарии" queryTableFieldId="8" dataDxfId="26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N62:CU69" tableType="queryTable" totalsRowShown="0">
  <autoFilter ref="CN62:CU69" xr:uid="{D66F6778-8059-44AB-906A-012FFC9B1F84}"/>
  <tableColumns count="8">
    <tableColumn id="1" xr3:uid="{72F0B355-07BE-49A7-8B0B-8F2BF08EABF6}" uniqueName="1" name="№ чертежа" queryTableFieldId="1" dataDxfId="25"/>
    <tableColumn id="2" xr3:uid="{BCC0EC00-7F1E-41CB-9C7F-9713C6AECCC0}" uniqueName="2" name="Ø пос. мм" queryTableFieldId="2" dataDxfId="24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8" xr3:uid="{6BBF2828-0996-42DB-8A6A-70FD3B0343B9}" uniqueName="8" name="Столбец1" queryTableFieldId="8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21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20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338764B-29B7-4519-8F62-ADBA8A114D5B}" name="Изложницы" displayName="Изложницы" ref="CN1:CS45" tableType="queryTable" totalsRowShown="0">
  <autoFilter ref="CN1:CS45" xr:uid="{DD2150E4-817E-493E-B974-3185DE6E2F44}"/>
  <tableColumns count="6">
    <tableColumn id="1" xr3:uid="{5615AA5A-07C3-4720-B8D3-FD6E67178213}" uniqueName="1" name="Диаметр кокиля" queryTableFieldId="1"/>
    <tableColumn id="2" xr3:uid="{0EC243A6-4B49-4972-8DD8-D9E734D07AC9}" uniqueName="2" name="Диаметр у прибыли" queryTableFieldId="2"/>
    <tableColumn id="3" xr3:uid="{0ADE76A2-0603-4F19-AF64-4EE476457C84}" uniqueName="3" name="Длина" queryTableFieldId="3"/>
    <tableColumn id="4" xr3:uid="{3B5F2982-1F06-4911-A3CB-B705ABA92942}" uniqueName="4" name="Диам. Посадки для надставки" queryTableFieldId="4"/>
    <tableColumn id="5" xr3:uid="{124723D8-E624-4290-9081-BFC188CCD4E3}" uniqueName="5" name="Примечания" queryTableFieldId="5" dataDxfId="23"/>
    <tableColumn id="6" xr3:uid="{65E01B34-B167-43B6-81FE-7150DA27734A}" uniqueName="6" name="№ чертежа" queryTableFieldId="6" dataDxfId="2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microsoft.com/office/2007/relationships/slicer" Target="../slicers/slicer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11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10.xml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8.vml"/><Relationship Id="rId7" Type="http://schemas.openxmlformats.org/officeDocument/2006/relationships/table" Target="../tables/table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V111"/>
  <sheetViews>
    <sheetView showGridLines="0" zoomScale="70" zoomScaleNormal="70" zoomScalePageLayoutView="40" workbookViewId="0">
      <selection activeCell="Y15" sqref="Y15"/>
    </sheetView>
  </sheetViews>
  <sheetFormatPr defaultColWidth="8.5546875" defaultRowHeight="15.6" x14ac:dyDescent="0.3"/>
  <cols>
    <col min="1" max="1" width="2.6640625" style="412" customWidth="1"/>
    <col min="2" max="2" width="5.109375" style="412" customWidth="1"/>
    <col min="3" max="3" width="8.5546875" style="412"/>
    <col min="4" max="4" width="9.33203125" style="412" customWidth="1"/>
    <col min="5" max="5" width="11.44140625" style="412" customWidth="1"/>
    <col min="6" max="6" width="14.33203125" style="412" customWidth="1"/>
    <col min="7" max="7" width="10.77734375" style="412" customWidth="1"/>
    <col min="8" max="8" width="14.77734375" style="412" customWidth="1"/>
    <col min="9" max="9" width="13.5546875" style="412" customWidth="1"/>
    <col min="10" max="10" width="10.44140625" style="412" customWidth="1"/>
    <col min="11" max="11" width="8.77734375" style="412" customWidth="1"/>
    <col min="12" max="12" width="15.6640625" style="412" customWidth="1"/>
    <col min="13" max="13" width="3.88671875" style="412" customWidth="1"/>
    <col min="14" max="14" width="29" style="412" customWidth="1"/>
    <col min="15" max="15" width="12.21875" style="412" customWidth="1"/>
    <col min="16" max="16" width="4.109375" style="412" customWidth="1"/>
    <col min="17" max="17" width="8" style="412" customWidth="1"/>
    <col min="18" max="18" width="16.88671875" style="412" customWidth="1"/>
    <col min="19" max="19" width="9.21875" style="412" customWidth="1"/>
    <col min="20" max="20" width="9.33203125" style="412" customWidth="1"/>
    <col min="21" max="21" width="9.88671875" style="412" customWidth="1"/>
    <col min="22" max="22" width="18.88671875" style="412" customWidth="1"/>
    <col min="23" max="16384" width="8.5546875" style="412"/>
  </cols>
  <sheetData>
    <row r="1" spans="1:22" ht="16.2" thickBot="1" x14ac:dyDescent="0.35">
      <c r="A1" s="900"/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 t="s">
        <v>309</v>
      </c>
      <c r="P1" s="424"/>
      <c r="Q1" s="424"/>
      <c r="R1" s="424"/>
      <c r="S1" s="424"/>
      <c r="T1" s="424"/>
      <c r="U1" s="424"/>
      <c r="V1" s="424"/>
    </row>
    <row r="2" spans="1:22" ht="16.2" thickBot="1" x14ac:dyDescent="0.35">
      <c r="A2" s="900"/>
      <c r="B2" s="955"/>
      <c r="C2" s="956"/>
      <c r="D2" s="956"/>
      <c r="E2" s="956"/>
      <c r="F2" s="956" t="s">
        <v>0</v>
      </c>
      <c r="G2" s="956"/>
      <c r="H2" s="956"/>
      <c r="I2" s="956"/>
      <c r="J2" s="956"/>
      <c r="K2" s="956"/>
      <c r="L2" s="957" t="s">
        <v>790</v>
      </c>
      <c r="N2" s="1399" t="s">
        <v>74</v>
      </c>
      <c r="O2" s="1400"/>
      <c r="P2" s="424"/>
      <c r="Q2" s="1994" t="s">
        <v>1005</v>
      </c>
      <c r="R2" s="1995"/>
      <c r="S2" s="1996"/>
      <c r="T2" s="1282">
        <f t="array" ref="T2">MIN(IF(Втулки1[Диаметр2]:Втулки1[Диаметр2]&gt;=ROUNDDOWN((O3+O11*2)/0.985,0),Втулки1[Диаметр2]))</f>
        <v>180</v>
      </c>
      <c r="U2" s="1366"/>
      <c r="V2" s="424"/>
    </row>
    <row r="3" spans="1:22" x14ac:dyDescent="0.3">
      <c r="A3" s="900"/>
      <c r="B3" s="923"/>
      <c r="C3" s="924" t="s">
        <v>1</v>
      </c>
      <c r="D3" s="924"/>
      <c r="E3" s="924"/>
      <c r="F3" s="924"/>
      <c r="G3" s="925"/>
      <c r="H3" s="925"/>
      <c r="I3" s="924"/>
      <c r="J3" s="926" t="s">
        <v>327</v>
      </c>
      <c r="K3" s="1421"/>
      <c r="L3" s="1626">
        <f>IF(O17=0,0,VLOOKUP(O17,Втулки1[],3,0))</f>
        <v>0</v>
      </c>
      <c r="N3" s="968" t="s">
        <v>985</v>
      </c>
      <c r="O3" s="1378"/>
      <c r="P3" s="424"/>
      <c r="Q3" s="1408" t="s">
        <v>545</v>
      </c>
      <c r="R3" s="1406" t="s">
        <v>625</v>
      </c>
      <c r="S3" s="1406" t="s">
        <v>177</v>
      </c>
      <c r="T3" s="1406" t="s">
        <v>77</v>
      </c>
      <c r="U3" s="1406" t="s">
        <v>1604</v>
      </c>
      <c r="V3" s="1951" t="s">
        <v>1278</v>
      </c>
    </row>
    <row r="4" spans="1:22" x14ac:dyDescent="0.3">
      <c r="A4" s="900"/>
      <c r="B4" s="928"/>
      <c r="C4" s="900" t="s">
        <v>981</v>
      </c>
      <c r="D4" s="900"/>
      <c r="E4" s="900"/>
      <c r="F4" s="900"/>
      <c r="G4" s="921"/>
      <c r="H4" s="529"/>
      <c r="I4" s="900"/>
      <c r="J4" s="900" t="s">
        <v>560</v>
      </c>
      <c r="K4" s="1287">
        <f>O19</f>
        <v>6</v>
      </c>
      <c r="L4" s="1420">
        <f>IF(O17=0,O21,VLOOKUP(O17,Втулки1[],9,0))</f>
        <v>50</v>
      </c>
      <c r="N4" s="968" t="s">
        <v>986</v>
      </c>
      <c r="O4" s="1378"/>
      <c r="P4" s="424"/>
      <c r="Q4" s="1409" t="str">
        <f>IFERROR(INDEX(Втулки1[],MATCH($T$2,Втулки1[Диаметр2],0)-4,1),"")</f>
        <v/>
      </c>
      <c r="R4" s="1409" t="str">
        <f>IFERROR(INDEX(Втулки1[],MATCH($T$2,Втулки1[Диаметр2],0)-4,3),"")</f>
        <v/>
      </c>
      <c r="S4" s="1409" t="str">
        <f>IFERROR(INDEX(Втулки1[],MATCH($T$2,Втулки1[Диаметр2],0)-4,7),"")</f>
        <v/>
      </c>
      <c r="T4" s="1409" t="str">
        <f>IFERROR(INDEX(Втулки1[],MATCH($T$2,Втулки1[Диаметр2],0)-4,9),"")</f>
        <v/>
      </c>
      <c r="U4" s="1409" t="str">
        <f>IFERROR(INDEX(Втулки1[],MATCH($T$2,Втулки1[Диаметр2],0)-4,12),"")</f>
        <v/>
      </c>
      <c r="V4" s="1952" t="e">
        <f>IF(INDEX(Втулки1[],MATCH(S4,Втулки1[Диаметр2],0),4)&lt;&gt;0,"Модель с буртом!","")</f>
        <v>#N/A</v>
      </c>
    </row>
    <row r="5" spans="1:22" x14ac:dyDescent="0.3">
      <c r="A5" s="900"/>
      <c r="B5" s="928"/>
      <c r="C5" s="900" t="s">
        <v>3</v>
      </c>
      <c r="D5" s="900"/>
      <c r="E5" s="900"/>
      <c r="F5" s="900"/>
      <c r="G5" s="421"/>
      <c r="H5" s="529"/>
      <c r="I5" s="900"/>
      <c r="J5" s="929" t="s">
        <v>982</v>
      </c>
      <c r="K5" s="1422"/>
      <c r="L5" s="1642">
        <f>IF(O18=0,0,VLOOKUP(O18,Ст_ящики[],2,0))</f>
        <v>0</v>
      </c>
      <c r="N5" s="968" t="s">
        <v>5</v>
      </c>
      <c r="O5" s="1378"/>
      <c r="P5" s="424"/>
      <c r="Q5" s="1409" t="str">
        <f>IFERROR(INDEX(Втулки1[],MATCH($T$2,Втулки1[Диаметр2],0)-3,1),"")</f>
        <v/>
      </c>
      <c r="R5" s="1409" t="str">
        <f>IFERROR(INDEX(Втулки1[],MATCH($T$2,Втулки1[Диаметр2],0)-3,3),"")</f>
        <v/>
      </c>
      <c r="S5" s="1409" t="str">
        <f>IFERROR(INDEX(Втулки1[],MATCH($T$2,Втулки1[Диаметр2],0)-3,7),"")</f>
        <v/>
      </c>
      <c r="T5" s="1409" t="str">
        <f>IFERROR(INDEX(Втулки1[],MATCH($T$2,Втулки1[Диаметр2],0)-3,9),"")</f>
        <v/>
      </c>
      <c r="U5" s="1409" t="str">
        <f>IFERROR(INDEX(Втулки1[],MATCH($T$2,Втулки1[Диаметр2],0)-3,12),"")</f>
        <v/>
      </c>
      <c r="V5" s="1953" t="e">
        <f>IF(INDEX(Втулки1[],MATCH(S5,Втулки1[Диаметр2],0),4)&lt;&gt;0,"Модель с буртом!","")</f>
        <v>#N/A</v>
      </c>
    </row>
    <row r="6" spans="1:22" ht="15" customHeight="1" thickBot="1" x14ac:dyDescent="0.35">
      <c r="A6" s="900"/>
      <c r="B6" s="930"/>
      <c r="C6" s="931" t="s">
        <v>7</v>
      </c>
      <c r="D6" s="931"/>
      <c r="E6" s="931"/>
      <c r="F6" s="931"/>
      <c r="G6" s="1071"/>
      <c r="H6" s="1072"/>
      <c r="I6" s="931"/>
      <c r="J6" s="932"/>
      <c r="K6" s="1721" t="str">
        <f>S23</f>
        <v/>
      </c>
      <c r="L6" s="1419" t="str">
        <f>IF(O18=0,T23,VLOOKUP(O18,Ст_ящики[],4,0))</f>
        <v/>
      </c>
      <c r="N6" s="968" t="s">
        <v>953</v>
      </c>
      <c r="O6" s="1378">
        <v>1</v>
      </c>
      <c r="P6" s="424"/>
      <c r="Q6" s="1409" t="str">
        <f>IFERROR(INDEX(Втулки1[],MATCH($T$2,Втулки1[Диаметр2],0)-2,1),"")</f>
        <v/>
      </c>
      <c r="R6" s="1409" t="str">
        <f>IFERROR(INDEX(Втулки1[],MATCH($T$2,Втулки1[Диаметр2],0)-2,3),"")</f>
        <v/>
      </c>
      <c r="S6" s="1409" t="str">
        <f>IFERROR(INDEX(Втулки1[],MATCH($T$2,Втулки1[Диаметр2],0)-2,7),"")</f>
        <v/>
      </c>
      <c r="T6" s="1409" t="str">
        <f>IFERROR(INDEX(Втулки1[],MATCH($T$2,Втулки1[Диаметр2],0)-2,9),"")</f>
        <v/>
      </c>
      <c r="U6" s="1409" t="str">
        <f>IFERROR(INDEX(Втулки1[],MATCH($T$2,Втулки1[Диаметр2],0)-2,12),"")</f>
        <v/>
      </c>
      <c r="V6" s="1953" t="e">
        <f>IF(INDEX(Втулки1[],MATCH(S6,Втулки1[Диаметр2],0),4)&lt;&gt;0,"Модель с буртом!","")</f>
        <v>#N/A</v>
      </c>
    </row>
    <row r="7" spans="1:22" x14ac:dyDescent="0.3">
      <c r="A7" s="900"/>
      <c r="B7" s="923"/>
      <c r="C7" s="924"/>
      <c r="D7" s="924"/>
      <c r="E7" s="924"/>
      <c r="F7" s="924"/>
      <c r="G7" s="925"/>
      <c r="H7" s="1861"/>
      <c r="I7" s="924"/>
      <c r="J7" s="924"/>
      <c r="K7" s="924"/>
      <c r="L7" s="949"/>
      <c r="N7" s="969" t="s">
        <v>15</v>
      </c>
      <c r="O7" s="1625">
        <f>((O3*O3-O4*O4)*3.1415926*O5*O9)/4000000</f>
        <v>0</v>
      </c>
      <c r="P7" s="424"/>
      <c r="Q7" s="1409">
        <f>IFERROR(INDEX(Втулки1[],MATCH($T$2,Втулки1[Диаметр2],0)-1,1),"")</f>
        <v>6</v>
      </c>
      <c r="R7" s="1409" t="str">
        <f>IFERROR(INDEX(Втулки1[],MATCH($T$2,Втулки1[Диаметр2],0)-1,3),"")</f>
        <v>1245-44Л</v>
      </c>
      <c r="S7" s="1409">
        <f>IFERROR(INDEX(Втулки1[],MATCH($T$2,Втулки1[Диаметр2],0)-1,7),"")</f>
        <v>285</v>
      </c>
      <c r="T7" s="1409">
        <f>IFERROR(INDEX(Втулки1[],MATCH($T$2,Втулки1[Диаметр2],0)-1,9),"")</f>
        <v>410</v>
      </c>
      <c r="U7" s="1409">
        <f>IFERROR(INDEX(Втулки1[],MATCH($T$2,Втулки1[Диаметр2],0)-1,12),"")</f>
        <v>100</v>
      </c>
      <c r="V7" s="1953" t="str">
        <f>IF(INDEX(Втулки1[],MATCH(S7,Втулки1[Диаметр2],0),4)&lt;&gt;0,"Модель с буртом!","")</f>
        <v>Модель с буртом!</v>
      </c>
    </row>
    <row r="8" spans="1:22" ht="16.2" thickBot="1" x14ac:dyDescent="0.35">
      <c r="A8" s="900"/>
      <c r="B8" s="928"/>
      <c r="C8" s="900" t="s">
        <v>12</v>
      </c>
      <c r="D8" s="900"/>
      <c r="E8" s="900"/>
      <c r="F8" s="900"/>
      <c r="G8" s="934" t="s">
        <v>20</v>
      </c>
      <c r="H8" s="529"/>
      <c r="I8" s="935"/>
      <c r="J8" s="421"/>
      <c r="K8" s="421" t="s">
        <v>894</v>
      </c>
      <c r="L8" s="936" t="e">
        <f>ROUND(G9/G11,2)</f>
        <v>#DIV/0!</v>
      </c>
      <c r="N8" s="1370" t="s">
        <v>988</v>
      </c>
      <c r="O8" s="1379"/>
      <c r="P8" s="941"/>
      <c r="Q8" s="1410">
        <f>IFERROR(INDEX(Втулки1[],MATCH($T$2,Втулки1[Диаметр2],0),1),"")</f>
        <v>1</v>
      </c>
      <c r="R8" s="1410" t="str">
        <f>IFERROR(INDEX(Втулки1[],MATCH($T$2,Втулки1[Диаметр2],0),3),"")</f>
        <v>1500.433</v>
      </c>
      <c r="S8" s="1410">
        <f>IFERROR(INDEX(Втулки1[],MATCH($T$2,Втулки1[Диаметр2],0),7),"")</f>
        <v>180</v>
      </c>
      <c r="T8" s="1410">
        <f>IFERROR(INDEX(Втулки1[],MATCH($T$2,Втулки1[Диаметр2],0),9),"")</f>
        <v>965</v>
      </c>
      <c r="U8" s="1410">
        <f>IFERROR(INDEX(Втулки1[],MATCH($T$2,Втулки1[Диаметр2],0),12),"")</f>
        <v>140</v>
      </c>
      <c r="V8" s="1953" t="str">
        <f>IF(INDEX(Втулки1[],MATCH(S8,Втулки1[Диаметр2],0),4)&lt;&gt;0,"Модель с буртом!","")</f>
        <v/>
      </c>
    </row>
    <row r="9" spans="1:22" ht="16.2" thickBot="1" x14ac:dyDescent="0.35">
      <c r="A9" s="900"/>
      <c r="B9" s="928"/>
      <c r="C9" s="900" t="s">
        <v>15</v>
      </c>
      <c r="D9" s="900"/>
      <c r="E9" s="900"/>
      <c r="F9" s="900"/>
      <c r="G9" s="921">
        <f>IF(O8&lt;&gt;0,O8,ОкруглОТНОС(O7))</f>
        <v>0</v>
      </c>
      <c r="H9" s="921"/>
      <c r="I9" s="529"/>
      <c r="J9" s="421"/>
      <c r="K9" s="421"/>
      <c r="L9" s="936"/>
      <c r="N9" s="1371" t="s">
        <v>8</v>
      </c>
      <c r="O9" s="1380">
        <f>VLOOKUP(G8,Марка_металла[],9,0)</f>
        <v>9.3000000000000007</v>
      </c>
      <c r="Q9" s="1409">
        <f>IFERROR(INDEX(Втулки1[],MATCH($T$2,Втулки1[Диаметр2],0)+1,1),"")</f>
        <v>2</v>
      </c>
      <c r="R9" s="1409" t="str">
        <f>IFERROR(INDEX(Втулки1[],MATCH($T$2,Втулки1[Диаметр2],0)+1,3),"")</f>
        <v>1500.003</v>
      </c>
      <c r="S9" s="1409">
        <f>IFERROR(INDEX(Втулки1[],MATCH($T$2,Втулки1[Диаметр2],0)+1,7),"")</f>
        <v>180</v>
      </c>
      <c r="T9" s="1409">
        <f>IFERROR(INDEX(Втулки1[],MATCH($T$2,Втулки1[Диаметр2],0)+1,9),"")</f>
        <v>1030</v>
      </c>
      <c r="U9" s="1409">
        <f>IFERROR(INDEX(Втулки1[],MATCH($T$2,Втулки1[Диаметр2],0)+1,12),"")</f>
        <v>150</v>
      </c>
      <c r="V9" s="1953" t="str">
        <f>IF(INDEX(Втулки1[],MATCH(S9,Втулки1[Диаметр2],0),4)&lt;&gt;0,"Модель с буртом!","")</f>
        <v/>
      </c>
    </row>
    <row r="10" spans="1:22" x14ac:dyDescent="0.3">
      <c r="A10" s="900"/>
      <c r="B10" s="928"/>
      <c r="C10" s="900" t="s">
        <v>17</v>
      </c>
      <c r="D10" s="900"/>
      <c r="E10" s="900"/>
      <c r="F10" s="900"/>
      <c r="G10" s="940">
        <f>ОкруглОТНОС(O25)</f>
        <v>0</v>
      </c>
      <c r="H10" s="940"/>
      <c r="I10" s="900"/>
      <c r="J10" s="421"/>
      <c r="K10" s="421" t="s">
        <v>18</v>
      </c>
      <c r="L10" s="936">
        <f>ROUND(G9/G17,2)</f>
        <v>0</v>
      </c>
      <c r="M10" s="530"/>
      <c r="N10" s="1372" t="s">
        <v>742</v>
      </c>
      <c r="O10" s="1381"/>
      <c r="Q10" s="1409">
        <f>IFERROR(INDEX(Втулки1[],MATCH($T$2,Втулки1[Диаметр2],0)+2,1),"")</f>
        <v>3</v>
      </c>
      <c r="R10" s="1409" t="str">
        <f>IFERROR(INDEX(Втулки1[],MATCH($T$2,Втулки1[Диаметр2],0)+2,3),"")</f>
        <v>1500.402</v>
      </c>
      <c r="S10" s="1409">
        <f>IFERROR(INDEX(Втулки1[],MATCH($T$2,Втулки1[Диаметр2],0)+2,7),"")</f>
        <v>185</v>
      </c>
      <c r="T10" s="1409">
        <f>IFERROR(INDEX(Втулки1[],MATCH($T$2,Втулки1[Диаметр2],0)+2,9),"")</f>
        <v>755</v>
      </c>
      <c r="U10" s="1409">
        <f>IFERROR(INDEX(Втулки1[],MATCH($T$2,Втулки1[Диаметр2],0)+2,12),"")</f>
        <v>150</v>
      </c>
      <c r="V10" s="1953" t="str">
        <f>IF(INDEX(Втулки1[],MATCH(S10,Втулки1[Диаметр2],0),4)&lt;&gt;0,"Модель с буртом!","")</f>
        <v/>
      </c>
    </row>
    <row r="11" spans="1:22" x14ac:dyDescent="0.3">
      <c r="A11" s="900"/>
      <c r="B11" s="928"/>
      <c r="C11" s="900" t="s">
        <v>70</v>
      </c>
      <c r="D11" s="900"/>
      <c r="E11" s="900"/>
      <c r="F11" s="900"/>
      <c r="G11" s="921">
        <f>ROUND(G10/G18,0)</f>
        <v>0</v>
      </c>
      <c r="H11" s="921"/>
      <c r="I11" s="900"/>
      <c r="J11" s="421"/>
      <c r="K11" s="421"/>
      <c r="L11" s="936"/>
      <c r="N11" s="1259" t="s">
        <v>1725</v>
      </c>
      <c r="O11" s="1382" t="str">
        <f>Данные!X40</f>
        <v xml:space="preserve">3 </v>
      </c>
      <c r="Q11" s="1409">
        <f>IFERROR(INDEX(Втулки1[],MATCH($T$2,Втулки1[Диаметр2],0)+3,1),"")</f>
        <v>4</v>
      </c>
      <c r="R11" s="1409" t="str">
        <f>IFERROR(INDEX(Втулки1[],MATCH($T$2,Втулки1[Диаметр2],0)+3,3),"")</f>
        <v>63-НА-0517</v>
      </c>
      <c r="S11" s="1409">
        <f>IFERROR(INDEX(Втулки1[],MATCH($T$2,Втулки1[Диаметр2],0)+3,7),"")</f>
        <v>225</v>
      </c>
      <c r="T11" s="1409">
        <f>IFERROR(INDEX(Втулки1[],MATCH($T$2,Втулки1[Диаметр2],0)+3,9),"")</f>
        <v>1010</v>
      </c>
      <c r="U11" s="1409">
        <f>IFERROR(INDEX(Втулки1[],MATCH($T$2,Втулки1[Диаметр2],0)+3,12),"")</f>
        <v>180</v>
      </c>
      <c r="V11" s="1954" t="str">
        <f>IF(INDEX(Втулки1[],MATCH(S11,Втулки1[Диаметр2],0),4)&lt;&gt;0,"Модель с буртом!","")</f>
        <v/>
      </c>
    </row>
    <row r="12" spans="1:22" x14ac:dyDescent="0.3">
      <c r="A12" s="900"/>
      <c r="B12" s="928"/>
      <c r="C12" s="900" t="s">
        <v>19</v>
      </c>
      <c r="D12" s="900"/>
      <c r="E12" s="900"/>
      <c r="F12" s="900"/>
      <c r="G12" s="940">
        <f>ROUNDUP(O26,0)</f>
        <v>1</v>
      </c>
      <c r="H12" s="940"/>
      <c r="I12" s="900"/>
      <c r="J12" s="900"/>
      <c r="K12" s="900"/>
      <c r="L12" s="936"/>
      <c r="N12" s="1263" t="s">
        <v>941</v>
      </c>
      <c r="O12" s="1382" t="str">
        <f>Данные!Y40</f>
        <v xml:space="preserve">4 </v>
      </c>
      <c r="Q12" s="1415"/>
      <c r="R12" s="1416"/>
      <c r="S12" s="1417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417"/>
      <c r="U12" s="1418"/>
    </row>
    <row r="13" spans="1:22" x14ac:dyDescent="0.3">
      <c r="A13" s="900"/>
      <c r="B13" s="928"/>
      <c r="C13" s="937" t="s">
        <v>275</v>
      </c>
      <c r="D13" s="937"/>
      <c r="E13" s="937"/>
      <c r="F13" s="900"/>
      <c r="G13" s="921">
        <f>ROUNDUP(O27,0)</f>
        <v>10</v>
      </c>
      <c r="H13" s="921"/>
      <c r="I13" s="900"/>
      <c r="J13" s="900"/>
      <c r="K13" s="900"/>
      <c r="L13" s="936"/>
      <c r="N13" s="1263" t="s">
        <v>942</v>
      </c>
      <c r="O13" s="1382" t="str">
        <f>Данные!Z40</f>
        <v xml:space="preserve"> 4</v>
      </c>
      <c r="Q13" s="947"/>
      <c r="R13" s="947"/>
      <c r="S13" s="564"/>
      <c r="T13" s="564"/>
      <c r="U13" s="564"/>
    </row>
    <row r="14" spans="1:22" x14ac:dyDescent="0.3">
      <c r="A14" s="900"/>
      <c r="B14" s="928"/>
      <c r="C14" s="900" t="s">
        <v>22</v>
      </c>
      <c r="D14" s="900"/>
      <c r="E14" s="900"/>
      <c r="F14" s="900"/>
      <c r="G14" s="940">
        <f>G10+G12+G13</f>
        <v>11</v>
      </c>
      <c r="H14" s="940"/>
      <c r="I14" s="900"/>
      <c r="J14" s="938"/>
      <c r="K14" s="938"/>
      <c r="L14" s="933"/>
      <c r="N14" s="1263" t="s">
        <v>743</v>
      </c>
      <c r="O14" s="1382">
        <f>IF(O6&gt;1,Данные!U41,0)</f>
        <v>0</v>
      </c>
      <c r="Q14" s="1927" t="s">
        <v>1011</v>
      </c>
      <c r="R14" s="1912"/>
      <c r="S14" s="1913"/>
      <c r="T14" s="1925">
        <f t="array" ref="T14">MAX(IF(Ст_ящики[Диаметр]:Ст_ящики[Диаметр]&lt;=ROUNDDOWN((O4-O13*2)/0.994,0),Ст_ящики[Диаметр]))</f>
        <v>0</v>
      </c>
      <c r="U14" s="1926"/>
    </row>
    <row r="15" spans="1:22" ht="16.2" thickBot="1" x14ac:dyDescent="0.35">
      <c r="A15" s="900"/>
      <c r="B15" s="928"/>
      <c r="C15" s="900" t="s">
        <v>24</v>
      </c>
      <c r="D15" s="900"/>
      <c r="E15" s="900"/>
      <c r="F15" s="900"/>
      <c r="G15" s="921">
        <f>ROUNDUP(G14/G18,0)</f>
        <v>11</v>
      </c>
      <c r="H15" s="921"/>
      <c r="I15" s="900"/>
      <c r="J15" s="1287"/>
      <c r="K15" s="1287"/>
      <c r="L15" s="933"/>
      <c r="N15" s="1264" t="s">
        <v>899</v>
      </c>
      <c r="O15" s="1383">
        <f>IF(AND(O9&gt;=8.7,G8&lt;&gt;"БрО10Ф1"),40,37)</f>
        <v>40</v>
      </c>
      <c r="P15" s="1266"/>
      <c r="Q15" s="1407" t="s">
        <v>545</v>
      </c>
      <c r="R15" s="1406" t="s">
        <v>625</v>
      </c>
      <c r="S15" s="1406" t="s">
        <v>177</v>
      </c>
      <c r="T15" s="1406" t="s">
        <v>77</v>
      </c>
      <c r="U15" s="1406" t="s">
        <v>1013</v>
      </c>
    </row>
    <row r="16" spans="1:22" ht="16.2" thickBot="1" x14ac:dyDescent="0.35">
      <c r="A16" s="900"/>
      <c r="B16" s="928"/>
      <c r="C16" s="900" t="s">
        <v>27</v>
      </c>
      <c r="D16" s="900"/>
      <c r="E16" s="900"/>
      <c r="F16" s="900"/>
      <c r="G16" s="921">
        <f>ROUND(G14*1.04,0)</f>
        <v>11</v>
      </c>
      <c r="H16" s="921"/>
      <c r="I16" s="900"/>
      <c r="J16" s="900"/>
      <c r="K16" s="900"/>
      <c r="L16" s="936"/>
      <c r="N16" s="1369" t="s">
        <v>327</v>
      </c>
      <c r="O16" s="1384"/>
      <c r="P16" s="1266"/>
      <c r="Q16" s="1364" t="str">
        <f>IFERROR(INDEX(Ст_ящики[],MATCH($T$14,Ст_ящики[Диаметр],0)-4,1),"")</f>
        <v/>
      </c>
      <c r="R16" s="1364" t="str">
        <f>IFERROR(INDEX(Ст_ящики[],MATCH($T$14,Ст_ящики[Диаметр],0)-4,2),"")</f>
        <v/>
      </c>
      <c r="S16" s="1364" t="str">
        <f>IFERROR(INDEX(Ст_ящики[],MATCH($T$14,Ст_ящики[Диаметр],0)-4,3),"")</f>
        <v/>
      </c>
      <c r="T16" s="1364" t="str">
        <f>IFERROR(INDEX(Ст_ящики[],MATCH($T$14,Ст_ящики[Диаметр],0)-4,4),"")</f>
        <v/>
      </c>
      <c r="U16" s="1364" t="str">
        <f>IFERROR(INDEX(Ст_ящики[],MATCH($T$14,Ст_ящики[Диаметр],0)-4,5),"")</f>
        <v/>
      </c>
    </row>
    <row r="17" spans="1:22" ht="15" customHeight="1" x14ac:dyDescent="0.3">
      <c r="A17" s="900"/>
      <c r="B17" s="928"/>
      <c r="C17" s="900" t="s">
        <v>29</v>
      </c>
      <c r="D17" s="900"/>
      <c r="E17" s="900"/>
      <c r="F17" s="900"/>
      <c r="G17" s="921">
        <f>ROUNDUP(G16/G18,0)</f>
        <v>11</v>
      </c>
      <c r="H17" s="921"/>
      <c r="I17" s="900"/>
      <c r="J17" s="900"/>
      <c r="K17" s="900"/>
      <c r="L17" s="936"/>
      <c r="N17" s="1402" t="s">
        <v>1277</v>
      </c>
      <c r="O17" s="1401"/>
      <c r="P17" s="424"/>
      <c r="Q17" s="1364" t="str">
        <f>IFERROR(INDEX(Ст_ящики[],MATCH($T$14,Ст_ящики[Диаметр],0)-3,1),"")</f>
        <v/>
      </c>
      <c r="R17" s="1364" t="str">
        <f>IFERROR(INDEX(Ст_ящики[],MATCH($T$14,Ст_ящики[Диаметр],0)-3,2),"")</f>
        <v/>
      </c>
      <c r="S17" s="1364" t="str">
        <f>IFERROR(INDEX(Ст_ящики[],MATCH($T$14,Ст_ящики[Диаметр],0)-3,3),"")</f>
        <v/>
      </c>
      <c r="T17" s="1364" t="str">
        <f>IFERROR(INDEX(Ст_ящики[],MATCH($T$14,Ст_ящики[Диаметр],0)-3,4),"")</f>
        <v/>
      </c>
      <c r="U17" s="1364" t="str">
        <f>IFERROR(INDEX(Ст_ящики[],MATCH($T$14,Ст_ящики[Диаметр],0)-3,5),"")</f>
        <v/>
      </c>
    </row>
    <row r="18" spans="1:22" ht="16.2" thickBot="1" x14ac:dyDescent="0.35">
      <c r="A18" s="900"/>
      <c r="B18" s="928"/>
      <c r="C18" s="900" t="s">
        <v>31</v>
      </c>
      <c r="D18" s="900"/>
      <c r="E18" s="900"/>
      <c r="F18" s="900"/>
      <c r="G18" s="421">
        <f>G19*G20</f>
        <v>1</v>
      </c>
      <c r="H18" s="421"/>
      <c r="I18" s="900"/>
      <c r="J18" s="900"/>
      <c r="K18" s="900"/>
      <c r="L18" s="936"/>
      <c r="N18" s="1392" t="s">
        <v>1639</v>
      </c>
      <c r="O18" s="1403"/>
      <c r="P18" s="424"/>
      <c r="Q18" s="1364" t="str">
        <f>IFERROR(INDEX(Ст_ящики[],MATCH($T$14,Ст_ящики[Диаметр],0)-2,1),"")</f>
        <v/>
      </c>
      <c r="R18" s="1364" t="str">
        <f>IFERROR(INDEX(Ст_ящики[],MATCH($T$14,Ст_ящики[Диаметр],0)-2,2),"")</f>
        <v/>
      </c>
      <c r="S18" s="1364" t="str">
        <f>IFERROR(INDEX(Ст_ящики[],MATCH($T$14,Ст_ящики[Диаметр],0)-2,3),"")</f>
        <v/>
      </c>
      <c r="T18" s="1364" t="str">
        <f>IFERROR(INDEX(Ст_ящики[],MATCH($T$14,Ст_ящики[Диаметр],0)-2,4),"")</f>
        <v/>
      </c>
      <c r="U18" s="1364" t="str">
        <f>IFERROR(INDEX(Ст_ящики[],MATCH($T$14,Ст_ящики[Диаметр],0)-2,5),"")</f>
        <v/>
      </c>
    </row>
    <row r="19" spans="1:22" x14ac:dyDescent="0.3">
      <c r="A19" s="900"/>
      <c r="B19" s="928"/>
      <c r="C19" s="900" t="s">
        <v>33</v>
      </c>
      <c r="D19" s="900"/>
      <c r="E19" s="900"/>
      <c r="F19" s="900"/>
      <c r="G19" s="421">
        <v>1</v>
      </c>
      <c r="H19" s="421"/>
      <c r="I19" s="900"/>
      <c r="J19" s="900"/>
      <c r="K19" s="900"/>
      <c r="L19" s="936"/>
      <c r="N19" s="1373" t="s">
        <v>985</v>
      </c>
      <c r="O19" s="1385">
        <f>IF(O17=0,ROUNDDOWN((O3+O11*2)/0.985,0),VLOOKUP(O17,Втулки1[],7,0))</f>
        <v>6</v>
      </c>
      <c r="P19" s="424"/>
      <c r="Q19" s="1364" t="str">
        <f>IFERROR(INDEX(Ст_ящики[],MATCH($T$14,Ст_ящики[Диаметр],0)-1,1),"")</f>
        <v/>
      </c>
      <c r="R19" s="1364" t="str">
        <f>IFERROR(INDEX(Ст_ящики[],MATCH($T$14,Ст_ящики[Диаметр],0)-1,2),"")</f>
        <v/>
      </c>
      <c r="S19" s="1364" t="str">
        <f>IFERROR(INDEX(Ст_ящики[],MATCH($T$14,Ст_ящики[Диаметр],0)-1,3),"")</f>
        <v/>
      </c>
      <c r="T19" s="1364" t="str">
        <f>IFERROR(INDEX(Ст_ящики[],MATCH($T$14,Ст_ящики[Диаметр],0)-1,4),"")</f>
        <v/>
      </c>
      <c r="U19" s="1364" t="str">
        <f>IFERROR(INDEX(Ст_ящики[],MATCH($T$14,Ст_ящики[Диаметр],0)-1,5),"")</f>
        <v/>
      </c>
    </row>
    <row r="20" spans="1:22" ht="16.2" thickBot="1" x14ac:dyDescent="0.35">
      <c r="A20" s="900"/>
      <c r="B20" s="930"/>
      <c r="C20" s="931" t="s">
        <v>980</v>
      </c>
      <c r="D20" s="931"/>
      <c r="E20" s="931"/>
      <c r="F20" s="931"/>
      <c r="G20" s="531">
        <v>1</v>
      </c>
      <c r="H20" s="531"/>
      <c r="I20" s="931"/>
      <c r="J20" s="931"/>
      <c r="K20" s="931"/>
      <c r="L20" s="939"/>
      <c r="N20" s="1367" t="s">
        <v>986</v>
      </c>
      <c r="O20" s="1386">
        <f>IF(O18=0,ROUNDDOWN((O4-O13*2)/0.994,0),VLOOKUP(O18,Ст_ящики[],3,0))</f>
        <v>-8</v>
      </c>
      <c r="P20" s="424"/>
      <c r="Q20" s="1365" t="str">
        <f>IFERROR(INDEX(Ст_ящики[],MATCH($T$14,Ст_ящики[Диаметр],0),1),"")</f>
        <v/>
      </c>
      <c r="R20" s="1365" t="str">
        <f>IFERROR(INDEX(Ст_ящики[],MATCH($T$14,Ст_ящики[Диаметр],0),2),"")</f>
        <v/>
      </c>
      <c r="S20" s="1365" t="str">
        <f>IFERROR(INDEX(Ст_ящики[],MATCH($T$14,Ст_ящики[Диаметр],0),3),"")</f>
        <v/>
      </c>
      <c r="T20" s="1365" t="str">
        <f>IFERROR(INDEX(Ст_ящики[],MATCH($T$14,Ст_ящики[Диаметр],0),4),"")</f>
        <v/>
      </c>
      <c r="U20" s="1365" t="str">
        <f>IFERROR(INDEX(Ст_ящики[],MATCH($T$14,Ст_ящики[Диаметр],0),5),"")</f>
        <v/>
      </c>
    </row>
    <row r="21" spans="1:22" x14ac:dyDescent="0.3">
      <c r="A21" s="1033"/>
      <c r="B21" s="417"/>
      <c r="C21" s="411" t="s">
        <v>751</v>
      </c>
      <c r="D21" s="411"/>
      <c r="E21" s="411"/>
      <c r="F21" s="411" t="str">
        <f>"Формовочный уклон  "&amp;Данные!Y31</f>
        <v>Формовочный уклон  1,7</v>
      </c>
      <c r="G21" s="411"/>
      <c r="H21" s="411"/>
      <c r="I21" s="411" t="str">
        <f>"Радиус скругления прибыли "&amp;ROUNDUP(E25/0.89,0)</f>
        <v>Радиус скругления прибыли 5</v>
      </c>
      <c r="J21" s="533"/>
      <c r="K21" s="533"/>
      <c r="L21" s="534"/>
      <c r="N21" s="1367" t="s">
        <v>5</v>
      </c>
      <c r="O21" s="1902">
        <f>Данные!U31</f>
        <v>50</v>
      </c>
      <c r="P21" s="424"/>
      <c r="Q21" s="1364" t="str">
        <f>IFERROR(INDEX(Ст_ящики[],MATCH($T$14,Ст_ящики[Диаметр],0)+1,1),"")</f>
        <v/>
      </c>
      <c r="R21" s="1364" t="str">
        <f>IFERROR(INDEX(Ст_ящики[],MATCH($T$14,Ст_ящики[Диаметр],0)+1,2),"")</f>
        <v/>
      </c>
      <c r="S21" s="1364" t="str">
        <f>IFERROR(INDEX(Ст_ящики[],MATCH($T$14,Ст_ящики[Диаметр],0)+1,3),"")</f>
        <v/>
      </c>
      <c r="T21" s="1364" t="str">
        <f>IFERROR(INDEX(Ст_ящики[],MATCH($T$14,Ст_ящики[Диаметр],0)+1,4),"")</f>
        <v/>
      </c>
      <c r="U21" s="1364" t="str">
        <f>IFERROR(INDEX(Ст_ящики[],MATCH($T$14,Ст_ящики[Диаметр],0)+1,5),"")</f>
        <v/>
      </c>
      <c r="V21" s="599"/>
    </row>
    <row r="22" spans="1:22" x14ac:dyDescent="0.3">
      <c r="A22" s="1033"/>
      <c r="B22" s="410"/>
      <c r="C22" s="1033"/>
      <c r="D22" s="1033"/>
      <c r="E22" s="1033"/>
      <c r="F22" s="1033"/>
      <c r="G22" s="1033"/>
      <c r="H22" s="1033"/>
      <c r="I22" s="1033"/>
      <c r="J22" s="432"/>
      <c r="K22" s="432"/>
      <c r="L22" s="433"/>
      <c r="N22" s="1374" t="s">
        <v>987</v>
      </c>
      <c r="O22" s="1643">
        <f>IF(OR(O17=0,_xlfn.IFNA(VLOOKUP(Втулка!O17,Втулки1[],12,0),0)=0),Данные!W34,(VLOOKUP(Втулка!O17,Втулки1[],10,0)+VLOOKUP(O17,Втулки1[],11,0))/2)</f>
        <v>18.849</v>
      </c>
      <c r="P22" s="424"/>
      <c r="Q22" s="1364" t="str">
        <f>IFERROR(INDEX(Ст_ящики[],MATCH($T$14,Ст_ящики[Диаметр],0)+2,1),"")</f>
        <v/>
      </c>
      <c r="R22" s="1364" t="str">
        <f>IFERROR(INDEX(Ст_ящики[],MATCH($T$14,Ст_ящики[Диаметр],0)+2,2),"")</f>
        <v/>
      </c>
      <c r="S22" s="1364" t="str">
        <f>IFERROR(INDEX(Ст_ящики[],MATCH($T$14,Ст_ящики[Диаметр],0)+2,3),"")</f>
        <v/>
      </c>
      <c r="T22" s="1364" t="str">
        <f>IFERROR(INDEX(Ст_ящики[],MATCH($T$14,Ст_ящики[Диаметр],0)+2,4),"")</f>
        <v/>
      </c>
      <c r="U22" s="1364" t="str">
        <f>IFERROR(INDEX(Ст_ящики[],MATCH($T$14,Ст_ящики[Диаметр],0)+2,5),"")</f>
        <v/>
      </c>
      <c r="V22" s="576"/>
    </row>
    <row r="23" spans="1:22" x14ac:dyDescent="0.3">
      <c r="A23" s="1033"/>
      <c r="B23" s="410"/>
      <c r="C23" s="1033"/>
      <c r="D23" s="431">
        <f>ROUNDUP(O23*0.985,0)</f>
        <v>30</v>
      </c>
      <c r="E23" s="431"/>
      <c r="F23" s="431">
        <f>ROUNDDOWN(O21*0.985,0)</f>
        <v>49</v>
      </c>
      <c r="G23" s="1033" t="str">
        <f>"( "&amp;ROUNDUP(F23/0.985,0)&amp;" для модели) * "</f>
        <v xml:space="preserve">( 50 для модели) * </v>
      </c>
      <c r="H23" s="1033"/>
      <c r="I23" s="1033"/>
      <c r="J23" s="700"/>
      <c r="K23" s="700"/>
      <c r="L23" s="433"/>
      <c r="N23" s="1374" t="s">
        <v>1054</v>
      </c>
      <c r="O23" s="1387">
        <f>Данные!Y34</f>
        <v>30</v>
      </c>
      <c r="P23" s="424"/>
      <c r="Q23" s="1364" t="str">
        <f>IFERROR(INDEX(Ст_ящики[],MATCH($T$14,Ст_ящики[Диаметр],0)+3,1),"")</f>
        <v/>
      </c>
      <c r="R23" s="1364" t="str">
        <f>IFERROR(INDEX(Ст_ящики[],MATCH($T$14,Ст_ящики[Диаметр],0)+3,2),"")</f>
        <v/>
      </c>
      <c r="S23" s="1364" t="str">
        <f>IFERROR(INDEX(Ст_ящики[],MATCH($T$14,Ст_ящики[Диаметр],0)+3,3),"")</f>
        <v/>
      </c>
      <c r="T23" s="1364" t="str">
        <f>IFERROR(INDEX(Ст_ящики[],MATCH($T$14,Ст_ящики[Диаметр],0)+3,4),"")</f>
        <v/>
      </c>
      <c r="U23" s="1364" t="str">
        <f>IFERROR(INDEX(Ст_ящики[],MATCH($T$14,Ст_ящики[Диаметр],0)+3,5),"")</f>
        <v/>
      </c>
    </row>
    <row r="24" spans="1:22" x14ac:dyDescent="0.3">
      <c r="A24" s="1033"/>
      <c r="B24" s="410"/>
      <c r="C24" s="1033"/>
      <c r="D24" s="1033"/>
      <c r="E24" s="1033"/>
      <c r="F24" s="1315">
        <f>O5</f>
        <v>0</v>
      </c>
      <c r="G24" s="432"/>
      <c r="H24" s="1033"/>
      <c r="I24" s="1033"/>
      <c r="J24" s="432"/>
      <c r="K24" s="432"/>
      <c r="L24" s="433"/>
      <c r="N24" s="1404" t="s">
        <v>624</v>
      </c>
      <c r="O24" s="1405">
        <f>ROUND(((J29+Данные!Y31*2)-I29)/2,1)</f>
        <v>8.6999999999999993</v>
      </c>
      <c r="P24" s="424"/>
      <c r="Q24" s="1411"/>
      <c r="R24" s="1412" t="str">
        <f>IF(O18=0,IFERROR(INDEX(Ст_ящики[],MATCH($T$14,Ст_ящики[Диаметр],0),6),""),VLOOKUP(O18,Ст_ящики[],6,0))</f>
        <v/>
      </c>
      <c r="S24" s="1413"/>
      <c r="T24" s="1413"/>
      <c r="U24" s="1414"/>
    </row>
    <row r="25" spans="1:22" x14ac:dyDescent="0.3">
      <c r="A25" s="1033"/>
      <c r="B25" s="410"/>
      <c r="C25" s="1033"/>
      <c r="D25" s="1033"/>
      <c r="E25" s="1955">
        <f>IF(OR(O17=0,_xlfn.IFNA(VLOOKUP(O17,Втулки1[],10,0)=0,0)),ROUNDUP(O24/2.7,0),(VLOOKUP(O17,Втулки1[],10,0)-(O19+2*Данные!Y31))/2)</f>
        <v>4</v>
      </c>
      <c r="F25" s="1033"/>
      <c r="G25" s="1033"/>
      <c r="H25" s="1033"/>
      <c r="I25" s="1033"/>
      <c r="J25" s="1033"/>
      <c r="K25" s="1033"/>
      <c r="L25" s="434"/>
      <c r="N25" s="1374" t="s">
        <v>17</v>
      </c>
      <c r="O25" s="1624">
        <f>Данные!U33</f>
        <v>-1.8260538961647733E-3</v>
      </c>
      <c r="P25" s="424"/>
      <c r="Q25" s="424"/>
      <c r="R25" s="946"/>
      <c r="S25" s="424"/>
      <c r="T25" s="424"/>
      <c r="U25" s="424"/>
    </row>
    <row r="26" spans="1:22" x14ac:dyDescent="0.3">
      <c r="A26" s="1033"/>
      <c r="B26" s="410"/>
      <c r="C26" s="1033"/>
      <c r="D26" s="1033"/>
      <c r="E26" s="1033"/>
      <c r="F26" s="1033"/>
      <c r="G26" s="1033"/>
      <c r="H26" s="1033"/>
      <c r="I26" s="1033"/>
      <c r="J26" s="435"/>
      <c r="K26" s="435"/>
      <c r="L26" s="434"/>
      <c r="N26" s="1367" t="s">
        <v>19</v>
      </c>
      <c r="O26" s="1624">
        <f>Данные!U34</f>
        <v>6.1510049452916146E-2</v>
      </c>
      <c r="P26" s="424"/>
      <c r="Q26" s="638"/>
      <c r="R26" s="638"/>
    </row>
    <row r="27" spans="1:22" ht="16.2" thickBot="1" x14ac:dyDescent="0.35">
      <c r="A27" s="1033"/>
      <c r="B27" s="410"/>
      <c r="C27" s="1033"/>
      <c r="D27" s="1033"/>
      <c r="E27" s="1033"/>
      <c r="F27" s="1033"/>
      <c r="G27" s="1033"/>
      <c r="H27" s="426">
        <f>IF(O18=0,80,VLOOKUP(O18,Ст_ящики[],5,0))</f>
        <v>80</v>
      </c>
      <c r="I27" s="1033"/>
      <c r="J27" s="436"/>
      <c r="K27" s="436"/>
      <c r="L27" s="434"/>
      <c r="N27" s="1375" t="s">
        <v>275</v>
      </c>
      <c r="O27" s="1388">
        <f>Данные!U30</f>
        <v>9.07</v>
      </c>
      <c r="P27" s="897"/>
      <c r="Q27" s="1933"/>
      <c r="R27" s="1933"/>
    </row>
    <row r="28" spans="1:22" ht="16.2" thickBot="1" x14ac:dyDescent="0.35">
      <c r="A28" s="1033"/>
      <c r="B28" s="410"/>
      <c r="C28" s="1033"/>
      <c r="D28" s="1033"/>
      <c r="E28" s="1033"/>
      <c r="F28" s="1033"/>
      <c r="G28" s="1033"/>
      <c r="H28" s="1033"/>
      <c r="I28" s="1033"/>
      <c r="J28" s="437"/>
      <c r="K28" s="437"/>
      <c r="L28" s="434"/>
      <c r="N28" s="1377" t="s">
        <v>1638</v>
      </c>
      <c r="O28" s="1389"/>
      <c r="P28" s="424"/>
      <c r="Q28" s="1933"/>
      <c r="R28" s="1933"/>
    </row>
    <row r="29" spans="1:22" x14ac:dyDescent="0.3">
      <c r="A29" s="1033"/>
      <c r="B29" s="410"/>
      <c r="C29" s="1033"/>
      <c r="D29" s="1033"/>
      <c r="E29" s="1033"/>
      <c r="F29" s="1033"/>
      <c r="G29" s="1033"/>
      <c r="H29" s="1033"/>
      <c r="I29" s="1288">
        <f>ROUND(O20*0.994,0)</f>
        <v>-8</v>
      </c>
      <c r="J29" s="1288">
        <f>ROUNDUP(O19*0.985,0)</f>
        <v>6</v>
      </c>
      <c r="K29" s="1288"/>
      <c r="L29" s="434"/>
      <c r="N29" s="1376" t="s">
        <v>989</v>
      </c>
      <c r="O29" s="1390"/>
      <c r="P29" s="942"/>
      <c r="Q29" s="1935"/>
      <c r="R29" s="1935"/>
    </row>
    <row r="30" spans="1:22" ht="16.2" thickBot="1" x14ac:dyDescent="0.35">
      <c r="A30" s="1033"/>
      <c r="B30" s="410"/>
      <c r="C30" s="1033"/>
      <c r="D30" s="1033"/>
      <c r="E30" s="439"/>
      <c r="F30" s="440"/>
      <c r="G30" s="1033"/>
      <c r="H30" s="1033"/>
      <c r="I30" s="1316">
        <f>O4</f>
        <v>0</v>
      </c>
      <c r="J30" s="1316">
        <f>O3</f>
        <v>0</v>
      </c>
      <c r="K30" s="1316"/>
      <c r="L30" s="434"/>
      <c r="N30" s="1368" t="s">
        <v>990</v>
      </c>
      <c r="O30" s="1391"/>
      <c r="Q30" s="1935"/>
      <c r="R30" s="1935"/>
    </row>
    <row r="31" spans="1:22" x14ac:dyDescent="0.3">
      <c r="A31" s="1033"/>
      <c r="B31" s="410"/>
      <c r="C31" s="1033"/>
      <c r="D31" s="1033"/>
      <c r="E31" s="1033"/>
      <c r="F31" s="1033"/>
      <c r="G31" s="1033"/>
      <c r="H31" s="1033"/>
      <c r="I31" s="1033"/>
      <c r="J31" s="436"/>
      <c r="K31" s="436"/>
      <c r="L31" s="434"/>
      <c r="Q31" s="1935"/>
      <c r="R31" s="1935"/>
    </row>
    <row r="32" spans="1:22" x14ac:dyDescent="0.3">
      <c r="A32" s="1033"/>
      <c r="B32" s="410"/>
      <c r="C32" s="1033"/>
      <c r="D32" s="1033"/>
      <c r="E32" s="1033"/>
      <c r="F32" s="1033"/>
      <c r="G32" s="1033"/>
      <c r="H32" s="1033"/>
      <c r="I32" s="1033"/>
      <c r="J32" s="436"/>
      <c r="K32" s="436"/>
      <c r="L32" s="434"/>
      <c r="N32" s="260"/>
      <c r="O32" s="260"/>
      <c r="Q32" s="1936"/>
      <c r="R32" s="1936"/>
    </row>
    <row r="33" spans="1:22" x14ac:dyDescent="0.3">
      <c r="A33" s="1033"/>
      <c r="B33" s="410"/>
      <c r="C33" s="442"/>
      <c r="D33" s="442"/>
      <c r="E33" s="1033"/>
      <c r="F33" s="443"/>
      <c r="G33" s="439"/>
      <c r="H33" s="1033"/>
      <c r="I33" s="1033"/>
      <c r="J33" s="436"/>
      <c r="K33" s="436"/>
      <c r="L33" s="434"/>
      <c r="Q33" s="1936"/>
      <c r="R33" s="1936"/>
      <c r="S33" s="1937"/>
      <c r="T33" s="424"/>
      <c r="U33" s="16"/>
      <c r="V33" s="16"/>
    </row>
    <row r="34" spans="1:22" ht="16.2" thickBot="1" x14ac:dyDescent="0.35">
      <c r="A34" s="1033"/>
      <c r="B34" s="410"/>
      <c r="C34" s="442"/>
      <c r="D34" s="442"/>
      <c r="E34" s="1033"/>
      <c r="F34" s="443"/>
      <c r="G34" s="439"/>
      <c r="H34" s="1033"/>
      <c r="I34" s="1033"/>
      <c r="J34" s="436"/>
      <c r="K34" s="436"/>
      <c r="L34" s="434"/>
      <c r="Q34" s="1938"/>
      <c r="R34" s="1938"/>
      <c r="S34" s="1043"/>
      <c r="T34" s="424"/>
      <c r="U34" s="424"/>
      <c r="V34" s="424"/>
    </row>
    <row r="35" spans="1:22" ht="16.2" thickBot="1" x14ac:dyDescent="0.35">
      <c r="A35" s="1033"/>
      <c r="B35" s="410"/>
      <c r="C35" s="1033"/>
      <c r="D35" s="1033"/>
      <c r="E35" s="1033"/>
      <c r="F35" s="546"/>
      <c r="G35" s="440"/>
      <c r="H35" s="1033"/>
      <c r="I35" s="1033"/>
      <c r="J35" s="436"/>
      <c r="K35" s="436"/>
      <c r="L35" s="434"/>
      <c r="N35" s="1922" t="s">
        <v>929</v>
      </c>
      <c r="O35" s="1928"/>
      <c r="R35" s="1087"/>
      <c r="S35" s="424"/>
      <c r="T35" s="424"/>
      <c r="U35" s="424"/>
      <c r="V35" s="260"/>
    </row>
    <row r="36" spans="1:22" x14ac:dyDescent="0.3">
      <c r="A36" s="1033"/>
      <c r="B36" s="410"/>
      <c r="C36" s="537" t="s">
        <v>983</v>
      </c>
      <c r="D36" s="538">
        <v>10</v>
      </c>
      <c r="E36" s="406" t="str">
        <f>IF(Данные!F34=TRUE,"Формовать в обратном порядке на высоту Н = "&amp;O21&amp;" мм.","")</f>
        <v/>
      </c>
      <c r="F36" s="1033"/>
      <c r="G36" s="406"/>
      <c r="H36" s="406"/>
      <c r="I36" s="406"/>
      <c r="J36" s="436"/>
      <c r="K36" s="436"/>
      <c r="L36" s="434"/>
      <c r="N36" s="721" t="s">
        <v>816</v>
      </c>
      <c r="O36" s="723">
        <v>40</v>
      </c>
      <c r="R36" s="1087"/>
      <c r="S36" s="424"/>
      <c r="T36" s="424"/>
      <c r="U36" s="424"/>
      <c r="V36" s="260"/>
    </row>
    <row r="37" spans="1:22" ht="16.2" thickBot="1" x14ac:dyDescent="0.35">
      <c r="A37" s="1033"/>
      <c r="B37" s="427"/>
      <c r="C37" s="428"/>
      <c r="D37" s="428"/>
      <c r="E37" s="948" t="str">
        <f>IF(Данные!C37=TRUE,"Модель нашить до размера Ф = "&amp;O19&amp;" мм.","")</f>
        <v/>
      </c>
      <c r="F37" s="428"/>
      <c r="G37" s="948"/>
      <c r="H37" s="428"/>
      <c r="I37" s="948" t="str">
        <f>IF(Данные!F33=TRUE,"Использовать холодильники","")</f>
        <v/>
      </c>
      <c r="J37" s="540"/>
      <c r="K37" s="540"/>
      <c r="L37" s="541"/>
      <c r="N37" s="18" t="s">
        <v>817</v>
      </c>
      <c r="O37" s="697">
        <v>4</v>
      </c>
      <c r="R37" s="1087"/>
      <c r="S37" s="424"/>
      <c r="T37" s="424"/>
      <c r="U37" s="424"/>
    </row>
    <row r="38" spans="1:22" x14ac:dyDescent="0.3">
      <c r="A38" s="1033"/>
      <c r="B38" s="417" t="s">
        <v>792</v>
      </c>
      <c r="C38" s="411"/>
      <c r="D38" s="411"/>
      <c r="E38" s="411"/>
      <c r="F38" s="532"/>
      <c r="G38" s="411"/>
      <c r="H38" s="411"/>
      <c r="I38" s="411" t="s">
        <v>793</v>
      </c>
      <c r="J38" s="544"/>
      <c r="K38" s="544"/>
      <c r="L38" s="545"/>
      <c r="N38" s="710" t="s">
        <v>818</v>
      </c>
      <c r="O38" s="712">
        <v>6</v>
      </c>
      <c r="R38" s="1087"/>
      <c r="S38" s="424"/>
      <c r="T38" s="424"/>
      <c r="U38" s="424"/>
      <c r="V38" s="1033"/>
    </row>
    <row r="39" spans="1:22" x14ac:dyDescent="0.3">
      <c r="A39" s="1033"/>
      <c r="B39" s="410" t="s">
        <v>43</v>
      </c>
      <c r="C39" s="1033"/>
      <c r="D39" s="1033"/>
      <c r="E39" s="1033"/>
      <c r="F39" s="1914" t="str">
        <f>VLOOKUP(G8,Марка_металла[],6,0)</f>
        <v>25010.00173</v>
      </c>
      <c r="G39" s="1033"/>
      <c r="H39" s="1033"/>
      <c r="I39" s="1033" t="s">
        <v>984</v>
      </c>
      <c r="J39" s="1862">
        <f>ROUNDUP(I29*I29*3.1415296*(H27+F23+15+(D23/0.985))*2.045/4000000,0)</f>
        <v>1</v>
      </c>
      <c r="K39" s="1033"/>
      <c r="L39" s="542"/>
      <c r="N39" s="715" t="s">
        <v>819</v>
      </c>
      <c r="O39" s="717">
        <v>4</v>
      </c>
      <c r="R39" s="1087"/>
      <c r="S39" s="424"/>
      <c r="T39" s="424"/>
      <c r="U39" s="424"/>
      <c r="V39" s="1033"/>
    </row>
    <row r="40" spans="1:22" ht="16.2" thickBot="1" x14ac:dyDescent="0.35">
      <c r="A40" s="1033"/>
      <c r="B40" s="410" t="s">
        <v>44</v>
      </c>
      <c r="C40" s="1033"/>
      <c r="D40" s="1033"/>
      <c r="E40" s="1033"/>
      <c r="F40" s="897" t="str">
        <f>IF(G14&gt;1900,Данные!G4,Данные!G3)</f>
        <v>25011.00007</v>
      </c>
      <c r="G40" s="1033"/>
      <c r="H40" s="1033"/>
      <c r="I40" s="1033" t="s">
        <v>45</v>
      </c>
      <c r="J40" s="426" t="s">
        <v>46</v>
      </c>
      <c r="K40" s="426"/>
      <c r="L40" s="434"/>
      <c r="N40" s="718" t="s">
        <v>752</v>
      </c>
      <c r="O40" s="720">
        <v>0</v>
      </c>
      <c r="R40" s="1086"/>
      <c r="S40" s="424"/>
      <c r="T40" s="424"/>
      <c r="U40" s="424"/>
      <c r="V40" s="424"/>
    </row>
    <row r="41" spans="1:22" ht="16.2" thickBot="1" x14ac:dyDescent="0.35">
      <c r="A41" s="1033"/>
      <c r="B41" s="410" t="s">
        <v>686</v>
      </c>
      <c r="C41" s="1033"/>
      <c r="D41" s="1033"/>
      <c r="E41" s="1033"/>
      <c r="F41" s="419" t="str">
        <f>Данные!AA33</f>
        <v>1060-1080</v>
      </c>
      <c r="G41" s="1033" t="s">
        <v>574</v>
      </c>
      <c r="H41" s="1033"/>
      <c r="I41" s="1033" t="s">
        <v>47</v>
      </c>
      <c r="J41" s="426" t="s">
        <v>48</v>
      </c>
      <c r="K41" s="426"/>
      <c r="L41" s="433"/>
      <c r="N41" s="1312"/>
      <c r="O41" s="1073">
        <f>O36*O37+O38*O39+O40</f>
        <v>184</v>
      </c>
      <c r="R41" s="1086"/>
      <c r="S41" s="424"/>
      <c r="T41" s="424"/>
      <c r="U41" s="424"/>
      <c r="V41" s="1247"/>
    </row>
    <row r="42" spans="1:22" x14ac:dyDescent="0.3">
      <c r="A42" s="1033"/>
      <c r="B42" s="410" t="s">
        <v>82</v>
      </c>
      <c r="C42" s="1033"/>
      <c r="D42" s="1033"/>
      <c r="E42" s="1033"/>
      <c r="F42" s="1914" t="str">
        <f>IF(F39="250010.00001","Засыпать сухим песком.","25010.00168")</f>
        <v>25010.00168</v>
      </c>
      <c r="G42" s="1033"/>
      <c r="H42" s="1033"/>
      <c r="I42" s="1033" t="s">
        <v>51</v>
      </c>
      <c r="J42" s="436"/>
      <c r="K42" s="437"/>
      <c r="L42" s="433"/>
      <c r="N42" s="1033"/>
      <c r="O42" s="1033"/>
      <c r="P42" s="937"/>
      <c r="Q42" s="937"/>
      <c r="R42" s="1085"/>
      <c r="S42" s="424"/>
      <c r="T42" s="424"/>
      <c r="U42" s="424"/>
      <c r="V42" s="1248"/>
    </row>
    <row r="43" spans="1:22" x14ac:dyDescent="0.3">
      <c r="A43" s="1033"/>
      <c r="B43" s="410" t="s">
        <v>45</v>
      </c>
      <c r="C43" s="1033"/>
      <c r="D43" s="1033"/>
      <c r="E43" s="1033"/>
      <c r="F43" s="445" t="s">
        <v>46</v>
      </c>
      <c r="G43" s="1033"/>
      <c r="H43" s="1033"/>
      <c r="I43" s="1033" t="s">
        <v>897</v>
      </c>
      <c r="J43" s="1423"/>
      <c r="K43" s="432"/>
      <c r="L43" s="433"/>
      <c r="N43" s="1033"/>
      <c r="O43" s="1033"/>
      <c r="P43" s="424"/>
      <c r="Q43" s="942"/>
      <c r="R43" s="1086"/>
      <c r="S43" s="424"/>
      <c r="T43" s="424"/>
      <c r="U43" s="424"/>
      <c r="V43" s="1248"/>
    </row>
    <row r="44" spans="1:22" x14ac:dyDescent="0.3">
      <c r="A44" s="1033"/>
      <c r="B44" s="410" t="s">
        <v>47</v>
      </c>
      <c r="C44" s="1033"/>
      <c r="D44" s="1033"/>
      <c r="E44" s="1033"/>
      <c r="F44" s="1914" t="s">
        <v>48</v>
      </c>
      <c r="G44" s="416"/>
      <c r="H44" s="1033"/>
      <c r="I44" s="1033" t="s">
        <v>53</v>
      </c>
      <c r="J44" s="426"/>
      <c r="K44" s="1033"/>
      <c r="L44" s="414"/>
      <c r="N44" s="1033"/>
      <c r="O44" s="1033"/>
      <c r="P44" s="424"/>
      <c r="Q44" s="1247"/>
      <c r="R44" s="1247"/>
      <c r="S44" s="1247"/>
      <c r="T44" s="1247"/>
      <c r="U44" s="1247"/>
      <c r="V44" s="1248"/>
    </row>
    <row r="45" spans="1:22" x14ac:dyDescent="0.3">
      <c r="A45" s="1033"/>
      <c r="B45" s="410" t="s">
        <v>54</v>
      </c>
      <c r="C45" s="1033"/>
      <c r="D45" s="1033"/>
      <c r="E45" s="1033"/>
      <c r="F45" s="419" t="str">
        <f>Данные!U29</f>
        <v>242.04.462-1</v>
      </c>
      <c r="G45" s="1914" t="str">
        <f>Данные!V29</f>
        <v>1 щель</v>
      </c>
      <c r="H45" s="1033"/>
      <c r="I45" s="1033" t="s">
        <v>52</v>
      </c>
      <c r="J45" s="1656" t="s">
        <v>896</v>
      </c>
      <c r="K45" s="918"/>
      <c r="L45" s="414"/>
      <c r="N45" s="1033"/>
      <c r="O45" s="1033"/>
      <c r="P45" s="424"/>
      <c r="Q45" s="1246"/>
      <c r="R45" s="1248"/>
      <c r="S45" s="1245"/>
      <c r="T45" s="1248"/>
      <c r="U45" s="1248"/>
      <c r="V45" s="1248"/>
    </row>
    <row r="46" spans="1:22" ht="18" x14ac:dyDescent="0.35">
      <c r="A46" s="1033"/>
      <c r="B46" s="410" t="s">
        <v>873</v>
      </c>
      <c r="C46" s="1033"/>
      <c r="D46" s="1033">
        <f>Данные!V115</f>
        <v>700</v>
      </c>
      <c r="E46" s="1033" t="str">
        <f>" Х "&amp;Данные!W115</f>
        <v xml:space="preserve"> Х 700</v>
      </c>
      <c r="F46" s="419" t="str">
        <f>" Х "&amp;Данные!P248&amp;"  /  1 шт."</f>
        <v xml:space="preserve"> Х   /  1 шт.</v>
      </c>
      <c r="G46" s="1914"/>
      <c r="H46" s="875"/>
      <c r="I46" s="1033" t="s">
        <v>252</v>
      </c>
      <c r="J46" s="426">
        <v>4</v>
      </c>
      <c r="K46" s="1033"/>
      <c r="L46" s="414"/>
      <c r="N46" s="1033"/>
      <c r="O46" s="1033"/>
      <c r="P46" s="424"/>
      <c r="Q46" s="1248"/>
      <c r="R46" s="1248"/>
      <c r="S46" s="1245"/>
      <c r="T46" s="1248"/>
      <c r="U46" s="1248"/>
      <c r="V46" s="1248"/>
    </row>
    <row r="47" spans="1:22" ht="18" x14ac:dyDescent="0.35">
      <c r="A47" s="1033"/>
      <c r="B47" s="1992" t="s">
        <v>874</v>
      </c>
      <c r="C47" s="1993"/>
      <c r="D47" s="1033">
        <f>IF(Данные!W118&gt;0,Данные!V118,"")</f>
        <v>350</v>
      </c>
      <c r="E47" s="426" t="str">
        <f>" мм. "&amp;" / "&amp;Данные!W118&amp;" шт."</f>
        <v xml:space="preserve"> мм.  / 1 шт.</v>
      </c>
      <c r="F47" s="419" t="str">
        <f>IF(Данные!W119&gt;0,Данные!V122&amp;" мм. / "&amp;Данные!W119&amp;" шт.","")</f>
        <v/>
      </c>
      <c r="G47" s="1914"/>
      <c r="H47" s="875"/>
      <c r="I47" s="1033"/>
      <c r="J47" s="1033"/>
      <c r="K47" s="1033"/>
      <c r="L47" s="414"/>
      <c r="N47" s="1033"/>
      <c r="O47" s="1033"/>
      <c r="P47" s="424"/>
      <c r="Q47" s="1248"/>
      <c r="R47" s="1248"/>
      <c r="S47" s="1245"/>
      <c r="T47" s="1248"/>
      <c r="U47" s="1248"/>
      <c r="V47" s="1248"/>
    </row>
    <row r="48" spans="1:22" x14ac:dyDescent="0.3">
      <c r="A48" s="1033"/>
      <c r="B48" s="410" t="s">
        <v>52</v>
      </c>
      <c r="C48" s="1033"/>
      <c r="D48" s="1033"/>
      <c r="E48" s="1033"/>
      <c r="F48" s="445">
        <v>1.4999999999999999E-2</v>
      </c>
      <c r="G48" s="419"/>
      <c r="H48" s="1033"/>
      <c r="I48" s="1033"/>
      <c r="J48" s="1033"/>
      <c r="K48" s="1033"/>
      <c r="L48" s="414"/>
      <c r="N48" s="1033"/>
      <c r="O48" s="1033"/>
      <c r="P48" s="424"/>
      <c r="Q48" s="1246"/>
      <c r="R48" s="1248"/>
      <c r="S48" s="1245"/>
      <c r="T48" s="1248"/>
      <c r="U48" s="1248"/>
      <c r="V48" s="1248"/>
    </row>
    <row r="49" spans="1:22" x14ac:dyDescent="0.3">
      <c r="A49" s="1033"/>
      <c r="B49" s="410"/>
      <c r="C49" s="406"/>
      <c r="D49" s="406"/>
      <c r="E49" s="406"/>
      <c r="F49" s="438"/>
      <c r="G49" s="438"/>
      <c r="H49" s="406"/>
      <c r="I49" s="1033"/>
      <c r="J49" s="1033"/>
      <c r="K49" s="1033"/>
      <c r="L49" s="414"/>
      <c r="N49" s="1033"/>
      <c r="O49" s="1033"/>
      <c r="P49" s="424"/>
      <c r="Q49" s="1248"/>
      <c r="R49" s="1248"/>
      <c r="S49" s="1245"/>
      <c r="T49" s="1248"/>
      <c r="U49" s="1248"/>
      <c r="V49" s="1248"/>
    </row>
    <row r="50" spans="1:22" ht="16.2" thickBot="1" x14ac:dyDescent="0.35">
      <c r="A50" s="1033"/>
      <c r="B50" s="427"/>
      <c r="C50" s="428" t="s">
        <v>895</v>
      </c>
      <c r="D50" s="428"/>
      <c r="E50" s="428"/>
      <c r="F50" s="449"/>
      <c r="G50" s="449" t="s">
        <v>57</v>
      </c>
      <c r="H50" s="428"/>
      <c r="I50" s="428"/>
      <c r="J50" s="428"/>
      <c r="K50" s="428"/>
      <c r="L50" s="450"/>
      <c r="N50" s="1033"/>
      <c r="O50" s="1033"/>
      <c r="P50" s="424"/>
      <c r="Q50" s="1248"/>
      <c r="R50" s="1248"/>
      <c r="S50" s="1245"/>
      <c r="T50" s="1248"/>
      <c r="U50" s="1248"/>
      <c r="V50" s="1248"/>
    </row>
    <row r="51" spans="1:22" ht="16.2" thickBot="1" x14ac:dyDescent="0.35">
      <c r="A51" s="1033"/>
      <c r="B51" s="1195" t="s">
        <v>58</v>
      </c>
      <c r="C51" s="1196"/>
      <c r="D51" s="1196"/>
      <c r="E51" s="1199"/>
      <c r="F51" s="903" t="s">
        <v>59</v>
      </c>
      <c r="G51" s="903" t="s">
        <v>58</v>
      </c>
      <c r="H51" s="903" t="s">
        <v>60</v>
      </c>
      <c r="I51" s="903" t="s">
        <v>58</v>
      </c>
      <c r="J51" s="1195" t="s">
        <v>833</v>
      </c>
      <c r="K51" s="1196"/>
      <c r="L51" s="1199"/>
      <c r="N51" s="1033"/>
      <c r="O51" s="1033"/>
      <c r="P51" s="424"/>
      <c r="Q51" s="1393"/>
      <c r="R51" s="1248"/>
      <c r="S51" s="1249"/>
      <c r="T51" s="1248"/>
      <c r="U51" s="1248"/>
      <c r="V51" s="1248"/>
    </row>
    <row r="52" spans="1:22" ht="16.2" thickBot="1" x14ac:dyDescent="0.35">
      <c r="A52" s="1033"/>
      <c r="B52" s="1197">
        <f ca="1">TODAY()</f>
        <v>45590</v>
      </c>
      <c r="C52" s="1198"/>
      <c r="D52" s="1198"/>
      <c r="E52" s="1210"/>
      <c r="F52" s="903"/>
      <c r="G52" s="903"/>
      <c r="H52" s="903"/>
      <c r="I52" s="903"/>
      <c r="J52" s="1195"/>
      <c r="K52" s="1196"/>
      <c r="L52" s="1199"/>
      <c r="N52" s="1033"/>
      <c r="O52" s="1033"/>
      <c r="P52" s="424"/>
      <c r="Q52" s="1393"/>
      <c r="R52" s="1248"/>
      <c r="S52" s="1245"/>
      <c r="T52" s="1248"/>
      <c r="U52" s="1394"/>
      <c r="V52" s="1248"/>
    </row>
    <row r="53" spans="1:22" ht="16.2" thickBot="1" x14ac:dyDescent="0.35">
      <c r="A53" s="1033"/>
      <c r="B53" s="1195" t="s">
        <v>61</v>
      </c>
      <c r="C53" s="1196"/>
      <c r="D53" s="1196"/>
      <c r="E53" s="1199"/>
      <c r="F53" s="903"/>
      <c r="G53" s="903"/>
      <c r="H53" s="903"/>
      <c r="I53" s="903"/>
      <c r="J53" s="1915"/>
      <c r="K53" s="1901"/>
      <c r="L53" s="1916"/>
      <c r="N53" s="1033"/>
      <c r="O53" s="1033"/>
      <c r="P53" s="424"/>
      <c r="Q53" s="1248"/>
      <c r="R53" s="1395"/>
      <c r="S53" s="1249"/>
      <c r="T53" s="1248"/>
      <c r="U53" s="1248"/>
      <c r="V53" s="424"/>
    </row>
    <row r="54" spans="1:22" ht="16.2" thickBot="1" x14ac:dyDescent="0.35">
      <c r="A54" s="1033"/>
      <c r="B54" s="1195"/>
      <c r="C54" s="1196"/>
      <c r="D54" s="1196"/>
      <c r="E54" s="1196"/>
      <c r="F54" s="448"/>
      <c r="G54" s="448"/>
      <c r="H54" s="448"/>
      <c r="I54" s="448"/>
      <c r="J54" s="448"/>
      <c r="K54" s="448"/>
      <c r="L54" s="447"/>
      <c r="N54" s="564"/>
      <c r="O54" s="564"/>
      <c r="P54" s="424"/>
      <c r="Q54" s="1248"/>
      <c r="R54" s="1250"/>
      <c r="S54" s="1249"/>
      <c r="T54" s="1248"/>
      <c r="U54" s="1248"/>
      <c r="V54" s="424"/>
    </row>
    <row r="55" spans="1:22" ht="16.2" thickBot="1" x14ac:dyDescent="0.35">
      <c r="A55" s="1033"/>
      <c r="B55" s="1202" t="s">
        <v>3</v>
      </c>
      <c r="C55" s="1203"/>
      <c r="D55" s="1203"/>
      <c r="E55" s="1207"/>
      <c r="F55" s="451" t="s">
        <v>250</v>
      </c>
      <c r="G55" s="452" t="s">
        <v>251</v>
      </c>
      <c r="H55" s="451" t="s">
        <v>251</v>
      </c>
      <c r="I55" s="451" t="s">
        <v>252</v>
      </c>
      <c r="J55" s="1200" t="s">
        <v>253</v>
      </c>
      <c r="K55" s="1206"/>
      <c r="L55" s="1201"/>
      <c r="N55" s="564"/>
      <c r="O55" s="564"/>
      <c r="P55" s="1281"/>
      <c r="Q55" s="1248"/>
      <c r="R55" s="1248"/>
      <c r="S55" s="1245"/>
      <c r="T55" s="1248"/>
      <c r="U55" s="1248"/>
      <c r="V55" s="1033"/>
    </row>
    <row r="56" spans="1:22" ht="16.2" thickBot="1" x14ac:dyDescent="0.35">
      <c r="A56" s="1033"/>
      <c r="B56" s="1204" t="s">
        <v>254</v>
      </c>
      <c r="C56" s="1205"/>
      <c r="D56" s="1205"/>
      <c r="E56" s="1208"/>
      <c r="F56" s="453" t="s">
        <v>898</v>
      </c>
      <c r="G56" s="453" t="s">
        <v>256</v>
      </c>
      <c r="H56" s="453" t="s">
        <v>257</v>
      </c>
      <c r="I56" s="453"/>
      <c r="J56" s="1200" t="s">
        <v>258</v>
      </c>
      <c r="K56" s="1206"/>
      <c r="L56" s="1201"/>
      <c r="N56" s="564"/>
      <c r="O56" s="564"/>
      <c r="P56" s="1281"/>
      <c r="Q56" s="424"/>
      <c r="R56" s="424"/>
      <c r="S56" s="424"/>
      <c r="T56" s="424"/>
      <c r="U56" s="424"/>
      <c r="V56" s="1033"/>
    </row>
    <row r="57" spans="1:22" ht="16.2" thickBot="1" x14ac:dyDescent="0.35">
      <c r="A57" s="1033"/>
      <c r="B57" s="1200" t="s">
        <v>307</v>
      </c>
      <c r="C57" s="1206"/>
      <c r="D57" s="1206"/>
      <c r="E57" s="1201"/>
      <c r="F57" s="456">
        <v>40</v>
      </c>
      <c r="G57" s="456">
        <v>1</v>
      </c>
      <c r="H57" s="456">
        <v>20</v>
      </c>
      <c r="I57" s="456">
        <v>3</v>
      </c>
      <c r="J57" s="1200">
        <f>ROUND(D46*Данные!W115*(Данные!V124)/1000000*2.045*2.3/1000/G18,3)</f>
        <v>1.268</v>
      </c>
      <c r="K57" s="1206"/>
      <c r="L57" s="1201"/>
      <c r="N57" s="564"/>
      <c r="O57" s="564"/>
      <c r="P57" s="1281"/>
      <c r="Q57" s="424"/>
      <c r="R57" s="424"/>
      <c r="S57" s="1281"/>
      <c r="T57" s="1281"/>
      <c r="U57" s="1281"/>
      <c r="V57" s="1033"/>
    </row>
    <row r="58" spans="1:22" ht="16.2" thickBot="1" x14ac:dyDescent="0.35">
      <c r="A58" s="1033"/>
      <c r="B58" s="1200" t="s">
        <v>42</v>
      </c>
      <c r="C58" s="1206"/>
      <c r="D58" s="1206"/>
      <c r="E58" s="1201"/>
      <c r="F58" s="456">
        <v>40</v>
      </c>
      <c r="G58" s="456">
        <v>1</v>
      </c>
      <c r="H58" s="456">
        <v>20</v>
      </c>
      <c r="I58" s="456">
        <v>4</v>
      </c>
      <c r="J58" s="1200">
        <f>ROUND(J39/1000*3.5/G19,3)</f>
        <v>4.0000000000000001E-3</v>
      </c>
      <c r="K58" s="1206"/>
      <c r="L58" s="1201"/>
      <c r="N58" s="564"/>
      <c r="O58" s="564"/>
      <c r="P58" s="1281"/>
      <c r="Q58" s="947"/>
      <c r="R58" s="947"/>
      <c r="S58" s="1281"/>
      <c r="T58" s="1281"/>
      <c r="U58" s="1281"/>
      <c r="V58" s="1033"/>
    </row>
    <row r="59" spans="1:22" x14ac:dyDescent="0.3">
      <c r="A59" s="1033"/>
      <c r="B59" s="1033"/>
      <c r="C59" s="1033"/>
      <c r="D59" s="1033"/>
      <c r="E59" s="1033"/>
      <c r="F59" s="1033"/>
      <c r="G59" s="1033"/>
      <c r="H59" s="1033"/>
      <c r="I59" s="1033"/>
      <c r="J59" s="1033"/>
      <c r="K59" s="1033"/>
      <c r="L59" s="1033"/>
      <c r="N59" s="564"/>
      <c r="O59" s="564"/>
      <c r="P59" s="424"/>
      <c r="Q59" s="947"/>
      <c r="R59" s="947"/>
      <c r="S59" s="424"/>
      <c r="T59" s="424"/>
      <c r="U59" s="424"/>
      <c r="V59" s="1033"/>
    </row>
    <row r="60" spans="1:22" x14ac:dyDescent="0.3">
      <c r="A60" s="1033"/>
      <c r="B60" s="564"/>
      <c r="C60" s="564"/>
      <c r="D60" s="564"/>
      <c r="E60" s="564"/>
      <c r="F60" s="564"/>
      <c r="G60" s="564"/>
      <c r="H60" s="564"/>
      <c r="I60" s="564"/>
      <c r="J60" s="564"/>
      <c r="K60" s="564"/>
      <c r="L60" s="564"/>
      <c r="M60" s="564"/>
      <c r="N60" s="564"/>
      <c r="O60" s="564"/>
      <c r="P60" s="564"/>
      <c r="Q60" s="947"/>
      <c r="R60" s="947"/>
      <c r="S60" s="424"/>
      <c r="T60" s="424"/>
      <c r="U60" s="424"/>
    </row>
    <row r="61" spans="1:22" x14ac:dyDescent="0.3">
      <c r="A61" s="1033"/>
      <c r="B61" s="564"/>
      <c r="C61" s="564"/>
      <c r="D61" s="564"/>
      <c r="E61" s="564"/>
      <c r="F61" s="564"/>
      <c r="G61" s="564"/>
      <c r="H61" s="564"/>
      <c r="I61" s="564"/>
      <c r="J61" s="564"/>
      <c r="K61" s="564"/>
      <c r="L61" s="564"/>
      <c r="M61" s="564"/>
      <c r="N61" s="564"/>
      <c r="O61" s="564"/>
      <c r="P61" s="564"/>
      <c r="Q61" s="947"/>
      <c r="R61" s="947"/>
      <c r="S61" s="424"/>
      <c r="T61" s="424"/>
      <c r="U61" s="424"/>
    </row>
    <row r="62" spans="1:22" x14ac:dyDescent="0.3">
      <c r="A62" s="1033"/>
      <c r="B62" s="564"/>
      <c r="C62" s="564"/>
      <c r="D62" s="564"/>
      <c r="E62" s="564"/>
      <c r="F62" s="564"/>
      <c r="G62" s="564"/>
      <c r="H62" s="564"/>
      <c r="I62" s="564"/>
      <c r="J62" s="564"/>
      <c r="K62" s="564"/>
      <c r="L62" s="564"/>
      <c r="M62" s="564"/>
      <c r="N62" s="564"/>
      <c r="O62" s="564"/>
      <c r="P62" s="564"/>
      <c r="Q62" s="424"/>
      <c r="R62" s="424"/>
      <c r="S62" s="424"/>
      <c r="T62" s="424"/>
      <c r="U62" s="424"/>
    </row>
    <row r="63" spans="1:22" x14ac:dyDescent="0.3">
      <c r="B63" s="564"/>
      <c r="C63" s="564"/>
      <c r="D63" s="564"/>
      <c r="E63" s="564"/>
      <c r="F63" s="564"/>
      <c r="G63" s="564"/>
      <c r="H63" s="564"/>
      <c r="I63" s="564"/>
      <c r="J63" s="564"/>
      <c r="K63" s="564"/>
      <c r="L63" s="564"/>
      <c r="M63" s="564"/>
      <c r="N63" s="564"/>
      <c r="O63" s="564"/>
      <c r="P63" s="564"/>
      <c r="Q63" s="564"/>
      <c r="R63" s="564"/>
      <c r="S63" s="564"/>
      <c r="T63" s="564"/>
      <c r="U63" s="424"/>
    </row>
    <row r="64" spans="1:22" x14ac:dyDescent="0.3">
      <c r="B64" s="564"/>
      <c r="C64" s="564"/>
      <c r="D64" s="564"/>
      <c r="E64" s="564"/>
      <c r="F64" s="564"/>
      <c r="G64" s="564"/>
      <c r="H64" s="564"/>
      <c r="I64" s="564"/>
      <c r="J64" s="564"/>
      <c r="K64" s="564"/>
      <c r="L64" s="564"/>
      <c r="M64" s="564"/>
      <c r="N64" s="564"/>
      <c r="O64" s="564"/>
      <c r="P64" s="564"/>
      <c r="Q64" s="564"/>
      <c r="R64" s="564"/>
      <c r="S64" s="564"/>
      <c r="T64" s="564"/>
    </row>
    <row r="65" spans="2:20" x14ac:dyDescent="0.3">
      <c r="B65" s="564"/>
      <c r="C65" s="564"/>
      <c r="D65" s="564"/>
      <c r="E65" s="564"/>
      <c r="F65" s="564"/>
      <c r="G65" s="564"/>
      <c r="H65" s="564"/>
      <c r="I65" s="564"/>
      <c r="J65" s="564"/>
      <c r="K65" s="564"/>
      <c r="L65" s="564"/>
      <c r="M65" s="564"/>
      <c r="N65" s="564"/>
      <c r="O65" s="564"/>
      <c r="P65" s="564"/>
      <c r="Q65" s="564"/>
      <c r="R65" s="564"/>
      <c r="S65" s="564"/>
      <c r="T65" s="564"/>
    </row>
    <row r="66" spans="2:20" x14ac:dyDescent="0.3">
      <c r="B66" s="564"/>
      <c r="C66" s="564"/>
      <c r="D66" s="564"/>
      <c r="E66" s="564"/>
      <c r="F66" s="564"/>
      <c r="G66" s="564"/>
      <c r="H66" s="564"/>
      <c r="I66" s="564"/>
      <c r="J66" s="564"/>
      <c r="K66" s="564"/>
      <c r="L66" s="564"/>
      <c r="M66" s="564"/>
      <c r="N66" s="564"/>
      <c r="O66" s="564"/>
      <c r="P66" s="564"/>
      <c r="Q66" s="943"/>
      <c r="R66" s="564"/>
      <c r="S66" s="564"/>
      <c r="T66" s="564"/>
    </row>
    <row r="67" spans="2:20" x14ac:dyDescent="0.3">
      <c r="B67" s="564"/>
      <c r="C67" s="564"/>
      <c r="D67" s="564"/>
      <c r="E67" s="564"/>
      <c r="F67" s="564"/>
      <c r="G67" s="564"/>
      <c r="H67" s="564"/>
      <c r="I67" s="564"/>
      <c r="J67" s="564"/>
      <c r="K67" s="564"/>
      <c r="L67" s="564"/>
      <c r="M67" s="564"/>
      <c r="N67" s="564"/>
      <c r="O67" s="564"/>
      <c r="P67" s="564"/>
      <c r="Q67" s="564"/>
      <c r="R67" s="564"/>
      <c r="S67" s="564"/>
      <c r="T67" s="564"/>
    </row>
    <row r="68" spans="2:20" x14ac:dyDescent="0.3">
      <c r="B68" s="564"/>
      <c r="C68" s="564"/>
      <c r="D68" s="564"/>
      <c r="E68" s="564"/>
      <c r="F68" s="564"/>
      <c r="G68" s="564"/>
      <c r="H68" s="564"/>
      <c r="I68" s="564"/>
      <c r="J68" s="564"/>
      <c r="K68" s="564"/>
      <c r="L68" s="564"/>
      <c r="M68" s="564"/>
      <c r="N68" s="564"/>
      <c r="O68" s="564"/>
      <c r="P68" s="564"/>
      <c r="Q68" s="564"/>
      <c r="R68" s="564"/>
      <c r="S68" s="564"/>
      <c r="T68" s="564"/>
    </row>
    <row r="69" spans="2:20" x14ac:dyDescent="0.3">
      <c r="B69" s="564"/>
      <c r="C69" s="564"/>
      <c r="D69" s="564"/>
      <c r="E69" s="564"/>
      <c r="F69" s="564"/>
      <c r="G69" s="564"/>
      <c r="H69" s="564"/>
      <c r="I69" s="564"/>
      <c r="J69" s="564"/>
      <c r="K69" s="564"/>
      <c r="L69" s="564"/>
      <c r="M69" s="564"/>
      <c r="N69" s="564"/>
      <c r="O69" s="564"/>
      <c r="P69" s="564"/>
      <c r="Q69" s="564"/>
      <c r="R69" s="564"/>
      <c r="S69" s="564"/>
      <c r="T69" s="564"/>
    </row>
    <row r="70" spans="2:20" x14ac:dyDescent="0.3">
      <c r="B70" s="564"/>
      <c r="C70" s="564"/>
      <c r="D70" s="564"/>
      <c r="E70" s="564"/>
      <c r="F70" s="564"/>
      <c r="G70" s="564"/>
      <c r="H70" s="564"/>
      <c r="I70" s="564"/>
      <c r="J70" s="564"/>
      <c r="K70" s="564"/>
      <c r="L70" s="564"/>
      <c r="M70" s="564"/>
      <c r="N70" s="564"/>
      <c r="O70" s="564"/>
      <c r="P70" s="564"/>
      <c r="Q70" s="943"/>
      <c r="R70" s="564"/>
      <c r="S70" s="564"/>
      <c r="T70" s="564"/>
    </row>
    <row r="71" spans="2:20" x14ac:dyDescent="0.3">
      <c r="B71" s="564"/>
      <c r="C71" s="564"/>
      <c r="D71" s="564"/>
      <c r="E71" s="564"/>
      <c r="F71" s="564"/>
      <c r="G71" s="564"/>
      <c r="H71" s="564"/>
      <c r="I71" s="564"/>
      <c r="J71" s="564"/>
      <c r="K71" s="564"/>
      <c r="L71" s="564"/>
      <c r="M71" s="564"/>
      <c r="N71" s="564"/>
      <c r="O71" s="564"/>
      <c r="P71" s="564"/>
      <c r="Q71" s="943"/>
      <c r="R71" s="943"/>
      <c r="S71" s="564"/>
      <c r="T71" s="564"/>
    </row>
    <row r="72" spans="2:20" x14ac:dyDescent="0.3">
      <c r="B72" s="564"/>
      <c r="C72" s="564"/>
      <c r="D72" s="564"/>
      <c r="E72" s="564"/>
      <c r="F72" s="564"/>
      <c r="G72" s="564"/>
      <c r="H72" s="564"/>
      <c r="I72" s="564"/>
      <c r="J72" s="564"/>
      <c r="K72" s="564"/>
      <c r="L72" s="564"/>
      <c r="M72" s="564"/>
      <c r="N72" s="564"/>
      <c r="O72" s="564"/>
      <c r="P72" s="564"/>
      <c r="Q72" s="943"/>
      <c r="R72" s="943"/>
      <c r="S72" s="564"/>
      <c r="T72" s="564"/>
    </row>
    <row r="73" spans="2:20" x14ac:dyDescent="0.3">
      <c r="B73" s="564"/>
      <c r="C73" s="564"/>
      <c r="D73" s="564"/>
      <c r="E73" s="564"/>
      <c r="F73" s="564"/>
      <c r="G73" s="564"/>
      <c r="H73" s="564"/>
      <c r="I73" s="564"/>
      <c r="J73" s="564"/>
      <c r="K73" s="564"/>
      <c r="L73" s="564"/>
      <c r="M73" s="564"/>
      <c r="N73" s="564"/>
      <c r="O73" s="564"/>
      <c r="P73" s="564"/>
      <c r="Q73" s="564"/>
      <c r="R73" s="943"/>
      <c r="S73" s="564"/>
      <c r="T73" s="564"/>
    </row>
    <row r="74" spans="2:20" x14ac:dyDescent="0.3">
      <c r="B74" s="564"/>
      <c r="C74" s="564"/>
      <c r="D74" s="564"/>
      <c r="E74" s="564"/>
      <c r="F74" s="564"/>
      <c r="G74" s="564"/>
      <c r="H74" s="564"/>
      <c r="I74" s="564"/>
      <c r="J74" s="564"/>
      <c r="K74" s="564"/>
      <c r="L74" s="564"/>
      <c r="M74" s="564"/>
      <c r="N74" s="564"/>
      <c r="O74" s="564"/>
      <c r="P74" s="564"/>
      <c r="Q74" s="943"/>
      <c r="R74" s="1396"/>
      <c r="S74" s="564"/>
      <c r="T74" s="564"/>
    </row>
    <row r="75" spans="2:20" x14ac:dyDescent="0.3">
      <c r="B75" s="564"/>
      <c r="C75" s="564"/>
      <c r="D75" s="564"/>
      <c r="E75" s="564"/>
      <c r="F75" s="564"/>
      <c r="G75" s="564"/>
      <c r="H75" s="564"/>
      <c r="I75" s="564"/>
      <c r="J75" s="564"/>
      <c r="K75" s="564"/>
      <c r="L75" s="564"/>
      <c r="M75" s="564"/>
      <c r="N75" s="564"/>
      <c r="O75" s="564"/>
      <c r="P75" s="564"/>
      <c r="Q75" s="943"/>
      <c r="R75" s="1396"/>
      <c r="S75" s="564"/>
      <c r="T75" s="564"/>
    </row>
    <row r="76" spans="2:20" x14ac:dyDescent="0.3">
      <c r="B76" s="564"/>
      <c r="C76" s="564"/>
      <c r="D76" s="564"/>
      <c r="E76" s="564"/>
      <c r="F76" s="564"/>
      <c r="G76" s="564"/>
      <c r="H76" s="564"/>
      <c r="I76" s="564"/>
      <c r="J76" s="564"/>
      <c r="K76" s="564"/>
      <c r="L76" s="564"/>
      <c r="M76" s="564"/>
      <c r="N76" s="564"/>
      <c r="O76" s="564"/>
      <c r="P76" s="564"/>
      <c r="Q76" s="943"/>
      <c r="R76" s="943"/>
      <c r="S76" s="564"/>
      <c r="T76" s="564"/>
    </row>
    <row r="77" spans="2:20" x14ac:dyDescent="0.3">
      <c r="B77" s="564"/>
      <c r="C77" s="564"/>
      <c r="D77" s="564"/>
      <c r="E77" s="564"/>
      <c r="F77" s="564"/>
      <c r="G77" s="564"/>
      <c r="H77" s="564"/>
      <c r="I77" s="564"/>
      <c r="J77" s="564"/>
      <c r="K77" s="564"/>
      <c r="L77" s="564"/>
      <c r="M77" s="564"/>
      <c r="N77" s="564"/>
      <c r="O77" s="564"/>
      <c r="P77" s="564"/>
      <c r="Q77" s="943"/>
      <c r="R77" s="564"/>
      <c r="S77" s="564"/>
      <c r="T77" s="564"/>
    </row>
    <row r="78" spans="2:20" x14ac:dyDescent="0.3">
      <c r="B78" s="564"/>
      <c r="C78" s="564"/>
      <c r="D78" s="564"/>
      <c r="E78" s="564"/>
      <c r="F78" s="564"/>
      <c r="G78" s="564"/>
      <c r="H78" s="564"/>
      <c r="I78" s="564"/>
      <c r="J78" s="564"/>
      <c r="K78" s="564"/>
      <c r="L78" s="564"/>
      <c r="M78" s="564"/>
      <c r="N78" s="564"/>
      <c r="O78" s="564"/>
      <c r="P78" s="564"/>
      <c r="Q78" s="943"/>
      <c r="R78" s="564"/>
      <c r="S78" s="564"/>
      <c r="T78" s="564"/>
    </row>
    <row r="79" spans="2:20" ht="15" customHeight="1" x14ac:dyDescent="0.3">
      <c r="B79" s="564"/>
      <c r="C79" s="564"/>
      <c r="D79" s="564"/>
      <c r="E79" s="564"/>
      <c r="F79" s="564"/>
      <c r="G79" s="564"/>
      <c r="H79" s="564"/>
      <c r="I79" s="564"/>
      <c r="J79" s="564"/>
      <c r="K79" s="564"/>
      <c r="L79" s="564"/>
      <c r="M79" s="564"/>
      <c r="N79" s="564"/>
      <c r="O79" s="564"/>
      <c r="P79" s="564"/>
      <c r="Q79" s="564"/>
      <c r="R79" s="564"/>
      <c r="S79" s="564"/>
      <c r="T79" s="564"/>
    </row>
    <row r="80" spans="2:20" x14ac:dyDescent="0.3">
      <c r="B80" s="564"/>
      <c r="C80" s="564"/>
      <c r="D80" s="564"/>
      <c r="E80" s="564"/>
      <c r="F80" s="564"/>
      <c r="G80" s="564"/>
      <c r="H80" s="564"/>
      <c r="I80" s="564"/>
      <c r="J80" s="564"/>
      <c r="K80" s="564"/>
      <c r="L80" s="564"/>
      <c r="M80" s="564"/>
      <c r="N80" s="564"/>
      <c r="O80" s="564"/>
      <c r="P80" s="564"/>
      <c r="Q80" s="564"/>
      <c r="R80" s="564"/>
      <c r="S80" s="564"/>
      <c r="T80" s="564"/>
    </row>
    <row r="81" spans="2:20" x14ac:dyDescent="0.3">
      <c r="B81" s="564"/>
      <c r="C81" s="564"/>
      <c r="D81" s="564"/>
      <c r="E81" s="564"/>
      <c r="F81" s="564"/>
      <c r="G81" s="564"/>
      <c r="H81" s="564"/>
      <c r="I81" s="564"/>
      <c r="J81" s="564"/>
      <c r="K81" s="564"/>
      <c r="L81" s="564"/>
      <c r="M81" s="564"/>
      <c r="N81" s="564"/>
      <c r="O81" s="564"/>
      <c r="P81" s="564"/>
      <c r="Q81" s="564"/>
      <c r="R81" s="564"/>
      <c r="S81" s="564"/>
      <c r="T81" s="564"/>
    </row>
    <row r="82" spans="2:20" x14ac:dyDescent="0.3">
      <c r="B82" s="564"/>
      <c r="C82" s="564"/>
      <c r="D82" s="564"/>
      <c r="E82" s="564"/>
      <c r="F82" s="564"/>
      <c r="G82" s="564"/>
      <c r="H82" s="564"/>
      <c r="I82" s="564"/>
      <c r="J82" s="564"/>
      <c r="K82" s="564"/>
      <c r="L82" s="564"/>
      <c r="M82" s="564"/>
      <c r="N82" s="564"/>
      <c r="O82" s="564"/>
      <c r="P82" s="564"/>
      <c r="Q82" s="564"/>
      <c r="R82" s="564"/>
      <c r="S82" s="564"/>
      <c r="T82" s="564"/>
    </row>
    <row r="83" spans="2:20" x14ac:dyDescent="0.3">
      <c r="B83" s="564"/>
      <c r="C83" s="564"/>
      <c r="D83" s="564"/>
      <c r="E83" s="564"/>
      <c r="F83" s="564"/>
      <c r="G83" s="564"/>
      <c r="H83" s="564"/>
      <c r="I83" s="564"/>
      <c r="J83" s="564"/>
      <c r="K83" s="564"/>
      <c r="L83" s="564"/>
      <c r="M83" s="564"/>
      <c r="N83" s="564"/>
      <c r="O83" s="564"/>
      <c r="P83" s="564"/>
      <c r="Q83" s="943"/>
      <c r="R83" s="1397"/>
      <c r="S83" s="564"/>
      <c r="T83" s="564"/>
    </row>
    <row r="84" spans="2:20" x14ac:dyDescent="0.3">
      <c r="B84" s="564"/>
      <c r="C84" s="564"/>
      <c r="D84" s="564"/>
      <c r="E84" s="564"/>
      <c r="F84" s="564"/>
      <c r="G84" s="564"/>
      <c r="H84" s="564"/>
      <c r="I84" s="564"/>
      <c r="J84" s="564"/>
      <c r="K84" s="564"/>
      <c r="L84" s="564"/>
      <c r="M84" s="564"/>
      <c r="N84" s="564"/>
      <c r="O84" s="564"/>
      <c r="P84" s="564"/>
      <c r="Q84" s="943"/>
      <c r="R84" s="564"/>
      <c r="S84" s="564"/>
      <c r="T84" s="564"/>
    </row>
    <row r="85" spans="2:20" x14ac:dyDescent="0.3"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1398"/>
      <c r="R85" s="1398"/>
      <c r="S85" s="564"/>
      <c r="T85" s="564"/>
    </row>
    <row r="86" spans="2:20" x14ac:dyDescent="0.3">
      <c r="B86" s="564"/>
      <c r="C86" s="564"/>
      <c r="D86" s="564"/>
      <c r="E86" s="564"/>
      <c r="F86" s="564"/>
      <c r="G86" s="564"/>
      <c r="H86" s="564"/>
      <c r="I86" s="564"/>
      <c r="J86" s="564"/>
      <c r="K86" s="564"/>
      <c r="L86" s="564"/>
      <c r="M86" s="564"/>
      <c r="N86" s="564"/>
      <c r="O86" s="564"/>
      <c r="P86" s="564"/>
      <c r="Q86" s="947"/>
      <c r="R86" s="528"/>
      <c r="S86" s="564"/>
      <c r="T86" s="564"/>
    </row>
    <row r="87" spans="2:20" x14ac:dyDescent="0.3">
      <c r="B87" s="564"/>
      <c r="C87" s="564"/>
      <c r="D87" s="564"/>
      <c r="E87" s="564"/>
      <c r="F87" s="564"/>
      <c r="G87" s="564"/>
      <c r="H87" s="564"/>
      <c r="I87" s="564"/>
      <c r="J87" s="564"/>
      <c r="K87" s="564"/>
      <c r="L87" s="564"/>
      <c r="M87" s="564"/>
      <c r="N87" s="564"/>
      <c r="O87" s="564"/>
      <c r="P87" s="564"/>
      <c r="Q87" s="564"/>
      <c r="R87" s="528"/>
      <c r="S87" s="564"/>
      <c r="T87" s="564"/>
    </row>
    <row r="88" spans="2:20" x14ac:dyDescent="0.3">
      <c r="B88" s="564"/>
      <c r="C88" s="564"/>
      <c r="D88" s="564"/>
      <c r="E88" s="564"/>
      <c r="F88" s="564"/>
      <c r="G88" s="564"/>
      <c r="H88" s="564"/>
      <c r="I88" s="564"/>
      <c r="J88" s="564"/>
      <c r="K88" s="564"/>
      <c r="L88" s="564"/>
      <c r="M88" s="564"/>
      <c r="N88" s="564"/>
      <c r="O88" s="564"/>
      <c r="P88" s="564"/>
      <c r="Q88" s="564"/>
      <c r="R88" s="528"/>
      <c r="S88" s="564"/>
      <c r="T88" s="564"/>
    </row>
    <row r="89" spans="2:20" x14ac:dyDescent="0.3">
      <c r="B89" s="564"/>
      <c r="C89" s="564"/>
      <c r="D89" s="564"/>
      <c r="E89" s="564"/>
      <c r="F89" s="564"/>
      <c r="G89" s="564"/>
      <c r="H89" s="564"/>
      <c r="I89" s="564"/>
      <c r="J89" s="564"/>
      <c r="K89" s="564"/>
      <c r="L89" s="564"/>
      <c r="M89" s="564"/>
      <c r="N89" s="564"/>
      <c r="O89" s="564"/>
      <c r="P89" s="564"/>
      <c r="Q89" s="564"/>
      <c r="R89" s="528"/>
      <c r="S89" s="564"/>
      <c r="T89" s="564"/>
    </row>
    <row r="90" spans="2:20" x14ac:dyDescent="0.3">
      <c r="B90" s="564"/>
      <c r="C90" s="564"/>
      <c r="D90" s="564"/>
      <c r="E90" s="564"/>
      <c r="F90" s="564"/>
      <c r="G90" s="564"/>
      <c r="H90" s="564"/>
      <c r="I90" s="564"/>
      <c r="J90" s="564"/>
      <c r="K90" s="564"/>
      <c r="L90" s="564"/>
      <c r="M90" s="564"/>
      <c r="N90" s="564"/>
      <c r="O90" s="564"/>
      <c r="P90" s="564"/>
      <c r="Q90" s="564"/>
      <c r="R90" s="564"/>
      <c r="S90" s="564"/>
      <c r="T90" s="564"/>
    </row>
    <row r="91" spans="2:20" x14ac:dyDescent="0.3">
      <c r="B91" s="564"/>
      <c r="C91" s="564"/>
      <c r="D91" s="564"/>
      <c r="E91" s="564"/>
      <c r="F91" s="564"/>
      <c r="G91" s="564"/>
      <c r="H91" s="564"/>
      <c r="I91" s="564"/>
      <c r="J91" s="564"/>
      <c r="K91" s="564"/>
      <c r="L91" s="564"/>
      <c r="M91" s="564"/>
      <c r="N91" s="564"/>
      <c r="O91" s="564"/>
      <c r="P91" s="564"/>
      <c r="Q91" s="1398"/>
      <c r="R91" s="1398"/>
      <c r="S91" s="564"/>
      <c r="T91" s="564"/>
    </row>
    <row r="92" spans="2:20" x14ac:dyDescent="0.3">
      <c r="B92" s="564"/>
      <c r="C92" s="564"/>
      <c r="D92" s="564"/>
      <c r="E92" s="564"/>
      <c r="F92" s="564"/>
      <c r="G92" s="564"/>
      <c r="H92" s="564"/>
      <c r="I92" s="564"/>
      <c r="J92" s="564"/>
      <c r="K92" s="564"/>
      <c r="L92" s="564"/>
      <c r="M92" s="564"/>
      <c r="N92" s="564"/>
      <c r="O92" s="564"/>
      <c r="P92" s="564"/>
      <c r="Q92" s="1398"/>
      <c r="R92" s="1398"/>
      <c r="S92" s="564"/>
      <c r="T92" s="564"/>
    </row>
    <row r="93" spans="2:20" x14ac:dyDescent="0.3">
      <c r="B93" s="564"/>
      <c r="C93" s="564"/>
      <c r="D93" s="564"/>
      <c r="E93" s="564"/>
      <c r="F93" s="564"/>
      <c r="G93" s="564"/>
      <c r="H93" s="564"/>
      <c r="I93" s="564"/>
      <c r="J93" s="564"/>
      <c r="K93" s="564"/>
      <c r="L93" s="564"/>
      <c r="M93" s="564"/>
      <c r="N93" s="564"/>
      <c r="O93" s="564"/>
      <c r="P93" s="564"/>
      <c r="Q93" s="564"/>
      <c r="R93" s="564"/>
      <c r="S93" s="564"/>
      <c r="T93" s="564"/>
    </row>
    <row r="94" spans="2:20" x14ac:dyDescent="0.3">
      <c r="B94" s="564"/>
      <c r="C94" s="564"/>
      <c r="D94" s="564"/>
      <c r="E94" s="564"/>
      <c r="F94" s="564"/>
      <c r="G94" s="564"/>
      <c r="H94" s="564"/>
      <c r="I94" s="564"/>
      <c r="J94" s="564"/>
      <c r="K94" s="564"/>
      <c r="L94" s="564"/>
      <c r="M94" s="564"/>
      <c r="N94" s="564"/>
      <c r="O94" s="564"/>
      <c r="P94" s="564"/>
      <c r="Q94" s="564"/>
      <c r="R94" s="564"/>
      <c r="S94" s="564"/>
      <c r="T94" s="564"/>
    </row>
    <row r="95" spans="2:20" x14ac:dyDescent="0.3">
      <c r="B95" s="564"/>
      <c r="C95" s="564"/>
      <c r="D95" s="564"/>
      <c r="E95" s="564"/>
      <c r="F95" s="564"/>
      <c r="G95" s="564"/>
      <c r="H95" s="564"/>
      <c r="I95" s="564"/>
      <c r="J95" s="564"/>
      <c r="K95" s="564"/>
      <c r="L95" s="564"/>
      <c r="M95" s="564"/>
      <c r="N95" s="564"/>
      <c r="O95" s="564"/>
      <c r="P95" s="564"/>
      <c r="Q95" s="564"/>
      <c r="R95" s="564"/>
      <c r="S95" s="564"/>
      <c r="T95" s="564"/>
    </row>
    <row r="96" spans="2:20" x14ac:dyDescent="0.3">
      <c r="B96" s="564"/>
      <c r="C96" s="564"/>
      <c r="D96" s="564"/>
      <c r="E96" s="564"/>
      <c r="F96" s="564"/>
      <c r="G96" s="564"/>
      <c r="H96" s="564"/>
      <c r="I96" s="564"/>
      <c r="J96" s="564"/>
      <c r="K96" s="564"/>
      <c r="L96" s="564"/>
      <c r="M96" s="564"/>
      <c r="N96" s="564"/>
      <c r="O96" s="564"/>
      <c r="P96" s="564"/>
      <c r="Q96" s="564"/>
      <c r="R96" s="564"/>
      <c r="S96" s="564"/>
      <c r="T96" s="564"/>
    </row>
    <row r="97" spans="2:20" x14ac:dyDescent="0.3">
      <c r="B97" s="564"/>
      <c r="C97" s="564"/>
      <c r="D97" s="564"/>
      <c r="E97" s="564"/>
      <c r="F97" s="564"/>
      <c r="G97" s="564"/>
      <c r="H97" s="564"/>
      <c r="I97" s="564"/>
      <c r="J97" s="564"/>
      <c r="K97" s="564"/>
      <c r="L97" s="564"/>
      <c r="M97" s="564"/>
      <c r="N97" s="564"/>
      <c r="O97" s="564"/>
      <c r="P97" s="564"/>
      <c r="Q97" s="564"/>
      <c r="R97" s="564"/>
      <c r="S97" s="564"/>
      <c r="T97" s="564"/>
    </row>
    <row r="98" spans="2:20" x14ac:dyDescent="0.3">
      <c r="B98" s="564"/>
      <c r="C98" s="564"/>
      <c r="D98" s="564"/>
      <c r="E98" s="564"/>
      <c r="F98" s="564"/>
      <c r="G98" s="564"/>
      <c r="H98" s="564"/>
      <c r="I98" s="564"/>
      <c r="J98" s="564"/>
      <c r="K98" s="564"/>
      <c r="L98" s="564"/>
      <c r="M98" s="564"/>
      <c r="N98" s="564"/>
      <c r="O98" s="564"/>
      <c r="P98" s="564"/>
      <c r="Q98" s="564"/>
      <c r="R98" s="564"/>
      <c r="S98" s="564"/>
      <c r="T98" s="564"/>
    </row>
    <row r="99" spans="2:20" x14ac:dyDescent="0.3">
      <c r="B99" s="564"/>
      <c r="C99" s="564"/>
      <c r="D99" s="564"/>
      <c r="E99" s="564"/>
      <c r="F99" s="564"/>
      <c r="G99" s="564"/>
      <c r="H99" s="564"/>
      <c r="I99" s="564"/>
      <c r="J99" s="564"/>
      <c r="K99" s="564"/>
      <c r="L99" s="564"/>
      <c r="M99" s="564"/>
      <c r="N99" s="564"/>
      <c r="O99" s="564"/>
      <c r="P99" s="564"/>
      <c r="Q99" s="564"/>
      <c r="R99" s="564"/>
      <c r="S99" s="564"/>
      <c r="T99" s="564"/>
    </row>
    <row r="100" spans="2:20" x14ac:dyDescent="0.3">
      <c r="B100" s="564"/>
      <c r="C100" s="564"/>
      <c r="D100" s="564"/>
      <c r="E100" s="564"/>
      <c r="F100" s="564"/>
      <c r="G100" s="564"/>
      <c r="H100" s="564"/>
      <c r="I100" s="564"/>
      <c r="J100" s="564"/>
      <c r="K100" s="564"/>
      <c r="L100" s="564"/>
      <c r="M100" s="564"/>
      <c r="N100" s="564"/>
      <c r="O100" s="564"/>
      <c r="P100" s="564"/>
      <c r="Q100" s="564"/>
      <c r="R100" s="564"/>
      <c r="S100" s="564"/>
      <c r="T100" s="564"/>
    </row>
    <row r="101" spans="2:20" x14ac:dyDescent="0.3">
      <c r="B101" s="564"/>
      <c r="C101" s="564"/>
      <c r="D101" s="564"/>
      <c r="E101" s="564"/>
      <c r="F101" s="564"/>
      <c r="G101" s="564"/>
      <c r="H101" s="564"/>
      <c r="I101" s="564"/>
      <c r="J101" s="564"/>
      <c r="K101" s="564"/>
      <c r="L101" s="564"/>
      <c r="M101" s="564"/>
      <c r="N101" s="564"/>
      <c r="O101" s="564"/>
      <c r="P101" s="564"/>
      <c r="Q101" s="564"/>
      <c r="R101" s="564"/>
      <c r="S101" s="564"/>
      <c r="T101" s="564"/>
    </row>
    <row r="102" spans="2:20" x14ac:dyDescent="0.3">
      <c r="B102" s="564"/>
      <c r="C102" s="564"/>
      <c r="D102" s="564"/>
      <c r="E102" s="564"/>
      <c r="F102" s="564"/>
      <c r="G102" s="564"/>
      <c r="H102" s="564"/>
      <c r="I102" s="564"/>
      <c r="J102" s="564"/>
      <c r="K102" s="564"/>
      <c r="L102" s="564"/>
      <c r="M102" s="564"/>
      <c r="N102" s="564"/>
      <c r="O102" s="564"/>
      <c r="P102" s="564"/>
      <c r="Q102" s="564"/>
      <c r="R102" s="564"/>
      <c r="S102" s="564"/>
      <c r="T102" s="564"/>
    </row>
    <row r="103" spans="2:20" x14ac:dyDescent="0.3">
      <c r="B103" s="564"/>
      <c r="C103" s="564"/>
      <c r="D103" s="564"/>
      <c r="E103" s="564"/>
      <c r="F103" s="564"/>
      <c r="G103" s="564"/>
      <c r="H103" s="564"/>
      <c r="I103" s="564"/>
      <c r="J103" s="564"/>
      <c r="K103" s="564"/>
      <c r="L103" s="564"/>
      <c r="M103" s="564"/>
      <c r="P103" s="564"/>
      <c r="Q103" s="564"/>
      <c r="R103" s="564"/>
      <c r="S103" s="564"/>
      <c r="T103" s="564"/>
    </row>
    <row r="104" spans="2:20" x14ac:dyDescent="0.3">
      <c r="B104" s="564"/>
      <c r="C104" s="564"/>
      <c r="D104" s="564"/>
      <c r="E104" s="564"/>
      <c r="F104" s="564"/>
      <c r="G104" s="564"/>
      <c r="H104" s="564"/>
      <c r="I104" s="564"/>
      <c r="J104" s="564"/>
      <c r="K104" s="564"/>
      <c r="L104" s="564"/>
      <c r="M104" s="564"/>
      <c r="P104" s="564"/>
      <c r="Q104" s="564"/>
      <c r="R104" s="564"/>
      <c r="S104" s="564"/>
      <c r="T104" s="564"/>
    </row>
    <row r="105" spans="2:20" x14ac:dyDescent="0.3">
      <c r="B105" s="564"/>
      <c r="C105" s="564"/>
      <c r="D105" s="564"/>
      <c r="E105" s="564"/>
      <c r="F105" s="564"/>
      <c r="G105" s="564"/>
      <c r="H105" s="564"/>
      <c r="I105" s="564"/>
      <c r="J105" s="564"/>
      <c r="K105" s="564"/>
      <c r="L105" s="564"/>
      <c r="M105" s="564"/>
      <c r="P105" s="564"/>
      <c r="Q105" s="564"/>
      <c r="R105" s="564"/>
      <c r="S105" s="564"/>
      <c r="T105" s="564"/>
    </row>
    <row r="106" spans="2:20" x14ac:dyDescent="0.3">
      <c r="B106" s="564"/>
      <c r="C106" s="564"/>
      <c r="D106" s="564"/>
      <c r="E106" s="564"/>
      <c r="F106" s="564"/>
      <c r="G106" s="564"/>
      <c r="H106" s="564"/>
      <c r="I106" s="564"/>
      <c r="J106" s="564"/>
      <c r="K106" s="564"/>
      <c r="L106" s="564"/>
      <c r="M106" s="564"/>
      <c r="P106" s="564"/>
      <c r="Q106" s="564"/>
      <c r="R106" s="564"/>
      <c r="S106" s="564"/>
      <c r="T106" s="564"/>
    </row>
    <row r="107" spans="2:20" x14ac:dyDescent="0.3">
      <c r="B107" s="564"/>
      <c r="C107" s="564"/>
      <c r="D107" s="564"/>
      <c r="E107" s="564"/>
      <c r="F107" s="564"/>
      <c r="G107" s="564"/>
      <c r="H107" s="564"/>
      <c r="I107" s="564"/>
      <c r="J107" s="564"/>
      <c r="K107" s="564"/>
      <c r="L107" s="564"/>
      <c r="M107" s="564"/>
      <c r="P107" s="564"/>
      <c r="Q107" s="564"/>
      <c r="R107" s="564"/>
      <c r="S107" s="564"/>
      <c r="T107" s="564"/>
    </row>
    <row r="108" spans="2:20" x14ac:dyDescent="0.3">
      <c r="B108" s="564"/>
      <c r="C108" s="564"/>
      <c r="D108" s="564"/>
      <c r="E108" s="564"/>
      <c r="F108" s="564"/>
      <c r="G108" s="564"/>
      <c r="H108" s="564"/>
      <c r="I108" s="564"/>
      <c r="J108" s="564"/>
      <c r="K108" s="564"/>
      <c r="L108" s="564"/>
      <c r="M108" s="564"/>
      <c r="P108" s="564"/>
      <c r="Q108" s="564"/>
      <c r="R108" s="564"/>
      <c r="S108" s="564"/>
      <c r="T108" s="564"/>
    </row>
    <row r="109" spans="2:20" x14ac:dyDescent="0.3">
      <c r="Q109" s="564"/>
      <c r="R109" s="564"/>
      <c r="S109" s="564"/>
      <c r="T109" s="564"/>
    </row>
    <row r="110" spans="2:20" x14ac:dyDescent="0.3">
      <c r="Q110" s="564"/>
      <c r="R110" s="564"/>
      <c r="S110" s="564"/>
      <c r="T110" s="564"/>
    </row>
    <row r="111" spans="2:20" x14ac:dyDescent="0.3">
      <c r="Q111" s="564"/>
      <c r="R111" s="564"/>
      <c r="S111" s="564"/>
      <c r="T111" s="564"/>
    </row>
  </sheetData>
  <mergeCells count="2">
    <mergeCell ref="B47:C47"/>
    <mergeCell ref="Q2:S2"/>
  </mergeCells>
  <conditionalFormatting sqref="O39">
    <cfRule type="cellIs" dxfId="16" priority="31" operator="lessThan">
      <formula>#REF!</formula>
    </cfRule>
  </conditionalFormatting>
  <conditionalFormatting sqref="R35:U35">
    <cfRule type="colorScale" priority="32">
      <colorScale>
        <cfvo type="min"/>
        <cfvo type="max"/>
        <color rgb="FFFF7128"/>
        <color rgb="FFFFEF9C"/>
      </colorScale>
    </cfRule>
  </conditionalFormatting>
  <dataValidations disablePrompts="1"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$Q$16:$Q$23</formula1>
    </dataValidation>
  </dataValidations>
  <hyperlinks>
    <hyperlink ref="Q2" r:id="rId1" xr:uid="{E7EC33CA-830D-4510-BAFC-53A0DEE4EB24}"/>
    <hyperlink ref="Q14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27</xdr:row>
                    <xdr:rowOff>167640</xdr:rowOff>
                  </from>
                  <to>
                    <xdr:col>14</xdr:col>
                    <xdr:colOff>731520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701040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60960</xdr:colOff>
                    <xdr:row>31</xdr:row>
                    <xdr:rowOff>38100</xdr:rowOff>
                  </from>
                  <to>
                    <xdr:col>15</xdr:col>
                    <xdr:colOff>60960</xdr:colOff>
                    <xdr:row>32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A1:X65"/>
  <sheetViews>
    <sheetView showGridLines="0" zoomScale="70" zoomScaleNormal="70" workbookViewId="0">
      <selection activeCell="F3" sqref="F3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9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309</v>
      </c>
      <c r="O1" s="57"/>
      <c r="P1" s="57"/>
      <c r="Q1" s="57"/>
      <c r="R1" s="57"/>
      <c r="S1" s="57"/>
      <c r="T1" s="57"/>
      <c r="U1" s="57"/>
      <c r="V1" s="57"/>
      <c r="W1" s="57"/>
      <c r="X1" s="57"/>
    </row>
    <row r="2" spans="2:24" ht="16.2" thickBot="1" x14ac:dyDescent="0.35">
      <c r="B2" s="407"/>
      <c r="C2" s="408"/>
      <c r="D2" s="408"/>
      <c r="E2" s="408" t="s">
        <v>0</v>
      </c>
      <c r="F2" s="408"/>
      <c r="G2" s="408"/>
      <c r="H2" s="408"/>
      <c r="I2" s="408"/>
      <c r="J2" s="409" t="s">
        <v>790</v>
      </c>
      <c r="L2" s="2001" t="s">
        <v>74</v>
      </c>
      <c r="M2" s="2002"/>
      <c r="O2" s="1924" t="s">
        <v>1005</v>
      </c>
      <c r="P2" s="1910"/>
      <c r="Q2" s="1911"/>
      <c r="R2" s="1923">
        <f t="array" aca="1" ref="R2" ca="1">MIN(IF(Втулки1[Диаметр]:Втулки1[Диаметр]&gt;=M20,Втулки1[Диаметр]))</f>
        <v>310</v>
      </c>
      <c r="S2" s="1248"/>
      <c r="T2" s="1248"/>
      <c r="U2" s="57"/>
      <c r="V2" s="157"/>
      <c r="W2" s="57"/>
      <c r="X2" s="57"/>
    </row>
    <row r="3" spans="2:24" ht="15.6" x14ac:dyDescent="0.3">
      <c r="B3" s="417" t="s">
        <v>1</v>
      </c>
      <c r="C3" s="68"/>
      <c r="D3" s="411"/>
      <c r="E3" s="411"/>
      <c r="F3" s="1077"/>
      <c r="G3" s="411"/>
      <c r="H3" s="411"/>
      <c r="I3" s="1032" t="s">
        <v>327</v>
      </c>
      <c r="J3" s="413" t="str">
        <f>IF(M18=0,"",VLOOKUP(M18,Втулки1[],3,0))</f>
        <v/>
      </c>
      <c r="L3" s="1439" t="s">
        <v>220</v>
      </c>
      <c r="M3" s="993"/>
      <c r="O3" s="1408" t="s">
        <v>1718</v>
      </c>
      <c r="P3" s="1406" t="s">
        <v>625</v>
      </c>
      <c r="Q3" s="1406" t="s">
        <v>1036</v>
      </c>
      <c r="R3" s="1406" t="s">
        <v>223</v>
      </c>
      <c r="S3" s="1449" t="s">
        <v>1037</v>
      </c>
      <c r="T3" s="1449" t="s">
        <v>1038</v>
      </c>
      <c r="U3" s="57"/>
      <c r="V3" s="1247"/>
      <c r="W3" s="57"/>
      <c r="X3" s="57"/>
    </row>
    <row r="4" spans="2:24" ht="15.6" x14ac:dyDescent="0.3">
      <c r="B4" s="410" t="s">
        <v>2</v>
      </c>
      <c r="C4" s="56"/>
      <c r="D4" s="260"/>
      <c r="E4" s="260"/>
      <c r="F4" s="1078"/>
      <c r="G4" s="260"/>
      <c r="H4" s="260"/>
      <c r="I4" s="695" t="s">
        <v>560</v>
      </c>
      <c r="J4" s="676" t="str">
        <f ca="1">M20&amp;"/"&amp;M21&amp;"x"&amp;M23&amp;"/"&amp;M24</f>
        <v>7/7x28/48</v>
      </c>
      <c r="L4" s="106" t="s">
        <v>221</v>
      </c>
      <c r="M4" s="58"/>
      <c r="O4" s="1267">
        <f ca="1">IFERROR(INDEX(Втулки1[],MATCH($R$2,Втулки1[Диаметр],0)-4,1),"")</f>
        <v>2</v>
      </c>
      <c r="P4" s="1267" t="str">
        <f ca="1">IFERROR(INDEX(Втулки1[],MATCH($R$2,Втулки1[Диаметр],0)-4,3),"")</f>
        <v>1500.003</v>
      </c>
      <c r="Q4" s="1267">
        <f ca="1">IFERROR(INDEX(Втулки1[],MATCH($R$2,Втулки1[Диаметр],0)-4,4),"")</f>
        <v>0</v>
      </c>
      <c r="R4" s="1267">
        <f ca="1">IFERROR(INDEX(Втулки1[],MATCH($R$2,Втулки1[Диаметр],0)-4,6),"")</f>
        <v>0</v>
      </c>
      <c r="S4" s="1267">
        <f ca="1">IFERROR(INDEX(Втулки1[],MATCH($R$2,Втулки1[Диаметр],0)-4,7),"")</f>
        <v>180</v>
      </c>
      <c r="T4" s="1267">
        <f ca="1">IFERROR(INDEX(Втулки1[],MATCH($R$2,Втулки1[Диаметр],0)-4,9),"")</f>
        <v>1030</v>
      </c>
      <c r="U4" s="57"/>
      <c r="V4" s="1248"/>
      <c r="W4" s="57"/>
      <c r="X4" s="57"/>
    </row>
    <row r="5" spans="2:24" ht="15.6" x14ac:dyDescent="0.3">
      <c r="B5" s="410" t="s">
        <v>3</v>
      </c>
      <c r="C5" s="56"/>
      <c r="D5" s="260"/>
      <c r="E5" s="260"/>
      <c r="F5" s="444"/>
      <c r="G5" s="260"/>
      <c r="H5" s="260"/>
      <c r="I5" s="260" t="s">
        <v>821</v>
      </c>
      <c r="J5" s="414"/>
      <c r="L5" s="507" t="s">
        <v>222</v>
      </c>
      <c r="M5" s="58"/>
      <c r="O5" s="1267">
        <f ca="1">IFERROR(INDEX(Втулки1[],MATCH($R$2,Втулки1[Диаметр],0)-3,1),"")</f>
        <v>3</v>
      </c>
      <c r="P5" s="1267" t="str">
        <f ca="1">IFERROR(INDEX(Втулки1[],MATCH($R$2,Втулки1[Диаметр],0)-3,3),"")</f>
        <v>1500.402</v>
      </c>
      <c r="Q5" s="1267">
        <f ca="1">IFERROR(INDEX(Втулки1[],MATCH($R$2,Втулки1[Диаметр],0)-3,4),"")</f>
        <v>0</v>
      </c>
      <c r="R5" s="1267">
        <f ca="1">IFERROR(INDEX(Втулки1[],MATCH($R$2,Втулки1[Диаметр],0)-3,6),"")</f>
        <v>0</v>
      </c>
      <c r="S5" s="1267">
        <f ca="1">IFERROR(INDEX(Втулки1[],MATCH($R$2,Втулки1[Диаметр],0)-3,7),"")</f>
        <v>185</v>
      </c>
      <c r="T5" s="1267">
        <f ca="1">IFERROR(INDEX(Втулки1[],MATCH($R$2,Втулки1[Диаметр],0)-3,9),"")</f>
        <v>755</v>
      </c>
      <c r="U5" s="57"/>
      <c r="V5" s="1248"/>
      <c r="W5" s="57"/>
      <c r="X5" s="57"/>
    </row>
    <row r="6" spans="2:24" ht="16.2" thickBot="1" x14ac:dyDescent="0.35">
      <c r="B6" s="427" t="s">
        <v>7</v>
      </c>
      <c r="C6" s="62"/>
      <c r="D6" s="428"/>
      <c r="E6" s="428"/>
      <c r="F6" s="531"/>
      <c r="G6" s="428"/>
      <c r="H6" s="428"/>
      <c r="I6" s="1035" t="str">
        <f ca="1">R23</f>
        <v/>
      </c>
      <c r="J6" s="1034">
        <f>IF(M19=0,R29,VLOOKUP(M19,O25:S32,4,0))</f>
        <v>0</v>
      </c>
      <c r="L6" s="106" t="s">
        <v>223</v>
      </c>
      <c r="M6" s="58"/>
      <c r="O6" s="1267">
        <f ca="1">IFERROR(INDEX(Втулки1[],MATCH($R$2,Втулки1[Диаметр],0)-2,1),"")</f>
        <v>4</v>
      </c>
      <c r="P6" s="1267" t="str">
        <f ca="1">IFERROR(INDEX(Втулки1[],MATCH($R$2,Втулки1[Диаметр],0)-2,3),"")</f>
        <v>63-НА-0517</v>
      </c>
      <c r="Q6" s="1267">
        <f ca="1">IFERROR(INDEX(Втулки1[],MATCH($R$2,Втулки1[Диаметр],0)-2,4),"")</f>
        <v>0</v>
      </c>
      <c r="R6" s="1267">
        <f ca="1">IFERROR(INDEX(Втулки1[],MATCH($R$2,Втулки1[Диаметр],0)-2,6),"")</f>
        <v>0</v>
      </c>
      <c r="S6" s="1267">
        <f ca="1">IFERROR(INDEX(Втулки1[],MATCH($R$2,Втулки1[Диаметр],0)-2,7),"")</f>
        <v>225</v>
      </c>
      <c r="T6" s="1267">
        <f ca="1">IFERROR(INDEX(Втулки1[],MATCH($R$2,Втулки1[Диаметр],0)-2,9),"")</f>
        <v>1010</v>
      </c>
      <c r="U6" s="57"/>
      <c r="V6" s="1248"/>
      <c r="W6" s="57"/>
      <c r="X6" s="57"/>
    </row>
    <row r="7" spans="2:24" ht="15.6" x14ac:dyDescent="0.3">
      <c r="B7" s="417"/>
      <c r="C7" s="68"/>
      <c r="D7" s="411"/>
      <c r="E7" s="411"/>
      <c r="F7" s="1079"/>
      <c r="G7" s="411"/>
      <c r="H7" s="411"/>
      <c r="I7" s="411"/>
      <c r="J7" s="418"/>
      <c r="L7" s="106" t="s">
        <v>224</v>
      </c>
      <c r="M7" s="58"/>
      <c r="O7" s="1267">
        <f ca="1">IFERROR(INDEX(Втулки1[],MATCH($R$2,Втулки1[Диаметр],0)-1,1),"")</f>
        <v>5</v>
      </c>
      <c r="P7" s="1267" t="str">
        <f ca="1">IFERROR(INDEX(Втулки1[],MATCH($R$2,Втулки1[Диаметр],0)-1,3),"")</f>
        <v>1500.1092</v>
      </c>
      <c r="Q7" s="1267">
        <f ca="1">IFERROR(INDEX(Втулки1[],MATCH($R$2,Втулки1[Диаметр],0)-1,4),"")</f>
        <v>0</v>
      </c>
      <c r="R7" s="1267">
        <f ca="1">IFERROR(INDEX(Втулки1[],MATCH($R$2,Втулки1[Диаметр],0)-1,6),"")</f>
        <v>0</v>
      </c>
      <c r="S7" s="1267">
        <f ca="1">IFERROR(INDEX(Втулки1[],MATCH($R$2,Втулки1[Диаметр],0)-1,7),"")</f>
        <v>280</v>
      </c>
      <c r="T7" s="1267">
        <f ca="1">IFERROR(INDEX(Втулки1[],MATCH($R$2,Втулки1[Диаметр],0)-1,9),"")</f>
        <v>1225</v>
      </c>
      <c r="U7" s="57"/>
      <c r="V7" s="1248"/>
      <c r="W7" s="57"/>
      <c r="X7" s="57"/>
    </row>
    <row r="8" spans="2:24" ht="15.6" x14ac:dyDescent="0.3">
      <c r="B8" s="410" t="s">
        <v>12</v>
      </c>
      <c r="C8" s="56"/>
      <c r="D8" s="260"/>
      <c r="E8" s="260"/>
      <c r="F8" s="444" t="s">
        <v>6</v>
      </c>
      <c r="G8" s="260"/>
      <c r="H8" s="260"/>
      <c r="I8" s="260" t="s">
        <v>894</v>
      </c>
      <c r="J8" s="420">
        <f ca="1">F9/F14</f>
        <v>0</v>
      </c>
      <c r="L8" s="106" t="s">
        <v>15</v>
      </c>
      <c r="M8" s="134">
        <f>ROUNDUP(((M3*M3-M5*M5)*3.1415926*M6*M16+(M4*M4-M5*M5)*(M7-M6)*M16*3.1415926)/4000000,1)</f>
        <v>0</v>
      </c>
      <c r="O8" s="1361">
        <f ca="1">IFERROR(INDEX(Втулки1[],MATCH($R$2,Втулки1[Диаметр],0),1),"")</f>
        <v>6</v>
      </c>
      <c r="P8" s="1361" t="str">
        <f ca="1">IFERROR(INDEX(Втулки1[],MATCH($R$2,Втулки1[Диаметр],0),3),"")</f>
        <v>1245-44Л</v>
      </c>
      <c r="Q8" s="1361">
        <f ca="1">IFERROR(INDEX(Втулки1[],MATCH($R$2,Втулки1[Диаметр],0),4),"")</f>
        <v>310</v>
      </c>
      <c r="R8" s="1361">
        <f ca="1">IFERROR(INDEX(Втулки1[],MATCH($R$2,Втулки1[Диаметр],0),6),"")</f>
        <v>110</v>
      </c>
      <c r="S8" s="1361">
        <f ca="1">IFERROR(INDEX(Втулки1[],MATCH($R$2,Втулки1[Диаметр],0),7),"")</f>
        <v>285</v>
      </c>
      <c r="T8" s="1361">
        <f ca="1">IFERROR(INDEX(Втулки1[],MATCH($R$2,Втулки1[Диаметр],0),9),"")</f>
        <v>410</v>
      </c>
      <c r="U8" s="1248"/>
      <c r="V8" s="1248"/>
      <c r="W8" s="57"/>
      <c r="X8" s="57"/>
    </row>
    <row r="9" spans="2:24" ht="16.2" thickBot="1" x14ac:dyDescent="0.35">
      <c r="B9" s="410" t="s">
        <v>15</v>
      </c>
      <c r="C9" s="56"/>
      <c r="D9" s="260"/>
      <c r="E9" s="260"/>
      <c r="F9" s="421">
        <f>IF(M9&lt;&gt;0,M9,IF(M8&lt;100,ROUNDUP(M8,1),ROUNDUP(M8,0)))</f>
        <v>0</v>
      </c>
      <c r="G9" s="422"/>
      <c r="H9" s="260"/>
      <c r="I9" s="260"/>
      <c r="J9" s="420"/>
      <c r="L9" s="1440" t="s">
        <v>988</v>
      </c>
      <c r="M9" s="67"/>
      <c r="O9" s="1267">
        <f ca="1">IFERROR(INDEX(Втулки1[],MATCH($R$2,Втулки1[Диаметр],0)+1,1),"")</f>
        <v>7</v>
      </c>
      <c r="P9" s="1267" t="str">
        <f ca="1">IFERROR(INDEX(Втулки1[],MATCH($R$2,Втулки1[Диаметр],0)+1,3),"")</f>
        <v>1500.434</v>
      </c>
      <c r="Q9" s="1267">
        <f ca="1">IFERROR(INDEX(Втулки1[],MATCH($R$2,Втулки1[Диаметр],0)+1,4),"")</f>
        <v>0</v>
      </c>
      <c r="R9" s="1267">
        <f ca="1">IFERROR(INDEX(Втулки1[],MATCH($R$2,Втулки1[Диаметр],0)+1,6),"")</f>
        <v>0</v>
      </c>
      <c r="S9" s="1267">
        <f ca="1">IFERROR(INDEX(Втулки1[],MATCH($R$2,Втулки1[Диаметр],0)+1,7),"")</f>
        <v>295</v>
      </c>
      <c r="T9" s="1267">
        <f ca="1">IFERROR(INDEX(Втулки1[],MATCH($R$2,Втулки1[Диаметр],0)+1,9),"")</f>
        <v>1340</v>
      </c>
      <c r="U9" s="1248"/>
      <c r="V9" s="1248"/>
      <c r="W9" s="57"/>
      <c r="X9" s="57"/>
    </row>
    <row r="10" spans="2:24" ht="15.6" x14ac:dyDescent="0.3">
      <c r="B10" s="410" t="s">
        <v>17</v>
      </c>
      <c r="C10" s="56"/>
      <c r="D10" s="260"/>
      <c r="E10" s="260"/>
      <c r="F10" s="423">
        <f ca="1">M28</f>
        <v>1</v>
      </c>
      <c r="G10" s="973"/>
      <c r="H10" s="260"/>
      <c r="I10" s="260" t="s">
        <v>18</v>
      </c>
      <c r="J10" s="420">
        <f ca="1">F9/F16</f>
        <v>0</v>
      </c>
      <c r="L10" s="2003" t="s">
        <v>742</v>
      </c>
      <c r="M10" s="2004"/>
      <c r="O10" s="1267">
        <f ca="1">IFERROR(INDEX(Втулки1[],MATCH($R$2,Втулки1[Диаметр],0)+2,1),"")</f>
        <v>8</v>
      </c>
      <c r="P10" s="1267" t="str">
        <f ca="1">IFERROR(INDEX(Втулки1[],MATCH($R$2,Втулки1[Диаметр],0)+2,3),"")</f>
        <v>11077.28.29</v>
      </c>
      <c r="Q10" s="1267">
        <f ca="1">IFERROR(INDEX(Втулки1[],MATCH($R$2,Втулки1[Диаметр],0)+2,4),"")</f>
        <v>0</v>
      </c>
      <c r="R10" s="1267">
        <f ca="1">IFERROR(INDEX(Втулки1[],MATCH($R$2,Втулки1[Диаметр],0)+2,6),"")</f>
        <v>0</v>
      </c>
      <c r="S10" s="1267">
        <f ca="1">IFERROR(INDEX(Втулки1[],MATCH($R$2,Втулки1[Диаметр],0)+2,7),"")</f>
        <v>332</v>
      </c>
      <c r="T10" s="1267">
        <f ca="1">IFERROR(INDEX(Втулки1[],MATCH($R$2,Втулки1[Диаметр],0)+2,9),"")</f>
        <v>510</v>
      </c>
      <c r="U10" s="1248"/>
      <c r="V10" s="1248"/>
      <c r="W10" s="57"/>
      <c r="X10" s="57"/>
    </row>
    <row r="11" spans="2:24" ht="15.6" x14ac:dyDescent="0.3">
      <c r="B11" s="410" t="s">
        <v>70</v>
      </c>
      <c r="C11" s="56"/>
      <c r="D11" s="260"/>
      <c r="E11" s="260"/>
      <c r="F11" s="421">
        <f ca="1">ROUNDUP(F10/F18,0)</f>
        <v>1</v>
      </c>
      <c r="G11" s="973"/>
      <c r="H11" s="260"/>
      <c r="I11" s="260"/>
      <c r="J11" s="420"/>
      <c r="L11" s="1259" t="s">
        <v>1003</v>
      </c>
      <c r="M11" s="1260" t="str">
        <f ca="1">Данные!AB58</f>
        <v xml:space="preserve">3 </v>
      </c>
      <c r="O11" s="1267">
        <f ca="1">IFERROR(INDEX(Втулки1[],MATCH($R$2,Втулки1[Диаметр],0)+3,1),"")</f>
        <v>9</v>
      </c>
      <c r="P11" s="1267" t="str">
        <f ca="1">IFERROR(INDEX(Втулки1[],MATCH($R$2,Втулки1[Диаметр],0)+3,3),"")</f>
        <v>1277.03.306</v>
      </c>
      <c r="Q11" s="1267">
        <f ca="1">IFERROR(INDEX(Втулки1[],MATCH($R$2,Втулки1[Диаметр],0)+3,4),"")</f>
        <v>0</v>
      </c>
      <c r="R11" s="1267">
        <f ca="1">IFERROR(INDEX(Втулки1[],MATCH($R$2,Втулки1[Диаметр],0)+3,6),"")</f>
        <v>0</v>
      </c>
      <c r="S11" s="1267">
        <f ca="1">IFERROR(INDEX(Втулки1[],MATCH($R$2,Втулки1[Диаметр],0)+3,7),"")</f>
        <v>350</v>
      </c>
      <c r="T11" s="1267">
        <f ca="1">IFERROR(INDEX(Втулки1[],MATCH($R$2,Втулки1[Диаметр],0)+3,9),"")</f>
        <v>1260</v>
      </c>
      <c r="U11" s="1248"/>
      <c r="V11" s="1248"/>
      <c r="W11" s="57"/>
      <c r="X11" s="57"/>
    </row>
    <row r="12" spans="2:24" ht="15.6" x14ac:dyDescent="0.3">
      <c r="B12" s="991" t="s">
        <v>19</v>
      </c>
      <c r="C12" s="56"/>
      <c r="D12" s="260"/>
      <c r="E12" s="260"/>
      <c r="F12" s="421">
        <f ca="1">M29</f>
        <v>1</v>
      </c>
      <c r="G12" s="973"/>
      <c r="H12" s="260"/>
      <c r="I12" s="260"/>
      <c r="J12" s="420"/>
      <c r="L12" s="1261" t="s">
        <v>1002</v>
      </c>
      <c r="M12" s="1262" t="str">
        <f ca="1">Данные!X58</f>
        <v xml:space="preserve">3 </v>
      </c>
      <c r="O12" s="528"/>
      <c r="P12" s="528"/>
      <c r="Q12" s="528"/>
      <c r="R12" s="528"/>
      <c r="S12" s="528"/>
      <c r="T12" s="528"/>
      <c r="U12" s="1248"/>
      <c r="V12" s="1248"/>
      <c r="W12" s="57"/>
      <c r="X12" s="57"/>
    </row>
    <row r="13" spans="2:24" ht="15.6" x14ac:dyDescent="0.3">
      <c r="B13" s="410" t="s">
        <v>275</v>
      </c>
      <c r="C13" s="56"/>
      <c r="D13" s="260"/>
      <c r="E13" s="260"/>
      <c r="F13" s="421">
        <f ca="1">ROUNDUP(M30,0)</f>
        <v>9</v>
      </c>
      <c r="G13" s="973"/>
      <c r="H13" s="260"/>
      <c r="I13" s="260"/>
      <c r="J13" s="414"/>
      <c r="L13" s="1263" t="s">
        <v>941</v>
      </c>
      <c r="M13" s="1260" t="str">
        <f ca="1">Данные!Y58</f>
        <v xml:space="preserve">4 </v>
      </c>
      <c r="O13" s="528"/>
      <c r="P13" s="528"/>
      <c r="Q13" s="528"/>
      <c r="R13" s="528"/>
      <c r="S13" s="528"/>
      <c r="T13" s="528"/>
      <c r="U13" s="1248"/>
      <c r="V13" s="1248"/>
      <c r="W13" s="57"/>
      <c r="X13" s="57"/>
    </row>
    <row r="14" spans="2:24" ht="15.6" x14ac:dyDescent="0.3">
      <c r="B14" s="410" t="s">
        <v>22</v>
      </c>
      <c r="C14" s="56"/>
      <c r="D14" s="260"/>
      <c r="E14" s="260"/>
      <c r="F14" s="421">
        <f ca="1">F10+F12+F13</f>
        <v>11</v>
      </c>
      <c r="G14" s="973"/>
      <c r="H14" s="260"/>
      <c r="I14" s="260"/>
      <c r="J14" s="414"/>
      <c r="L14" s="1263" t="s">
        <v>942</v>
      </c>
      <c r="M14" s="1260" t="str">
        <f ca="1">Данные!Z58</f>
        <v xml:space="preserve"> 4</v>
      </c>
      <c r="N14" s="57"/>
      <c r="O14" s="528"/>
      <c r="P14" s="528"/>
      <c r="Q14" s="528"/>
      <c r="R14" s="528"/>
      <c r="S14" s="528"/>
      <c r="T14" s="528"/>
      <c r="U14" s="1248"/>
      <c r="V14" s="1248"/>
      <c r="W14" s="57"/>
      <c r="X14" s="57"/>
    </row>
    <row r="15" spans="2:24" ht="16.2" thickBot="1" x14ac:dyDescent="0.35">
      <c r="B15" s="410" t="s">
        <v>24</v>
      </c>
      <c r="C15" s="56"/>
      <c r="D15" s="260"/>
      <c r="E15" s="260"/>
      <c r="F15" s="421">
        <f ca="1">ROUNDUP(F14/F18,0)</f>
        <v>11</v>
      </c>
      <c r="G15" s="973"/>
      <c r="H15" s="260"/>
      <c r="I15" s="260"/>
      <c r="J15" s="425"/>
      <c r="L15" s="1264" t="s">
        <v>899</v>
      </c>
      <c r="M15" s="1265">
        <f>IF(AND(M16&gt;=8.7,F8&lt;&gt;"БрО10Ф1"),40,37)</f>
        <v>40</v>
      </c>
      <c r="N15" s="57"/>
      <c r="O15" s="57"/>
      <c r="P15" s="1245"/>
      <c r="Q15" s="1253"/>
      <c r="R15" s="1245"/>
      <c r="S15" s="1244"/>
      <c r="T15" s="1245"/>
      <c r="U15" s="57"/>
      <c r="V15" s="57"/>
      <c r="W15" s="57"/>
      <c r="X15" s="57"/>
    </row>
    <row r="16" spans="2:24" ht="16.2" thickBot="1" x14ac:dyDescent="0.35">
      <c r="B16" s="410" t="s">
        <v>27</v>
      </c>
      <c r="C16" s="56"/>
      <c r="D16" s="260"/>
      <c r="E16" s="260"/>
      <c r="F16" s="421">
        <f ca="1">ROUND(F14*1.04,0)</f>
        <v>11</v>
      </c>
      <c r="G16" s="973"/>
      <c r="H16" s="260"/>
      <c r="I16" s="260"/>
      <c r="J16" s="425"/>
      <c r="L16" s="1441" t="s">
        <v>8</v>
      </c>
      <c r="M16" s="1442">
        <f>VLOOKUP(F8,Марка_металла[],9,FALSE())</f>
        <v>9.1</v>
      </c>
      <c r="N16" s="1007"/>
      <c r="O16" s="1312"/>
      <c r="P16" s="1909" t="s">
        <v>1011</v>
      </c>
      <c r="Q16" s="1911"/>
      <c r="R16" s="1446">
        <f t="array" aca="1" ref="R16" ca="1">MAX(IF(Ст_ящики[Диаметр]:Ст_ящики[Диаметр]&lt;=M22,Ст_ящики[Диаметр]))</f>
        <v>0</v>
      </c>
      <c r="S16" s="1245"/>
      <c r="T16" s="1245"/>
      <c r="U16" s="157"/>
      <c r="V16" s="157"/>
      <c r="W16" s="157"/>
      <c r="X16" s="57"/>
    </row>
    <row r="17" spans="1:24" ht="16.2" thickBot="1" x14ac:dyDescent="0.35">
      <c r="B17" s="410" t="s">
        <v>29</v>
      </c>
      <c r="C17" s="56"/>
      <c r="D17" s="260"/>
      <c r="E17" s="260"/>
      <c r="F17" s="426">
        <f ca="1">ROUNDUP(F16/F18,0)</f>
        <v>11</v>
      </c>
      <c r="G17" s="260"/>
      <c r="H17" s="260"/>
      <c r="I17" s="260"/>
      <c r="J17" s="425"/>
      <c r="L17" s="1443" t="s">
        <v>327</v>
      </c>
      <c r="M17" s="1444"/>
      <c r="N17" s="57"/>
      <c r="O17" s="1448" t="s">
        <v>1718</v>
      </c>
      <c r="P17" s="1406" t="s">
        <v>625</v>
      </c>
      <c r="Q17" s="1406" t="s">
        <v>177</v>
      </c>
      <c r="R17" s="1406" t="s">
        <v>77</v>
      </c>
      <c r="S17" s="1447" t="s">
        <v>1013</v>
      </c>
      <c r="T17" s="1245"/>
      <c r="U17" s="1244"/>
      <c r="V17" s="1245"/>
      <c r="W17" s="1251"/>
      <c r="X17" s="57"/>
    </row>
    <row r="18" spans="1:24" ht="15.6" x14ac:dyDescent="0.3">
      <c r="B18" s="410" t="s">
        <v>31</v>
      </c>
      <c r="C18" s="56"/>
      <c r="D18" s="260"/>
      <c r="E18" s="260"/>
      <c r="F18" s="966">
        <v>1</v>
      </c>
      <c r="G18" s="260"/>
      <c r="H18" s="260"/>
      <c r="I18" s="260"/>
      <c r="J18" s="425"/>
      <c r="L18" s="1435" t="s">
        <v>1277</v>
      </c>
      <c r="M18" s="1436"/>
      <c r="N18" s="57"/>
      <c r="O18" s="1445" t="str">
        <f ca="1">IFERROR(INDEX(Ст_ящики[],MATCH($R$16,Ст_ящики[Диаметр],0)-4,1),"")</f>
        <v/>
      </c>
      <c r="P18" s="1445" t="str">
        <f ca="1">IFERROR(INDEX(Ст_ящики[],MATCH($R$16,Ст_ящики[Диаметр],0)-4,2),"")</f>
        <v/>
      </c>
      <c r="Q18" s="1445" t="str">
        <f ca="1">IFERROR(INDEX(Ст_ящики[],MATCH($R$16,Ст_ящики[Диаметр],0)-4,3),"")</f>
        <v/>
      </c>
      <c r="R18" s="1445" t="str">
        <f ca="1">IFERROR(INDEX(Ст_ящики[],MATCH($R$16,Ст_ящики[Диаметр],0)-4,4),"")</f>
        <v/>
      </c>
      <c r="S18" s="1450" t="str">
        <f ca="1">IFERROR(INDEX(Ст_ящики[],MATCH($R$16,Ст_ящики[Диаметр],0)-4,5),"")</f>
        <v/>
      </c>
      <c r="T18" s="1245"/>
      <c r="U18" s="1244"/>
      <c r="V18" s="1245"/>
      <c r="W18" s="1244"/>
      <c r="X18" s="57"/>
    </row>
    <row r="19" spans="1:24" ht="16.2" thickBot="1" x14ac:dyDescent="0.35">
      <c r="B19" s="427" t="s">
        <v>33</v>
      </c>
      <c r="C19" s="62"/>
      <c r="D19" s="428"/>
      <c r="E19" s="428"/>
      <c r="F19" s="429">
        <v>1</v>
      </c>
      <c r="G19" s="428"/>
      <c r="H19" s="428"/>
      <c r="I19" s="428"/>
      <c r="J19" s="430"/>
      <c r="L19" s="1437" t="s">
        <v>1639</v>
      </c>
      <c r="M19" s="1438"/>
      <c r="N19" s="57"/>
      <c r="O19" s="1445" t="str">
        <f ca="1">IFERROR(INDEX(Ст_ящики[],MATCH($R$16,Ст_ящики[Диаметр],0)-3,1),"")</f>
        <v/>
      </c>
      <c r="P19" s="1445" t="str">
        <f ca="1">IFERROR(INDEX(Ст_ящики[],MATCH($R$16,Ст_ящики[Диаметр],0)-3,2),"")</f>
        <v/>
      </c>
      <c r="Q19" s="1445" t="str">
        <f ca="1">IFERROR(INDEX(Ст_ящики[],MATCH($R$16,Ст_ящики[Диаметр],0)-3,3),"")</f>
        <v/>
      </c>
      <c r="R19" s="1445" t="str">
        <f ca="1">IFERROR(INDEX(Ст_ящики[],MATCH($R$16,Ст_ящики[Диаметр],0)-3,4),"")</f>
        <v/>
      </c>
      <c r="S19" s="1450" t="str">
        <f ca="1">IFERROR(INDEX(Ст_ящики[],MATCH($R$16,Ст_ящики[Диаметр],0)-3,5),"")</f>
        <v/>
      </c>
      <c r="T19" s="1245"/>
      <c r="U19" s="1244"/>
      <c r="V19" s="1245"/>
      <c r="W19" s="1244"/>
      <c r="X19" s="57"/>
    </row>
    <row r="20" spans="1:24" ht="15.6" x14ac:dyDescent="0.3">
      <c r="B20" s="410" t="s">
        <v>751</v>
      </c>
      <c r="C20" s="431" t="s">
        <v>186</v>
      </c>
      <c r="D20" s="260"/>
      <c r="E20" s="260" t="str">
        <f ca="1">"     Формовочный уклон "&amp;Данные!X63</f>
        <v xml:space="preserve">     Формовочный уклон 1,3</v>
      </c>
      <c r="F20" s="260"/>
      <c r="G20" s="260"/>
      <c r="H20" s="260" t="str">
        <f ca="1">"Радиус скругления прибыли "&amp;ROUND(D23/0.89,0)</f>
        <v>Радиус скругления прибыли 4</v>
      </c>
      <c r="I20" s="432"/>
      <c r="J20" s="433"/>
      <c r="L20" s="1433" t="s">
        <v>220</v>
      </c>
      <c r="M20" s="1434">
        <f ca="1">IF(M18=0,ROUNDUP((M3+M12*2)/0.985,0),VLOOKUP(M18,Втулки1[],4,0))</f>
        <v>7</v>
      </c>
      <c r="N20" s="57"/>
      <c r="O20" s="1445" t="str">
        <f ca="1">IFERROR(INDEX(Ст_ящики[],MATCH($R$16,Ст_ящики[Диаметр],0)-2,1),"")</f>
        <v/>
      </c>
      <c r="P20" s="1445" t="str">
        <f ca="1">IFERROR(INDEX(Ст_ящики[],MATCH($R$16,Ст_ящики[Диаметр],0)-2,2),"")</f>
        <v/>
      </c>
      <c r="Q20" s="1445" t="str">
        <f ca="1">IFERROR(INDEX(Ст_ящики[],MATCH($R$16,Ст_ящики[Диаметр],0)-2,3),"")</f>
        <v/>
      </c>
      <c r="R20" s="1445" t="str">
        <f ca="1">IFERROR(INDEX(Ст_ящики[],MATCH($R$16,Ст_ящики[Диаметр],0)-2,4),"")</f>
        <v/>
      </c>
      <c r="S20" s="1450" t="str">
        <f ca="1">IFERROR(INDEX(Ст_ящики[],MATCH($R$16,Ст_ящики[Диаметр],0)-2,5),"")</f>
        <v/>
      </c>
      <c r="T20" s="1249"/>
      <c r="U20" s="1244"/>
      <c r="V20" s="1245"/>
      <c r="W20" s="1244"/>
      <c r="X20" s="57"/>
    </row>
    <row r="21" spans="1:24" ht="15.6" x14ac:dyDescent="0.3">
      <c r="B21" s="410"/>
      <c r="C21" s="431">
        <f ca="1">ROUNDUP(M25*0.985,0)</f>
        <v>25</v>
      </c>
      <c r="D21" s="431"/>
      <c r="E21" s="1033">
        <f ca="1">ROUNDUP(M24*0.985,0)</f>
        <v>48</v>
      </c>
      <c r="F21" s="1033" t="str">
        <f ca="1">"( для модели  "&amp;M24&amp;" )"</f>
        <v>( для модели  48 )</v>
      </c>
      <c r="G21" s="1033"/>
      <c r="H21" s="1033"/>
      <c r="I21" s="432"/>
      <c r="J21" s="433"/>
      <c r="L21" s="107" t="s">
        <v>221</v>
      </c>
      <c r="M21" s="1036">
        <f ca="1">IF(M18=0,ROUNDUP((M4+M11*2)/0.985,0),VLOOKUP(M18,Втулки1[],7,0))</f>
        <v>7</v>
      </c>
      <c r="N21" s="57"/>
      <c r="O21" s="1445" t="str">
        <f ca="1">IFERROR(INDEX(Ст_ящики[],MATCH($R$16,Ст_ящики[Диаметр],0)-1,1),"")</f>
        <v/>
      </c>
      <c r="P21" s="1445" t="str">
        <f ca="1">IFERROR(INDEX(Ст_ящики[],MATCH($R$16,Ст_ящики[Диаметр],0)-1,2),"")</f>
        <v/>
      </c>
      <c r="Q21" s="1445" t="str">
        <f ca="1">IFERROR(INDEX(Ст_ящики[],MATCH($R$16,Ст_ящики[Диаметр],0)-1,3),"")</f>
        <v/>
      </c>
      <c r="R21" s="1445" t="str">
        <f ca="1">IFERROR(INDEX(Ст_ящики[],MATCH($R$16,Ст_ящики[Диаметр],0)-1,4),"")</f>
        <v/>
      </c>
      <c r="S21" s="1450" t="str">
        <f ca="1">IFERROR(INDEX(Ст_ящики[],MATCH($R$16,Ст_ящики[Диаметр],0)-1,5),"")</f>
        <v/>
      </c>
      <c r="T21" s="1245"/>
      <c r="U21" s="1245"/>
      <c r="V21" s="1244"/>
      <c r="W21" s="1244"/>
      <c r="X21" s="57"/>
    </row>
    <row r="22" spans="1:24" ht="15.6" x14ac:dyDescent="0.3">
      <c r="B22" s="410"/>
      <c r="C22" s="1033"/>
      <c r="D22" s="1033"/>
      <c r="E22" s="1318">
        <f>M7</f>
        <v>0</v>
      </c>
      <c r="F22" s="1033"/>
      <c r="G22" s="1033"/>
      <c r="H22" s="1033"/>
      <c r="I22" s="432"/>
      <c r="J22" s="933"/>
      <c r="L22" s="107" t="s">
        <v>222</v>
      </c>
      <c r="M22" s="1036">
        <f ca="1">IF(M19=0,ROUNDDOWN((M5-M14*2)/0.994,0),VLOOKUP(M19,Ст_ящики[],3,0))</f>
        <v>-8</v>
      </c>
      <c r="N22" s="57"/>
      <c r="O22" s="382" t="str">
        <f ca="1">IFERROR(INDEX(Ст_ящики[],MATCH($R$16,Ст_ящики[Диаметр],0),1),"")</f>
        <v/>
      </c>
      <c r="P22" s="382" t="str">
        <f ca="1">IFERROR(INDEX(Ст_ящики[],MATCH($R$16,Ст_ящики[Диаметр],0),2),"")</f>
        <v/>
      </c>
      <c r="Q22" s="382" t="str">
        <f ca="1">IFERROR(INDEX(Ст_ящики[],MATCH($R$16,Ст_ящики[Диаметр],0),3),"")</f>
        <v/>
      </c>
      <c r="R22" s="382" t="str">
        <f ca="1">IFERROR(INDEX(Ст_ящики[],MATCH($R$16,Ст_ящики[Диаметр],0),4),"")</f>
        <v/>
      </c>
      <c r="S22" s="1451" t="str">
        <f ca="1">IFERROR(INDEX(Ст_ящики[],MATCH($R$16,Ст_ящики[Диаметр],0),5),"")</f>
        <v/>
      </c>
      <c r="T22" s="1249"/>
      <c r="U22" s="1245"/>
      <c r="V22" s="1244"/>
      <c r="W22" s="1244"/>
      <c r="X22" s="57"/>
    </row>
    <row r="23" spans="1:24" ht="15.6" x14ac:dyDescent="0.3">
      <c r="A23" s="1033"/>
      <c r="B23" s="410"/>
      <c r="C23" s="1033"/>
      <c r="D23" s="528">
        <f ca="1">IF(M18=0,ROUNDUP(M27/2.7,0),(VLOOKUP(M18,Втулки1[],10,0)-(2*VLOOKUP(M18,Втулки1[],5,0)+VLOOKUP(M18,Втулки1[],4,0)))/2)</f>
        <v>4</v>
      </c>
      <c r="E23" s="1033"/>
      <c r="F23" s="1033"/>
      <c r="G23" s="1033"/>
      <c r="H23" s="1033"/>
      <c r="I23" s="412"/>
      <c r="J23" s="542"/>
      <c r="L23" s="107" t="s">
        <v>223</v>
      </c>
      <c r="M23" s="1036">
        <f ca="1">IF(M18=0,ROUNDUP((M6+M13+M12)/0.985+20,0),VLOOKUP(M18,Втулки1[],6,0))</f>
        <v>28</v>
      </c>
      <c r="N23" s="57"/>
      <c r="O23" s="1445" t="str">
        <f ca="1">IFERROR(INDEX(Ст_ящики[],MATCH($R$16,Ст_ящики[Диаметр],0)+1,1),"")</f>
        <v/>
      </c>
      <c r="P23" s="1445" t="str">
        <f ca="1">IFERROR(INDEX(Ст_ящики[],MATCH($R$16,Ст_ящики[Диаметр],0)+1,2),"")</f>
        <v/>
      </c>
      <c r="Q23" s="1445" t="str">
        <f ca="1">IFERROR(INDEX(Ст_ящики[],MATCH($R$16,Ст_ящики[Диаметр],0)+1,3),"")</f>
        <v/>
      </c>
      <c r="R23" s="1445" t="str">
        <f ca="1">IFERROR(INDEX(Ст_ящики[],MATCH($R$16,Ст_ящики[Диаметр],0)+1,4),"")</f>
        <v/>
      </c>
      <c r="S23" s="1450" t="str">
        <f ca="1">IFERROR(INDEX(Ст_ящики[],MATCH($R$16,Ст_ящики[Диаметр],0)+1,5),"")</f>
        <v/>
      </c>
      <c r="T23" s="1249"/>
      <c r="U23" s="1245"/>
      <c r="V23" s="1244"/>
      <c r="W23" s="1244"/>
      <c r="X23" s="57"/>
    </row>
    <row r="24" spans="1:24" ht="16.2" thickBot="1" x14ac:dyDescent="0.35">
      <c r="B24" s="410"/>
      <c r="C24" s="1033"/>
      <c r="D24" s="1033"/>
      <c r="E24" s="1033"/>
      <c r="F24" s="1033"/>
      <c r="G24" s="1033"/>
      <c r="H24" s="1033"/>
      <c r="I24" s="940"/>
      <c r="J24" s="542"/>
      <c r="L24" s="1030" t="s">
        <v>224</v>
      </c>
      <c r="M24" s="1037">
        <f ca="1">IF(M18=0,ROUNDUP((M7+M11+M13+M15)/0.985,0),VLOOKUP(M18,Втулки1[],6,0)+VLOOKUP(M18,Втулки1[],9,0))</f>
        <v>48</v>
      </c>
      <c r="N24" s="57"/>
      <c r="O24" s="1445" t="str">
        <f ca="1">IFERROR(INDEX(Ст_ящики[],MATCH($R$16,Ст_ящики[Диаметр],0)+2,1),"")</f>
        <v/>
      </c>
      <c r="P24" s="1445" t="str">
        <f ca="1">IFERROR(INDEX(Ст_ящики[],MATCH($R$16,Ст_ящики[Диаметр],0)+2,2),"")</f>
        <v/>
      </c>
      <c r="Q24" s="1445" t="str">
        <f ca="1">IFERROR(INDEX(Ст_ящики[],MATCH($R$16,Ст_ящики[Диаметр],0)+2,3),"")</f>
        <v/>
      </c>
      <c r="R24" s="1445" t="str">
        <f ca="1">IFERROR(INDEX(Ст_ящики[],MATCH($R$16,Ст_ящики[Диаметр],0)+2,4),"")</f>
        <v/>
      </c>
      <c r="S24" s="1450" t="str">
        <f ca="1">IFERROR(INDEX(Ст_ящики[],MATCH($R$16,Ст_ящики[Диаметр],0)-4+2,5),"")</f>
        <v/>
      </c>
      <c r="T24" s="1245"/>
      <c r="U24" s="1245"/>
      <c r="V24" s="1244"/>
      <c r="W24" s="1244"/>
      <c r="X24" s="57"/>
    </row>
    <row r="25" spans="1:24" ht="15.6" x14ac:dyDescent="0.3">
      <c r="B25" s="410"/>
      <c r="C25" s="1033"/>
      <c r="D25" s="1033"/>
      <c r="E25" s="1033"/>
      <c r="F25" s="1033"/>
      <c r="G25" s="1033">
        <f ca="1">IF(M19=0,_xlfn.IFS(M21&lt;1000,80,M21&lt;1200,100,M21&gt;=1200,120),VLOOKUP(M19,Ст_ящики[],5,0))</f>
        <v>80</v>
      </c>
      <c r="H25" s="536"/>
      <c r="I25" s="1078"/>
      <c r="J25" s="542"/>
      <c r="L25" s="1031" t="s">
        <v>1054</v>
      </c>
      <c r="M25" s="1038">
        <f ca="1">Данные!U65</f>
        <v>25</v>
      </c>
      <c r="N25" s="57"/>
      <c r="O25" s="1445" t="str">
        <f ca="1">IFERROR(INDEX(Ст_ящики[],MATCH($R$16,Ст_ящики[Диаметр],0)+3,1),"")</f>
        <v/>
      </c>
      <c r="P25" s="1445" t="str">
        <f ca="1">IFERROR(INDEX(Ст_ящики[],MATCH($R$16,Ст_ящики[Диаметр],0)+3,2),"")</f>
        <v/>
      </c>
      <c r="Q25" s="1445" t="str">
        <f ca="1">IFERROR(INDEX(Ст_ящики[],MATCH($R$16,Ст_ящики[Диаметр],0)+3,3),"")</f>
        <v/>
      </c>
      <c r="R25" s="1445" t="str">
        <f ca="1">IFERROR(INDEX(Ст_ящики[],MATCH($R$16,Ст_ящики[Диаметр],0)+3,4),"")</f>
        <v/>
      </c>
      <c r="S25" s="1450" t="str">
        <f ca="1">IFERROR(INDEX(Ст_ящики[],MATCH($R$16,Ст_ящики[Диаметр],0)-4+3,5),"")</f>
        <v/>
      </c>
      <c r="T25" s="1244"/>
      <c r="U25" s="1256"/>
      <c r="V25" s="1244"/>
      <c r="W25" s="1244"/>
      <c r="X25" s="57"/>
    </row>
    <row r="26" spans="1:24" ht="16.2" thickBot="1" x14ac:dyDescent="0.35">
      <c r="B26" s="410"/>
      <c r="C26" s="1033"/>
      <c r="D26" s="1033"/>
      <c r="E26" s="1033"/>
      <c r="F26" s="1033"/>
      <c r="G26" s="1033"/>
      <c r="H26" s="1033"/>
      <c r="I26" s="695"/>
      <c r="J26" s="542"/>
      <c r="L26" s="990" t="s">
        <v>225</v>
      </c>
      <c r="M26" s="1039">
        <f ca="1">IF(M18=0,ROUNDUP(((M20+D23*2)+((M20+D23*2)+M25/10*2))/2,0),(VLOOKUP(M18,Втулки1[],10,0)+VLOOKUP(M18,Втулки1[],11,0))/2)</f>
        <v>18</v>
      </c>
      <c r="N26" s="57"/>
      <c r="U26" s="1245"/>
      <c r="V26" s="1249"/>
      <c r="W26" s="1244"/>
      <c r="X26" s="57"/>
    </row>
    <row r="27" spans="1:24" ht="16.2" thickBot="1" x14ac:dyDescent="0.35">
      <c r="B27" s="410"/>
      <c r="C27" s="1033"/>
      <c r="D27" s="1033"/>
      <c r="E27" s="1033"/>
      <c r="F27" s="1033"/>
      <c r="G27" s="1033"/>
      <c r="H27" s="1288">
        <f ca="1">ROUNDDOWN(M22*0.994,0)</f>
        <v>-7</v>
      </c>
      <c r="I27" s="1288">
        <f ca="1">ROUNDUP(M21*0.985,0)</f>
        <v>7</v>
      </c>
      <c r="J27" s="1299">
        <f ca="1">ROUNDUP(M20*0.985,0)</f>
        <v>7</v>
      </c>
      <c r="L27" s="990" t="s">
        <v>624</v>
      </c>
      <c r="M27" s="1040">
        <f ca="1">(J27+2*Данные!X62-H27)/2</f>
        <v>8.3000000000000007</v>
      </c>
      <c r="U27" s="1245"/>
      <c r="V27" s="1245"/>
      <c r="W27" s="1244"/>
      <c r="X27" s="57"/>
    </row>
    <row r="28" spans="1:24" ht="15.6" x14ac:dyDescent="0.3">
      <c r="B28" s="410"/>
      <c r="C28" s="1033"/>
      <c r="D28" s="415"/>
      <c r="E28" s="419"/>
      <c r="F28" s="1033"/>
      <c r="G28" s="1033"/>
      <c r="H28" s="1316">
        <f>M5</f>
        <v>0</v>
      </c>
      <c r="I28" s="1316">
        <f>M4</f>
        <v>0</v>
      </c>
      <c r="J28" s="1319">
        <f>M3</f>
        <v>0</v>
      </c>
      <c r="L28" s="988" t="s">
        <v>17</v>
      </c>
      <c r="M28" s="989">
        <f ca="1">ROUNDUP(((Данные!Z61*Данные!Z61-H27*H27)*3.1415926*D33*M16+(Данные!Z62*Данные!Z62-H27*H27)*(E21-D33)*M16*3.1415926)/4000000,0)</f>
        <v>1</v>
      </c>
      <c r="U28" s="1254"/>
      <c r="V28" s="1245"/>
      <c r="W28" s="1244"/>
      <c r="X28" s="57"/>
    </row>
    <row r="29" spans="1:24" ht="15.6" x14ac:dyDescent="0.3">
      <c r="B29" s="410"/>
      <c r="C29" s="1033"/>
      <c r="D29" s="412"/>
      <c r="E29" s="1033"/>
      <c r="F29" s="1033"/>
      <c r="G29" s="1033"/>
      <c r="H29" s="1033"/>
      <c r="I29" s="1078"/>
      <c r="J29" s="542"/>
      <c r="L29" s="109" t="s">
        <v>19</v>
      </c>
      <c r="M29" s="108">
        <f ca="1">ROUNDUP(((M26*0.985*M26*0.985-H27*H27)*3.1415926*C21*M16)/4000000,0)</f>
        <v>1</v>
      </c>
      <c r="U29" s="1256"/>
      <c r="V29" s="1257"/>
      <c r="W29" s="1258"/>
      <c r="X29" s="57"/>
    </row>
    <row r="30" spans="1:24" ht="16.2" thickBot="1" x14ac:dyDescent="0.35">
      <c r="B30" s="410"/>
      <c r="C30" s="1033"/>
      <c r="D30" s="412"/>
      <c r="E30" s="412"/>
      <c r="F30" s="1033"/>
      <c r="G30" s="1033"/>
      <c r="H30" s="1033"/>
      <c r="I30" s="1078"/>
      <c r="J30" s="542"/>
      <c r="L30" s="110" t="s">
        <v>940</v>
      </c>
      <c r="M30" s="111">
        <f ca="1">Данные!U71</f>
        <v>8.44</v>
      </c>
      <c r="U30" s="57"/>
      <c r="V30" s="57"/>
      <c r="W30" s="57"/>
      <c r="X30" s="57"/>
    </row>
    <row r="31" spans="1:24" ht="15.6" x14ac:dyDescent="0.3">
      <c r="B31" s="410"/>
      <c r="C31" s="1297"/>
      <c r="D31" s="1033"/>
      <c r="E31" s="1298"/>
      <c r="F31" s="415"/>
      <c r="G31" s="1033"/>
      <c r="H31" s="1033"/>
      <c r="I31" s="1078"/>
      <c r="J31" s="542"/>
      <c r="U31" s="157"/>
      <c r="V31" s="157"/>
      <c r="W31" s="157"/>
      <c r="X31" s="157"/>
    </row>
    <row r="32" spans="1:24" ht="15.6" x14ac:dyDescent="0.3">
      <c r="B32" s="410"/>
      <c r="C32" s="1033"/>
      <c r="D32" s="1033"/>
      <c r="E32" s="1078"/>
      <c r="F32" s="415"/>
      <c r="G32" s="444"/>
      <c r="H32" s="1033"/>
      <c r="I32" s="1078"/>
      <c r="J32" s="542"/>
      <c r="U32" s="1244"/>
      <c r="V32" s="1245"/>
      <c r="W32" s="1251"/>
      <c r="X32" s="1251"/>
    </row>
    <row r="33" spans="2:24" ht="15.6" x14ac:dyDescent="0.3">
      <c r="B33" s="410"/>
      <c r="C33" s="1033"/>
      <c r="D33" s="431">
        <f ca="1">ROUNDUP(M23*0.985,0)</f>
        <v>28</v>
      </c>
      <c r="E33" s="1078"/>
      <c r="F33" s="415"/>
      <c r="G33" s="1033"/>
      <c r="H33" s="1033"/>
      <c r="I33" s="1078"/>
      <c r="J33" s="542"/>
      <c r="P33" s="1286" t="str">
        <f t="array" aca="1" ref="P33" ca="1">IFERROR(INDEX(#REF!,MATCH($S$6,#REF!,0),5),"")</f>
        <v/>
      </c>
      <c r="Q33" s="1285"/>
      <c r="R33" s="1285"/>
      <c r="S33" s="57"/>
      <c r="T33" s="57"/>
      <c r="U33" s="1244"/>
      <c r="V33" s="1245"/>
      <c r="W33" s="1245"/>
      <c r="X33" s="157"/>
    </row>
    <row r="34" spans="2:24" ht="15.6" x14ac:dyDescent="0.3">
      <c r="B34" s="410"/>
      <c r="C34" s="1033"/>
      <c r="D34" s="431" t="str">
        <f ca="1">D33-20&amp;" + 20"</f>
        <v>8 + 20</v>
      </c>
      <c r="E34" s="1078"/>
      <c r="F34" s="415"/>
      <c r="G34" s="1033"/>
      <c r="H34" s="1033"/>
      <c r="I34" s="1078"/>
      <c r="J34" s="542"/>
      <c r="P34" s="57"/>
      <c r="Q34" s="157"/>
      <c r="R34" s="884"/>
      <c r="S34" s="157"/>
      <c r="T34" s="157"/>
      <c r="U34" s="1244"/>
      <c r="V34" s="1245"/>
      <c r="W34" s="1245"/>
      <c r="X34" s="157"/>
    </row>
    <row r="35" spans="2:24" ht="15.6" x14ac:dyDescent="0.3">
      <c r="B35" s="1046" t="s">
        <v>944</v>
      </c>
      <c r="C35" s="1033"/>
      <c r="D35" s="1320">
        <f>M6</f>
        <v>0</v>
      </c>
      <c r="E35" s="695"/>
      <c r="F35" s="415"/>
      <c r="H35" s="1033"/>
      <c r="I35" s="1078"/>
      <c r="J35" s="542"/>
      <c r="O35" s="57"/>
      <c r="P35" s="1247"/>
      <c r="Q35" s="1245"/>
      <c r="R35" s="1247"/>
      <c r="S35" s="1245"/>
      <c r="T35" s="1247"/>
      <c r="U35" s="1244"/>
      <c r="V35" s="1245"/>
      <c r="W35" s="1245"/>
      <c r="X35" s="157"/>
    </row>
    <row r="36" spans="2:24" ht="16.2" thickBot="1" x14ac:dyDescent="0.35">
      <c r="B36" s="410"/>
      <c r="C36" s="1033"/>
      <c r="D36" s="1033"/>
      <c r="E36" s="1033" t="s">
        <v>2068</v>
      </c>
      <c r="F36" s="1033"/>
      <c r="G36" s="1033"/>
      <c r="H36" s="1033"/>
      <c r="I36" s="1078"/>
      <c r="J36" s="542"/>
      <c r="O36" s="57"/>
      <c r="P36" s="1249"/>
      <c r="Q36" s="1252"/>
      <c r="R36" s="1245"/>
      <c r="S36" s="1245"/>
      <c r="T36" s="1245"/>
      <c r="U36" s="1245"/>
      <c r="V36" s="1244"/>
      <c r="W36" s="1245"/>
      <c r="X36" s="157"/>
    </row>
    <row r="37" spans="2:24" ht="15.6" x14ac:dyDescent="0.3">
      <c r="B37" s="417" t="s">
        <v>792</v>
      </c>
      <c r="C37" s="411"/>
      <c r="D37" s="411"/>
      <c r="E37" s="532"/>
      <c r="F37" s="411"/>
      <c r="G37" s="411" t="s">
        <v>793</v>
      </c>
      <c r="H37" s="411"/>
      <c r="I37" s="544"/>
      <c r="J37" s="545"/>
      <c r="O37" s="57"/>
      <c r="P37" s="1245"/>
      <c r="Q37" s="1253"/>
      <c r="R37" s="1245"/>
      <c r="S37" s="1244"/>
      <c r="T37" s="1245"/>
      <c r="U37" s="1245"/>
      <c r="V37" s="1244"/>
      <c r="W37" s="1246"/>
      <c r="X37" s="157"/>
    </row>
    <row r="38" spans="2:24" ht="15.6" customHeight="1" x14ac:dyDescent="0.3">
      <c r="B38" s="410" t="s">
        <v>43</v>
      </c>
      <c r="C38" s="260"/>
      <c r="D38" s="260"/>
      <c r="E38" s="260" t="str">
        <f>VLOOKUP(F8,Марка_металла[],6,FALSE())</f>
        <v>25010.00173</v>
      </c>
      <c r="F38" s="260"/>
      <c r="G38" s="260" t="s">
        <v>937</v>
      </c>
      <c r="H38" s="260"/>
      <c r="I38" s="1504">
        <f ca="1">ROUNDUP(M22*M22*3.1415296*(G25+M24+M25)*2.045/4000000,0)</f>
        <v>1</v>
      </c>
      <c r="J38" s="434"/>
      <c r="O38" s="57"/>
      <c r="P38" s="1244"/>
      <c r="Q38" s="1252"/>
      <c r="R38" s="1245"/>
      <c r="S38" s="1245"/>
      <c r="T38" s="1245"/>
      <c r="U38" s="1245"/>
      <c r="V38" s="1244"/>
      <c r="W38" s="1244"/>
      <c r="X38" s="157"/>
    </row>
    <row r="39" spans="2:24" ht="15.6" customHeight="1" x14ac:dyDescent="0.3">
      <c r="B39" s="410" t="s">
        <v>44</v>
      </c>
      <c r="C39" s="260"/>
      <c r="D39" s="260"/>
      <c r="E39" s="260" t="str">
        <f ca="1">IF(F10&gt;1900,Данные!G4,Данные!G3)</f>
        <v>25011.00007</v>
      </c>
      <c r="F39" s="260"/>
      <c r="G39" s="260" t="s">
        <v>45</v>
      </c>
      <c r="H39" s="260" t="s">
        <v>46</v>
      </c>
      <c r="I39" s="435"/>
      <c r="J39" s="434"/>
      <c r="O39" s="57"/>
      <c r="P39" s="1249"/>
      <c r="Q39" s="1252"/>
      <c r="R39" s="1245"/>
      <c r="S39" s="1247"/>
      <c r="T39" s="1245"/>
      <c r="U39" s="1245"/>
      <c r="V39" s="1244"/>
      <c r="W39" s="1244"/>
      <c r="X39" s="157"/>
    </row>
    <row r="40" spans="2:24" ht="23.4" x14ac:dyDescent="0.45">
      <c r="B40" s="410" t="s">
        <v>686</v>
      </c>
      <c r="C40" s="260"/>
      <c r="D40" s="260"/>
      <c r="E40" s="1008" t="str">
        <f>VLOOKUP(F8,Марка_металла[],2,0)&amp;"   °C"</f>
        <v>1050-1090   °C</v>
      </c>
      <c r="F40" s="260"/>
      <c r="G40" s="260" t="s">
        <v>47</v>
      </c>
      <c r="H40" s="260" t="s">
        <v>48</v>
      </c>
      <c r="I40" s="436"/>
      <c r="J40" s="433"/>
      <c r="L40" s="1348"/>
      <c r="M40" s="2005"/>
      <c r="O40" s="57"/>
      <c r="P40" s="1245"/>
      <c r="Q40" s="1253"/>
      <c r="R40" s="1245"/>
      <c r="S40" s="1245"/>
      <c r="T40" s="1245"/>
      <c r="U40" s="1256"/>
      <c r="V40" s="1244"/>
      <c r="W40" s="1244"/>
      <c r="X40" s="157"/>
    </row>
    <row r="41" spans="2:24" ht="23.4" x14ac:dyDescent="0.45">
      <c r="B41" s="410" t="s">
        <v>49</v>
      </c>
      <c r="C41" s="260"/>
      <c r="D41" s="260"/>
      <c r="E41" s="1008">
        <v>25010.001680000001</v>
      </c>
      <c r="F41" s="260"/>
      <c r="G41" s="260" t="s">
        <v>51</v>
      </c>
      <c r="H41" s="260"/>
      <c r="I41" s="437"/>
      <c r="J41" s="433"/>
      <c r="L41" s="1348"/>
      <c r="M41" s="2005"/>
      <c r="O41" s="57"/>
      <c r="P41" s="1244"/>
      <c r="Q41" s="1254"/>
      <c r="R41" s="1245"/>
      <c r="S41" s="1247"/>
      <c r="T41" s="1245"/>
      <c r="U41" s="1245"/>
      <c r="V41" s="1249"/>
      <c r="W41" s="1244"/>
      <c r="X41" s="157"/>
    </row>
    <row r="42" spans="2:24" ht="15.6" x14ac:dyDescent="0.3">
      <c r="B42" s="410" t="s">
        <v>45</v>
      </c>
      <c r="C42" s="260"/>
      <c r="D42" s="260"/>
      <c r="E42" s="1029" t="s">
        <v>46</v>
      </c>
      <c r="F42" s="260"/>
      <c r="G42" s="260" t="s">
        <v>939</v>
      </c>
      <c r="H42" s="260"/>
      <c r="I42" s="432"/>
      <c r="J42" s="433"/>
      <c r="O42" s="57"/>
      <c r="P42" s="1244"/>
      <c r="Q42" s="1255"/>
      <c r="R42" s="1249"/>
      <c r="S42" s="1245"/>
      <c r="T42" s="1249"/>
      <c r="U42" s="1245"/>
      <c r="V42" s="1245"/>
      <c r="W42" s="1244"/>
      <c r="X42" s="157"/>
    </row>
    <row r="43" spans="2:24" ht="15.6" x14ac:dyDescent="0.3">
      <c r="B43" s="410" t="s">
        <v>52</v>
      </c>
      <c r="C43" s="260"/>
      <c r="D43" s="260"/>
      <c r="E43" s="445" t="s">
        <v>936</v>
      </c>
      <c r="F43" s="416"/>
      <c r="G43" s="260" t="s">
        <v>938</v>
      </c>
      <c r="H43" s="260"/>
      <c r="I43" s="260"/>
      <c r="J43" s="414"/>
      <c r="O43" s="57"/>
      <c r="P43" s="1244"/>
      <c r="Q43" s="1245"/>
      <c r="R43" s="1245"/>
      <c r="S43" s="1247"/>
      <c r="T43" s="1245"/>
      <c r="U43" s="1254"/>
      <c r="V43" s="1245"/>
      <c r="W43" s="1244"/>
      <c r="X43" s="157"/>
    </row>
    <row r="44" spans="2:24" ht="15.6" x14ac:dyDescent="0.3">
      <c r="B44" s="4" t="s">
        <v>47</v>
      </c>
      <c r="C44" s="1029"/>
      <c r="D44" s="1029"/>
      <c r="E44" s="1008" t="s">
        <v>48</v>
      </c>
      <c r="F44" s="1008"/>
      <c r="G44" s="260" t="s">
        <v>55</v>
      </c>
      <c r="H44" s="260"/>
      <c r="I44" s="260"/>
      <c r="J44" s="414"/>
      <c r="O44" s="57"/>
      <c r="P44" s="1244"/>
      <c r="Q44" s="1244"/>
      <c r="R44" s="1249"/>
      <c r="S44" s="1245"/>
      <c r="T44" s="1249"/>
      <c r="U44" s="1256"/>
      <c r="V44" s="1257"/>
      <c r="W44" s="1258"/>
      <c r="X44" s="1258"/>
    </row>
    <row r="45" spans="2:24" ht="15.6" x14ac:dyDescent="0.3">
      <c r="B45" s="410" t="s">
        <v>54</v>
      </c>
      <c r="C45" s="260"/>
      <c r="D45" s="260"/>
      <c r="E45" s="419" t="str">
        <f ca="1">Данные!U70</f>
        <v>242.04.462-1</v>
      </c>
      <c r="F45" s="1008"/>
      <c r="G45" s="260"/>
      <c r="H45" s="260"/>
      <c r="I45" s="260"/>
      <c r="J45" s="414"/>
      <c r="O45" s="57"/>
      <c r="P45" s="1244"/>
      <c r="Q45" s="1244"/>
      <c r="R45" s="1245"/>
      <c r="S45" s="1247"/>
      <c r="T45" s="1249"/>
    </row>
    <row r="46" spans="2:24" ht="18" x14ac:dyDescent="0.35">
      <c r="B46" s="410" t="s">
        <v>873</v>
      </c>
      <c r="C46" s="260"/>
      <c r="D46" s="875">
        <f ca="1">Данные!Z115</f>
        <v>700</v>
      </c>
      <c r="E46" s="875" t="str">
        <f ca="1">" Х "&amp;Данные!AA115</f>
        <v xml:space="preserve"> Х 700</v>
      </c>
      <c r="F46" s="876" t="str">
        <f ca="1">" Х "&amp;Данные!AB115&amp;"  /  1 шт."</f>
        <v xml:space="preserve"> Х 200  /  1 шт.</v>
      </c>
      <c r="G46" s="877"/>
      <c r="H46" s="260"/>
      <c r="I46" s="260"/>
      <c r="J46" s="414"/>
      <c r="O46" s="57"/>
      <c r="P46" s="1244"/>
      <c r="Q46" s="1244"/>
      <c r="R46" s="1244"/>
      <c r="S46" s="1254"/>
      <c r="T46" s="1245"/>
    </row>
    <row r="47" spans="2:24" ht="18" x14ac:dyDescent="0.35">
      <c r="B47" s="1992" t="s">
        <v>874</v>
      </c>
      <c r="C47" s="1993"/>
      <c r="D47" s="875" t="b">
        <f ca="1">IF(Данные!AA118&gt;0,Данные!Z118&amp;" мм. "&amp;" / "&amp;Данные!AA118&amp;" шт.")</f>
        <v>0</v>
      </c>
      <c r="E47" s="875"/>
      <c r="F47" s="876" t="str">
        <f ca="1">IF(Данные!AA119&gt;0," / "&amp;Данные!Z119&amp;" мм. / "&amp;Данные!AA119&amp;" шт.","")</f>
        <v xml:space="preserve"> / 200 мм. / 1 шт.</v>
      </c>
      <c r="G47" s="877"/>
      <c r="H47" s="260"/>
      <c r="I47" s="260"/>
      <c r="J47" s="414"/>
      <c r="O47" s="57"/>
      <c r="P47" s="1244"/>
      <c r="Q47" s="1244"/>
      <c r="R47" s="1244"/>
      <c r="S47" s="1257"/>
      <c r="T47" s="1244"/>
      <c r="U47" s="894"/>
      <c r="V47" s="894"/>
    </row>
    <row r="48" spans="2:24" ht="15.6" x14ac:dyDescent="0.3">
      <c r="B48" s="410"/>
      <c r="C48" s="260"/>
      <c r="D48" s="260"/>
      <c r="E48" s="1008"/>
      <c r="F48" s="1008"/>
      <c r="G48" s="260"/>
      <c r="H48" s="260"/>
      <c r="I48" s="260"/>
      <c r="J48" s="414"/>
    </row>
    <row r="49" spans="2:20" ht="16.2" thickBot="1" x14ac:dyDescent="0.35">
      <c r="B49" s="427"/>
      <c r="C49" s="428" t="s">
        <v>56</v>
      </c>
      <c r="D49" s="428"/>
      <c r="E49" s="449"/>
      <c r="F49" s="449" t="s">
        <v>57</v>
      </c>
      <c r="G49" s="428"/>
      <c r="H49" s="428"/>
      <c r="I49" s="428"/>
      <c r="J49" s="450"/>
    </row>
    <row r="50" spans="2:20" ht="16.2" thickBot="1" x14ac:dyDescent="0.35">
      <c r="B50" s="1195" t="s">
        <v>58</v>
      </c>
      <c r="C50" s="1196"/>
      <c r="D50" s="1199"/>
      <c r="E50" s="902" t="s">
        <v>59</v>
      </c>
      <c r="F50" s="904" t="s">
        <v>58</v>
      </c>
      <c r="G50" s="904" t="s">
        <v>60</v>
      </c>
      <c r="H50" s="904" t="s">
        <v>58</v>
      </c>
      <c r="I50" s="1997" t="s">
        <v>833</v>
      </c>
      <c r="J50" s="1998"/>
      <c r="P50" s="893"/>
      <c r="Q50" s="894"/>
      <c r="R50" s="894"/>
      <c r="S50" s="894"/>
      <c r="T50" s="894"/>
    </row>
    <row r="51" spans="2:20" ht="16.2" thickBot="1" x14ac:dyDescent="0.35">
      <c r="B51" s="1197">
        <f ca="1">TODAY()</f>
        <v>45590</v>
      </c>
      <c r="C51" s="1198"/>
      <c r="D51" s="1210"/>
      <c r="E51" s="1232"/>
      <c r="F51" s="903"/>
      <c r="G51" s="1231"/>
      <c r="H51" s="903"/>
      <c r="I51" s="1997"/>
      <c r="J51" s="1998"/>
    </row>
    <row r="52" spans="2:20" s="41" customFormat="1" ht="16.2" thickBot="1" x14ac:dyDescent="0.35">
      <c r="B52" s="1195" t="s">
        <v>61</v>
      </c>
      <c r="C52" s="1196"/>
      <c r="D52" s="1199"/>
      <c r="E52" s="449"/>
      <c r="F52" s="428"/>
      <c r="G52" s="428"/>
      <c r="H52" s="428"/>
      <c r="I52" s="428"/>
      <c r="J52" s="450"/>
      <c r="L52"/>
      <c r="M52"/>
      <c r="O52"/>
      <c r="P52"/>
      <c r="Q52"/>
      <c r="R52"/>
      <c r="S52"/>
      <c r="T52"/>
    </row>
    <row r="53" spans="2:20" ht="16.2" thickBot="1" x14ac:dyDescent="0.35">
      <c r="B53" s="1211"/>
      <c r="C53" s="1212"/>
      <c r="D53" s="1212"/>
      <c r="E53" s="260"/>
      <c r="F53" s="260"/>
      <c r="G53" s="260"/>
      <c r="H53" s="260"/>
      <c r="I53" s="260"/>
      <c r="J53" s="414"/>
    </row>
    <row r="54" spans="2:20" ht="15.6" x14ac:dyDescent="0.3">
      <c r="B54" s="1202" t="s">
        <v>3</v>
      </c>
      <c r="C54" s="1203"/>
      <c r="D54" s="1207"/>
      <c r="E54" s="451" t="s">
        <v>250</v>
      </c>
      <c r="F54" s="452" t="s">
        <v>251</v>
      </c>
      <c r="G54" s="451" t="s">
        <v>251</v>
      </c>
      <c r="H54" s="451" t="s">
        <v>252</v>
      </c>
      <c r="I54" s="1202" t="s">
        <v>253</v>
      </c>
      <c r="J54" s="1207"/>
    </row>
    <row r="55" spans="2:20" ht="16.2" thickBot="1" x14ac:dyDescent="0.35">
      <c r="B55" s="1204" t="s">
        <v>254</v>
      </c>
      <c r="C55" s="1205"/>
      <c r="D55" s="1208"/>
      <c r="E55" s="453" t="s">
        <v>898</v>
      </c>
      <c r="F55" s="453" t="s">
        <v>256</v>
      </c>
      <c r="G55" s="453" t="s">
        <v>257</v>
      </c>
      <c r="H55" s="453"/>
      <c r="I55" s="1204" t="s">
        <v>258</v>
      </c>
      <c r="J55" s="1208"/>
      <c r="K55" s="60"/>
      <c r="L55" s="60"/>
      <c r="M55" s="41"/>
      <c r="O55" s="41"/>
      <c r="P55" s="41"/>
      <c r="Q55" s="41"/>
      <c r="R55" s="41"/>
      <c r="S55" s="41"/>
      <c r="T55" s="41"/>
    </row>
    <row r="56" spans="2:20" ht="16.2" thickBot="1" x14ac:dyDescent="0.35">
      <c r="B56" s="1200" t="s">
        <v>307</v>
      </c>
      <c r="C56" s="1206"/>
      <c r="D56" s="1201"/>
      <c r="E56" s="454">
        <v>40</v>
      </c>
      <c r="F56" s="455">
        <v>1</v>
      </c>
      <c r="G56" s="454">
        <v>20</v>
      </c>
      <c r="H56" s="453">
        <v>3</v>
      </c>
      <c r="I56" s="1999">
        <f ca="1">ROUNDUP(Данные!Z115*Данные!AA115*Данные!Z124/1000000*2.045*2.3/1000/F18,3)</f>
        <v>0.92200000000000004</v>
      </c>
      <c r="J56" s="2000"/>
      <c r="K56" s="60"/>
      <c r="L56" s="60"/>
    </row>
    <row r="57" spans="2:20" ht="16.2" thickBot="1" x14ac:dyDescent="0.35">
      <c r="B57" s="1200" t="s">
        <v>42</v>
      </c>
      <c r="C57" s="1206"/>
      <c r="D57" s="1201"/>
      <c r="E57" s="456">
        <v>40</v>
      </c>
      <c r="F57" s="457">
        <v>1</v>
      </c>
      <c r="G57" s="456">
        <v>20</v>
      </c>
      <c r="H57" s="453">
        <v>4</v>
      </c>
      <c r="I57" s="1999">
        <f ca="1">ROUND(I38/1000*3.5/F18,3)</f>
        <v>4.0000000000000001E-3</v>
      </c>
      <c r="J57" s="2000"/>
    </row>
    <row r="62" spans="2:20" x14ac:dyDescent="0.3">
      <c r="K62" s="41"/>
    </row>
    <row r="63" spans="2:20" x14ac:dyDescent="0.3">
      <c r="I63" s="41"/>
      <c r="J63" s="41"/>
      <c r="K63" s="41"/>
    </row>
    <row r="64" spans="2:20" x14ac:dyDescent="0.3">
      <c r="I64" s="41"/>
      <c r="J64" s="41"/>
      <c r="K64" s="41"/>
    </row>
    <row r="65" spans="9:10" x14ac:dyDescent="0.3">
      <c r="I65" s="41"/>
      <c r="J65" s="41"/>
    </row>
  </sheetData>
  <mergeCells count="8">
    <mergeCell ref="B47:C47"/>
    <mergeCell ref="I50:J50"/>
    <mergeCell ref="I51:J51"/>
    <mergeCell ref="I57:J57"/>
    <mergeCell ref="L2:M2"/>
    <mergeCell ref="I56:J56"/>
    <mergeCell ref="L10:M10"/>
    <mergeCell ref="M40:M41"/>
  </mergeCells>
  <hyperlinks>
    <hyperlink ref="O2" r:id="rId1" xr:uid="{62F82EA2-171B-4148-8CE1-F05939110E02}"/>
    <hyperlink ref="P16" r:id="rId2" xr:uid="{6AD53D1C-72C9-4F32-8E96-EDA817637937}"/>
  </hyperlinks>
  <pageMargins left="0.7" right="0.7" top="0.75" bottom="0.75" header="0.3" footer="0.3"/>
  <pageSetup paperSize="9" scale="33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60960</xdr:colOff>
                    <xdr:row>31</xdr:row>
                    <xdr:rowOff>7620</xdr:rowOff>
                  </from>
                  <to>
                    <xdr:col>13</xdr:col>
                    <xdr:colOff>38100</xdr:colOff>
                    <xdr:row>32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70" zoomScaleNormal="70" workbookViewId="0">
      <selection activeCell="P2" sqref="P2:AF11"/>
    </sheetView>
  </sheetViews>
  <sheetFormatPr defaultRowHeight="15.6" x14ac:dyDescent="0.3"/>
  <cols>
    <col min="1" max="1" width="2.21875" customWidth="1"/>
    <col min="2" max="2" width="4.21875" style="412" customWidth="1"/>
    <col min="3" max="3" width="10.77734375" style="412" customWidth="1"/>
    <col min="4" max="4" width="8.6640625" style="412" customWidth="1"/>
    <col min="5" max="5" width="12.21875" style="412" customWidth="1"/>
    <col min="6" max="6" width="16.44140625" style="412" customWidth="1"/>
    <col min="7" max="7" width="8.44140625" style="412" customWidth="1"/>
    <col min="8" max="8" width="11.88671875" style="412" customWidth="1"/>
    <col min="9" max="9" width="9.6640625" style="412" customWidth="1"/>
    <col min="10" max="10" width="10.109375" style="412" customWidth="1"/>
    <col min="11" max="11" width="13" style="412" bestFit="1" customWidth="1"/>
    <col min="12" max="12" width="3.21875" style="412" customWidth="1"/>
    <col min="13" max="13" width="30.5546875" style="412" customWidth="1"/>
    <col min="14" max="14" width="9.88671875" style="412" customWidth="1"/>
    <col min="15" max="15" width="2.33203125" style="56" customWidth="1"/>
    <col min="16" max="16" width="6.44140625" style="1029" bestFit="1" customWidth="1"/>
    <col min="17" max="17" width="13.5546875" bestFit="1" customWidth="1"/>
    <col min="18" max="19" width="6.77734375" bestFit="1" customWidth="1"/>
    <col min="20" max="20" width="11.5546875" bestFit="1" customWidth="1"/>
    <col min="21" max="21" width="18" bestFit="1" customWidth="1"/>
    <col min="22" max="22" width="11.5546875" bestFit="1" customWidth="1"/>
    <col min="23" max="24" width="6.77734375" bestFit="1" customWidth="1"/>
    <col min="25" max="25" width="10.44140625" bestFit="1" customWidth="1"/>
    <col min="26" max="27" width="11.6640625" bestFit="1" customWidth="1"/>
    <col min="28" max="28" width="15.33203125" bestFit="1" customWidth="1"/>
    <col min="29" max="29" width="15.77734375" bestFit="1" customWidth="1"/>
    <col min="30" max="30" width="16.44140625" bestFit="1" customWidth="1"/>
    <col min="31" max="31" width="14.88671875" bestFit="1" customWidth="1"/>
    <col min="32" max="32" width="10" style="1312" bestFit="1" customWidth="1"/>
    <col min="33" max="33" width="8.88671875" style="1312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254"/>
      <c r="B1" s="922"/>
      <c r="C1" s="922"/>
      <c r="D1" s="922"/>
      <c r="E1" s="922"/>
      <c r="F1" s="922"/>
      <c r="G1" s="922"/>
      <c r="H1" s="922"/>
      <c r="I1" s="922"/>
      <c r="J1" s="922"/>
      <c r="K1" s="922" t="s">
        <v>309</v>
      </c>
      <c r="O1" s="1029"/>
      <c r="Q1" s="461"/>
      <c r="R1" s="1271" t="s">
        <v>1010</v>
      </c>
      <c r="S1" s="1272"/>
      <c r="T1" s="1424"/>
      <c r="U1" s="1273" t="s">
        <v>583</v>
      </c>
      <c r="V1" s="1428"/>
      <c r="W1" s="1425" t="s">
        <v>1011</v>
      </c>
      <c r="X1" s="1426"/>
      <c r="Y1" s="1426"/>
      <c r="Z1" s="1426"/>
      <c r="AA1" s="1426"/>
      <c r="AB1" s="1427"/>
      <c r="AC1" s="970" t="s">
        <v>1013</v>
      </c>
    </row>
    <row r="2" spans="1:33" ht="16.2" thickBot="1" x14ac:dyDescent="0.35">
      <c r="A2" s="254"/>
      <c r="B2" s="955"/>
      <c r="C2" s="956"/>
      <c r="D2" s="956"/>
      <c r="E2" s="956"/>
      <c r="F2" s="956" t="s">
        <v>0</v>
      </c>
      <c r="G2" s="956"/>
      <c r="H2" s="956"/>
      <c r="I2" s="956"/>
      <c r="J2" s="956"/>
      <c r="K2" s="957" t="s">
        <v>790</v>
      </c>
      <c r="M2" s="1221" t="s">
        <v>918</v>
      </c>
      <c r="N2" s="1220"/>
      <c r="P2" t="s">
        <v>545</v>
      </c>
      <c r="Q2" t="s">
        <v>625</v>
      </c>
      <c r="R2" s="1158" t="s">
        <v>1009</v>
      </c>
      <c r="S2" s="1158" t="s">
        <v>823</v>
      </c>
      <c r="T2" s="1158" t="s">
        <v>1716</v>
      </c>
      <c r="U2" s="1158" t="s">
        <v>1717</v>
      </c>
      <c r="V2" s="1158" t="s">
        <v>1023</v>
      </c>
      <c r="W2" t="s">
        <v>824</v>
      </c>
      <c r="X2" t="s">
        <v>1012</v>
      </c>
      <c r="Y2" s="1350" t="s">
        <v>5</v>
      </c>
      <c r="Z2" t="s">
        <v>1707</v>
      </c>
      <c r="AA2" s="102" t="s">
        <v>1708</v>
      </c>
      <c r="AB2" t="s">
        <v>1709</v>
      </c>
      <c r="AC2" t="s">
        <v>1710</v>
      </c>
      <c r="AD2" t="s">
        <v>1044</v>
      </c>
      <c r="AE2" s="1270" t="s">
        <v>1034</v>
      </c>
      <c r="AF2" s="1270" t="s">
        <v>869</v>
      </c>
      <c r="AG2"/>
    </row>
    <row r="3" spans="1:33" x14ac:dyDescent="0.3">
      <c r="A3" s="254"/>
      <c r="B3" s="923"/>
      <c r="C3" s="924" t="s">
        <v>1</v>
      </c>
      <c r="D3" s="924"/>
      <c r="E3" s="924"/>
      <c r="F3" s="924"/>
      <c r="G3" s="925"/>
      <c r="H3" s="924"/>
      <c r="I3" s="924"/>
      <c r="J3" s="926" t="s">
        <v>327</v>
      </c>
      <c r="K3" s="927" t="str">
        <f>IF(N23=0,"",VLOOKUP(N23,Втулки_ящики_конус[],2,0))</f>
        <v/>
      </c>
      <c r="M3" s="1010" t="s">
        <v>917</v>
      </c>
      <c r="N3" s="1216"/>
      <c r="O3" s="415"/>
      <c r="P3" s="1312">
        <v>1</v>
      </c>
      <c r="Q3" s="254" t="s">
        <v>1014</v>
      </c>
      <c r="R3" s="1149">
        <f>INDEX(Втулки1[],MATCH(Втулки_ящики_конус[чертеж],Втулки1[чертеж],0),7)</f>
        <v>180</v>
      </c>
      <c r="S3" s="1149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149">
        <f>INDEX(Втулки1[],MATCH(Втулки_ящики_конус[чертеж],Втулки1[чертеж],0),9)</f>
        <v>965</v>
      </c>
      <c r="U3" s="1149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149">
        <f>INDEX(Втулки1[],MATCH(Втулки_ящики_конус[чертеж],Втулки1[чертеж],0),12)</f>
        <v>140</v>
      </c>
      <c r="W3" s="1312">
        <v>160</v>
      </c>
      <c r="X3" s="1312">
        <v>105</v>
      </c>
      <c r="Y3" s="1312">
        <v>990</v>
      </c>
      <c r="Z3" s="1312">
        <v>160</v>
      </c>
      <c r="AA3" s="1312">
        <v>175</v>
      </c>
      <c r="AB3" s="1312">
        <v>140</v>
      </c>
      <c r="AC3" s="1312">
        <v>90</v>
      </c>
      <c r="AD3" s="254" t="s">
        <v>1711</v>
      </c>
      <c r="AE3" s="1308">
        <v>7</v>
      </c>
      <c r="AF3" s="1344">
        <v>700</v>
      </c>
      <c r="AG3"/>
    </row>
    <row r="4" spans="1:33" x14ac:dyDescent="0.3">
      <c r="A4" s="254"/>
      <c r="B4" s="928"/>
      <c r="C4" s="900" t="s">
        <v>2</v>
      </c>
      <c r="D4" s="900"/>
      <c r="E4" s="900"/>
      <c r="F4" s="900"/>
      <c r="G4" s="921"/>
      <c r="H4" s="900"/>
      <c r="I4" s="900"/>
      <c r="J4" s="958"/>
      <c r="K4" s="933"/>
      <c r="M4" s="1215" t="s">
        <v>794</v>
      </c>
      <c r="N4" s="1217"/>
      <c r="O4" s="415"/>
      <c r="P4" s="1312">
        <v>2</v>
      </c>
      <c r="Q4" s="254" t="s">
        <v>1016</v>
      </c>
      <c r="R4" s="1149">
        <f>INDEX(Втулки1[],MATCH(Втулки_ящики_конус[чертеж],Втулки1[чертеж],0),7)</f>
        <v>185</v>
      </c>
      <c r="S4" s="1149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149">
        <f>INDEX(Втулки1[],MATCH(Втулки_ящики_конус[чертеж],Втулки1[чертеж],0),9)</f>
        <v>755</v>
      </c>
      <c r="U4" s="1149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149">
        <f>INDEX(Втулки1[],MATCH(Втулки_ящики_конус[чертеж],Втулки1[чертеж],0),12)</f>
        <v>150</v>
      </c>
      <c r="W4" s="1312">
        <v>160</v>
      </c>
      <c r="X4" s="1312">
        <v>110</v>
      </c>
      <c r="Y4" s="1312">
        <v>760</v>
      </c>
      <c r="Z4" s="1312">
        <v>160</v>
      </c>
      <c r="AA4" s="1312">
        <v>130</v>
      </c>
      <c r="AB4" s="1312">
        <v>190</v>
      </c>
      <c r="AC4" s="1312">
        <v>90</v>
      </c>
      <c r="AD4" s="254" t="s">
        <v>1712</v>
      </c>
      <c r="AE4" s="1308">
        <v>7</v>
      </c>
      <c r="AF4" s="1344">
        <v>700</v>
      </c>
      <c r="AG4"/>
    </row>
    <row r="5" spans="1:33" x14ac:dyDescent="0.3">
      <c r="A5" s="254"/>
      <c r="B5" s="928"/>
      <c r="C5" s="900" t="s">
        <v>3</v>
      </c>
      <c r="D5" s="900"/>
      <c r="E5" s="900"/>
      <c r="F5" s="900"/>
      <c r="G5" s="421"/>
      <c r="H5" s="900"/>
      <c r="I5" s="900"/>
      <c r="J5" s="929"/>
      <c r="K5" s="933"/>
      <c r="M5" s="968" t="s">
        <v>919</v>
      </c>
      <c r="N5" s="1335"/>
      <c r="O5" s="415"/>
      <c r="P5" s="1312">
        <v>3</v>
      </c>
      <c r="Q5" s="254" t="s">
        <v>1015</v>
      </c>
      <c r="R5" s="1149">
        <f>INDEX(Втулки1[],MATCH(Втулки_ящики_конус[чертеж],Втулки1[чертеж],0),7)</f>
        <v>180</v>
      </c>
      <c r="S5" s="1149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149">
        <f>INDEX(Втулки1[],MATCH(Втулки_ящики_конус[чертеж],Втулки1[чертеж],0),9)</f>
        <v>1030</v>
      </c>
      <c r="U5" s="1149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149">
        <f>INDEX(Втулки1[],MATCH(Втулки_ящики_конус[чертеж],Втулки1[чертеж],0),12)</f>
        <v>150</v>
      </c>
      <c r="W5" s="1312">
        <v>245</v>
      </c>
      <c r="X5" s="1312">
        <v>110</v>
      </c>
      <c r="Y5" s="1312">
        <v>1060</v>
      </c>
      <c r="Z5" s="1312">
        <v>245</v>
      </c>
      <c r="AA5" s="1312">
        <v>260</v>
      </c>
      <c r="AB5" s="1312">
        <v>150</v>
      </c>
      <c r="AC5" s="1312">
        <v>90</v>
      </c>
      <c r="AD5" s="254" t="s">
        <v>1711</v>
      </c>
      <c r="AE5" s="1308">
        <v>7</v>
      </c>
      <c r="AF5" s="1344">
        <v>700</v>
      </c>
      <c r="AG5"/>
    </row>
    <row r="6" spans="1:33" ht="16.2" thickBot="1" x14ac:dyDescent="0.35">
      <c r="A6" s="254"/>
      <c r="B6" s="930"/>
      <c r="C6" s="931" t="s">
        <v>7</v>
      </c>
      <c r="D6" s="931"/>
      <c r="E6" s="931"/>
      <c r="F6" s="931"/>
      <c r="G6" s="531"/>
      <c r="H6" s="931"/>
      <c r="I6" s="931"/>
      <c r="J6" s="932"/>
      <c r="K6" s="959"/>
      <c r="M6" s="968" t="s">
        <v>795</v>
      </c>
      <c r="N6" s="1336"/>
      <c r="O6" s="415"/>
      <c r="P6" s="1312">
        <v>4</v>
      </c>
      <c r="Q6" s="254" t="s">
        <v>1017</v>
      </c>
      <c r="R6" s="1149">
        <f>INDEX(Втулки1[],MATCH(Втулки_ящики_конус[чертеж],Втулки1[чертеж],0),7)</f>
        <v>225</v>
      </c>
      <c r="S6" s="1149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149">
        <f>INDEX(Втулки1[],MATCH(Втулки_ящики_конус[чертеж],Втулки1[чертеж],0),9)</f>
        <v>1010</v>
      </c>
      <c r="U6" s="1149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149">
        <f>INDEX(Втулки1[],MATCH(Втулки_ящики_конус[чертеж],Втулки1[чертеж],0),12)</f>
        <v>180</v>
      </c>
      <c r="W6" s="1312">
        <v>260</v>
      </c>
      <c r="X6" s="1312">
        <v>155</v>
      </c>
      <c r="Y6" s="1312">
        <v>1120</v>
      </c>
      <c r="Z6" s="1312">
        <v>260</v>
      </c>
      <c r="AA6" s="1312">
        <v>270</v>
      </c>
      <c r="AB6" s="1312">
        <v>180</v>
      </c>
      <c r="AC6" s="1312">
        <v>90</v>
      </c>
      <c r="AD6" s="254" t="s">
        <v>1711</v>
      </c>
      <c r="AE6" s="1308">
        <v>7</v>
      </c>
      <c r="AF6" s="1344">
        <v>700</v>
      </c>
      <c r="AG6"/>
    </row>
    <row r="7" spans="1:33" x14ac:dyDescent="0.3">
      <c r="A7" s="254"/>
      <c r="B7" s="928"/>
      <c r="C7" s="900"/>
      <c r="D7" s="922"/>
      <c r="E7" s="900"/>
      <c r="F7" s="900"/>
      <c r="G7" s="421"/>
      <c r="H7" s="900"/>
      <c r="I7" s="900"/>
      <c r="J7" s="900"/>
      <c r="K7" s="933"/>
      <c r="M7" s="968" t="s">
        <v>5</v>
      </c>
      <c r="N7" s="1336"/>
      <c r="O7" s="415"/>
      <c r="P7" s="1312">
        <v>5</v>
      </c>
      <c r="Q7" s="254" t="s">
        <v>1018</v>
      </c>
      <c r="R7" s="1149">
        <f>INDEX(Втулки1[],MATCH(Втулки_ящики_конус[чертеж],Втулки1[чертеж],0),7)</f>
        <v>280</v>
      </c>
      <c r="S7" s="1149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149">
        <f>INDEX(Втулки1[],MATCH(Втулки_ящики_конус[чертеж],Втулки1[чертеж],0),9)</f>
        <v>1225</v>
      </c>
      <c r="U7" s="1149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149">
        <f>INDEX(Втулки1[],MATCH(Втулки_ящики_конус[чертеж],Втулки1[чертеж],0),12)</f>
        <v>165</v>
      </c>
      <c r="W7" s="1312">
        <v>290</v>
      </c>
      <c r="X7" s="1312">
        <v>185</v>
      </c>
      <c r="Y7" s="1312">
        <v>1265</v>
      </c>
      <c r="Z7" s="1312">
        <v>290</v>
      </c>
      <c r="AA7" s="1312">
        <v>305</v>
      </c>
      <c r="AB7" s="1312">
        <v>165</v>
      </c>
      <c r="AC7" s="1312">
        <v>150</v>
      </c>
      <c r="AD7" s="254" t="s">
        <v>1711</v>
      </c>
      <c r="AE7" s="1309">
        <v>14</v>
      </c>
      <c r="AF7" s="1344">
        <v>700</v>
      </c>
      <c r="AG7"/>
    </row>
    <row r="8" spans="1:33" x14ac:dyDescent="0.3">
      <c r="A8" s="254"/>
      <c r="B8" s="928"/>
      <c r="C8" s="900" t="s">
        <v>12</v>
      </c>
      <c r="D8" s="922"/>
      <c r="E8" s="900"/>
      <c r="F8" s="900"/>
      <c r="G8" s="921" t="s">
        <v>6</v>
      </c>
      <c r="H8" s="900"/>
      <c r="I8" s="900"/>
      <c r="J8" s="900" t="s">
        <v>894</v>
      </c>
      <c r="K8" s="936" t="e">
        <f>ROUND(G9/G13,2)</f>
        <v>#DIV/0!</v>
      </c>
      <c r="M8" s="1009" t="s">
        <v>15</v>
      </c>
      <c r="N8" s="1268">
        <f>ROUNDUP((3.1415926*N7/3000000*((N3/2)*(N3/2)+(N5/2)*(N3/2)+(N5/2)*(N5/2))*N10)-(3.1415926*N7/3000000*((N6/2)*(N6/2)+(N6/2)*(N4/2)+(N4/2)*(N4/2))*N10),1)</f>
        <v>0</v>
      </c>
      <c r="P8" s="1312">
        <v>6</v>
      </c>
      <c r="Q8" s="254" t="s">
        <v>1019</v>
      </c>
      <c r="R8" s="1149">
        <f>INDEX(Втулки1[],MATCH(Втулки_ящики_конус[чертеж],Втулки1[чертеж],0),7)</f>
        <v>295</v>
      </c>
      <c r="S8" s="1149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149">
        <f>INDEX(Втулки1[],MATCH(Втулки_ящики_конус[чертеж],Втулки1[чертеж],0),9)</f>
        <v>1340</v>
      </c>
      <c r="U8" s="1149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149">
        <f>INDEX(Втулки1[],MATCH(Втулки_ящики_конус[чертеж],Втулки1[чертеж],0),12)</f>
        <v>130</v>
      </c>
      <c r="W8" s="1312">
        <v>335</v>
      </c>
      <c r="X8" s="1312">
        <v>232</v>
      </c>
      <c r="Y8" s="1312">
        <v>1340</v>
      </c>
      <c r="Z8" s="1312">
        <v>335</v>
      </c>
      <c r="AA8" s="1312">
        <v>320</v>
      </c>
      <c r="AB8" s="1312">
        <v>190</v>
      </c>
      <c r="AC8" s="1312">
        <v>90</v>
      </c>
      <c r="AD8" s="254" t="s">
        <v>1712</v>
      </c>
      <c r="AE8" s="1309">
        <v>14</v>
      </c>
      <c r="AF8" s="1344">
        <v>700</v>
      </c>
      <c r="AG8"/>
    </row>
    <row r="9" spans="1:33" ht="16.2" thickBot="1" x14ac:dyDescent="0.35">
      <c r="A9" s="254"/>
      <c r="B9" s="928"/>
      <c r="C9" s="900" t="s">
        <v>15</v>
      </c>
      <c r="D9" s="922"/>
      <c r="E9" s="900"/>
      <c r="F9" s="900"/>
      <c r="G9" s="421">
        <f>IF(N9&lt;&gt;0,N9,IF(N8&lt;100,ROUNDUP(N8,1),ROUNDUP(N8,0)))</f>
        <v>0</v>
      </c>
      <c r="H9" s="529"/>
      <c r="I9" s="900"/>
      <c r="J9" s="900"/>
      <c r="K9" s="936"/>
      <c r="M9" s="1143" t="s">
        <v>265</v>
      </c>
      <c r="N9" s="1219"/>
      <c r="O9" s="943"/>
      <c r="P9" s="1312">
        <v>7</v>
      </c>
      <c r="Q9" s="254" t="s">
        <v>1020</v>
      </c>
      <c r="R9" s="1149">
        <f>INDEX(Втулки1[],MATCH(Втулки_ящики_конус[чертеж],Втулки1[чертеж],0),7)</f>
        <v>350</v>
      </c>
      <c r="S9" s="1149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149">
        <f>INDEX(Втулки1[],MATCH(Втулки_ящики_конус[чертеж],Втулки1[чертеж],0),9)</f>
        <v>1260</v>
      </c>
      <c r="U9" s="1149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149">
        <f>INDEX(Втулки1[],MATCH(Втулки_ящики_конус[чертеж],Втулки1[чертеж],0),12)</f>
        <v>180</v>
      </c>
      <c r="W9" s="1312">
        <v>360</v>
      </c>
      <c r="X9" s="1312">
        <v>250</v>
      </c>
      <c r="Y9" s="1312">
        <v>1300</v>
      </c>
      <c r="Z9" s="1312">
        <v>360</v>
      </c>
      <c r="AA9" s="1312">
        <v>375</v>
      </c>
      <c r="AB9" s="1312">
        <v>180</v>
      </c>
      <c r="AC9" s="1312">
        <v>150</v>
      </c>
      <c r="AD9" s="254" t="s">
        <v>1711</v>
      </c>
      <c r="AE9" s="1309">
        <v>14</v>
      </c>
      <c r="AF9" s="1344">
        <v>1000</v>
      </c>
      <c r="AG9"/>
    </row>
    <row r="10" spans="1:33" ht="16.2" thickBot="1" x14ac:dyDescent="0.35">
      <c r="A10" s="254"/>
      <c r="B10" s="928"/>
      <c r="C10" s="900" t="s">
        <v>17</v>
      </c>
      <c r="D10" s="922"/>
      <c r="E10" s="900"/>
      <c r="F10" s="900"/>
      <c r="G10" s="921">
        <f>ROUNDUP(N28,0)</f>
        <v>0</v>
      </c>
      <c r="H10" s="529"/>
      <c r="I10" s="900"/>
      <c r="J10" s="900" t="s">
        <v>18</v>
      </c>
      <c r="K10" s="936" t="e">
        <f>ROUND(G9/G14,2)</f>
        <v>#DIV/0!</v>
      </c>
      <c r="M10" s="1283" t="s">
        <v>8</v>
      </c>
      <c r="N10" s="1284">
        <f>VLOOKUP(G8,Марка_металла[],9,FALSE())</f>
        <v>9.1</v>
      </c>
      <c r="O10" s="944"/>
      <c r="P10" s="1312">
        <v>8</v>
      </c>
      <c r="Q10" s="254" t="s">
        <v>1021</v>
      </c>
      <c r="R10" s="1149">
        <f>INDEX(Втулки1[],MATCH(Втулки_ящики_конус[чертеж],Втулки1[чертеж],0),7)</f>
        <v>400</v>
      </c>
      <c r="S10" s="1149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149">
        <f>INDEX(Втулки1[],MATCH(Втулки_ящики_конус[чертеж],Втулки1[чертеж],0),9)</f>
        <v>1550</v>
      </c>
      <c r="U10" s="1149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149">
        <f>INDEX(Втулки1[],MATCH(Втулки_ящики_конус[чертеж],Втулки1[чертеж],0),12)</f>
        <v>180</v>
      </c>
      <c r="W10" s="1312">
        <v>420</v>
      </c>
      <c r="X10" s="1312">
        <v>320</v>
      </c>
      <c r="Y10" s="1312">
        <v>1550</v>
      </c>
      <c r="Z10" s="1312">
        <v>340</v>
      </c>
      <c r="AA10" s="1312">
        <v>310</v>
      </c>
      <c r="AB10" s="1312">
        <v>250</v>
      </c>
      <c r="AC10" s="1312">
        <v>150</v>
      </c>
      <c r="AD10" s="254" t="s">
        <v>1712</v>
      </c>
      <c r="AE10" s="1309">
        <v>14</v>
      </c>
      <c r="AF10" s="1344">
        <v>1000</v>
      </c>
      <c r="AG10"/>
    </row>
    <row r="11" spans="1:33" x14ac:dyDescent="0.3">
      <c r="A11" s="254"/>
      <c r="B11" s="928"/>
      <c r="C11" s="900" t="s">
        <v>19</v>
      </c>
      <c r="D11" s="922"/>
      <c r="E11" s="900"/>
      <c r="F11" s="900"/>
      <c r="G11" s="960">
        <f>ROUNDUP(N27,0)</f>
        <v>0</v>
      </c>
      <c r="H11" s="529"/>
      <c r="I11" s="900"/>
      <c r="J11" s="900"/>
      <c r="K11" s="936"/>
      <c r="M11" s="1340" t="s">
        <v>742</v>
      </c>
      <c r="N11" s="1334"/>
      <c r="P11" s="1312">
        <v>9</v>
      </c>
      <c r="Q11" s="254" t="s">
        <v>1022</v>
      </c>
      <c r="R11" s="1149">
        <f>INDEX(Втулки1[],MATCH(Втулки_ящики_конус[чертеж],Втулки1[чертеж],0),7)</f>
        <v>395</v>
      </c>
      <c r="S11" s="1149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149">
        <f>INDEX(Втулки1[],MATCH(Втулки_ящики_конус[чертеж],Втулки1[чертеж],0),9)</f>
        <v>1550</v>
      </c>
      <c r="U11" s="1149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149">
        <f>INDEX(Втулки1[],MATCH(Втулки_ящики_конус[чертеж],Втулки1[чертеж],0),12)</f>
        <v>220</v>
      </c>
      <c r="W11" s="1312">
        <v>420</v>
      </c>
      <c r="X11" s="1312">
        <v>315</v>
      </c>
      <c r="Y11" s="1312">
        <v>1540</v>
      </c>
      <c r="Z11" s="1312">
        <v>345</v>
      </c>
      <c r="AA11" s="1312">
        <v>315</v>
      </c>
      <c r="AB11" s="1312">
        <v>250</v>
      </c>
      <c r="AC11" s="1312">
        <v>150</v>
      </c>
      <c r="AD11" s="254" t="s">
        <v>1713</v>
      </c>
      <c r="AE11" s="1309">
        <v>14</v>
      </c>
      <c r="AF11" s="1344">
        <v>1000</v>
      </c>
      <c r="AG11"/>
    </row>
    <row r="12" spans="1:33" x14ac:dyDescent="0.3">
      <c r="A12" s="254"/>
      <c r="B12" s="928"/>
      <c r="C12" s="937" t="s">
        <v>275</v>
      </c>
      <c r="D12" s="922"/>
      <c r="E12" s="937"/>
      <c r="F12" s="900"/>
      <c r="G12" s="421">
        <f>IF(N29&lt;100,ROUNDUP(N29,1),ROUNDUP(N29,0))</f>
        <v>0</v>
      </c>
      <c r="H12" s="529"/>
      <c r="I12" s="900"/>
      <c r="J12" s="900"/>
      <c r="K12" s="936"/>
      <c r="M12" s="1328" t="s">
        <v>1035</v>
      </c>
      <c r="N12" s="1041">
        <v>10</v>
      </c>
      <c r="Q12" s="254"/>
      <c r="R12" s="1149"/>
      <c r="S12" s="1149"/>
      <c r="T12" s="1149"/>
      <c r="U12" s="1149"/>
      <c r="V12" s="1029"/>
      <c r="W12" s="1029"/>
    </row>
    <row r="13" spans="1:33" x14ac:dyDescent="0.3">
      <c r="A13" s="254"/>
      <c r="B13" s="928"/>
      <c r="C13" s="900" t="s">
        <v>22</v>
      </c>
      <c r="D13" s="922"/>
      <c r="E13" s="900"/>
      <c r="F13" s="900"/>
      <c r="G13" s="967">
        <f>G10+G12+G11</f>
        <v>0</v>
      </c>
      <c r="H13" s="529"/>
      <c r="I13" s="900"/>
      <c r="J13" s="900"/>
      <c r="K13" s="933"/>
      <c r="M13" s="1328" t="s">
        <v>942</v>
      </c>
      <c r="N13" s="1218">
        <v>10</v>
      </c>
      <c r="Q13" s="254"/>
      <c r="R13" s="1149"/>
      <c r="S13" s="1149"/>
      <c r="T13" s="1149"/>
      <c r="U13" s="1149"/>
    </row>
    <row r="14" spans="1:33" x14ac:dyDescent="0.3">
      <c r="A14" s="254"/>
      <c r="B14" s="928"/>
      <c r="C14" s="900" t="s">
        <v>27</v>
      </c>
      <c r="D14" s="922"/>
      <c r="E14" s="900"/>
      <c r="F14" s="900"/>
      <c r="G14" s="421">
        <f>ROUND(G13*1.04,0)</f>
        <v>0</v>
      </c>
      <c r="H14" s="529"/>
      <c r="I14" s="900"/>
      <c r="J14" s="900"/>
      <c r="K14" s="936"/>
      <c r="M14" s="1328" t="s">
        <v>1727</v>
      </c>
      <c r="N14" s="1337">
        <v>20</v>
      </c>
      <c r="Q14" s="254"/>
      <c r="R14" s="1149"/>
      <c r="S14" s="1149"/>
      <c r="T14" s="1149"/>
      <c r="U14" s="1149"/>
    </row>
    <row r="15" spans="1:33" ht="16.2" thickBot="1" x14ac:dyDescent="0.35">
      <c r="A15" s="254"/>
      <c r="B15" s="930"/>
      <c r="C15" s="931"/>
      <c r="D15" s="922"/>
      <c r="E15" s="931"/>
      <c r="F15" s="931"/>
      <c r="G15" s="531"/>
      <c r="H15" s="931"/>
      <c r="I15" s="931"/>
      <c r="J15" s="931"/>
      <c r="K15" s="939"/>
      <c r="M15" s="1330" t="s">
        <v>899</v>
      </c>
      <c r="N15" s="1338">
        <v>40</v>
      </c>
      <c r="Q15" s="1029"/>
      <c r="R15" s="1029"/>
      <c r="S15" s="1029"/>
      <c r="T15" s="1029"/>
      <c r="U15" s="1029"/>
    </row>
    <row r="16" spans="1:33" x14ac:dyDescent="0.3">
      <c r="B16" s="417"/>
      <c r="C16" s="411"/>
      <c r="D16" s="411" t="s">
        <v>751</v>
      </c>
      <c r="E16" s="411"/>
      <c r="F16" s="411"/>
      <c r="G16" s="411"/>
      <c r="H16" s="411" t="s">
        <v>1726</v>
      </c>
      <c r="J16" s="533"/>
      <c r="K16" s="1503">
        <f>ROUNDUP(E19/0.89,0)</f>
        <v>34</v>
      </c>
      <c r="M16" s="1310" t="s">
        <v>1603</v>
      </c>
      <c r="N16" s="1311"/>
    </row>
    <row r="17" spans="2:33" x14ac:dyDescent="0.3">
      <c r="B17" s="410"/>
      <c r="C17" s="1033"/>
      <c r="D17" s="431">
        <f>ROUNDUP(N25*0.985,0)</f>
        <v>0</v>
      </c>
      <c r="E17" s="431"/>
      <c r="F17" s="1033">
        <f>ROUND(N21*0.985,0)</f>
        <v>81</v>
      </c>
      <c r="G17" s="1033"/>
      <c r="H17" s="1033"/>
      <c r="I17" s="1033"/>
      <c r="J17" s="432"/>
      <c r="K17" s="433"/>
      <c r="M17" s="696" t="s">
        <v>917</v>
      </c>
      <c r="N17" s="134">
        <f>IF(N23=0,ROUNDUP((N3+2*N12)/0.985,0),VLOOKUP(N23,Втулки_ящики_конус[],4,0))</f>
        <v>21</v>
      </c>
      <c r="O17" s="260"/>
      <c r="P17" s="57"/>
      <c r="Q17" s="57"/>
      <c r="R17" s="57"/>
      <c r="S17" s="57"/>
      <c r="T17" s="57"/>
      <c r="U17" s="57"/>
    </row>
    <row r="18" spans="2:33" x14ac:dyDescent="0.3">
      <c r="B18" s="410"/>
      <c r="C18" s="1033"/>
      <c r="D18" s="1033"/>
      <c r="E18" s="1033"/>
      <c r="F18" s="1318">
        <f>N7</f>
        <v>0</v>
      </c>
      <c r="G18" s="1033"/>
      <c r="H18" s="1033"/>
      <c r="I18" s="1033"/>
      <c r="J18" s="1033"/>
      <c r="K18" s="433"/>
      <c r="M18" s="696" t="s">
        <v>794</v>
      </c>
      <c r="N18" s="134">
        <f>IF(N23=0,ROUNDUP((N4+2*N13)/0.994,0),VLOOKUP(N23,Втулки_ящики_конус[],8,0))</f>
        <v>21</v>
      </c>
      <c r="O18" s="260"/>
      <c r="P18" s="57"/>
      <c r="Q18" s="1247"/>
      <c r="R18" s="57"/>
      <c r="S18" s="1247"/>
      <c r="T18" s="57"/>
      <c r="U18" s="1247"/>
    </row>
    <row r="19" spans="2:33" x14ac:dyDescent="0.3">
      <c r="B19" s="410"/>
      <c r="C19" s="1033"/>
      <c r="D19" s="1033"/>
      <c r="E19" s="535">
        <f>IF(N23=0,30,ROUND((VLOOKUP(N23,Втулки1[],10,0)-(VLOOKUP(N23,Втулки1[],7,0)+2*VLOOKUP(N23,Втулки1[],8,0)))/2,0))</f>
        <v>30</v>
      </c>
      <c r="F19" s="1033"/>
      <c r="G19" s="1033"/>
      <c r="H19" s="1033"/>
      <c r="I19" s="1033"/>
      <c r="J19" s="1033"/>
      <c r="K19" s="542"/>
      <c r="M19" s="696" t="s">
        <v>919</v>
      </c>
      <c r="N19" s="134">
        <f>IF(N23=0,ROUNDUP((N5+2*N12)/0.985,0),VLOOKUP(N23,Втулки_ящики_конус[],3,0))</f>
        <v>21</v>
      </c>
      <c r="O19" s="260"/>
      <c r="P19" s="57"/>
      <c r="Q19" s="1246"/>
      <c r="R19" s="57"/>
      <c r="S19" s="57"/>
      <c r="T19" s="57"/>
      <c r="U19" s="57"/>
    </row>
    <row r="20" spans="2:33" x14ac:dyDescent="0.3">
      <c r="B20" s="410"/>
      <c r="C20" s="1033"/>
      <c r="D20" s="1033"/>
      <c r="E20" s="1033"/>
      <c r="F20" s="1033"/>
      <c r="G20" s="1033"/>
      <c r="H20" s="1033"/>
      <c r="I20" s="1033"/>
      <c r="J20" s="940"/>
      <c r="K20" s="542"/>
      <c r="M20" s="696" t="s">
        <v>795</v>
      </c>
      <c r="N20" s="134">
        <f>IF(N23=0,ROUNDUP((N6+2*N13)/0.985,0),VLOOKUP(N23,Втулки_ящики_конус[],9,0))</f>
        <v>21</v>
      </c>
      <c r="O20" s="260"/>
      <c r="P20" s="57"/>
      <c r="Q20" s="1248"/>
      <c r="R20" s="57"/>
      <c r="S20" s="57"/>
      <c r="T20" s="57"/>
      <c r="U20" s="57"/>
    </row>
    <row r="21" spans="2:33" ht="16.2" thickBot="1" x14ac:dyDescent="0.35">
      <c r="B21" s="410"/>
      <c r="C21" s="1033"/>
      <c r="D21" s="1033"/>
      <c r="E21" s="1033"/>
      <c r="F21" s="1033"/>
      <c r="G21" s="1033"/>
      <c r="H21" s="1033"/>
      <c r="I21" s="1033"/>
      <c r="J21" s="419">
        <f>IF(N23=0,IF(K23&gt;=250,150,90),VLOOKUP(N23,Втулки_ящики_конус[],14,0))</f>
        <v>90</v>
      </c>
      <c r="K21" s="542"/>
      <c r="M21" s="1333" t="s">
        <v>5</v>
      </c>
      <c r="N21" s="774">
        <f>IF(N23=0,ROUNDUP((N7+2*N14+N15)/0.985,0),VLOOKUP(N23,Втулки_ящики_конус[],5,0))</f>
        <v>82</v>
      </c>
      <c r="O21" s="260"/>
      <c r="P21" s="57"/>
      <c r="Q21" s="1246"/>
      <c r="R21" s="57"/>
      <c r="S21" s="57"/>
      <c r="T21" s="57"/>
      <c r="U21" s="57"/>
    </row>
    <row r="22" spans="2:33" x14ac:dyDescent="0.3">
      <c r="B22" s="410"/>
      <c r="C22" s="1033"/>
      <c r="D22" s="1033"/>
      <c r="E22" s="1033"/>
      <c r="F22" s="1033"/>
      <c r="G22" s="1033"/>
      <c r="H22" s="1033"/>
      <c r="I22" s="1033"/>
      <c r="J22" s="695"/>
      <c r="K22" s="542"/>
      <c r="M22" s="1429" t="s">
        <v>327</v>
      </c>
      <c r="N22" s="1430"/>
      <c r="P22" s="57"/>
      <c r="Q22" s="1248"/>
      <c r="R22" s="57"/>
      <c r="S22" s="57"/>
      <c r="T22" s="57"/>
      <c r="U22" s="57"/>
      <c r="AG22" s="102"/>
    </row>
    <row r="23" spans="2:33" ht="16.2" thickBot="1" x14ac:dyDescent="0.35">
      <c r="B23" s="901"/>
      <c r="C23" s="1291">
        <f>IF(N23=0,E23,VLOOKUP($N$23,Втулки_ящики_конус[],12,0))</f>
        <v>21</v>
      </c>
      <c r="D23" s="1287"/>
      <c r="E23" s="1289">
        <f>ROUNDUP(N18*0.994,0)</f>
        <v>21</v>
      </c>
      <c r="F23" s="1033"/>
      <c r="G23" s="1033"/>
      <c r="H23" s="1033"/>
      <c r="I23" s="1033"/>
      <c r="J23" s="1290">
        <f>ROUND(N20*0.994,0)</f>
        <v>21</v>
      </c>
      <c r="K23" s="1295">
        <f>ROUND(N19*0.985,0)</f>
        <v>21</v>
      </c>
      <c r="M23" s="1431" t="s">
        <v>1715</v>
      </c>
      <c r="N23" s="1432"/>
      <c r="P23" s="57"/>
      <c r="Q23" s="1393"/>
      <c r="R23" s="57"/>
      <c r="S23" s="57"/>
      <c r="T23" s="57"/>
      <c r="U23" s="57"/>
      <c r="V23" s="1248"/>
    </row>
    <row r="24" spans="2:33" x14ac:dyDescent="0.3">
      <c r="B24" s="410"/>
      <c r="C24" s="1296"/>
      <c r="D24" s="1033"/>
      <c r="E24" s="1317">
        <f>N4</f>
        <v>0</v>
      </c>
      <c r="F24" s="419"/>
      <c r="G24" s="1033"/>
      <c r="H24" s="1033"/>
      <c r="I24" s="1033"/>
      <c r="J24" s="1315">
        <f>N6</f>
        <v>0</v>
      </c>
      <c r="K24" s="1314">
        <f>N5</f>
        <v>0</v>
      </c>
      <c r="M24" s="1331" t="s">
        <v>975</v>
      </c>
      <c r="N24" s="1332"/>
      <c r="P24" s="57"/>
      <c r="Q24" s="1393"/>
      <c r="R24" s="57"/>
      <c r="S24" s="57"/>
      <c r="T24" s="57"/>
      <c r="U24" s="57"/>
      <c r="V24" s="1248"/>
    </row>
    <row r="25" spans="2:33" x14ac:dyDescent="0.3">
      <c r="B25" s="410"/>
      <c r="C25" s="1033"/>
      <c r="D25" s="1033"/>
      <c r="E25" s="1033"/>
      <c r="F25" s="1033"/>
      <c r="G25" s="1033"/>
      <c r="H25" s="1033"/>
      <c r="I25" s="1033"/>
      <c r="J25" s="1078"/>
      <c r="K25" s="542"/>
      <c r="M25" s="968" t="s">
        <v>10</v>
      </c>
      <c r="N25" s="1329">
        <f>IF(N23=0,Данные!U50,VLOOKUP(N23,Втулки_ящики_конус[],7,0))</f>
        <v>0</v>
      </c>
      <c r="P25" s="57"/>
      <c r="Q25" s="57"/>
      <c r="R25" s="57"/>
      <c r="S25" s="57"/>
      <c r="T25" s="57"/>
      <c r="U25" s="57"/>
    </row>
    <row r="26" spans="2:33" x14ac:dyDescent="0.3">
      <c r="B26" s="410"/>
      <c r="C26" s="1033"/>
      <c r="D26" s="1033"/>
      <c r="E26" s="1033"/>
      <c r="F26" s="1033"/>
      <c r="G26" s="1033"/>
      <c r="H26" s="1033"/>
      <c r="I26" s="1033"/>
      <c r="J26" s="1078"/>
      <c r="K26" s="542"/>
      <c r="M26" s="968" t="s">
        <v>284</v>
      </c>
      <c r="N26" s="1329">
        <f>IF(N23=0,(F29+(F29+2*E19+N25/5))/2,VLOOKUP(N23,Втулки_ящики_конус[],6,0))</f>
        <v>51</v>
      </c>
      <c r="P26" s="57"/>
      <c r="Q26" s="57"/>
      <c r="R26" s="57"/>
      <c r="S26" s="57"/>
      <c r="T26" s="57"/>
      <c r="U26" s="57"/>
    </row>
    <row r="27" spans="2:33" ht="16.2" thickBot="1" x14ac:dyDescent="0.35">
      <c r="B27" s="410"/>
      <c r="C27" s="1033"/>
      <c r="D27" s="1297"/>
      <c r="E27" s="1033"/>
      <c r="F27" s="1298"/>
      <c r="G27" s="415"/>
      <c r="H27" s="1033"/>
      <c r="I27" s="1033"/>
      <c r="J27" s="1078"/>
      <c r="K27" s="542"/>
      <c r="M27" s="1011" t="s">
        <v>19</v>
      </c>
      <c r="N27" s="1339">
        <f>IF(N23=0,((N26*N26-E23*E23)*3.1415926*D17*N10)/4000000,((N26*N26-((C23+E23)/2)*((C23+E23)/2))*3.1415926*D17*N10)/4000000)</f>
        <v>0</v>
      </c>
      <c r="P27" s="57"/>
      <c r="Q27" s="1248"/>
      <c r="R27" s="1248"/>
      <c r="S27" s="1245"/>
      <c r="T27" s="1248"/>
      <c r="U27" s="1248"/>
    </row>
    <row r="28" spans="2:33" ht="16.2" thickBot="1" x14ac:dyDescent="0.35">
      <c r="B28" s="410"/>
      <c r="C28" s="1033"/>
      <c r="D28" s="1297"/>
      <c r="E28" s="1033"/>
      <c r="F28" s="1298"/>
      <c r="G28" s="415"/>
      <c r="H28" s="1033"/>
      <c r="I28" s="1033"/>
      <c r="J28" s="1078"/>
      <c r="K28" s="542"/>
      <c r="M28" s="1341" t="s">
        <v>17</v>
      </c>
      <c r="N28" s="1343">
        <f>ROUNDUP((3.1415926*F17/3000000*((F29/2)*(F29/2)+(K23/2)*(F29/2)+(K23/2)*(K23/2))*N10)-(3.1415926*F17/3000000*((E23/2)*(E23/2)+(E23/2)*(J23/2)+(J23/2)*(J23/2))*N10),1)</f>
        <v>0</v>
      </c>
    </row>
    <row r="29" spans="2:33" ht="16.2" thickBot="1" x14ac:dyDescent="0.35">
      <c r="B29" s="410"/>
      <c r="C29" s="1033"/>
      <c r="D29" s="1033"/>
      <c r="E29" s="1033"/>
      <c r="F29" s="1288">
        <f>ROUNDUP(N17*0.985,0)</f>
        <v>21</v>
      </c>
      <c r="G29" s="419"/>
      <c r="H29" s="1033"/>
      <c r="I29" s="1033"/>
      <c r="J29" s="1078"/>
      <c r="K29" s="542"/>
      <c r="M29" s="1342" t="s">
        <v>275</v>
      </c>
      <c r="N29" s="1680"/>
      <c r="P29" s="1681" t="s">
        <v>2020</v>
      </c>
    </row>
    <row r="30" spans="2:33" x14ac:dyDescent="0.3">
      <c r="B30" s="410"/>
      <c r="C30" s="1033"/>
      <c r="D30" s="537" t="s">
        <v>983</v>
      </c>
      <c r="E30" s="538">
        <v>10</v>
      </c>
      <c r="F30" s="1316">
        <f>N3</f>
        <v>0</v>
      </c>
      <c r="G30" s="1033"/>
      <c r="H30" s="1280"/>
      <c r="J30" s="1078"/>
      <c r="K30" s="542"/>
      <c r="R30" s="1313"/>
    </row>
    <row r="31" spans="2:33" ht="16.2" thickBot="1" x14ac:dyDescent="0.35">
      <c r="B31" s="427"/>
      <c r="C31" s="428"/>
      <c r="D31" s="428"/>
      <c r="E31" s="428"/>
      <c r="F31" s="428"/>
      <c r="G31" s="428"/>
      <c r="H31" s="539"/>
      <c r="I31" s="428"/>
      <c r="J31" s="540"/>
      <c r="K31" s="541"/>
    </row>
    <row r="32" spans="2:33" x14ac:dyDescent="0.3">
      <c r="B32" s="417"/>
      <c r="C32" s="411" t="s">
        <v>41</v>
      </c>
      <c r="D32" s="411"/>
      <c r="E32" s="411"/>
      <c r="F32" s="532"/>
      <c r="G32" s="411"/>
      <c r="H32" s="411" t="s">
        <v>42</v>
      </c>
      <c r="I32" s="411"/>
      <c r="J32" s="544"/>
      <c r="K32" s="545"/>
    </row>
    <row r="33" spans="2:17" x14ac:dyDescent="0.3">
      <c r="B33" s="410"/>
      <c r="C33" s="260" t="s">
        <v>43</v>
      </c>
      <c r="D33" s="260"/>
      <c r="E33" s="260"/>
      <c r="F33" s="260" t="str">
        <f>VLOOKUP(G8,Марка_металла[],6,FALSE())</f>
        <v>25010.00173</v>
      </c>
      <c r="G33" s="260"/>
      <c r="H33" s="260" t="s">
        <v>893</v>
      </c>
      <c r="I33" s="260"/>
      <c r="J33" s="260">
        <f>ROUNDUP((J23+E23)/2*(J23+E23)/2*3.1415926*F17*2.045/4000000+(C23+E23)/2*(C23+E23)/2*3.1415926*(D17+50)*2.045/4000000,0)</f>
        <v>1</v>
      </c>
      <c r="K33" s="1306" t="s">
        <v>308</v>
      </c>
    </row>
    <row r="34" spans="2:17" x14ac:dyDescent="0.3">
      <c r="B34" s="410"/>
      <c r="C34" s="260" t="s">
        <v>44</v>
      </c>
      <c r="D34" s="260"/>
      <c r="E34" s="260"/>
      <c r="F34" s="547" t="str">
        <f>IF(G13&gt;1900,Данные!G4,Данные!G3)</f>
        <v>25011.00007</v>
      </c>
      <c r="G34" s="260"/>
      <c r="H34" s="260" t="s">
        <v>45</v>
      </c>
      <c r="I34" s="260" t="s">
        <v>46</v>
      </c>
      <c r="J34" s="435"/>
      <c r="K34" s="434"/>
    </row>
    <row r="35" spans="2:17" x14ac:dyDescent="0.3">
      <c r="B35" s="410"/>
      <c r="C35" s="260" t="s">
        <v>686</v>
      </c>
      <c r="D35" s="260"/>
      <c r="E35" s="260"/>
      <c r="F35" s="419" t="str">
        <f>Данные!U46</f>
        <v>1050-1090</v>
      </c>
      <c r="G35" s="260" t="s">
        <v>574</v>
      </c>
      <c r="H35" s="260" t="s">
        <v>47</v>
      </c>
      <c r="I35" s="260" t="s">
        <v>48</v>
      </c>
      <c r="J35" s="436"/>
      <c r="K35" s="433"/>
    </row>
    <row r="36" spans="2:17" x14ac:dyDescent="0.3">
      <c r="B36" s="410"/>
      <c r="C36" s="260" t="s">
        <v>82</v>
      </c>
      <c r="D36" s="260"/>
      <c r="E36" s="260"/>
      <c r="F36" s="898">
        <v>25010.001680000001</v>
      </c>
      <c r="G36" s="260"/>
      <c r="H36" s="260" t="s">
        <v>51</v>
      </c>
      <c r="I36" s="260"/>
      <c r="J36" s="437"/>
      <c r="K36" s="433"/>
      <c r="M36" s="575"/>
      <c r="N36" s="575"/>
    </row>
    <row r="37" spans="2:17" x14ac:dyDescent="0.3">
      <c r="B37" s="410"/>
      <c r="C37" s="412" t="s">
        <v>45</v>
      </c>
      <c r="F37" s="412" t="s">
        <v>46</v>
      </c>
      <c r="G37" s="260"/>
      <c r="H37" s="260" t="s">
        <v>897</v>
      </c>
      <c r="I37" s="260"/>
      <c r="J37" s="432"/>
      <c r="K37" s="433"/>
      <c r="M37" s="543"/>
      <c r="N37" s="543"/>
    </row>
    <row r="38" spans="2:17" x14ac:dyDescent="0.3">
      <c r="B38" s="410"/>
      <c r="C38" s="260" t="s">
        <v>47</v>
      </c>
      <c r="D38" s="260"/>
      <c r="E38" s="260"/>
      <c r="F38" s="898" t="s">
        <v>48</v>
      </c>
      <c r="H38" s="412" t="s">
        <v>53</v>
      </c>
      <c r="K38" s="433"/>
      <c r="M38" s="424"/>
      <c r="N38" s="424"/>
    </row>
    <row r="39" spans="2:17" x14ac:dyDescent="0.3">
      <c r="B39" s="410"/>
      <c r="C39" s="260" t="s">
        <v>52</v>
      </c>
      <c r="D39" s="260"/>
      <c r="E39" s="260"/>
      <c r="F39" s="445">
        <v>1.4999999999999999E-2</v>
      </c>
      <c r="G39" s="416"/>
      <c r="H39" s="260" t="s">
        <v>52</v>
      </c>
      <c r="I39" s="260" t="s">
        <v>896</v>
      </c>
      <c r="J39" s="260"/>
      <c r="K39" s="414"/>
      <c r="M39" s="424"/>
      <c r="N39" s="424"/>
    </row>
    <row r="40" spans="2:17" x14ac:dyDescent="0.3">
      <c r="B40" s="410"/>
      <c r="C40" s="260" t="s">
        <v>54</v>
      </c>
      <c r="D40" s="260"/>
      <c r="E40" s="260"/>
      <c r="F40" s="415" t="str">
        <f>IF(G10+G11&lt;1500,"242.04.462-1","242.04.462-2")</f>
        <v>242.04.462-1</v>
      </c>
      <c r="G40" s="898"/>
      <c r="H40" s="260" t="s">
        <v>252</v>
      </c>
      <c r="I40" s="260">
        <v>4</v>
      </c>
      <c r="J40" s="260"/>
      <c r="K40" s="414"/>
      <c r="M40" s="424"/>
      <c r="N40" s="424"/>
    </row>
    <row r="41" spans="2:17" x14ac:dyDescent="0.3">
      <c r="B41" s="410"/>
      <c r="C41" s="260"/>
      <c r="D41" s="260"/>
      <c r="E41" s="260"/>
      <c r="F41" s="536"/>
      <c r="G41" s="419"/>
      <c r="H41" s="260"/>
      <c r="I41" s="260"/>
      <c r="J41" s="260"/>
      <c r="K41" s="414"/>
      <c r="M41" s="424"/>
      <c r="N41" s="424"/>
    </row>
    <row r="42" spans="2:17" x14ac:dyDescent="0.3">
      <c r="B42" s="410"/>
      <c r="C42" s="260" t="s">
        <v>873</v>
      </c>
      <c r="D42" s="415">
        <v>700</v>
      </c>
      <c r="E42" s="961" t="s">
        <v>913</v>
      </c>
      <c r="F42" s="962" t="s">
        <v>914</v>
      </c>
      <c r="G42" s="963" t="s">
        <v>915</v>
      </c>
      <c r="H42" s="260"/>
      <c r="I42" s="260"/>
      <c r="J42" s="260"/>
      <c r="K42" s="414"/>
      <c r="M42" s="424"/>
      <c r="N42" s="424"/>
    </row>
    <row r="43" spans="2:17" x14ac:dyDescent="0.3">
      <c r="B43" s="410"/>
      <c r="C43" s="917" t="s">
        <v>874</v>
      </c>
      <c r="D43" s="917">
        <v>350</v>
      </c>
      <c r="E43" s="964" t="s">
        <v>189</v>
      </c>
      <c r="F43" s="444">
        <v>4</v>
      </c>
      <c r="G43" s="965" t="s">
        <v>916</v>
      </c>
      <c r="H43" s="406"/>
      <c r="I43" s="260"/>
      <c r="J43" s="260"/>
      <c r="K43" s="414"/>
      <c r="M43" s="897"/>
      <c r="N43" s="424"/>
    </row>
    <row r="44" spans="2:17" ht="16.2" thickBot="1" x14ac:dyDescent="0.35">
      <c r="B44" s="427"/>
      <c r="C44" s="428"/>
      <c r="D44" s="428" t="s">
        <v>895</v>
      </c>
      <c r="E44" s="428"/>
      <c r="F44" s="449"/>
      <c r="G44" s="449" t="s">
        <v>57</v>
      </c>
      <c r="H44" s="428"/>
      <c r="I44" s="428"/>
      <c r="J44" s="428"/>
      <c r="K44" s="450"/>
      <c r="M44" s="896"/>
      <c r="N44" s="424"/>
      <c r="Q44" s="1269"/>
    </row>
    <row r="45" spans="2:17" ht="16.2" thickBot="1" x14ac:dyDescent="0.35">
      <c r="B45" s="1195" t="s">
        <v>58</v>
      </c>
      <c r="C45" s="1196"/>
      <c r="D45" s="1199"/>
      <c r="E45" s="425" t="s">
        <v>59</v>
      </c>
      <c r="F45" s="919" t="s">
        <v>58</v>
      </c>
      <c r="G45" s="1195" t="s">
        <v>60</v>
      </c>
      <c r="H45" s="1199"/>
      <c r="I45" s="1195" t="s">
        <v>833</v>
      </c>
      <c r="J45" s="1196"/>
      <c r="K45" s="1199"/>
      <c r="M45" s="424"/>
      <c r="N45" s="528"/>
      <c r="Q45" s="1269"/>
    </row>
    <row r="46" spans="2:17" ht="16.2" thickBot="1" x14ac:dyDescent="0.35">
      <c r="B46" s="1197">
        <f ca="1">TODAY()</f>
        <v>45590</v>
      </c>
      <c r="C46" s="1198"/>
      <c r="D46" s="1210"/>
      <c r="E46" s="1161"/>
      <c r="F46" s="1161"/>
      <c r="G46" s="1195"/>
      <c r="H46" s="1199"/>
      <c r="I46" s="1195"/>
      <c r="J46" s="1196"/>
      <c r="K46" s="1199"/>
      <c r="M46" s="424"/>
      <c r="N46" s="424"/>
      <c r="Q46" s="1269"/>
    </row>
    <row r="47" spans="2:17" ht="16.2" thickBot="1" x14ac:dyDescent="0.35">
      <c r="B47" s="1195" t="s">
        <v>61</v>
      </c>
      <c r="C47" s="1196"/>
      <c r="D47" s="1199"/>
      <c r="E47" s="1161"/>
      <c r="F47" s="903"/>
      <c r="G47" s="880"/>
      <c r="H47" s="882"/>
      <c r="I47" s="880"/>
      <c r="J47" s="881"/>
      <c r="K47" s="882"/>
      <c r="M47" s="424"/>
      <c r="N47" s="424"/>
      <c r="Q47" s="1269"/>
    </row>
    <row r="48" spans="2:17" ht="16.2" thickBot="1" x14ac:dyDescent="0.35">
      <c r="B48" s="1211"/>
      <c r="C48" s="1212"/>
      <c r="D48" s="1212"/>
      <c r="E48" s="431"/>
      <c r="F48" s="431"/>
      <c r="G48" s="431"/>
      <c r="H48" s="431"/>
      <c r="I48" s="431"/>
      <c r="J48" s="431"/>
      <c r="K48" s="425"/>
      <c r="M48" s="424"/>
      <c r="N48" s="424"/>
      <c r="Q48" s="1269"/>
    </row>
    <row r="49" spans="2:17" x14ac:dyDescent="0.3">
      <c r="B49" s="1202" t="s">
        <v>3</v>
      </c>
      <c r="C49" s="1203"/>
      <c r="D49" s="1203"/>
      <c r="E49" s="451" t="s">
        <v>250</v>
      </c>
      <c r="F49" s="1213" t="s">
        <v>251</v>
      </c>
      <c r="G49" s="1202" t="s">
        <v>251</v>
      </c>
      <c r="H49" s="1209"/>
      <c r="I49" s="1162" t="s">
        <v>252</v>
      </c>
      <c r="J49" s="1202" t="s">
        <v>253</v>
      </c>
      <c r="K49" s="1207"/>
      <c r="Q49" s="1269"/>
    </row>
    <row r="50" spans="2:17" ht="16.2" thickBot="1" x14ac:dyDescent="0.35">
      <c r="B50" s="1204" t="s">
        <v>254</v>
      </c>
      <c r="C50" s="1205"/>
      <c r="D50" s="1205"/>
      <c r="E50" s="453" t="s">
        <v>255</v>
      </c>
      <c r="F50" s="1163" t="s">
        <v>256</v>
      </c>
      <c r="G50" s="1204" t="s">
        <v>257</v>
      </c>
      <c r="H50" s="1214"/>
      <c r="I50" s="1194"/>
      <c r="J50" s="1204" t="s">
        <v>258</v>
      </c>
      <c r="K50" s="1208"/>
      <c r="M50" s="260"/>
      <c r="N50" s="260"/>
      <c r="Q50" s="1269"/>
    </row>
    <row r="51" spans="2:17" ht="16.2" thickBot="1" x14ac:dyDescent="0.35">
      <c r="B51" s="1200" t="s">
        <v>307</v>
      </c>
      <c r="C51" s="1206"/>
      <c r="D51" s="1206"/>
      <c r="E51" s="454">
        <v>40</v>
      </c>
      <c r="F51" s="455">
        <v>1</v>
      </c>
      <c r="G51" s="1200">
        <v>20</v>
      </c>
      <c r="H51" s="1199"/>
      <c r="I51" s="1164">
        <v>3</v>
      </c>
      <c r="J51" s="1200">
        <f>ROUND(D42*700*(N21+N25)/1000000*2.045*2.3/1000,3)</f>
        <v>0.189</v>
      </c>
      <c r="K51" s="1201"/>
      <c r="M51" s="260"/>
      <c r="N51" s="260"/>
      <c r="Q51" s="1269"/>
    </row>
    <row r="52" spans="2:17" ht="16.2" thickBot="1" x14ac:dyDescent="0.35">
      <c r="B52" s="1200" t="s">
        <v>42</v>
      </c>
      <c r="C52" s="1206"/>
      <c r="D52" s="1206"/>
      <c r="E52" s="456">
        <v>40</v>
      </c>
      <c r="F52" s="1165">
        <v>1</v>
      </c>
      <c r="G52" s="1200">
        <v>20</v>
      </c>
      <c r="H52" s="1199"/>
      <c r="I52" s="1164">
        <v>4</v>
      </c>
      <c r="J52" s="1200">
        <f>ROUND(J33/1000*3.5*2,3)</f>
        <v>7.0000000000000001E-3</v>
      </c>
      <c r="K52" s="1201"/>
      <c r="M52" s="920"/>
      <c r="N52" s="260"/>
      <c r="Q52" s="1269"/>
    </row>
    <row r="53" spans="2:17" x14ac:dyDescent="0.3">
      <c r="M53" s="920"/>
      <c r="N53" s="260"/>
      <c r="Q53" s="1269"/>
    </row>
    <row r="54" spans="2:17" x14ac:dyDescent="0.3">
      <c r="M54" s="260"/>
      <c r="N54" s="260"/>
      <c r="Q54" s="1269"/>
    </row>
    <row r="55" spans="2:17" x14ac:dyDescent="0.3">
      <c r="D55" s="424"/>
      <c r="E55" s="424"/>
      <c r="F55" s="424"/>
      <c r="G55" s="424"/>
      <c r="H55" s="424"/>
      <c r="I55" s="424"/>
      <c r="J55" s="424"/>
      <c r="K55" s="424"/>
      <c r="M55" s="260"/>
      <c r="N55" s="260"/>
      <c r="Q55" s="1269"/>
    </row>
    <row r="56" spans="2:17" x14ac:dyDescent="0.3">
      <c r="D56" s="424"/>
      <c r="E56" s="128"/>
      <c r="F56" s="57"/>
      <c r="G56" s="57"/>
      <c r="H56" s="128"/>
      <c r="I56" s="128"/>
      <c r="J56" s="57"/>
      <c r="K56" s="424"/>
      <c r="Q56" s="1269"/>
    </row>
    <row r="57" spans="2:17" x14ac:dyDescent="0.3">
      <c r="B57"/>
      <c r="C57"/>
      <c r="D57"/>
      <c r="E57"/>
      <c r="F57" s="128"/>
      <c r="G57" s="128"/>
      <c r="H57" s="128"/>
      <c r="I57" s="128"/>
      <c r="J57" s="57"/>
      <c r="K57" s="424"/>
      <c r="Q57" s="1269"/>
    </row>
    <row r="58" spans="2:17" x14ac:dyDescent="0.3">
      <c r="B58"/>
      <c r="C58"/>
      <c r="D58"/>
      <c r="E58"/>
      <c r="F58" s="128"/>
      <c r="G58" s="128"/>
      <c r="H58" s="128"/>
      <c r="I58" s="128"/>
      <c r="J58" s="508"/>
      <c r="K58" s="424"/>
      <c r="Q58" s="1269"/>
    </row>
    <row r="59" spans="2:17" x14ac:dyDescent="0.3">
      <c r="B59"/>
      <c r="C59"/>
      <c r="D59"/>
      <c r="E59"/>
      <c r="F59" s="128"/>
      <c r="G59" s="128"/>
      <c r="H59" s="128"/>
      <c r="I59" s="128"/>
      <c r="J59" s="508"/>
      <c r="K59" s="424"/>
      <c r="Q59" s="1269"/>
    </row>
    <row r="60" spans="2:17" x14ac:dyDescent="0.3">
      <c r="B60"/>
      <c r="C60" s="916"/>
      <c r="D60" s="916"/>
      <c r="E60"/>
      <c r="F60" s="128"/>
      <c r="G60" s="128"/>
      <c r="H60" s="128"/>
      <c r="I60" s="128"/>
      <c r="J60" s="508"/>
      <c r="K60" s="424"/>
      <c r="Q60" s="1269"/>
    </row>
    <row r="61" spans="2:17" x14ac:dyDescent="0.3">
      <c r="D61" s="424"/>
      <c r="E61" s="128"/>
      <c r="F61" s="128"/>
      <c r="G61" s="128"/>
      <c r="H61" s="128"/>
      <c r="I61" s="128"/>
      <c r="J61" s="508"/>
      <c r="K61" s="424"/>
      <c r="Q61" s="1269"/>
    </row>
    <row r="62" spans="2:17" x14ac:dyDescent="0.3">
      <c r="D62" s="424"/>
      <c r="E62" s="128"/>
      <c r="F62" s="128"/>
      <c r="G62" s="128"/>
      <c r="H62" s="128"/>
      <c r="I62" s="128"/>
      <c r="J62" s="508"/>
      <c r="K62" s="424"/>
      <c r="Q62" s="1269"/>
    </row>
    <row r="63" spans="2:17" x14ac:dyDescent="0.3">
      <c r="D63" s="424"/>
      <c r="E63" s="128"/>
      <c r="F63" s="128"/>
      <c r="G63" s="128"/>
      <c r="H63" s="128"/>
      <c r="I63" s="698"/>
      <c r="J63" s="508"/>
      <c r="K63" s="424"/>
      <c r="Q63" s="1269"/>
    </row>
    <row r="64" spans="2:17" x14ac:dyDescent="0.3">
      <c r="D64" s="424"/>
      <c r="E64" s="128"/>
      <c r="F64" s="128"/>
      <c r="G64" s="128"/>
      <c r="H64" s="128"/>
      <c r="I64" s="128"/>
      <c r="J64" s="699"/>
      <c r="K64" s="424"/>
      <c r="Q64" s="1269"/>
    </row>
    <row r="65" spans="4:17" x14ac:dyDescent="0.3">
      <c r="D65" s="424"/>
      <c r="E65" s="128"/>
      <c r="F65" s="128"/>
      <c r="G65" s="128"/>
      <c r="H65" s="128"/>
      <c r="I65" s="128"/>
      <c r="J65" s="57"/>
      <c r="K65" s="424"/>
      <c r="Q65" s="1269"/>
    </row>
    <row r="66" spans="4:17" x14ac:dyDescent="0.3">
      <c r="D66" s="424"/>
      <c r="E66" s="128"/>
      <c r="F66" s="128"/>
      <c r="G66" s="128"/>
      <c r="H66" s="128"/>
      <c r="I66" s="128"/>
      <c r="J66" s="57"/>
      <c r="K66" s="424"/>
      <c r="Q66" s="1269"/>
    </row>
    <row r="67" spans="4:17" x14ac:dyDescent="0.3">
      <c r="D67" s="424"/>
      <c r="E67" s="424"/>
      <c r="F67" s="424"/>
      <c r="G67" s="424"/>
      <c r="H67" s="424"/>
      <c r="I67" s="424"/>
      <c r="J67" s="424"/>
      <c r="K67" s="424"/>
      <c r="Q67" s="1269"/>
    </row>
    <row r="68" spans="4:17" x14ac:dyDescent="0.3">
      <c r="D68" s="424"/>
      <c r="E68" s="424"/>
      <c r="F68" s="424"/>
      <c r="G68" s="424"/>
      <c r="H68" s="424"/>
      <c r="I68" s="424"/>
      <c r="J68" s="424"/>
      <c r="K68" s="424"/>
      <c r="Q68" s="1269"/>
    </row>
    <row r="69" spans="4:17" x14ac:dyDescent="0.3">
      <c r="D69" s="424"/>
      <c r="E69" s="424"/>
      <c r="F69" s="424"/>
      <c r="G69" s="424"/>
      <c r="H69" s="424"/>
      <c r="I69" s="424"/>
      <c r="J69" s="424"/>
      <c r="K69" s="424"/>
      <c r="Q69" s="1269"/>
    </row>
    <row r="70" spans="4:17" x14ac:dyDescent="0.3">
      <c r="D70" s="424"/>
      <c r="E70" s="424"/>
      <c r="F70" s="424"/>
      <c r="G70" s="424"/>
      <c r="H70" s="424"/>
      <c r="I70" s="424"/>
      <c r="J70" s="424"/>
      <c r="K70" s="424"/>
      <c r="Q70" s="1269"/>
    </row>
    <row r="71" spans="4:17" x14ac:dyDescent="0.3">
      <c r="Q71" s="1269"/>
    </row>
    <row r="72" spans="4:17" x14ac:dyDescent="0.3">
      <c r="Q72" s="1269"/>
    </row>
    <row r="73" spans="4:17" x14ac:dyDescent="0.3">
      <c r="Q73" s="1269"/>
    </row>
    <row r="74" spans="4:17" x14ac:dyDescent="0.3">
      <c r="Q74" s="1269"/>
    </row>
    <row r="75" spans="4:17" x14ac:dyDescent="0.3">
      <c r="Q75" s="1269"/>
    </row>
    <row r="76" spans="4:17" x14ac:dyDescent="0.3">
      <c r="Q76" s="1269"/>
    </row>
    <row r="77" spans="4:17" x14ac:dyDescent="0.3">
      <c r="Q77" s="1269"/>
    </row>
    <row r="78" spans="4:17" x14ac:dyDescent="0.3">
      <c r="Q78" s="1269"/>
    </row>
    <row r="79" spans="4:17" x14ac:dyDescent="0.3">
      <c r="Q79" s="1269"/>
    </row>
    <row r="80" spans="4:17" x14ac:dyDescent="0.3">
      <c r="Q80" s="1269"/>
    </row>
    <row r="81" spans="17:17" x14ac:dyDescent="0.3">
      <c r="Q81" s="1269"/>
    </row>
    <row r="82" spans="17:17" x14ac:dyDescent="0.3">
      <c r="Q82" s="1269"/>
    </row>
    <row r="83" spans="17:17" x14ac:dyDescent="0.3">
      <c r="Q83" s="1269"/>
    </row>
    <row r="84" spans="17:17" x14ac:dyDescent="0.3">
      <c r="Q84" s="1269"/>
    </row>
    <row r="85" spans="17:17" x14ac:dyDescent="0.3">
      <c r="Q85" s="1269"/>
    </row>
    <row r="86" spans="17:17" x14ac:dyDescent="0.3">
      <c r="Q86" s="1269"/>
    </row>
    <row r="87" spans="17:17" x14ac:dyDescent="0.3">
      <c r="Q87" s="1269"/>
    </row>
    <row r="88" spans="17:17" x14ac:dyDescent="0.3">
      <c r="Q88" s="1269"/>
    </row>
    <row r="89" spans="17:17" x14ac:dyDescent="0.3">
      <c r="Q89" s="1269"/>
    </row>
    <row r="90" spans="17:17" x14ac:dyDescent="0.3">
      <c r="Q90" s="1269"/>
    </row>
    <row r="91" spans="17:17" x14ac:dyDescent="0.3">
      <c r="Q91" s="1269"/>
    </row>
    <row r="92" spans="17:17" x14ac:dyDescent="0.3">
      <c r="Q92" s="1269"/>
    </row>
    <row r="93" spans="17:17" x14ac:dyDescent="0.3">
      <c r="Q93" s="1269"/>
    </row>
    <row r="94" spans="17:17" x14ac:dyDescent="0.3">
      <c r="Q94" s="1269"/>
    </row>
    <row r="95" spans="17:17" x14ac:dyDescent="0.3">
      <c r="Q95" s="1269"/>
    </row>
    <row r="96" spans="17:17" x14ac:dyDescent="0.3">
      <c r="Q96" s="1269"/>
    </row>
    <row r="97" spans="17:17" x14ac:dyDescent="0.3">
      <c r="Q97" s="1269"/>
    </row>
    <row r="98" spans="17:17" x14ac:dyDescent="0.3">
      <c r="Q98" s="1269"/>
    </row>
    <row r="99" spans="17:17" x14ac:dyDescent="0.3">
      <c r="Q99" s="1269"/>
    </row>
    <row r="100" spans="17:17" x14ac:dyDescent="0.3">
      <c r="Q100" s="1269"/>
    </row>
    <row r="101" spans="17:17" x14ac:dyDescent="0.3">
      <c r="Q101" s="1269"/>
    </row>
    <row r="102" spans="17:17" x14ac:dyDescent="0.3">
      <c r="Q102" s="1269"/>
    </row>
    <row r="103" spans="17:17" x14ac:dyDescent="0.3">
      <c r="Q103" s="1269"/>
    </row>
    <row r="104" spans="17:17" x14ac:dyDescent="0.3">
      <c r="Q104" s="1269"/>
    </row>
    <row r="105" spans="17:17" x14ac:dyDescent="0.3">
      <c r="Q105" s="1269"/>
    </row>
    <row r="106" spans="17:17" x14ac:dyDescent="0.3">
      <c r="Q106" s="1269"/>
    </row>
    <row r="107" spans="17:17" x14ac:dyDescent="0.3">
      <c r="Q107" s="1269"/>
    </row>
    <row r="108" spans="17:17" x14ac:dyDescent="0.3">
      <c r="Q108" s="1269"/>
    </row>
    <row r="109" spans="17:17" x14ac:dyDescent="0.3">
      <c r="Q109" s="1269"/>
    </row>
    <row r="110" spans="17:17" x14ac:dyDescent="0.3">
      <c r="Q110" s="1269"/>
    </row>
    <row r="111" spans="17:17" x14ac:dyDescent="0.3">
      <c r="Q111" s="1269"/>
    </row>
    <row r="112" spans="17:17" x14ac:dyDescent="0.3">
      <c r="Q112" s="1269"/>
    </row>
    <row r="113" spans="17:17" x14ac:dyDescent="0.3">
      <c r="Q113" s="1269"/>
    </row>
    <row r="114" spans="17:17" x14ac:dyDescent="0.3">
      <c r="Q114" s="1269"/>
    </row>
    <row r="115" spans="17:17" x14ac:dyDescent="0.3">
      <c r="Q115" s="1269"/>
    </row>
    <row r="116" spans="17:17" x14ac:dyDescent="0.3">
      <c r="Q116" s="1269"/>
    </row>
    <row r="117" spans="17:17" x14ac:dyDescent="0.3">
      <c r="Q117" s="1269"/>
    </row>
    <row r="118" spans="17:17" x14ac:dyDescent="0.3">
      <c r="Q118" s="1269"/>
    </row>
    <row r="119" spans="17:17" x14ac:dyDescent="0.3">
      <c r="Q119" s="1269"/>
    </row>
    <row r="120" spans="17:17" x14ac:dyDescent="0.3">
      <c r="Q120" s="1269"/>
    </row>
    <row r="121" spans="17:17" x14ac:dyDescent="0.3">
      <c r="Q121" s="1269"/>
    </row>
    <row r="122" spans="17:17" x14ac:dyDescent="0.3">
      <c r="Q122" s="1269"/>
    </row>
    <row r="123" spans="17:17" x14ac:dyDescent="0.3">
      <c r="Q123" s="1269"/>
    </row>
    <row r="124" spans="17:17" x14ac:dyDescent="0.3">
      <c r="Q124" s="1269"/>
    </row>
    <row r="125" spans="17:17" x14ac:dyDescent="0.3">
      <c r="Q125" s="1269"/>
    </row>
    <row r="126" spans="17:17" x14ac:dyDescent="0.3">
      <c r="Q126" s="1269"/>
    </row>
    <row r="127" spans="17:17" x14ac:dyDescent="0.3">
      <c r="Q127" s="1269"/>
    </row>
    <row r="128" spans="17:17" x14ac:dyDescent="0.3">
      <c r="Q128" s="1269"/>
    </row>
    <row r="129" spans="17:17" x14ac:dyDescent="0.3">
      <c r="Q129" s="1269"/>
    </row>
    <row r="130" spans="17:17" x14ac:dyDescent="0.3">
      <c r="Q130" s="1269"/>
    </row>
    <row r="131" spans="17:17" x14ac:dyDescent="0.3">
      <c r="Q131" s="1269"/>
    </row>
    <row r="132" spans="17:17" x14ac:dyDescent="0.3">
      <c r="Q132" s="1269"/>
    </row>
    <row r="133" spans="17:17" x14ac:dyDescent="0.3">
      <c r="Q133" s="1269"/>
    </row>
    <row r="134" spans="17:17" x14ac:dyDescent="0.3">
      <c r="Q134" s="1269"/>
    </row>
    <row r="135" spans="17:17" x14ac:dyDescent="0.3">
      <c r="Q135" s="1269"/>
    </row>
    <row r="136" spans="17:17" x14ac:dyDescent="0.3">
      <c r="Q136" s="1269"/>
    </row>
    <row r="137" spans="17:17" x14ac:dyDescent="0.3">
      <c r="Q137" s="1269"/>
    </row>
    <row r="138" spans="17:17" x14ac:dyDescent="0.3">
      <c r="Q138" s="1269"/>
    </row>
    <row r="139" spans="17:17" x14ac:dyDescent="0.3">
      <c r="Q139" s="1269"/>
    </row>
    <row r="140" spans="17:17" x14ac:dyDescent="0.3">
      <c r="Q140" s="1269"/>
    </row>
    <row r="141" spans="17:17" x14ac:dyDescent="0.3">
      <c r="Q141" s="1269"/>
    </row>
    <row r="142" spans="17:17" x14ac:dyDescent="0.3">
      <c r="Q142" s="1269"/>
    </row>
    <row r="143" spans="17:17" x14ac:dyDescent="0.3">
      <c r="Q143" s="1269"/>
    </row>
    <row r="144" spans="17:17" x14ac:dyDescent="0.3">
      <c r="Q144" s="1269"/>
    </row>
    <row r="145" spans="17:17" x14ac:dyDescent="0.3">
      <c r="Q145" s="1269"/>
    </row>
    <row r="146" spans="17:17" x14ac:dyDescent="0.3">
      <c r="Q146" s="1269"/>
    </row>
    <row r="147" spans="17:17" x14ac:dyDescent="0.3">
      <c r="Q147" s="1269"/>
    </row>
    <row r="148" spans="17:17" x14ac:dyDescent="0.3">
      <c r="Q148" s="1269"/>
    </row>
    <row r="149" spans="17:17" x14ac:dyDescent="0.3">
      <c r="Q149" s="1269"/>
    </row>
    <row r="150" spans="17:17" x14ac:dyDescent="0.3">
      <c r="Q150" s="1269"/>
    </row>
    <row r="151" spans="17:17" x14ac:dyDescent="0.3">
      <c r="Q151" s="1269"/>
    </row>
    <row r="152" spans="17:17" x14ac:dyDescent="0.3">
      <c r="Q152" s="1269"/>
    </row>
    <row r="153" spans="17:17" x14ac:dyDescent="0.3">
      <c r="Q153" s="1269"/>
    </row>
    <row r="154" spans="17:17" x14ac:dyDescent="0.3">
      <c r="Q154" s="1269"/>
    </row>
    <row r="155" spans="17:17" x14ac:dyDescent="0.3">
      <c r="Q155" s="1269"/>
    </row>
    <row r="156" spans="17:17" x14ac:dyDescent="0.3">
      <c r="Q156" s="1269"/>
    </row>
    <row r="157" spans="17:17" x14ac:dyDescent="0.3">
      <c r="Q157" s="1269"/>
    </row>
    <row r="158" spans="17:17" x14ac:dyDescent="0.3">
      <c r="Q158" s="1269"/>
    </row>
    <row r="159" spans="17:17" x14ac:dyDescent="0.3">
      <c r="Q159" s="1269"/>
    </row>
    <row r="160" spans="17:17" x14ac:dyDescent="0.3">
      <c r="Q160" s="1269"/>
    </row>
    <row r="161" spans="17:17" x14ac:dyDescent="0.3">
      <c r="Q161" s="1269"/>
    </row>
    <row r="162" spans="17:17" x14ac:dyDescent="0.3">
      <c r="Q162" s="1269"/>
    </row>
    <row r="163" spans="17:17" x14ac:dyDescent="0.3">
      <c r="Q163" s="1269"/>
    </row>
    <row r="164" spans="17:17" x14ac:dyDescent="0.3">
      <c r="Q164" s="1269"/>
    </row>
    <row r="165" spans="17:17" x14ac:dyDescent="0.3">
      <c r="Q165" s="1269"/>
    </row>
    <row r="166" spans="17:17" x14ac:dyDescent="0.3">
      <c r="Q166" s="1269"/>
    </row>
    <row r="167" spans="17:17" x14ac:dyDescent="0.3">
      <c r="Q167" s="1269"/>
    </row>
    <row r="168" spans="17:17" x14ac:dyDescent="0.3">
      <c r="Q168" s="1269"/>
    </row>
    <row r="169" spans="17:17" x14ac:dyDescent="0.3">
      <c r="Q169" s="1269"/>
    </row>
    <row r="170" spans="17:17" x14ac:dyDescent="0.3">
      <c r="Q170" s="1269"/>
    </row>
    <row r="171" spans="17:17" x14ac:dyDescent="0.3">
      <c r="Q171" s="1269"/>
    </row>
    <row r="172" spans="17:17" x14ac:dyDescent="0.3">
      <c r="Q172" s="1269"/>
    </row>
    <row r="173" spans="17:17" x14ac:dyDescent="0.3">
      <c r="Q173" s="1269"/>
    </row>
    <row r="174" spans="17:17" x14ac:dyDescent="0.3">
      <c r="Q174" s="1269"/>
    </row>
    <row r="175" spans="17:17" x14ac:dyDescent="0.3">
      <c r="Q175" s="1269"/>
    </row>
    <row r="176" spans="17:17" x14ac:dyDescent="0.3">
      <c r="Q176" s="1269"/>
    </row>
    <row r="177" spans="17:17" x14ac:dyDescent="0.3">
      <c r="Q177" s="1269"/>
    </row>
    <row r="178" spans="17:17" x14ac:dyDescent="0.3">
      <c r="Q178" s="1269"/>
    </row>
    <row r="179" spans="17:17" x14ac:dyDescent="0.3">
      <c r="Q179" s="1269"/>
    </row>
    <row r="180" spans="17:17" x14ac:dyDescent="0.3">
      <c r="Q180" s="1269"/>
    </row>
    <row r="181" spans="17:17" x14ac:dyDescent="0.3">
      <c r="Q181" s="1269"/>
    </row>
    <row r="182" spans="17:17" x14ac:dyDescent="0.3">
      <c r="Q182" s="1269"/>
    </row>
    <row r="183" spans="17:17" x14ac:dyDescent="0.3">
      <c r="Q183" s="1269"/>
    </row>
    <row r="184" spans="17:17" x14ac:dyDescent="0.3">
      <c r="Q184" s="1269"/>
    </row>
    <row r="185" spans="17:17" x14ac:dyDescent="0.3">
      <c r="Q185" s="1269"/>
    </row>
    <row r="186" spans="17:17" x14ac:dyDescent="0.3">
      <c r="Q186" s="1269"/>
    </row>
    <row r="187" spans="17:17" x14ac:dyDescent="0.3">
      <c r="Q187" s="1269"/>
    </row>
    <row r="188" spans="17:17" x14ac:dyDescent="0.3">
      <c r="Q188" s="1269"/>
    </row>
    <row r="189" spans="17:17" x14ac:dyDescent="0.3">
      <c r="Q189" s="1269"/>
    </row>
    <row r="190" spans="17:17" x14ac:dyDescent="0.3">
      <c r="Q190" s="1269"/>
    </row>
    <row r="191" spans="17:17" x14ac:dyDescent="0.3">
      <c r="Q191" s="1269"/>
    </row>
    <row r="192" spans="17:17" x14ac:dyDescent="0.3">
      <c r="Q192" s="1269"/>
    </row>
    <row r="193" spans="17:17" x14ac:dyDescent="0.3">
      <c r="Q193" s="1269"/>
    </row>
    <row r="194" spans="17:17" x14ac:dyDescent="0.3">
      <c r="Q194" s="1269"/>
    </row>
    <row r="195" spans="17:17" x14ac:dyDescent="0.3">
      <c r="Q195" s="1269"/>
    </row>
    <row r="196" spans="17:17" x14ac:dyDescent="0.3">
      <c r="Q196" s="1269"/>
    </row>
    <row r="197" spans="17:17" x14ac:dyDescent="0.3">
      <c r="Q197" s="1269"/>
    </row>
    <row r="198" spans="17:17" x14ac:dyDescent="0.3">
      <c r="Q198" s="1269"/>
    </row>
    <row r="199" spans="17:17" x14ac:dyDescent="0.3">
      <c r="Q199" s="1269"/>
    </row>
    <row r="200" spans="17:17" x14ac:dyDescent="0.3">
      <c r="Q200" s="1269"/>
    </row>
    <row r="201" spans="17:17" x14ac:dyDescent="0.3">
      <c r="Q201" s="1269"/>
    </row>
    <row r="202" spans="17:17" x14ac:dyDescent="0.3">
      <c r="Q202" s="1269"/>
    </row>
    <row r="203" spans="17:17" x14ac:dyDescent="0.3">
      <c r="Q203" s="1269"/>
    </row>
    <row r="204" spans="17:17" x14ac:dyDescent="0.3">
      <c r="Q204" s="1269"/>
    </row>
    <row r="205" spans="17:17" x14ac:dyDescent="0.3">
      <c r="Q205" s="1269"/>
    </row>
    <row r="206" spans="17:17" x14ac:dyDescent="0.3">
      <c r="Q206" s="1269"/>
    </row>
    <row r="207" spans="17:17" x14ac:dyDescent="0.3">
      <c r="Q207" s="1269"/>
    </row>
    <row r="208" spans="17:17" x14ac:dyDescent="0.3">
      <c r="Q208" s="1269"/>
    </row>
    <row r="209" spans="17:17" x14ac:dyDescent="0.3">
      <c r="Q209" s="1269"/>
    </row>
    <row r="210" spans="17:17" x14ac:dyDescent="0.3">
      <c r="Q210" s="1269"/>
    </row>
    <row r="211" spans="17:17" x14ac:dyDescent="0.3">
      <c r="Q211" s="1269"/>
    </row>
    <row r="212" spans="17:17" x14ac:dyDescent="0.3">
      <c r="Q212" s="1269"/>
    </row>
    <row r="213" spans="17:17" x14ac:dyDescent="0.3">
      <c r="Q213" s="1269"/>
    </row>
    <row r="214" spans="17:17" x14ac:dyDescent="0.3">
      <c r="Q214" s="1269"/>
    </row>
    <row r="215" spans="17:17" x14ac:dyDescent="0.3">
      <c r="Q215" s="1269"/>
    </row>
    <row r="216" spans="17:17" x14ac:dyDescent="0.3">
      <c r="Q216" s="1269"/>
    </row>
    <row r="217" spans="17:17" x14ac:dyDescent="0.3">
      <c r="Q217" s="1269"/>
    </row>
    <row r="218" spans="17:17" x14ac:dyDescent="0.3">
      <c r="Q218" s="1269"/>
    </row>
    <row r="219" spans="17:17" x14ac:dyDescent="0.3">
      <c r="Q219" s="1269"/>
    </row>
    <row r="220" spans="17:17" x14ac:dyDescent="0.3">
      <c r="Q220" s="1269"/>
    </row>
    <row r="221" spans="17:17" x14ac:dyDescent="0.3">
      <c r="Q221" s="1269"/>
    </row>
    <row r="222" spans="17:17" x14ac:dyDescent="0.3">
      <c r="Q222" s="1269"/>
    </row>
    <row r="223" spans="17:17" x14ac:dyDescent="0.3">
      <c r="Q223" s="1269"/>
    </row>
    <row r="224" spans="17:17" x14ac:dyDescent="0.3">
      <c r="Q224" s="1269"/>
    </row>
    <row r="225" spans="17:17" x14ac:dyDescent="0.3">
      <c r="Q225" s="1269"/>
    </row>
    <row r="226" spans="17:17" x14ac:dyDescent="0.3">
      <c r="Q226" s="1269"/>
    </row>
    <row r="227" spans="17:17" x14ac:dyDescent="0.3">
      <c r="Q227" s="1269"/>
    </row>
    <row r="228" spans="17:17" x14ac:dyDescent="0.3">
      <c r="Q228" s="1269"/>
    </row>
    <row r="229" spans="17:17" x14ac:dyDescent="0.3">
      <c r="Q229" s="1269"/>
    </row>
    <row r="230" spans="17:17" x14ac:dyDescent="0.3">
      <c r="Q230" s="1269"/>
    </row>
    <row r="231" spans="17:17" x14ac:dyDescent="0.3">
      <c r="Q231" s="1269"/>
    </row>
    <row r="232" spans="17:17" x14ac:dyDescent="0.3">
      <c r="Q232" s="1269"/>
    </row>
    <row r="233" spans="17:17" x14ac:dyDescent="0.3">
      <c r="Q233" s="1269"/>
    </row>
    <row r="234" spans="17:17" x14ac:dyDescent="0.3">
      <c r="Q234" s="1269"/>
    </row>
    <row r="235" spans="17:17" x14ac:dyDescent="0.3">
      <c r="Q235" s="1269"/>
    </row>
    <row r="236" spans="17:17" x14ac:dyDescent="0.3">
      <c r="Q236" s="1269"/>
    </row>
    <row r="237" spans="17:17" x14ac:dyDescent="0.3">
      <c r="Q237" s="1269"/>
    </row>
    <row r="238" spans="17:17" x14ac:dyDescent="0.3">
      <c r="Q238" s="1269"/>
    </row>
    <row r="239" spans="17:17" x14ac:dyDescent="0.3">
      <c r="Q239" s="1269"/>
    </row>
    <row r="240" spans="17:17" x14ac:dyDescent="0.3">
      <c r="Q240" s="1269"/>
    </row>
    <row r="241" spans="17:17" x14ac:dyDescent="0.3">
      <c r="Q241" s="1269"/>
    </row>
    <row r="242" spans="17:17" x14ac:dyDescent="0.3">
      <c r="Q242" s="1269"/>
    </row>
    <row r="243" spans="17:17" x14ac:dyDescent="0.3">
      <c r="Q243" s="1269"/>
    </row>
    <row r="244" spans="17:17" x14ac:dyDescent="0.3">
      <c r="Q244" s="1269"/>
    </row>
    <row r="245" spans="17:17" x14ac:dyDescent="0.3">
      <c r="Q245" s="1269"/>
    </row>
    <row r="246" spans="17:17" x14ac:dyDescent="0.3">
      <c r="Q246" s="1269"/>
    </row>
    <row r="247" spans="17:17" x14ac:dyDescent="0.3">
      <c r="Q247" s="1269"/>
    </row>
    <row r="248" spans="17:17" x14ac:dyDescent="0.3">
      <c r="Q248" s="1269"/>
    </row>
    <row r="249" spans="17:17" x14ac:dyDescent="0.3">
      <c r="Q249" s="1269"/>
    </row>
    <row r="250" spans="17:17" x14ac:dyDescent="0.3">
      <c r="Q250" s="1269"/>
    </row>
    <row r="251" spans="17:17" x14ac:dyDescent="0.3">
      <c r="Q251" s="1269"/>
    </row>
    <row r="252" spans="17:17" x14ac:dyDescent="0.3">
      <c r="Q252" s="1269"/>
    </row>
    <row r="253" spans="17:17" x14ac:dyDescent="0.3">
      <c r="Q253" s="1269"/>
    </row>
    <row r="254" spans="17:17" x14ac:dyDescent="0.3">
      <c r="Q254" s="1269"/>
    </row>
    <row r="255" spans="17:17" x14ac:dyDescent="0.3">
      <c r="Q255" s="1269"/>
    </row>
    <row r="256" spans="17:17" x14ac:dyDescent="0.3">
      <c r="Q256" s="1269"/>
    </row>
    <row r="257" spans="17:17" x14ac:dyDescent="0.3">
      <c r="Q257" s="1269"/>
    </row>
    <row r="258" spans="17:17" x14ac:dyDescent="0.3">
      <c r="Q258" s="1269"/>
    </row>
    <row r="259" spans="17:17" x14ac:dyDescent="0.3">
      <c r="Q259" s="1269"/>
    </row>
    <row r="260" spans="17:17" x14ac:dyDescent="0.3">
      <c r="Q260" s="1269"/>
    </row>
    <row r="261" spans="17:17" x14ac:dyDescent="0.3">
      <c r="Q261" s="1269"/>
    </row>
    <row r="262" spans="17:17" x14ac:dyDescent="0.3">
      <c r="Q262" s="1269"/>
    </row>
    <row r="263" spans="17:17" x14ac:dyDescent="0.3">
      <c r="Q263" s="1269"/>
    </row>
    <row r="264" spans="17:17" x14ac:dyDescent="0.3">
      <c r="Q264" s="1269"/>
    </row>
    <row r="265" spans="17:17" x14ac:dyDescent="0.3">
      <c r="Q265" s="1269"/>
    </row>
    <row r="266" spans="17:17" x14ac:dyDescent="0.3">
      <c r="Q266" s="1269"/>
    </row>
    <row r="267" spans="17:17" x14ac:dyDescent="0.3">
      <c r="Q267" s="1269"/>
    </row>
    <row r="268" spans="17:17" x14ac:dyDescent="0.3">
      <c r="Q268" s="1269"/>
    </row>
    <row r="269" spans="17:17" x14ac:dyDescent="0.3">
      <c r="Q269" s="1269"/>
    </row>
    <row r="270" spans="17:17" x14ac:dyDescent="0.3">
      <c r="Q270" s="1269"/>
    </row>
    <row r="271" spans="17:17" x14ac:dyDescent="0.3">
      <c r="Q271" s="1269"/>
    </row>
    <row r="272" spans="17:17" x14ac:dyDescent="0.3">
      <c r="Q272" s="1269"/>
    </row>
    <row r="273" spans="17:17" x14ac:dyDescent="0.3">
      <c r="Q273" s="1269"/>
    </row>
    <row r="274" spans="17:17" x14ac:dyDescent="0.3">
      <c r="Q274" s="1269"/>
    </row>
    <row r="275" spans="17:17" x14ac:dyDescent="0.3">
      <c r="Q275" s="1269"/>
    </row>
    <row r="276" spans="17:17" x14ac:dyDescent="0.3">
      <c r="Q276" s="1269"/>
    </row>
    <row r="277" spans="17:17" x14ac:dyDescent="0.3">
      <c r="Q277" s="1269"/>
    </row>
    <row r="278" spans="17:17" x14ac:dyDescent="0.3">
      <c r="Q278" s="1269"/>
    </row>
    <row r="279" spans="17:17" x14ac:dyDescent="0.3">
      <c r="Q279" s="1269"/>
    </row>
    <row r="280" spans="17:17" x14ac:dyDescent="0.3">
      <c r="Q280" s="1269"/>
    </row>
    <row r="281" spans="17:17" x14ac:dyDescent="0.3">
      <c r="Q281" s="1269"/>
    </row>
    <row r="282" spans="17:17" x14ac:dyDescent="0.3">
      <c r="Q282" s="1269"/>
    </row>
    <row r="283" spans="17:17" x14ac:dyDescent="0.3">
      <c r="Q283" s="1269"/>
    </row>
    <row r="284" spans="17:17" x14ac:dyDescent="0.3">
      <c r="Q284" s="1269"/>
    </row>
    <row r="285" spans="17:17" x14ac:dyDescent="0.3">
      <c r="Q285" s="1269"/>
    </row>
    <row r="286" spans="17:17" x14ac:dyDescent="0.3">
      <c r="Q286" s="1269"/>
    </row>
    <row r="287" spans="17:17" x14ac:dyDescent="0.3">
      <c r="Q287" s="1269"/>
    </row>
    <row r="288" spans="17:17" x14ac:dyDescent="0.3">
      <c r="Q288" s="1269"/>
    </row>
    <row r="289" spans="17:17" x14ac:dyDescent="0.3">
      <c r="Q289" s="1269"/>
    </row>
    <row r="290" spans="17:17" x14ac:dyDescent="0.3">
      <c r="Q290" s="1269"/>
    </row>
    <row r="291" spans="17:17" x14ac:dyDescent="0.3">
      <c r="Q291" s="1269"/>
    </row>
    <row r="292" spans="17:17" x14ac:dyDescent="0.3">
      <c r="Q292" s="1269"/>
    </row>
    <row r="293" spans="17:17" x14ac:dyDescent="0.3">
      <c r="Q293" s="1269"/>
    </row>
    <row r="294" spans="17:17" x14ac:dyDescent="0.3">
      <c r="Q294" s="1269"/>
    </row>
    <row r="295" spans="17:17" x14ac:dyDescent="0.3">
      <c r="Q295" s="1269"/>
    </row>
    <row r="296" spans="17:17" x14ac:dyDescent="0.3">
      <c r="Q296" s="1269"/>
    </row>
    <row r="297" spans="17:17" x14ac:dyDescent="0.3">
      <c r="Q297" s="1269"/>
    </row>
    <row r="298" spans="17:17" x14ac:dyDescent="0.3">
      <c r="Q298" s="1269"/>
    </row>
    <row r="299" spans="17:17" x14ac:dyDescent="0.3">
      <c r="Q299" s="1269"/>
    </row>
    <row r="300" spans="17:17" x14ac:dyDescent="0.3">
      <c r="Q300" s="1269"/>
    </row>
    <row r="301" spans="17:17" x14ac:dyDescent="0.3">
      <c r="Q301" s="1269"/>
    </row>
    <row r="302" spans="17:17" x14ac:dyDescent="0.3">
      <c r="Q302" s="1269"/>
    </row>
    <row r="303" spans="17:17" x14ac:dyDescent="0.3">
      <c r="Q303" s="1269"/>
    </row>
    <row r="304" spans="17:17" x14ac:dyDescent="0.3">
      <c r="Q304" s="1269"/>
    </row>
    <row r="305" spans="17:17" x14ac:dyDescent="0.3">
      <c r="Q305" s="1269"/>
    </row>
    <row r="306" spans="17:17" x14ac:dyDescent="0.3">
      <c r="Q306" s="1269"/>
    </row>
    <row r="307" spans="17:17" x14ac:dyDescent="0.3">
      <c r="Q307" s="1269"/>
    </row>
    <row r="308" spans="17:17" x14ac:dyDescent="0.3">
      <c r="Q308" s="1269"/>
    </row>
    <row r="309" spans="17:17" x14ac:dyDescent="0.3">
      <c r="Q309" s="1269"/>
    </row>
    <row r="310" spans="17:17" x14ac:dyDescent="0.3">
      <c r="Q310" s="1269"/>
    </row>
    <row r="311" spans="17:17" x14ac:dyDescent="0.3">
      <c r="Q311" s="1269"/>
    </row>
    <row r="312" spans="17:17" x14ac:dyDescent="0.3">
      <c r="Q312" s="1269"/>
    </row>
    <row r="313" spans="17:17" x14ac:dyDescent="0.3">
      <c r="Q313" s="1269"/>
    </row>
    <row r="314" spans="17:17" x14ac:dyDescent="0.3">
      <c r="Q314" s="1269"/>
    </row>
    <row r="315" spans="17:17" x14ac:dyDescent="0.3">
      <c r="Q315" s="1269"/>
    </row>
    <row r="316" spans="17:17" x14ac:dyDescent="0.3">
      <c r="Q316" s="1269"/>
    </row>
    <row r="317" spans="17:17" x14ac:dyDescent="0.3">
      <c r="Q317" s="1269"/>
    </row>
    <row r="318" spans="17:17" x14ac:dyDescent="0.3">
      <c r="Q318" s="1269"/>
    </row>
    <row r="319" spans="17:17" x14ac:dyDescent="0.3">
      <c r="Q319" s="1269"/>
    </row>
    <row r="320" spans="17:17" x14ac:dyDescent="0.3">
      <c r="Q320" s="1269"/>
    </row>
    <row r="321" spans="17:17" x14ac:dyDescent="0.3">
      <c r="Q321" s="1269"/>
    </row>
    <row r="322" spans="17:17" x14ac:dyDescent="0.3">
      <c r="Q322" s="1269"/>
    </row>
    <row r="323" spans="17:17" x14ac:dyDescent="0.3">
      <c r="Q323" s="1269"/>
    </row>
    <row r="324" spans="17:17" x14ac:dyDescent="0.3">
      <c r="Q324" s="1269"/>
    </row>
    <row r="325" spans="17:17" x14ac:dyDescent="0.3">
      <c r="Q325" s="1269"/>
    </row>
    <row r="326" spans="17:17" x14ac:dyDescent="0.3">
      <c r="Q326" s="1269"/>
    </row>
    <row r="327" spans="17:17" x14ac:dyDescent="0.3">
      <c r="Q327" s="1269"/>
    </row>
    <row r="328" spans="17:17" x14ac:dyDescent="0.3">
      <c r="Q328" s="1269"/>
    </row>
    <row r="329" spans="17:17" x14ac:dyDescent="0.3">
      <c r="Q329" s="1269"/>
    </row>
    <row r="330" spans="17:17" x14ac:dyDescent="0.3">
      <c r="Q330" s="1269"/>
    </row>
    <row r="331" spans="17:17" x14ac:dyDescent="0.3">
      <c r="Q331" s="1269"/>
    </row>
    <row r="332" spans="17:17" x14ac:dyDescent="0.3">
      <c r="Q332" s="1269"/>
    </row>
    <row r="333" spans="17:17" x14ac:dyDescent="0.3">
      <c r="Q333" s="1269"/>
    </row>
    <row r="334" spans="17:17" x14ac:dyDescent="0.3">
      <c r="Q334" s="1269"/>
    </row>
    <row r="335" spans="17:17" x14ac:dyDescent="0.3">
      <c r="Q335" s="1269"/>
    </row>
    <row r="336" spans="17:17" x14ac:dyDescent="0.3">
      <c r="Q336" s="1269"/>
    </row>
    <row r="337" spans="17:17" x14ac:dyDescent="0.3">
      <c r="Q337" s="1269"/>
    </row>
    <row r="338" spans="17:17" x14ac:dyDescent="0.3">
      <c r="Q338" s="1269"/>
    </row>
    <row r="339" spans="17:17" x14ac:dyDescent="0.3">
      <c r="Q339" s="1269"/>
    </row>
    <row r="340" spans="17:17" x14ac:dyDescent="0.3">
      <c r="Q340" s="1269"/>
    </row>
    <row r="341" spans="17:17" x14ac:dyDescent="0.3">
      <c r="Q341" s="1269"/>
    </row>
    <row r="342" spans="17:17" x14ac:dyDescent="0.3">
      <c r="Q342" s="1269"/>
    </row>
    <row r="343" spans="17:17" x14ac:dyDescent="0.3">
      <c r="Q343" s="1269"/>
    </row>
    <row r="344" spans="17:17" x14ac:dyDescent="0.3">
      <c r="Q344" s="1269"/>
    </row>
    <row r="345" spans="17:17" x14ac:dyDescent="0.3">
      <c r="Q345" s="1269"/>
    </row>
    <row r="346" spans="17:17" x14ac:dyDescent="0.3">
      <c r="Q346" s="1269"/>
    </row>
    <row r="347" spans="17:17" x14ac:dyDescent="0.3">
      <c r="Q347" s="1269"/>
    </row>
    <row r="348" spans="17:17" x14ac:dyDescent="0.3">
      <c r="Q348" s="1269"/>
    </row>
    <row r="349" spans="17:17" x14ac:dyDescent="0.3">
      <c r="Q349" s="1269"/>
    </row>
    <row r="350" spans="17:17" x14ac:dyDescent="0.3">
      <c r="Q350" s="1269"/>
    </row>
    <row r="351" spans="17:17" x14ac:dyDescent="0.3">
      <c r="Q351" s="1269"/>
    </row>
    <row r="352" spans="17:17" x14ac:dyDescent="0.3">
      <c r="Q352" s="1269"/>
    </row>
    <row r="353" spans="17:17" x14ac:dyDescent="0.3">
      <c r="Q353" s="1269"/>
    </row>
    <row r="354" spans="17:17" x14ac:dyDescent="0.3">
      <c r="Q354" s="1269"/>
    </row>
    <row r="355" spans="17:17" x14ac:dyDescent="0.3">
      <c r="Q355" s="1269"/>
    </row>
    <row r="356" spans="17:17" x14ac:dyDescent="0.3">
      <c r="Q356" s="1269"/>
    </row>
    <row r="357" spans="17:17" x14ac:dyDescent="0.3">
      <c r="Q357" s="1269"/>
    </row>
    <row r="358" spans="17:17" x14ac:dyDescent="0.3">
      <c r="Q358" s="1269"/>
    </row>
    <row r="359" spans="17:17" x14ac:dyDescent="0.3">
      <c r="Q359" s="1269"/>
    </row>
    <row r="360" spans="17:17" x14ac:dyDescent="0.3">
      <c r="Q360" s="1269"/>
    </row>
    <row r="361" spans="17:17" x14ac:dyDescent="0.3">
      <c r="Q361" s="1269"/>
    </row>
    <row r="362" spans="17:17" x14ac:dyDescent="0.3">
      <c r="Q362" s="1269"/>
    </row>
    <row r="363" spans="17:17" x14ac:dyDescent="0.3">
      <c r="Q363" s="1269"/>
    </row>
    <row r="364" spans="17:17" x14ac:dyDescent="0.3">
      <c r="Q364" s="1269"/>
    </row>
    <row r="365" spans="17:17" x14ac:dyDescent="0.3">
      <c r="Q365" s="1269"/>
    </row>
    <row r="366" spans="17:17" x14ac:dyDescent="0.3">
      <c r="Q366" s="1269"/>
    </row>
    <row r="367" spans="17:17" x14ac:dyDescent="0.3">
      <c r="Q367" s="1269"/>
    </row>
    <row r="368" spans="17:17" x14ac:dyDescent="0.3">
      <c r="Q368" s="1269"/>
    </row>
    <row r="369" spans="17:17" x14ac:dyDescent="0.3">
      <c r="Q369" s="1269"/>
    </row>
    <row r="370" spans="17:17" x14ac:dyDescent="0.3">
      <c r="Q370" s="1269"/>
    </row>
    <row r="371" spans="17:17" x14ac:dyDescent="0.3">
      <c r="Q371" s="1269"/>
    </row>
    <row r="372" spans="17:17" x14ac:dyDescent="0.3">
      <c r="Q372" s="1269"/>
    </row>
    <row r="373" spans="17:17" x14ac:dyDescent="0.3">
      <c r="Q373" s="1269"/>
    </row>
    <row r="374" spans="17:17" x14ac:dyDescent="0.3">
      <c r="Q374" s="1269"/>
    </row>
    <row r="375" spans="17:17" x14ac:dyDescent="0.3">
      <c r="Q375" s="1269"/>
    </row>
    <row r="376" spans="17:17" x14ac:dyDescent="0.3">
      <c r="Q376" s="1269"/>
    </row>
    <row r="377" spans="17:17" x14ac:dyDescent="0.3">
      <c r="Q377" s="1269"/>
    </row>
    <row r="378" spans="17:17" x14ac:dyDescent="0.3">
      <c r="Q378" s="1269"/>
    </row>
    <row r="379" spans="17:17" x14ac:dyDescent="0.3">
      <c r="Q379" s="1269"/>
    </row>
    <row r="380" spans="17:17" x14ac:dyDescent="0.3">
      <c r="Q380" s="1269"/>
    </row>
    <row r="381" spans="17:17" x14ac:dyDescent="0.3">
      <c r="Q381" s="1269"/>
    </row>
    <row r="382" spans="17:17" x14ac:dyDescent="0.3">
      <c r="Q382" s="1269"/>
    </row>
    <row r="383" spans="17:17" x14ac:dyDescent="0.3">
      <c r="Q383" s="1269"/>
    </row>
    <row r="384" spans="17:17" x14ac:dyDescent="0.3">
      <c r="Q384" s="1269"/>
    </row>
    <row r="385" spans="17:17" x14ac:dyDescent="0.3">
      <c r="Q385" s="1269"/>
    </row>
    <row r="386" spans="17:17" x14ac:dyDescent="0.3">
      <c r="Q386" s="1269"/>
    </row>
    <row r="387" spans="17:17" x14ac:dyDescent="0.3">
      <c r="Q387" s="1269"/>
    </row>
    <row r="388" spans="17:17" x14ac:dyDescent="0.3">
      <c r="Q388" s="1269"/>
    </row>
    <row r="389" spans="17:17" x14ac:dyDescent="0.3">
      <c r="Q389" s="1269"/>
    </row>
    <row r="390" spans="17:17" x14ac:dyDescent="0.3">
      <c r="Q390" s="1269"/>
    </row>
    <row r="391" spans="17:17" x14ac:dyDescent="0.3">
      <c r="Q391" s="1269"/>
    </row>
    <row r="392" spans="17:17" x14ac:dyDescent="0.3">
      <c r="Q392" s="1269"/>
    </row>
    <row r="393" spans="17:17" x14ac:dyDescent="0.3">
      <c r="Q393" s="1269"/>
    </row>
    <row r="394" spans="17:17" x14ac:dyDescent="0.3">
      <c r="Q394" s="1269"/>
    </row>
    <row r="395" spans="17:17" x14ac:dyDescent="0.3">
      <c r="Q395" s="1269"/>
    </row>
    <row r="396" spans="17:17" x14ac:dyDescent="0.3">
      <c r="Q396" s="1269"/>
    </row>
    <row r="397" spans="17:17" x14ac:dyDescent="0.3">
      <c r="Q397" s="1269"/>
    </row>
    <row r="398" spans="17:17" x14ac:dyDescent="0.3">
      <c r="Q398" s="1269"/>
    </row>
    <row r="399" spans="17:17" x14ac:dyDescent="0.3">
      <c r="Q399" s="1269"/>
    </row>
    <row r="400" spans="17:17" x14ac:dyDescent="0.3">
      <c r="Q400" s="1269"/>
    </row>
    <row r="401" spans="17:17" x14ac:dyDescent="0.3">
      <c r="Q401" s="1269"/>
    </row>
    <row r="402" spans="17:17" x14ac:dyDescent="0.3">
      <c r="Q402" s="1269"/>
    </row>
    <row r="403" spans="17:17" x14ac:dyDescent="0.3">
      <c r="Q403" s="1269"/>
    </row>
    <row r="404" spans="17:17" x14ac:dyDescent="0.3">
      <c r="Q404" s="1269"/>
    </row>
    <row r="405" spans="17:17" x14ac:dyDescent="0.3">
      <c r="Q405" s="1269"/>
    </row>
    <row r="406" spans="17:17" x14ac:dyDescent="0.3">
      <c r="Q406" s="1269"/>
    </row>
    <row r="407" spans="17:17" x14ac:dyDescent="0.3">
      <c r="Q407" s="1269"/>
    </row>
    <row r="408" spans="17:17" x14ac:dyDescent="0.3">
      <c r="Q408" s="1269"/>
    </row>
    <row r="409" spans="17:17" x14ac:dyDescent="0.3">
      <c r="Q409" s="1269"/>
    </row>
    <row r="410" spans="17:17" x14ac:dyDescent="0.3">
      <c r="Q410" s="1269"/>
    </row>
    <row r="411" spans="17:17" x14ac:dyDescent="0.3">
      <c r="Q411" s="1269"/>
    </row>
    <row r="412" spans="17:17" x14ac:dyDescent="0.3">
      <c r="Q412" s="1269"/>
    </row>
    <row r="413" spans="17:17" x14ac:dyDescent="0.3">
      <c r="Q413" s="1269"/>
    </row>
    <row r="414" spans="17:17" x14ac:dyDescent="0.3">
      <c r="Q414" s="1269"/>
    </row>
    <row r="415" spans="17:17" x14ac:dyDescent="0.3">
      <c r="Q415" s="1269"/>
    </row>
    <row r="416" spans="17:17" x14ac:dyDescent="0.3">
      <c r="Q416" s="1269"/>
    </row>
    <row r="417" spans="17:17" x14ac:dyDescent="0.3">
      <c r="Q417" s="1269"/>
    </row>
    <row r="418" spans="17:17" x14ac:dyDescent="0.3">
      <c r="Q418" s="1269"/>
    </row>
    <row r="419" spans="17:17" x14ac:dyDescent="0.3">
      <c r="Q419" s="1269"/>
    </row>
    <row r="420" spans="17:17" x14ac:dyDescent="0.3">
      <c r="Q420" s="1269"/>
    </row>
    <row r="421" spans="17:17" x14ac:dyDescent="0.3">
      <c r="Q421" s="1269"/>
    </row>
    <row r="422" spans="17:17" x14ac:dyDescent="0.3">
      <c r="Q422" s="1269"/>
    </row>
    <row r="423" spans="17:17" x14ac:dyDescent="0.3">
      <c r="Q423" s="1269"/>
    </row>
    <row r="424" spans="17:17" x14ac:dyDescent="0.3">
      <c r="Q424" s="1269"/>
    </row>
    <row r="425" spans="17:17" x14ac:dyDescent="0.3">
      <c r="Q425" s="1269"/>
    </row>
    <row r="426" spans="17:17" x14ac:dyDescent="0.3">
      <c r="Q426" s="1269"/>
    </row>
    <row r="427" spans="17:17" x14ac:dyDescent="0.3">
      <c r="Q427" s="1269"/>
    </row>
    <row r="428" spans="17:17" x14ac:dyDescent="0.3">
      <c r="Q428" s="1269"/>
    </row>
    <row r="429" spans="17:17" x14ac:dyDescent="0.3">
      <c r="Q429" s="1269"/>
    </row>
    <row r="430" spans="17:17" x14ac:dyDescent="0.3">
      <c r="Q430" s="1269"/>
    </row>
    <row r="431" spans="17:17" x14ac:dyDescent="0.3">
      <c r="Q431" s="1269"/>
    </row>
    <row r="432" spans="17:17" x14ac:dyDescent="0.3">
      <c r="Q432" s="1269"/>
    </row>
    <row r="433" spans="17:17" x14ac:dyDescent="0.3">
      <c r="Q433" s="1269"/>
    </row>
    <row r="434" spans="17:17" x14ac:dyDescent="0.3">
      <c r="Q434" s="1269"/>
    </row>
    <row r="435" spans="17:17" x14ac:dyDescent="0.3">
      <c r="Q435" s="1269"/>
    </row>
    <row r="436" spans="17:17" x14ac:dyDescent="0.3">
      <c r="Q436" s="1269"/>
    </row>
    <row r="437" spans="17:17" x14ac:dyDescent="0.3">
      <c r="Q437" s="1269"/>
    </row>
    <row r="438" spans="17:17" x14ac:dyDescent="0.3">
      <c r="Q438" s="1269"/>
    </row>
    <row r="439" spans="17:17" x14ac:dyDescent="0.3">
      <c r="Q439" s="1269"/>
    </row>
    <row r="440" spans="17:17" x14ac:dyDescent="0.3">
      <c r="Q440" s="1269"/>
    </row>
    <row r="441" spans="17:17" x14ac:dyDescent="0.3">
      <c r="Q441" s="1269"/>
    </row>
    <row r="442" spans="17:17" x14ac:dyDescent="0.3">
      <c r="Q442" s="1269"/>
    </row>
    <row r="443" spans="17:17" x14ac:dyDescent="0.3">
      <c r="Q443" s="1269"/>
    </row>
    <row r="444" spans="17:17" x14ac:dyDescent="0.3">
      <c r="Q444" s="1269"/>
    </row>
    <row r="445" spans="17:17" x14ac:dyDescent="0.3">
      <c r="Q445" s="1269"/>
    </row>
    <row r="446" spans="17:17" x14ac:dyDescent="0.3">
      <c r="Q446" s="1269"/>
    </row>
    <row r="447" spans="17:17" x14ac:dyDescent="0.3">
      <c r="Q447" s="1269"/>
    </row>
    <row r="448" spans="17:17" x14ac:dyDescent="0.3">
      <c r="Q448" s="1269"/>
    </row>
    <row r="449" spans="17:17" x14ac:dyDescent="0.3">
      <c r="Q449" s="1269"/>
    </row>
    <row r="450" spans="17:17" x14ac:dyDescent="0.3">
      <c r="Q450" s="1269"/>
    </row>
    <row r="451" spans="17:17" x14ac:dyDescent="0.3">
      <c r="Q451" s="1269"/>
    </row>
    <row r="452" spans="17:17" x14ac:dyDescent="0.3">
      <c r="Q452" s="1269"/>
    </row>
    <row r="453" spans="17:17" x14ac:dyDescent="0.3">
      <c r="Q453" s="1269"/>
    </row>
    <row r="454" spans="17:17" x14ac:dyDescent="0.3">
      <c r="Q454" s="1269"/>
    </row>
    <row r="455" spans="17:17" x14ac:dyDescent="0.3">
      <c r="Q455" s="1269"/>
    </row>
    <row r="456" spans="17:17" x14ac:dyDescent="0.3">
      <c r="Q456" s="1269"/>
    </row>
    <row r="457" spans="17:17" x14ac:dyDescent="0.3">
      <c r="Q457" s="1269"/>
    </row>
    <row r="458" spans="17:17" x14ac:dyDescent="0.3">
      <c r="Q458" s="1269"/>
    </row>
    <row r="459" spans="17:17" x14ac:dyDescent="0.3">
      <c r="Q459" s="1269"/>
    </row>
    <row r="460" spans="17:17" x14ac:dyDescent="0.3">
      <c r="Q460" s="1269"/>
    </row>
    <row r="461" spans="17:17" x14ac:dyDescent="0.3">
      <c r="Q461" s="1269"/>
    </row>
    <row r="462" spans="17:17" x14ac:dyDescent="0.3">
      <c r="Q462" s="1269"/>
    </row>
    <row r="463" spans="17:17" x14ac:dyDescent="0.3">
      <c r="Q463" s="1269"/>
    </row>
    <row r="464" spans="17:17" x14ac:dyDescent="0.3">
      <c r="Q464" s="1269"/>
    </row>
    <row r="465" spans="17:17" x14ac:dyDescent="0.3">
      <c r="Q465" s="1269"/>
    </row>
    <row r="466" spans="17:17" x14ac:dyDescent="0.3">
      <c r="Q466" s="1269"/>
    </row>
    <row r="467" spans="17:17" x14ac:dyDescent="0.3">
      <c r="Q467" s="1269"/>
    </row>
    <row r="468" spans="17:17" x14ac:dyDescent="0.3">
      <c r="Q468" s="1269"/>
    </row>
    <row r="469" spans="17:17" x14ac:dyDescent="0.3">
      <c r="Q469" s="1269"/>
    </row>
    <row r="470" spans="17:17" x14ac:dyDescent="0.3">
      <c r="Q470" s="1269"/>
    </row>
    <row r="471" spans="17:17" x14ac:dyDescent="0.3">
      <c r="Q471" s="1269"/>
    </row>
    <row r="472" spans="17:17" x14ac:dyDescent="0.3">
      <c r="Q472" s="1269"/>
    </row>
    <row r="473" spans="17:17" x14ac:dyDescent="0.3">
      <c r="Q473" s="1269"/>
    </row>
    <row r="474" spans="17:17" x14ac:dyDescent="0.3">
      <c r="Q474" s="1269"/>
    </row>
    <row r="475" spans="17:17" x14ac:dyDescent="0.3">
      <c r="Q475" s="1269"/>
    </row>
    <row r="476" spans="17:17" x14ac:dyDescent="0.3">
      <c r="Q476" s="1269"/>
    </row>
    <row r="477" spans="17:17" x14ac:dyDescent="0.3">
      <c r="Q477" s="1269"/>
    </row>
    <row r="478" spans="17:17" x14ac:dyDescent="0.3">
      <c r="Q478" s="1269"/>
    </row>
    <row r="479" spans="17:17" x14ac:dyDescent="0.3">
      <c r="Q479" s="1269"/>
    </row>
    <row r="480" spans="17:17" x14ac:dyDescent="0.3">
      <c r="Q480" s="1269"/>
    </row>
    <row r="481" spans="17:17" x14ac:dyDescent="0.3">
      <c r="Q481" s="1269"/>
    </row>
    <row r="482" spans="17:17" x14ac:dyDescent="0.3">
      <c r="Q482" s="1269"/>
    </row>
    <row r="483" spans="17:17" x14ac:dyDescent="0.3">
      <c r="Q483" s="1269"/>
    </row>
    <row r="484" spans="17:17" x14ac:dyDescent="0.3">
      <c r="Q484" s="1269"/>
    </row>
    <row r="485" spans="17:17" x14ac:dyDescent="0.3">
      <c r="Q485" s="1269"/>
    </row>
    <row r="486" spans="17:17" x14ac:dyDescent="0.3">
      <c r="Q486" s="1269"/>
    </row>
    <row r="487" spans="17:17" x14ac:dyDescent="0.3">
      <c r="Q487" s="1269"/>
    </row>
    <row r="488" spans="17:17" x14ac:dyDescent="0.3">
      <c r="Q488" s="1269"/>
    </row>
    <row r="489" spans="17:17" x14ac:dyDescent="0.3">
      <c r="Q489" s="1269"/>
    </row>
    <row r="490" spans="17:17" x14ac:dyDescent="0.3">
      <c r="Q490" s="1269"/>
    </row>
    <row r="491" spans="17:17" x14ac:dyDescent="0.3">
      <c r="Q491" s="1269"/>
    </row>
    <row r="492" spans="17:17" x14ac:dyDescent="0.3">
      <c r="Q492" s="1269"/>
    </row>
    <row r="493" spans="17:17" x14ac:dyDescent="0.3">
      <c r="Q493" s="1269"/>
    </row>
    <row r="494" spans="17:17" x14ac:dyDescent="0.3">
      <c r="Q494" s="1269"/>
    </row>
    <row r="495" spans="17:17" x14ac:dyDescent="0.3">
      <c r="Q495" s="1269"/>
    </row>
    <row r="496" spans="17:17" x14ac:dyDescent="0.3">
      <c r="Q496" s="1269"/>
    </row>
    <row r="497" spans="17:17" x14ac:dyDescent="0.3">
      <c r="Q497" s="1269"/>
    </row>
    <row r="498" spans="17:17" x14ac:dyDescent="0.3">
      <c r="Q498" s="1269"/>
    </row>
    <row r="499" spans="17:17" x14ac:dyDescent="0.3">
      <c r="Q499" s="1269"/>
    </row>
    <row r="500" spans="17:17" x14ac:dyDescent="0.3">
      <c r="Q500" s="1269"/>
    </row>
    <row r="501" spans="17:17" x14ac:dyDescent="0.3">
      <c r="Q501" s="1269"/>
    </row>
    <row r="502" spans="17:17" x14ac:dyDescent="0.3">
      <c r="Q502" s="1269"/>
    </row>
    <row r="503" spans="17:17" x14ac:dyDescent="0.3">
      <c r="Q503" s="1269"/>
    </row>
    <row r="504" spans="17:17" x14ac:dyDescent="0.3">
      <c r="Q504" s="1269"/>
    </row>
    <row r="505" spans="17:17" x14ac:dyDescent="0.3">
      <c r="Q505" s="1269"/>
    </row>
    <row r="506" spans="17:17" x14ac:dyDescent="0.3">
      <c r="Q506" s="1269"/>
    </row>
    <row r="507" spans="17:17" x14ac:dyDescent="0.3">
      <c r="Q507" s="1269"/>
    </row>
    <row r="508" spans="17:17" x14ac:dyDescent="0.3">
      <c r="Q508" s="1269"/>
    </row>
    <row r="509" spans="17:17" x14ac:dyDescent="0.3">
      <c r="Q509" s="1269"/>
    </row>
    <row r="510" spans="17:17" x14ac:dyDescent="0.3">
      <c r="Q510" s="1269"/>
    </row>
    <row r="511" spans="17:17" x14ac:dyDescent="0.3">
      <c r="Q511" s="1269"/>
    </row>
    <row r="512" spans="17:17" x14ac:dyDescent="0.3">
      <c r="Q512" s="1269"/>
    </row>
    <row r="513" spans="17:17" x14ac:dyDescent="0.3">
      <c r="Q513" s="1269"/>
    </row>
    <row r="514" spans="17:17" x14ac:dyDescent="0.3">
      <c r="Q514" s="1269"/>
    </row>
    <row r="515" spans="17:17" x14ac:dyDescent="0.3">
      <c r="Q515" s="1269"/>
    </row>
    <row r="516" spans="17:17" x14ac:dyDescent="0.3">
      <c r="Q516" s="1269"/>
    </row>
    <row r="517" spans="17:17" x14ac:dyDescent="0.3">
      <c r="Q517" s="1269"/>
    </row>
    <row r="518" spans="17:17" x14ac:dyDescent="0.3">
      <c r="Q518" s="1269"/>
    </row>
    <row r="519" spans="17:17" x14ac:dyDescent="0.3">
      <c r="Q519" s="1269"/>
    </row>
    <row r="520" spans="17:17" x14ac:dyDescent="0.3">
      <c r="Q520" s="1269"/>
    </row>
    <row r="521" spans="17:17" x14ac:dyDescent="0.3">
      <c r="Q521" s="1269"/>
    </row>
    <row r="522" spans="17:17" x14ac:dyDescent="0.3">
      <c r="Q522" s="1269"/>
    </row>
    <row r="523" spans="17:17" x14ac:dyDescent="0.3">
      <c r="Q523" s="1269"/>
    </row>
    <row r="524" spans="17:17" x14ac:dyDescent="0.3">
      <c r="Q524" s="1269"/>
    </row>
    <row r="525" spans="17:17" x14ac:dyDescent="0.3">
      <c r="Q525" s="1269"/>
    </row>
    <row r="526" spans="17:17" x14ac:dyDescent="0.3">
      <c r="Q526" s="1269"/>
    </row>
    <row r="527" spans="17:17" x14ac:dyDescent="0.3">
      <c r="Q527" s="1269"/>
    </row>
    <row r="528" spans="17:17" x14ac:dyDescent="0.3">
      <c r="Q528" s="1269"/>
    </row>
  </sheetData>
  <dataValidations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25" fitToHeight="0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N12" sqref="N12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074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1" customWidth="1"/>
    <col min="13" max="13" width="25" customWidth="1"/>
    <col min="14" max="14" width="12.6640625" customWidth="1"/>
    <col min="15" max="15" width="3.33203125" customWidth="1"/>
    <col min="16" max="16" width="10.6640625" customWidth="1"/>
    <col min="17" max="17" width="3.77734375" style="102" customWidth="1"/>
    <col min="19" max="19" width="10" customWidth="1"/>
    <col min="20" max="20" width="9.77734375" customWidth="1"/>
    <col min="21" max="21" width="6.2187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107"/>
      <c r="C1" s="1107"/>
      <c r="D1" s="1107"/>
      <c r="E1" s="1107"/>
      <c r="F1" s="1107"/>
      <c r="G1" s="1107"/>
      <c r="H1" s="1107"/>
      <c r="I1" s="1107"/>
      <c r="J1" s="1107"/>
      <c r="K1" s="1107" t="s">
        <v>309</v>
      </c>
      <c r="M1" s="2015" t="s">
        <v>237</v>
      </c>
      <c r="N1" s="2016"/>
      <c r="O1" s="57"/>
      <c r="R1" s="57"/>
      <c r="S1" s="57"/>
      <c r="T1" s="57"/>
      <c r="U1" s="57"/>
      <c r="V1" s="57"/>
      <c r="W1" s="953"/>
      <c r="X1" s="953"/>
      <c r="Y1" s="953"/>
      <c r="Z1" s="953"/>
    </row>
    <row r="2" spans="2:30" ht="16.2" thickBot="1" x14ac:dyDescent="0.35">
      <c r="B2" s="407"/>
      <c r="C2" s="408"/>
      <c r="D2" s="408"/>
      <c r="E2" s="1135" t="s">
        <v>0</v>
      </c>
      <c r="F2" s="1135"/>
      <c r="G2" s="408"/>
      <c r="H2" s="408"/>
      <c r="I2" s="408"/>
      <c r="J2" s="408"/>
      <c r="K2" s="409" t="s">
        <v>790</v>
      </c>
      <c r="L2" s="4"/>
      <c r="O2" s="57"/>
      <c r="R2" s="1940"/>
      <c r="S2" s="1940"/>
      <c r="T2" s="1941"/>
      <c r="U2" s="1941"/>
      <c r="Y2" s="1312"/>
      <c r="Z2" s="953"/>
    </row>
    <row r="3" spans="2:30" ht="16.2" thickBot="1" x14ac:dyDescent="0.35">
      <c r="B3" s="1091" t="s">
        <v>1</v>
      </c>
      <c r="C3" s="671"/>
      <c r="D3" s="671"/>
      <c r="E3" s="671"/>
      <c r="F3" s="671"/>
      <c r="G3" s="1654"/>
      <c r="H3" s="671"/>
      <c r="I3" s="1092"/>
      <c r="J3" s="1092"/>
      <c r="K3" s="1093"/>
      <c r="L3" s="204"/>
      <c r="M3" s="1506" t="s">
        <v>25</v>
      </c>
      <c r="N3" s="1507"/>
      <c r="O3" s="57"/>
      <c r="P3" s="204"/>
      <c r="R3" s="1942"/>
      <c r="S3" s="1942"/>
      <c r="T3" s="1941"/>
      <c r="U3" s="57"/>
      <c r="Y3" s="1312"/>
      <c r="Z3" s="57"/>
      <c r="AA3" s="57"/>
      <c r="AB3" s="57"/>
      <c r="AC3" s="57"/>
      <c r="AD3" s="57"/>
    </row>
    <row r="4" spans="2:30" ht="15.6" x14ac:dyDescent="0.3">
      <c r="B4" s="1094" t="s">
        <v>2</v>
      </c>
      <c r="C4" s="672"/>
      <c r="D4" s="672"/>
      <c r="E4" s="672"/>
      <c r="F4" s="672"/>
      <c r="G4" s="1864"/>
      <c r="H4" s="1095"/>
      <c r="I4" s="672"/>
      <c r="J4" s="672"/>
      <c r="K4" s="676"/>
      <c r="L4" s="56"/>
      <c r="M4" s="1508" t="s">
        <v>960</v>
      </c>
      <c r="N4" s="1523">
        <v>285</v>
      </c>
      <c r="O4" s="57"/>
      <c r="P4" s="56"/>
      <c r="R4" s="1942"/>
      <c r="S4" s="1942"/>
      <c r="T4" s="1941"/>
      <c r="U4" s="1941"/>
      <c r="Y4" s="1312"/>
      <c r="Z4" s="57"/>
      <c r="AA4" s="57"/>
      <c r="AB4" s="57"/>
      <c r="AC4" s="57"/>
      <c r="AD4" s="57"/>
    </row>
    <row r="5" spans="2:30" ht="15.6" x14ac:dyDescent="0.3">
      <c r="B5" s="1094" t="s">
        <v>3</v>
      </c>
      <c r="C5" s="672"/>
      <c r="D5" s="672"/>
      <c r="E5" s="672"/>
      <c r="F5" s="672"/>
      <c r="G5" s="1864"/>
      <c r="H5" s="1095"/>
      <c r="I5" s="672"/>
      <c r="J5" s="672"/>
      <c r="K5" s="676"/>
      <c r="L5" s="56"/>
      <c r="M5" s="1509" t="s">
        <v>222</v>
      </c>
      <c r="N5" s="1524">
        <v>120</v>
      </c>
      <c r="O5" s="57"/>
      <c r="R5" s="1942"/>
      <c r="S5" s="1942"/>
      <c r="T5" s="1941"/>
      <c r="U5" s="1941"/>
      <c r="Y5" s="1312"/>
      <c r="Z5" s="57"/>
      <c r="AA5" s="57"/>
      <c r="AB5" s="57"/>
      <c r="AC5" s="57"/>
      <c r="AD5" s="57"/>
    </row>
    <row r="6" spans="2:30" ht="15.6" x14ac:dyDescent="0.3">
      <c r="B6" s="1094" t="s">
        <v>7</v>
      </c>
      <c r="C6" s="672"/>
      <c r="D6" s="672"/>
      <c r="E6" s="672"/>
      <c r="F6" s="672"/>
      <c r="G6" s="1865"/>
      <c r="H6" s="1650"/>
      <c r="I6" s="672"/>
      <c r="J6" s="672"/>
      <c r="K6" s="676"/>
      <c r="L6" s="56"/>
      <c r="M6" s="1510" t="s">
        <v>961</v>
      </c>
      <c r="N6" s="1524">
        <v>270</v>
      </c>
      <c r="P6" s="56"/>
      <c r="R6" s="1942"/>
      <c r="S6" s="1942"/>
      <c r="T6" s="1941"/>
      <c r="U6" s="1941"/>
      <c r="Y6" s="1312"/>
      <c r="Z6" s="1175"/>
      <c r="AA6" s="57"/>
      <c r="AB6" s="57"/>
      <c r="AC6" s="57"/>
      <c r="AD6" s="57"/>
    </row>
    <row r="7" spans="2:30" ht="16.2" thickBot="1" x14ac:dyDescent="0.35">
      <c r="B7" s="1096"/>
      <c r="C7" s="215"/>
      <c r="D7" s="215"/>
      <c r="E7" s="215"/>
      <c r="F7" s="215"/>
      <c r="G7" s="1090"/>
      <c r="H7" s="215"/>
      <c r="I7" s="215"/>
      <c r="J7" s="215"/>
      <c r="K7" s="679"/>
      <c r="L7" s="56"/>
      <c r="M7" s="1511" t="s">
        <v>953</v>
      </c>
      <c r="N7" s="1525">
        <v>1</v>
      </c>
      <c r="O7" s="56"/>
      <c r="P7" s="56"/>
      <c r="R7" s="1942"/>
      <c r="S7" s="1942"/>
      <c r="T7" s="1943"/>
      <c r="U7" s="1939"/>
      <c r="Y7" s="1312"/>
      <c r="Z7" s="1175"/>
      <c r="AA7" s="57"/>
      <c r="AB7" s="57"/>
      <c r="AC7" s="57"/>
      <c r="AD7" s="57"/>
    </row>
    <row r="8" spans="2:30" ht="16.2" thickBot="1" x14ac:dyDescent="0.35">
      <c r="B8" s="1091" t="s">
        <v>12</v>
      </c>
      <c r="C8" s="671"/>
      <c r="D8" s="671"/>
      <c r="E8" s="671"/>
      <c r="F8" s="671"/>
      <c r="G8" s="1097" t="s">
        <v>23</v>
      </c>
      <c r="H8" s="671"/>
      <c r="I8" s="671"/>
      <c r="J8" s="671" t="s">
        <v>894</v>
      </c>
      <c r="K8" s="1098">
        <f ca="1">G9/G11</f>
        <v>0.60571428571428576</v>
      </c>
      <c r="L8" s="773"/>
      <c r="M8" s="1512" t="s">
        <v>964</v>
      </c>
      <c r="N8" s="1526">
        <f>(N4*N4-N5*N5)*N6*3.1415926*N10/4000000</f>
        <v>106.28056853184376</v>
      </c>
      <c r="O8" s="56"/>
      <c r="P8" s="1002" t="s">
        <v>77</v>
      </c>
      <c r="R8" s="1942"/>
      <c r="S8" s="1942"/>
      <c r="T8" s="1943"/>
      <c r="U8" s="1939"/>
      <c r="Y8" s="1312"/>
      <c r="Z8" s="640"/>
    </row>
    <row r="9" spans="2:30" ht="16.2" thickBot="1" x14ac:dyDescent="0.35">
      <c r="B9" s="1094" t="s">
        <v>15</v>
      </c>
      <c r="C9" s="672"/>
      <c r="D9" s="672"/>
      <c r="E9" s="672"/>
      <c r="F9" s="672"/>
      <c r="G9" s="1991">
        <f>IF(N9&lt;&gt;0,N9,ОкруглОТНОС(N8))</f>
        <v>106</v>
      </c>
      <c r="H9" s="1697"/>
      <c r="I9" s="672"/>
      <c r="J9" s="672" t="s">
        <v>18</v>
      </c>
      <c r="K9" s="1099">
        <f ca="1">G9/G13</f>
        <v>0.58241758241758246</v>
      </c>
      <c r="L9" s="127"/>
      <c r="M9" s="1513" t="s">
        <v>259</v>
      </c>
      <c r="N9" s="1527"/>
      <c r="O9" s="102"/>
      <c r="P9" s="1006" t="s">
        <v>928</v>
      </c>
      <c r="R9" s="1922" t="s">
        <v>929</v>
      </c>
      <c r="S9" s="1907"/>
      <c r="T9" s="1908"/>
      <c r="U9" s="1944"/>
      <c r="Y9" s="1312"/>
      <c r="Z9" s="953"/>
    </row>
    <row r="10" spans="2:30" ht="16.2" thickBot="1" x14ac:dyDescent="0.35">
      <c r="B10" s="1094" t="s">
        <v>17</v>
      </c>
      <c r="C10" s="672"/>
      <c r="D10" s="672"/>
      <c r="E10" s="672"/>
      <c r="F10" s="672"/>
      <c r="G10" s="1100">
        <f ca="1">ОкруглОТНОС(N23)</f>
        <v>175</v>
      </c>
      <c r="H10" s="1697"/>
      <c r="I10" s="672"/>
      <c r="J10" s="672"/>
      <c r="K10" s="1101"/>
      <c r="L10" s="310"/>
      <c r="M10" s="1514" t="s">
        <v>8</v>
      </c>
      <c r="N10" s="1528">
        <f>VLOOKUP(G8,Марка_металла[],9,FALSE)</f>
        <v>7.5</v>
      </c>
      <c r="P10" s="1003">
        <f>Данные!M92</f>
        <v>440</v>
      </c>
      <c r="R10" s="721" t="s">
        <v>816</v>
      </c>
      <c r="S10" s="722"/>
      <c r="T10" s="723">
        <v>25</v>
      </c>
      <c r="U10" s="1944"/>
      <c r="Y10" s="1312"/>
      <c r="Z10" s="953"/>
    </row>
    <row r="11" spans="2:30" ht="16.2" thickBot="1" x14ac:dyDescent="0.35">
      <c r="B11" s="1102" t="s">
        <v>262</v>
      </c>
      <c r="C11" s="672"/>
      <c r="D11" s="672"/>
      <c r="E11" s="672"/>
      <c r="F11" s="672"/>
      <c r="G11" s="1100">
        <f ca="1">ОкруглОТНОС(G10/G14)</f>
        <v>175</v>
      </c>
      <c r="H11" s="1697"/>
      <c r="I11" s="672"/>
      <c r="J11" s="672"/>
      <c r="K11" s="1101"/>
      <c r="L11" s="310"/>
      <c r="M11" s="1515" t="s">
        <v>927</v>
      </c>
      <c r="N11" s="1516"/>
      <c r="P11" s="1003">
        <f>Данные!M93</f>
        <v>470</v>
      </c>
      <c r="R11" s="18" t="s">
        <v>817</v>
      </c>
      <c r="S11" s="62"/>
      <c r="T11" s="697">
        <v>12</v>
      </c>
      <c r="U11" s="1944"/>
      <c r="Y11" s="1312"/>
      <c r="Z11" s="953"/>
    </row>
    <row r="12" spans="2:30" ht="15.6" x14ac:dyDescent="0.3">
      <c r="B12" s="1094" t="s">
        <v>27</v>
      </c>
      <c r="C12" s="672"/>
      <c r="D12" s="672"/>
      <c r="E12" s="672"/>
      <c r="F12" s="672"/>
      <c r="G12" s="1100">
        <f ca="1">IF(G10&lt;96,ROUNDUP(N23*1.04,1),ROUNDUP(N23*1.04,0))</f>
        <v>182</v>
      </c>
      <c r="H12" s="1697"/>
      <c r="I12" s="672"/>
      <c r="J12" s="672"/>
      <c r="K12" s="1101"/>
      <c r="L12" s="310"/>
      <c r="M12" s="1509" t="s">
        <v>965</v>
      </c>
      <c r="N12" s="1529">
        <f>Данные!U20</f>
        <v>5.5</v>
      </c>
      <c r="P12" s="1003">
        <f>Данные!M94</f>
        <v>318</v>
      </c>
      <c r="R12" s="710" t="s">
        <v>818</v>
      </c>
      <c r="S12" s="711"/>
      <c r="T12" s="712">
        <v>10</v>
      </c>
      <c r="U12" s="1042"/>
      <c r="Y12" s="1312"/>
      <c r="Z12" s="953"/>
    </row>
    <row r="13" spans="2:30" ht="15.6" x14ac:dyDescent="0.3">
      <c r="B13" s="1102" t="s">
        <v>263</v>
      </c>
      <c r="C13" s="672"/>
      <c r="D13" s="672"/>
      <c r="E13" s="672"/>
      <c r="F13" s="672"/>
      <c r="G13" s="1100">
        <f ca="1">IF(G12/G14&lt;1,ROUNDUP(G12/G14,2),ROUNDUP(G12/G14,1))</f>
        <v>182</v>
      </c>
      <c r="H13" s="1697"/>
      <c r="I13" s="672"/>
      <c r="J13" s="672"/>
      <c r="K13" s="1101"/>
      <c r="L13" s="310"/>
      <c r="M13" s="1510" t="s">
        <v>966</v>
      </c>
      <c r="N13" s="1530">
        <f ca="1">Данные!U22</f>
        <v>28.6</v>
      </c>
      <c r="P13" s="1003">
        <f>Данные!M95</f>
        <v>320</v>
      </c>
      <c r="R13" s="715" t="s">
        <v>819</v>
      </c>
      <c r="S13" s="716"/>
      <c r="T13" s="717">
        <f>T11</f>
        <v>12</v>
      </c>
      <c r="U13" s="1312"/>
      <c r="Y13" s="1312"/>
      <c r="Z13" s="953"/>
    </row>
    <row r="14" spans="2:30" ht="16.2" thickBot="1" x14ac:dyDescent="0.35">
      <c r="B14" s="1096" t="s">
        <v>31</v>
      </c>
      <c r="C14" s="215"/>
      <c r="D14" s="215"/>
      <c r="E14" s="215"/>
      <c r="F14" s="215"/>
      <c r="G14" s="1090">
        <f>N7</f>
        <v>1</v>
      </c>
      <c r="H14" s="215"/>
      <c r="I14" s="215"/>
      <c r="J14" s="215"/>
      <c r="K14" s="1103"/>
      <c r="L14" s="310"/>
      <c r="M14" s="1513" t="s">
        <v>967</v>
      </c>
      <c r="N14" s="1531">
        <f ca="1">IF(N22&lt;60,1,1.3)</f>
        <v>1.3</v>
      </c>
      <c r="P14" s="1003">
        <f>Данные!M96</f>
        <v>373</v>
      </c>
      <c r="R14" s="718" t="s">
        <v>752</v>
      </c>
      <c r="S14" s="719"/>
      <c r="T14" s="720">
        <v>20</v>
      </c>
      <c r="U14" s="1312"/>
      <c r="Y14" s="1312"/>
      <c r="Z14" s="953"/>
    </row>
    <row r="15" spans="2:30" ht="16.2" thickBot="1" x14ac:dyDescent="0.35">
      <c r="B15" s="1091"/>
      <c r="C15" s="1104" t="s">
        <v>186</v>
      </c>
      <c r="D15" s="671"/>
      <c r="E15" s="671"/>
      <c r="F15" s="671"/>
      <c r="G15" s="671"/>
      <c r="H15" s="671"/>
      <c r="I15" s="671"/>
      <c r="J15" s="671"/>
      <c r="K15" s="1105"/>
      <c r="L15" s="56"/>
      <c r="M15" s="1510" t="str">
        <f>IF(Данные!Z24=1,"Припуск на захват","Припуск на захват + доп")</f>
        <v>Припуск на захват</v>
      </c>
      <c r="N15" s="1530">
        <f ca="1">Данные!U23</f>
        <v>60</v>
      </c>
      <c r="P15" s="1003">
        <f>Данные!M97</f>
        <v>378</v>
      </c>
      <c r="R15" s="1159" t="s">
        <v>972</v>
      </c>
      <c r="S15" s="1160"/>
      <c r="T15" s="717">
        <v>1</v>
      </c>
      <c r="U15" s="1312"/>
      <c r="Y15" s="1312"/>
      <c r="Z15" s="953"/>
    </row>
    <row r="16" spans="2:30" ht="16.2" thickBot="1" x14ac:dyDescent="0.35">
      <c r="B16" s="1144"/>
      <c r="C16" s="132"/>
      <c r="D16" s="132"/>
      <c r="E16" s="132"/>
      <c r="F16" s="132"/>
      <c r="G16" s="1145"/>
      <c r="H16" s="132"/>
      <c r="I16" s="132"/>
      <c r="J16" s="132"/>
      <c r="K16" s="1101"/>
      <c r="L16" s="310"/>
      <c r="M16" s="1513" t="s">
        <v>968</v>
      </c>
      <c r="N16" s="1531">
        <f>Данные!U24</f>
        <v>14</v>
      </c>
      <c r="P16" s="1003">
        <f>Данные!M98</f>
        <v>310</v>
      </c>
      <c r="R16" s="953"/>
      <c r="S16" s="953"/>
      <c r="T16" s="733">
        <f>T10*T11+T12*T13+T14*T15</f>
        <v>440</v>
      </c>
      <c r="U16" s="1312"/>
      <c r="Y16" s="1312"/>
      <c r="Z16" s="953"/>
    </row>
    <row r="17" spans="2:26" ht="16.2" thickBot="1" x14ac:dyDescent="0.35">
      <c r="B17" s="1144"/>
      <c r="C17" s="132"/>
      <c r="D17" s="132"/>
      <c r="E17" s="132"/>
      <c r="F17" s="132"/>
      <c r="G17" s="1145"/>
      <c r="H17" s="132"/>
      <c r="I17" s="132"/>
      <c r="J17" s="132"/>
      <c r="K17" s="1101"/>
      <c r="L17" s="310"/>
      <c r="M17" s="1515" t="s">
        <v>264</v>
      </c>
      <c r="N17" s="1516"/>
      <c r="P17" s="1003">
        <f>Данные!M99</f>
        <v>435</v>
      </c>
      <c r="R17" s="951" t="s">
        <v>841</v>
      </c>
      <c r="S17" s="952"/>
      <c r="T17" s="775">
        <f>ROUNDUP(T16/0.985+G31,0)</f>
        <v>487</v>
      </c>
      <c r="U17" s="1312"/>
      <c r="Y17" s="1312"/>
      <c r="Z17" s="953"/>
    </row>
    <row r="18" spans="2:26" ht="15.6" x14ac:dyDescent="0.3">
      <c r="B18" s="1144"/>
      <c r="C18" s="132"/>
      <c r="D18" s="132"/>
      <c r="E18" s="132"/>
      <c r="F18" s="132"/>
      <c r="G18" s="1145"/>
      <c r="H18" s="132"/>
      <c r="I18" s="132"/>
      <c r="J18" s="132"/>
      <c r="K18" s="676"/>
      <c r="L18" s="56"/>
      <c r="M18" s="1517" t="s">
        <v>976</v>
      </c>
      <c r="N18" s="1532">
        <f ca="1">IF(G32&lt;60,N4+(N12*2),(G32+G31)/60+N29)</f>
        <v>296</v>
      </c>
      <c r="P18" s="1003">
        <f>Данные!M100</f>
        <v>260</v>
      </c>
      <c r="R18" s="953"/>
      <c r="S18" s="953"/>
      <c r="T18" s="953"/>
      <c r="U18" s="1312"/>
      <c r="Y18" s="1312"/>
      <c r="Z18" s="953"/>
    </row>
    <row r="19" spans="2:26" ht="15.6" x14ac:dyDescent="0.3">
      <c r="B19" s="1146"/>
      <c r="C19" s="1292">
        <f>ROUND(N29*0.99,0)</f>
        <v>297</v>
      </c>
      <c r="D19" s="132"/>
      <c r="E19" s="132"/>
      <c r="F19" s="132"/>
      <c r="G19" s="1145"/>
      <c r="H19" s="1627">
        <f ca="1">N19</f>
        <v>62.5</v>
      </c>
      <c r="I19" s="132"/>
      <c r="J19" s="132"/>
      <c r="K19" s="676"/>
      <c r="L19" s="56"/>
      <c r="M19" s="1510" t="s">
        <v>969</v>
      </c>
      <c r="N19" s="1984">
        <f ca="1">_xlfn.FLOOR.MATH(N5-(Данные!U22*2),2.5)</f>
        <v>62.5</v>
      </c>
      <c r="P19" s="1003" t="str">
        <f>Данные!M101</f>
        <v/>
      </c>
      <c r="R19" s="1240" t="s">
        <v>995</v>
      </c>
      <c r="S19" s="1241"/>
      <c r="T19" s="953"/>
      <c r="U19" s="1312"/>
      <c r="Y19" s="1312"/>
      <c r="Z19" s="953"/>
    </row>
    <row r="20" spans="2:26" ht="15.6" x14ac:dyDescent="0.3">
      <c r="B20" s="1144"/>
      <c r="C20" s="1321">
        <f>ROUNDUP(N4,0)</f>
        <v>285</v>
      </c>
      <c r="D20" s="132"/>
      <c r="E20" s="132"/>
      <c r="F20" s="132"/>
      <c r="G20" s="1145"/>
      <c r="H20" s="1322">
        <f>ROUNDDOWN(N5,0)</f>
        <v>120</v>
      </c>
      <c r="I20" s="1147"/>
      <c r="J20" s="132"/>
      <c r="K20" s="1106"/>
      <c r="L20" s="771"/>
      <c r="M20" s="1510" t="s">
        <v>270</v>
      </c>
      <c r="N20" s="1533">
        <f ca="1">IF(N7=1,MROUND((N6+N15),1),MROUND(((N6+N16)*N7+N15),1))</f>
        <v>330</v>
      </c>
      <c r="P20" s="1003" t="str">
        <f>Данные!M102</f>
        <v/>
      </c>
      <c r="R20" s="1733" t="s">
        <v>2077</v>
      </c>
      <c r="S20" s="463"/>
      <c r="T20" s="1029"/>
      <c r="U20" s="953"/>
      <c r="Y20" s="953"/>
      <c r="Z20" s="953"/>
    </row>
    <row r="21" spans="2:26" ht="16.2" thickBot="1" x14ac:dyDescent="0.35">
      <c r="B21" s="1144"/>
      <c r="C21" s="1234"/>
      <c r="D21" s="132"/>
      <c r="E21" s="132"/>
      <c r="F21" s="132"/>
      <c r="G21" s="1145"/>
      <c r="H21" s="1729"/>
      <c r="I21" s="132"/>
      <c r="J21" s="132"/>
      <c r="K21" s="1101"/>
      <c r="L21" s="310"/>
      <c r="M21" s="1544" t="s">
        <v>1871</v>
      </c>
      <c r="N21" s="1534"/>
      <c r="P21" s="1003" t="str">
        <f>Данные!M103</f>
        <v/>
      </c>
      <c r="R21" s="462" t="s">
        <v>992</v>
      </c>
      <c r="S21" s="463">
        <v>100</v>
      </c>
      <c r="T21" s="1029"/>
      <c r="U21" s="953"/>
      <c r="Y21" s="953"/>
      <c r="Z21" s="953"/>
    </row>
    <row r="22" spans="2:26" ht="15.6" x14ac:dyDescent="0.3">
      <c r="B22" s="1144"/>
      <c r="C22" s="132"/>
      <c r="D22" s="132"/>
      <c r="E22" s="132"/>
      <c r="F22" s="132"/>
      <c r="G22" s="1145"/>
      <c r="H22" s="132"/>
      <c r="I22" s="132"/>
      <c r="J22" s="132"/>
      <c r="K22" s="1101"/>
      <c r="L22" s="310"/>
      <c r="M22" s="1518" t="s">
        <v>805</v>
      </c>
      <c r="N22" s="1535">
        <f ca="1">(N29*0.99-N19)/2</f>
        <v>117.25</v>
      </c>
      <c r="P22" s="1003" t="str">
        <f>Данные!M104</f>
        <v/>
      </c>
      <c r="R22" s="462" t="s">
        <v>993</v>
      </c>
      <c r="S22" s="463">
        <v>120</v>
      </c>
      <c r="T22" s="1029"/>
      <c r="U22" s="953"/>
      <c r="Y22" s="953"/>
      <c r="Z22" s="953"/>
    </row>
    <row r="23" spans="2:26" ht="16.2" thickBot="1" x14ac:dyDescent="0.35">
      <c r="B23" s="1144"/>
      <c r="C23" s="132"/>
      <c r="D23" s="132"/>
      <c r="E23" s="132"/>
      <c r="F23" s="132"/>
      <c r="G23" s="1145"/>
      <c r="H23" s="132"/>
      <c r="I23" s="132"/>
      <c r="J23" s="132"/>
      <c r="K23" s="1101"/>
      <c r="L23" s="310"/>
      <c r="M23" s="1511" t="s">
        <v>17</v>
      </c>
      <c r="N23" s="1536">
        <f ca="1">ROUNDUP((N31*N31-N19*N19)*3.1415926*(N20+N21)*N10/4000000,1)</f>
        <v>174.79999999999998</v>
      </c>
      <c r="P23" s="1004" t="str">
        <f>Данные!M105</f>
        <v/>
      </c>
      <c r="R23" s="1238" t="s">
        <v>994</v>
      </c>
      <c r="S23" s="1239">
        <v>150</v>
      </c>
      <c r="T23" s="1029"/>
      <c r="U23" s="953"/>
      <c r="Y23" s="953"/>
      <c r="Z23" s="953"/>
    </row>
    <row r="24" spans="2:26" ht="15.6" x14ac:dyDescent="0.3">
      <c r="B24" s="1144"/>
      <c r="C24" s="132"/>
      <c r="D24" s="132"/>
      <c r="E24" s="1148"/>
      <c r="F24" s="1069">
        <f ca="1">N20+N21</f>
        <v>330</v>
      </c>
      <c r="G24" s="132"/>
      <c r="H24" s="132"/>
      <c r="I24" s="132"/>
      <c r="J24" s="132"/>
      <c r="K24" s="1101"/>
      <c r="L24" s="310"/>
      <c r="M24" s="1519" t="s">
        <v>268</v>
      </c>
      <c r="N24" s="1537"/>
      <c r="P24" s="1007"/>
      <c r="R24" s="1029"/>
      <c r="S24" s="1029"/>
      <c r="T24" s="1029"/>
      <c r="U24" s="953"/>
      <c r="Y24" s="953"/>
      <c r="Z24" s="953"/>
    </row>
    <row r="25" spans="2:26" ht="15.6" x14ac:dyDescent="0.3">
      <c r="B25" s="1144"/>
      <c r="C25" s="132"/>
      <c r="D25" s="132"/>
      <c r="E25" s="1149"/>
      <c r="F25" s="1322">
        <f>ROUNDUP(N6,0)</f>
        <v>270</v>
      </c>
      <c r="G25" s="1150"/>
      <c r="H25" s="132"/>
      <c r="I25" s="132"/>
      <c r="J25" s="132"/>
      <c r="K25" s="1101"/>
      <c r="L25" s="310"/>
      <c r="M25" s="1520" t="s">
        <v>970</v>
      </c>
      <c r="N25" s="1538">
        <f>ROUNDUP((N4+(N12*2))/0.99/2.5,0)*2.5</f>
        <v>300</v>
      </c>
      <c r="P25" s="1007"/>
      <c r="R25" s="1029"/>
      <c r="S25" s="1029"/>
      <c r="T25" s="1029"/>
      <c r="Y25" s="57"/>
      <c r="Z25" s="953"/>
    </row>
    <row r="26" spans="2:26" ht="16.2" thickBot="1" x14ac:dyDescent="0.35">
      <c r="B26" s="1151"/>
      <c r="C26" s="1152"/>
      <c r="D26" s="1152"/>
      <c r="E26" s="1149"/>
      <c r="F26" s="1153"/>
      <c r="G26" s="1154"/>
      <c r="H26" s="1152"/>
      <c r="I26" s="1152"/>
      <c r="J26" s="1152"/>
      <c r="K26" s="1103"/>
      <c r="L26" s="310"/>
      <c r="M26" s="1520" t="s">
        <v>302</v>
      </c>
      <c r="N26" s="1539">
        <f ca="1">G33+G31</f>
        <v>376</v>
      </c>
      <c r="P26" s="1724"/>
      <c r="R26" s="953"/>
      <c r="S26" s="953"/>
      <c r="T26" s="953"/>
      <c r="Z26" s="953"/>
    </row>
    <row r="27" spans="2:26" ht="16.2" thickBot="1" x14ac:dyDescent="0.35">
      <c r="B27" s="407"/>
      <c r="C27" s="408"/>
      <c r="D27" s="408"/>
      <c r="E27" s="1108" t="s">
        <v>594</v>
      </c>
      <c r="F27" s="1109"/>
      <c r="G27" s="671"/>
      <c r="H27" s="408"/>
      <c r="I27" s="408"/>
      <c r="J27" s="408"/>
      <c r="K27" s="1110"/>
      <c r="L27" s="310"/>
      <c r="M27" s="1521" t="s">
        <v>911</v>
      </c>
      <c r="N27" s="1540"/>
      <c r="T27" s="953"/>
      <c r="Z27" s="953"/>
    </row>
    <row r="28" spans="2:26" ht="16.2" thickBot="1" x14ac:dyDescent="0.35">
      <c r="B28" s="2009" t="s">
        <v>237</v>
      </c>
      <c r="C28" s="2011"/>
      <c r="D28" s="2010"/>
      <c r="E28" s="2009" t="s">
        <v>177</v>
      </c>
      <c r="F28" s="2010"/>
      <c r="G28" s="1111" t="s">
        <v>77</v>
      </c>
      <c r="H28" s="2009" t="s">
        <v>766</v>
      </c>
      <c r="I28" s="2011"/>
      <c r="J28" s="2010"/>
      <c r="K28" s="1112" t="s">
        <v>238</v>
      </c>
      <c r="L28" s="734"/>
      <c r="M28" s="1522" t="s">
        <v>912</v>
      </c>
      <c r="N28" s="1541"/>
      <c r="P28" s="1007"/>
      <c r="T28" s="953"/>
      <c r="Z28" s="953"/>
    </row>
    <row r="29" spans="2:26" ht="18" x14ac:dyDescent="0.3">
      <c r="B29" s="1113" t="s">
        <v>239</v>
      </c>
      <c r="C29" s="672"/>
      <c r="D29" s="672"/>
      <c r="E29" s="2023">
        <f>N29</f>
        <v>300</v>
      </c>
      <c r="F29" s="2024"/>
      <c r="G29" s="1114">
        <f ca="1">N30</f>
        <v>378</v>
      </c>
      <c r="H29" s="2020" t="str">
        <f ca="1">Данные!N139</f>
        <v>72.11874 - 32</v>
      </c>
      <c r="I29" s="2021"/>
      <c r="J29" s="2022"/>
      <c r="K29" s="1115"/>
      <c r="L29" s="206"/>
      <c r="M29" s="1508" t="s">
        <v>971</v>
      </c>
      <c r="N29" s="1985">
        <f>Данные!N136</f>
        <v>300</v>
      </c>
      <c r="P29" s="1007"/>
      <c r="T29" s="953"/>
      <c r="Z29" s="953"/>
    </row>
    <row r="30" spans="2:26" ht="15.6" x14ac:dyDescent="0.3">
      <c r="B30" s="1113" t="s">
        <v>962</v>
      </c>
      <c r="C30" s="672"/>
      <c r="D30" s="672"/>
      <c r="E30" s="2025">
        <f ca="1">N19</f>
        <v>62.5</v>
      </c>
      <c r="F30" s="2026"/>
      <c r="G30" s="1114"/>
      <c r="H30" s="2012" t="str">
        <f ca="1">VLOOKUP(Данные!F35,Залив_кольца[],2)&amp;" - "&amp;RANDBETWEEN(1,15)</f>
        <v>72.11879 - 10</v>
      </c>
      <c r="I30" s="2013"/>
      <c r="J30" s="2014"/>
      <c r="K30" s="1116"/>
      <c r="L30" s="772"/>
      <c r="M30" s="1510" t="s">
        <v>691</v>
      </c>
      <c r="N30" s="1542">
        <f ca="1">Данные!N137</f>
        <v>378</v>
      </c>
      <c r="P30" s="1007"/>
      <c r="T30" s="953"/>
      <c r="Z30" s="953"/>
    </row>
    <row r="31" spans="2:26" ht="15.6" x14ac:dyDescent="0.3">
      <c r="B31" s="1113" t="s">
        <v>240</v>
      </c>
      <c r="C31" s="672"/>
      <c r="D31" s="672"/>
      <c r="E31" s="2025">
        <f>E29</f>
        <v>300</v>
      </c>
      <c r="F31" s="2026"/>
      <c r="G31" s="1117">
        <v>40</v>
      </c>
      <c r="H31" s="2012" t="str">
        <f>VLOOKUP(E31,Инв_номер_токателя[],2)</f>
        <v>72.47214 - 322</v>
      </c>
      <c r="I31" s="2013"/>
      <c r="J31" s="2014"/>
      <c r="K31" s="1118"/>
      <c r="L31" s="206"/>
      <c r="M31" s="1510" t="s">
        <v>446</v>
      </c>
      <c r="N31" s="1543">
        <f ca="1">N30/60+N29</f>
        <v>306.3</v>
      </c>
      <c r="P31" s="1007"/>
      <c r="T31" s="57"/>
      <c r="Z31" s="953"/>
    </row>
    <row r="32" spans="2:26" ht="16.2" thickBot="1" x14ac:dyDescent="0.35">
      <c r="B32" s="1113" t="s">
        <v>963</v>
      </c>
      <c r="C32" s="672"/>
      <c r="D32" s="672"/>
      <c r="E32" s="2027"/>
      <c r="F32" s="2028"/>
      <c r="G32" s="1117">
        <f ca="1">G29+G30-G31-G33</f>
        <v>2</v>
      </c>
      <c r="H32" s="1119"/>
      <c r="I32" s="1120"/>
      <c r="J32" s="1121"/>
      <c r="K32" s="1122"/>
      <c r="L32" s="206"/>
      <c r="M32" s="1510" t="s">
        <v>445</v>
      </c>
      <c r="N32" s="1543">
        <f ca="1">N30/30+N29</f>
        <v>312.60000000000002</v>
      </c>
      <c r="P32" s="1007"/>
      <c r="Z32" s="953"/>
    </row>
    <row r="33" spans="2:31" ht="16.2" thickBot="1" x14ac:dyDescent="0.35">
      <c r="B33" s="1091"/>
      <c r="C33" s="1104" t="s">
        <v>241</v>
      </c>
      <c r="D33" s="671"/>
      <c r="E33" s="1123"/>
      <c r="F33" s="1123"/>
      <c r="G33" s="1124">
        <f ca="1">ROUNDUP(F24/0.985,0)</f>
        <v>336</v>
      </c>
      <c r="H33" s="672"/>
      <c r="I33" s="672"/>
      <c r="J33" s="672"/>
      <c r="K33" s="1105"/>
      <c r="L33" s="56"/>
      <c r="M33" s="1986" t="s">
        <v>2151</v>
      </c>
      <c r="N33" s="1987">
        <f ca="1">Данные!N138</f>
        <v>450</v>
      </c>
      <c r="P33" s="102"/>
      <c r="Z33" s="953"/>
    </row>
    <row r="34" spans="2:31" ht="16.2" customHeight="1" thickBot="1" x14ac:dyDescent="0.35">
      <c r="B34" s="1096"/>
      <c r="C34" s="215"/>
      <c r="D34" s="215"/>
      <c r="E34" s="215"/>
      <c r="F34" s="215"/>
      <c r="G34" s="215"/>
      <c r="H34" s="215"/>
      <c r="I34" s="215"/>
      <c r="J34" s="215"/>
      <c r="K34" s="679"/>
      <c r="L34" s="56"/>
      <c r="M34" s="1505" t="s">
        <v>825</v>
      </c>
      <c r="N34" s="102"/>
      <c r="Z34" s="57"/>
      <c r="AA34" s="57"/>
      <c r="AB34" s="57"/>
      <c r="AC34" s="57"/>
      <c r="AD34" s="57"/>
      <c r="AE34" s="57"/>
    </row>
    <row r="35" spans="2:31" ht="15.6" x14ac:dyDescent="0.3">
      <c r="B35" s="1125" t="str">
        <f>"Плавка по инструкции "&amp;VLOOKUP(G8,Марка_металла[],6,FALSE())</f>
        <v>Плавка по инструкции 25010.00176</v>
      </c>
      <c r="C35" s="671"/>
      <c r="D35" s="671"/>
      <c r="E35" s="671"/>
      <c r="F35" s="671"/>
      <c r="G35" s="1126"/>
      <c r="H35" s="671"/>
      <c r="I35" s="671"/>
      <c r="J35" s="671"/>
      <c r="K35" s="1127"/>
      <c r="L35" s="310"/>
      <c r="M35" s="1636">
        <f>VLOOKUP(N29,Изложницы_без_бурта[],6,FALSE)</f>
        <v>0</v>
      </c>
      <c r="N35" s="1631"/>
      <c r="U35" s="57"/>
      <c r="W35" s="57"/>
      <c r="X35" s="57"/>
      <c r="Y35" s="57"/>
      <c r="Z35" s="57"/>
      <c r="AA35" s="57"/>
      <c r="AB35" s="57"/>
      <c r="AC35" s="57"/>
      <c r="AD35" s="57"/>
      <c r="AE35" s="57"/>
    </row>
    <row r="36" spans="2:31" ht="16.2" thickBot="1" x14ac:dyDescent="0.35">
      <c r="B36" s="1128" t="s">
        <v>242</v>
      </c>
      <c r="C36" s="215"/>
      <c r="D36" s="215"/>
      <c r="E36" s="215"/>
      <c r="F36" s="215"/>
      <c r="G36" s="1129"/>
      <c r="H36" s="215"/>
      <c r="I36" s="215"/>
      <c r="J36" s="215"/>
      <c r="K36" s="1103"/>
      <c r="L36" s="310"/>
      <c r="M36" s="1635"/>
      <c r="N36" s="1632"/>
      <c r="U36" s="57"/>
      <c r="W36" s="57"/>
      <c r="X36" s="57"/>
      <c r="Y36" s="57"/>
      <c r="Z36" s="57"/>
      <c r="AA36" s="57"/>
      <c r="AB36" s="57"/>
      <c r="AC36" s="57"/>
      <c r="AD36" s="57"/>
      <c r="AE36" s="57"/>
    </row>
    <row r="37" spans="2:31" ht="15.6" x14ac:dyDescent="0.3">
      <c r="B37" s="1125" t="s">
        <v>243</v>
      </c>
      <c r="C37" s="671"/>
      <c r="D37" s="671"/>
      <c r="E37" s="671"/>
      <c r="F37" s="671"/>
      <c r="G37" s="1130"/>
      <c r="H37" s="671"/>
      <c r="I37" s="671"/>
      <c r="J37" s="671"/>
      <c r="K37" s="1105"/>
      <c r="L37" s="56"/>
      <c r="M37" s="1637">
        <f>_xlfn.IFNA(VLOOKUP(Данные!F35,Залив_кольца[],3,0),"")</f>
        <v>0</v>
      </c>
      <c r="N37" s="1632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</row>
    <row r="38" spans="2:31" ht="15.6" x14ac:dyDescent="0.3">
      <c r="B38" s="1113" t="s">
        <v>244</v>
      </c>
      <c r="C38" s="672"/>
      <c r="D38" s="672"/>
      <c r="E38" s="672"/>
      <c r="F38" s="672"/>
      <c r="G38" s="1080"/>
      <c r="H38" s="672"/>
      <c r="I38" s="672"/>
      <c r="J38" s="672"/>
      <c r="K38" s="676"/>
      <c r="L38" s="56"/>
      <c r="M38" s="1633"/>
      <c r="N38" s="1634"/>
      <c r="R38" s="1312"/>
      <c r="S38" s="1312"/>
      <c r="T38" s="1312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</row>
    <row r="39" spans="2:31" ht="15.6" x14ac:dyDescent="0.3">
      <c r="B39" s="1113" t="s">
        <v>245</v>
      </c>
      <c r="C39" s="672"/>
      <c r="D39" s="672"/>
      <c r="E39" s="672"/>
      <c r="F39" s="672"/>
      <c r="G39" s="1080"/>
      <c r="H39" s="672"/>
      <c r="I39" s="672"/>
      <c r="J39" s="672"/>
      <c r="K39" s="676"/>
      <c r="L39" s="56"/>
      <c r="R39" s="1312"/>
      <c r="S39" s="1312"/>
      <c r="T39" s="1312"/>
      <c r="U39" s="366"/>
      <c r="V39" s="366"/>
      <c r="W39" s="366"/>
      <c r="X39" s="366"/>
      <c r="Y39" s="366"/>
      <c r="Z39" s="997"/>
      <c r="AA39" s="366"/>
      <c r="AB39" s="366"/>
      <c r="AC39" s="998"/>
      <c r="AD39" s="57"/>
      <c r="AE39" s="57"/>
    </row>
    <row r="40" spans="2:31" ht="16.2" thickBot="1" x14ac:dyDescent="0.35">
      <c r="B40" s="1096"/>
      <c r="C40" s="215"/>
      <c r="D40" s="215"/>
      <c r="E40" s="215"/>
      <c r="F40" s="215"/>
      <c r="G40" s="215"/>
      <c r="H40" s="215"/>
      <c r="I40" s="215"/>
      <c r="J40" s="215"/>
      <c r="K40" s="679"/>
      <c r="L40" s="56"/>
      <c r="M40" s="220" t="s">
        <v>361</v>
      </c>
      <c r="N40" s="41"/>
      <c r="R40" s="57"/>
      <c r="S40" s="57"/>
      <c r="T40" s="57"/>
      <c r="U40" s="366"/>
      <c r="V40" s="366"/>
      <c r="W40" s="366"/>
      <c r="X40" s="366"/>
      <c r="Y40" s="366"/>
      <c r="Z40" s="997"/>
      <c r="AA40" s="366"/>
      <c r="AB40" s="366"/>
      <c r="AC40" s="998"/>
      <c r="AD40" s="999"/>
      <c r="AE40" s="57"/>
    </row>
    <row r="41" spans="2:31" ht="16.2" thickBot="1" x14ac:dyDescent="0.35">
      <c r="B41" s="2009" t="s">
        <v>246</v>
      </c>
      <c r="C41" s="2011"/>
      <c r="D41" s="2010"/>
      <c r="E41" s="1131" t="s">
        <v>59</v>
      </c>
      <c r="F41" s="1132" t="s">
        <v>58</v>
      </c>
      <c r="G41" s="1132" t="s">
        <v>1870</v>
      </c>
      <c r="H41" s="1131" t="s">
        <v>58</v>
      </c>
      <c r="I41" s="2009" t="s">
        <v>833</v>
      </c>
      <c r="J41" s="2010"/>
      <c r="K41" s="1131" t="s">
        <v>58</v>
      </c>
      <c r="L41" s="10"/>
      <c r="R41" s="57"/>
      <c r="S41" s="996"/>
      <c r="T41" s="996"/>
      <c r="U41" s="996"/>
      <c r="V41" s="366"/>
      <c r="W41" s="366"/>
      <c r="X41" s="995"/>
      <c r="Y41" s="995"/>
      <c r="Z41" s="1000"/>
      <c r="AA41" s="1000"/>
      <c r="AB41" s="994"/>
      <c r="AC41" s="366"/>
      <c r="AD41" s="366"/>
      <c r="AE41" s="57"/>
    </row>
    <row r="42" spans="2:31" ht="16.2" thickBot="1" x14ac:dyDescent="0.35">
      <c r="B42" s="2017">
        <f ca="1">TODAY()</f>
        <v>45590</v>
      </c>
      <c r="C42" s="2018"/>
      <c r="D42" s="2019"/>
      <c r="E42" s="1133"/>
      <c r="F42" s="1134"/>
      <c r="G42" s="1134"/>
      <c r="H42" s="1133"/>
      <c r="I42" s="2007"/>
      <c r="J42" s="2008"/>
      <c r="K42" s="1133"/>
      <c r="L42" s="56"/>
      <c r="R42" s="57"/>
      <c r="S42" s="996"/>
      <c r="T42" s="996"/>
      <c r="U42" s="996"/>
      <c r="V42" s="998"/>
      <c r="W42" s="998"/>
      <c r="X42" s="998"/>
      <c r="Y42" s="998"/>
      <c r="Z42" s="998"/>
      <c r="AA42" s="998"/>
      <c r="AB42" s="995"/>
      <c r="AC42" s="995"/>
      <c r="AD42" s="995"/>
      <c r="AE42" s="57"/>
    </row>
    <row r="43" spans="2:31" ht="16.2" thickBot="1" x14ac:dyDescent="0.35">
      <c r="B43" s="2009" t="s">
        <v>61</v>
      </c>
      <c r="C43" s="2011"/>
      <c r="D43" s="2010"/>
      <c r="E43" s="1133"/>
      <c r="F43" s="1134"/>
      <c r="G43" s="1134"/>
      <c r="H43" s="1133"/>
      <c r="I43" s="2007"/>
      <c r="J43" s="2008"/>
      <c r="K43" s="1133"/>
      <c r="L43" s="56"/>
      <c r="R43" s="57"/>
      <c r="S43" s="996"/>
      <c r="T43" s="996"/>
      <c r="U43" s="996"/>
      <c r="V43" s="998"/>
      <c r="W43" s="998"/>
      <c r="X43" s="998"/>
      <c r="Y43" s="998"/>
      <c r="Z43" s="998"/>
      <c r="AA43" s="998"/>
      <c r="AB43" s="995"/>
      <c r="AC43" s="998"/>
      <c r="AD43" s="998"/>
      <c r="AE43" s="57"/>
    </row>
    <row r="44" spans="2:31" x14ac:dyDescent="0.3">
      <c r="N44" s="41"/>
      <c r="R44" s="57"/>
      <c r="S44" s="996"/>
      <c r="T44" s="996"/>
      <c r="U44" s="996"/>
      <c r="V44" s="998"/>
      <c r="W44" s="998"/>
      <c r="X44" s="998"/>
      <c r="Y44" s="998"/>
      <c r="Z44" s="998"/>
      <c r="AA44" s="998"/>
      <c r="AB44" s="995"/>
      <c r="AC44" s="998"/>
      <c r="AD44" s="998"/>
      <c r="AE44" s="57"/>
    </row>
    <row r="45" spans="2:31" x14ac:dyDescent="0.3">
      <c r="R45" s="57"/>
      <c r="S45" s="996"/>
      <c r="T45" s="996"/>
      <c r="U45" s="996"/>
      <c r="V45" s="366"/>
      <c r="W45" s="366"/>
      <c r="X45" s="995"/>
      <c r="Y45" s="995"/>
      <c r="Z45" s="1001"/>
      <c r="AA45" s="1001"/>
      <c r="AB45" s="366"/>
      <c r="AC45" s="366"/>
      <c r="AD45" s="366"/>
      <c r="AE45" s="57"/>
    </row>
    <row r="46" spans="2:31" x14ac:dyDescent="0.3"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</row>
    <row r="47" spans="2:31" x14ac:dyDescent="0.3">
      <c r="H47" s="41"/>
      <c r="R47" s="57"/>
      <c r="S47" s="57"/>
      <c r="T47" s="229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</row>
    <row r="48" spans="2:31" x14ac:dyDescent="0.3">
      <c r="G48" s="41"/>
      <c r="H48" s="41"/>
      <c r="I48" s="41"/>
      <c r="J48" s="41"/>
      <c r="K48" s="41"/>
      <c r="R48" s="57"/>
      <c r="S48" s="57"/>
      <c r="T48" s="996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</row>
    <row r="49" spans="2:31" x14ac:dyDescent="0.3">
      <c r="B49" s="1029"/>
      <c r="C49" s="1029"/>
      <c r="D49" s="1029"/>
      <c r="E49" s="1029"/>
      <c r="F49" s="1029"/>
      <c r="G49" s="1029"/>
      <c r="H49" s="1029"/>
      <c r="I49" s="1029"/>
      <c r="J49" s="1029"/>
      <c r="K49" s="1029"/>
      <c r="M49" s="56"/>
      <c r="N49" s="56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</row>
    <row r="50" spans="2:31" x14ac:dyDescent="0.3">
      <c r="B50" s="1029"/>
      <c r="C50" s="1029"/>
      <c r="D50" s="1029"/>
      <c r="E50" s="204"/>
      <c r="F50" s="204"/>
      <c r="G50" s="1029"/>
      <c r="H50" s="1029"/>
      <c r="I50" s="1029"/>
      <c r="J50" s="1029"/>
      <c r="K50" s="1029"/>
      <c r="S50" s="974"/>
      <c r="T50" s="974"/>
      <c r="U50" s="974"/>
      <c r="V50" s="974"/>
      <c r="W50" s="974"/>
      <c r="X50" s="974"/>
      <c r="Y50" s="974"/>
      <c r="Z50" s="974"/>
      <c r="AA50" s="974"/>
      <c r="AB50" s="974"/>
      <c r="AC50" s="974"/>
      <c r="AD50" s="974"/>
    </row>
    <row r="51" spans="2:31" x14ac:dyDescent="0.3">
      <c r="B51" s="1029"/>
      <c r="C51" s="1029"/>
      <c r="D51" s="1029"/>
      <c r="E51" s="1029"/>
      <c r="F51" s="1029"/>
      <c r="G51" s="268"/>
      <c r="H51" s="1029"/>
      <c r="I51" s="204"/>
      <c r="J51" s="204"/>
      <c r="K51" s="204"/>
      <c r="S51" s="974"/>
      <c r="T51" s="974"/>
      <c r="U51" s="974"/>
      <c r="V51" s="974"/>
      <c r="W51" s="974"/>
      <c r="X51" s="974"/>
      <c r="Y51" s="974"/>
      <c r="Z51" s="974"/>
      <c r="AA51" s="974"/>
      <c r="AB51" s="974"/>
      <c r="AC51" s="974"/>
      <c r="AD51" s="974"/>
    </row>
    <row r="52" spans="2:31" x14ac:dyDescent="0.3">
      <c r="B52" s="1029"/>
      <c r="C52" s="1029"/>
      <c r="D52" s="1029"/>
      <c r="E52" s="1029"/>
      <c r="F52" s="1029"/>
      <c r="G52" s="992"/>
      <c r="H52" s="57"/>
      <c r="I52" s="1029"/>
      <c r="J52" s="1029"/>
      <c r="K52" s="1029"/>
    </row>
    <row r="53" spans="2:31" x14ac:dyDescent="0.3">
      <c r="B53" s="1029"/>
      <c r="C53" s="1029"/>
      <c r="D53" s="1029"/>
      <c r="E53" s="1029"/>
      <c r="F53" s="1029"/>
      <c r="G53" s="402"/>
      <c r="H53" s="57"/>
      <c r="I53" s="1029"/>
      <c r="J53" s="1029"/>
      <c r="K53" s="1029"/>
      <c r="M53" s="41"/>
      <c r="N53" s="41"/>
    </row>
    <row r="54" spans="2:31" x14ac:dyDescent="0.3">
      <c r="B54" s="1029"/>
      <c r="C54" s="1029"/>
      <c r="D54" s="1029"/>
      <c r="E54" s="1029"/>
      <c r="F54" s="1029"/>
      <c r="G54" s="511"/>
      <c r="H54" s="16"/>
      <c r="I54" s="1029"/>
      <c r="J54" s="1029"/>
      <c r="K54" s="1029"/>
      <c r="M54" s="41"/>
      <c r="N54" s="41"/>
    </row>
    <row r="55" spans="2:31" x14ac:dyDescent="0.3">
      <c r="B55" s="1029"/>
      <c r="C55" s="1029"/>
      <c r="D55" s="1029"/>
      <c r="E55" s="1029"/>
      <c r="F55" s="1029"/>
      <c r="G55" s="124"/>
      <c r="H55" s="1029"/>
      <c r="I55" s="1029"/>
      <c r="J55" s="1029"/>
      <c r="K55" s="1029"/>
      <c r="M55" s="41"/>
      <c r="N55" s="41"/>
    </row>
    <row r="56" spans="2:31" x14ac:dyDescent="0.3">
      <c r="B56" s="1029"/>
      <c r="C56" s="1029"/>
      <c r="D56" s="1029"/>
      <c r="E56" s="1029"/>
      <c r="F56" s="1029"/>
      <c r="G56" s="124"/>
      <c r="H56" s="1029"/>
      <c r="I56" s="1029"/>
      <c r="J56" s="1029"/>
      <c r="K56" s="127"/>
      <c r="M56" s="41"/>
      <c r="N56" s="41"/>
    </row>
    <row r="57" spans="2:31" x14ac:dyDescent="0.3">
      <c r="B57" s="1029"/>
      <c r="C57" s="1029"/>
      <c r="D57" s="1029"/>
      <c r="E57" s="1029"/>
      <c r="F57" s="1029"/>
      <c r="G57" s="396"/>
      <c r="H57" s="16"/>
      <c r="I57" s="1029"/>
      <c r="J57" s="1029"/>
      <c r="K57" s="127"/>
      <c r="M57" s="41"/>
      <c r="N57" s="41"/>
    </row>
    <row r="58" spans="2:31" x14ac:dyDescent="0.3">
      <c r="B58" s="1029"/>
      <c r="C58" s="1029"/>
      <c r="D58" s="1029"/>
      <c r="E58" s="1029"/>
      <c r="F58" s="1029"/>
      <c r="G58" s="243"/>
      <c r="H58" s="16"/>
      <c r="I58" s="1029"/>
      <c r="J58" s="1029"/>
      <c r="K58" s="310"/>
      <c r="M58" s="41"/>
      <c r="N58" s="41"/>
      <c r="O58" s="640"/>
      <c r="P58" s="640"/>
    </row>
    <row r="59" spans="2:31" x14ac:dyDescent="0.3">
      <c r="B59" s="1029"/>
      <c r="C59" s="57"/>
      <c r="D59" s="1029"/>
      <c r="E59" s="1029"/>
      <c r="F59" s="1029"/>
      <c r="G59" s="243"/>
      <c r="H59" s="16"/>
      <c r="I59" s="1029"/>
      <c r="J59" s="1029"/>
      <c r="K59" s="310"/>
      <c r="M59" s="41"/>
      <c r="N59" s="640"/>
      <c r="O59" s="640"/>
      <c r="P59" s="640"/>
    </row>
    <row r="60" spans="2:31" x14ac:dyDescent="0.3">
      <c r="B60" s="1029"/>
      <c r="C60" s="1029"/>
      <c r="D60" s="1029"/>
      <c r="E60" s="1029"/>
      <c r="F60" s="1029"/>
      <c r="G60" s="243"/>
      <c r="H60" s="16"/>
      <c r="I60" s="1029"/>
      <c r="J60" s="1029"/>
      <c r="K60" s="310"/>
      <c r="M60" s="41"/>
      <c r="N60" s="640"/>
    </row>
    <row r="61" spans="2:31" x14ac:dyDescent="0.3">
      <c r="B61" s="1029"/>
      <c r="C61" s="57"/>
      <c r="D61" s="1029"/>
      <c r="E61" s="1029"/>
      <c r="F61" s="1029"/>
      <c r="G61" s="243"/>
      <c r="H61" s="16"/>
      <c r="I61" s="1029"/>
      <c r="J61" s="1029"/>
      <c r="K61" s="310"/>
      <c r="M61" s="41"/>
      <c r="N61" s="41"/>
    </row>
    <row r="62" spans="2:31" ht="15.6" x14ac:dyDescent="0.3">
      <c r="B62" s="1029"/>
      <c r="C62" s="1029"/>
      <c r="D62" s="1029"/>
      <c r="E62" s="1029"/>
      <c r="F62" s="1029"/>
      <c r="G62" s="124"/>
      <c r="H62" s="1080"/>
      <c r="I62" s="1029"/>
      <c r="J62" s="1029"/>
      <c r="K62" s="310"/>
      <c r="M62" s="41"/>
      <c r="N62" s="41"/>
    </row>
    <row r="63" spans="2:31" x14ac:dyDescent="0.3">
      <c r="B63" s="1029"/>
      <c r="C63" s="10"/>
      <c r="D63" s="1029"/>
      <c r="E63" s="1029"/>
      <c r="F63" s="1029"/>
      <c r="G63" s="1029"/>
      <c r="H63" s="1029"/>
      <c r="I63" s="1029"/>
      <c r="J63" s="1029"/>
      <c r="K63" s="1029"/>
      <c r="M63" s="41"/>
      <c r="N63" s="41"/>
    </row>
    <row r="64" spans="2:31" x14ac:dyDescent="0.3">
      <c r="B64" s="1029"/>
      <c r="C64" s="1029"/>
      <c r="D64" s="1029"/>
      <c r="E64" s="1029"/>
      <c r="F64" s="1029"/>
      <c r="G64" s="16"/>
      <c r="H64" s="1029"/>
      <c r="I64" s="1029"/>
      <c r="J64" s="1029"/>
      <c r="K64" s="310"/>
      <c r="M64" s="41"/>
      <c r="N64" s="41"/>
    </row>
    <row r="65" spans="2:14" x14ac:dyDescent="0.3">
      <c r="B65" s="1029"/>
      <c r="C65" s="1029"/>
      <c r="D65" s="1029"/>
      <c r="E65" s="1029"/>
      <c r="F65" s="1029"/>
      <c r="G65" s="16"/>
      <c r="H65" s="1029"/>
      <c r="I65" s="1029"/>
      <c r="J65" s="1029"/>
      <c r="K65" s="310"/>
      <c r="M65" s="41"/>
      <c r="N65" s="41"/>
    </row>
    <row r="66" spans="2:14" x14ac:dyDescent="0.3">
      <c r="B66" s="1029"/>
      <c r="C66" s="1029"/>
      <c r="D66" s="1029"/>
      <c r="E66" s="1029"/>
      <c r="F66" s="1029"/>
      <c r="G66" s="16"/>
      <c r="H66" s="1029"/>
      <c r="I66" s="1029"/>
      <c r="J66" s="1029"/>
      <c r="K66" s="1029"/>
      <c r="M66" s="41"/>
      <c r="N66" s="41"/>
    </row>
    <row r="67" spans="2:14" x14ac:dyDescent="0.3">
      <c r="B67" s="1081"/>
      <c r="C67" s="91"/>
      <c r="D67" s="1029"/>
      <c r="E67" s="1029"/>
      <c r="F67" s="1029"/>
      <c r="G67" s="16"/>
      <c r="H67" s="96"/>
      <c r="I67" s="1029"/>
      <c r="J67" s="1029"/>
      <c r="K67" s="1029"/>
      <c r="M67" s="41"/>
      <c r="N67" s="41"/>
    </row>
    <row r="68" spans="2:14" x14ac:dyDescent="0.3">
      <c r="B68" s="1029"/>
      <c r="C68" s="713"/>
      <c r="D68" s="1029"/>
      <c r="E68" s="1029"/>
      <c r="F68" s="1029"/>
      <c r="G68" s="16"/>
      <c r="H68" s="714"/>
      <c r="I68" s="223"/>
      <c r="J68" s="1029"/>
      <c r="K68" s="771"/>
      <c r="M68" s="41"/>
      <c r="N68" s="41"/>
    </row>
    <row r="69" spans="2:14" x14ac:dyDescent="0.3">
      <c r="B69" s="1029"/>
      <c r="C69" s="724"/>
      <c r="D69" s="1029"/>
      <c r="E69" s="1029"/>
      <c r="F69" s="1029"/>
      <c r="G69" s="16"/>
      <c r="H69" s="725"/>
      <c r="I69" s="1029"/>
      <c r="J69" s="1029"/>
      <c r="K69" s="310"/>
      <c r="M69" s="41"/>
      <c r="N69" s="41"/>
    </row>
    <row r="70" spans="2:14" x14ac:dyDescent="0.3">
      <c r="B70" s="1029"/>
      <c r="C70" s="1029"/>
      <c r="D70" s="1029"/>
      <c r="E70" s="1029"/>
      <c r="F70" s="1029"/>
      <c r="G70" s="16"/>
      <c r="H70" s="1029"/>
      <c r="I70" s="1029"/>
      <c r="J70" s="1029"/>
      <c r="K70" s="310"/>
      <c r="M70" s="41"/>
      <c r="N70" s="41"/>
    </row>
    <row r="71" spans="2:14" x14ac:dyDescent="0.3">
      <c r="B71" s="1029"/>
      <c r="C71" s="1029"/>
      <c r="D71" s="1029"/>
      <c r="E71" s="1029"/>
      <c r="F71" s="1029"/>
      <c r="G71" s="16"/>
      <c r="H71" s="1029"/>
      <c r="I71" s="1029"/>
      <c r="J71" s="1029"/>
      <c r="K71" s="310"/>
      <c r="M71" s="41"/>
      <c r="N71" s="41"/>
    </row>
    <row r="72" spans="2:14" x14ac:dyDescent="0.3">
      <c r="B72" s="1029"/>
      <c r="C72" s="1029"/>
      <c r="D72" s="1029"/>
      <c r="E72" s="90"/>
      <c r="F72" s="90"/>
      <c r="G72" s="1029"/>
      <c r="H72" s="1029"/>
      <c r="I72" s="1029"/>
      <c r="J72" s="1029"/>
      <c r="K72" s="310"/>
      <c r="M72" s="41"/>
      <c r="N72" s="41"/>
    </row>
    <row r="73" spans="2:14" x14ac:dyDescent="0.3">
      <c r="B73" s="1029"/>
      <c r="C73" s="1029"/>
      <c r="D73" s="1029"/>
      <c r="E73" s="714"/>
      <c r="F73" s="714"/>
      <c r="G73" s="636"/>
      <c r="H73" s="1029"/>
      <c r="I73" s="1029"/>
      <c r="J73" s="1029"/>
      <c r="K73" s="310"/>
      <c r="M73" s="41"/>
      <c r="N73" s="41"/>
    </row>
    <row r="74" spans="2:14" x14ac:dyDescent="0.3">
      <c r="B74" s="1029"/>
      <c r="C74" s="1029"/>
      <c r="D74" s="1029"/>
      <c r="E74" s="95"/>
      <c r="F74" s="95"/>
      <c r="G74" s="636"/>
      <c r="H74" s="1029"/>
      <c r="I74" s="1029"/>
      <c r="J74" s="1029"/>
      <c r="K74" s="310"/>
      <c r="M74" s="41"/>
      <c r="N74" s="41"/>
    </row>
    <row r="75" spans="2:14" x14ac:dyDescent="0.3">
      <c r="B75" s="1029"/>
      <c r="C75" s="1029"/>
      <c r="D75" s="1029"/>
      <c r="E75" s="13"/>
      <c r="F75" s="13"/>
      <c r="G75" s="1029"/>
      <c r="H75" s="1029"/>
      <c r="I75" s="1029"/>
      <c r="J75" s="1029"/>
      <c r="K75" s="310"/>
      <c r="M75" s="41"/>
      <c r="N75" s="41"/>
    </row>
    <row r="76" spans="2:14" x14ac:dyDescent="0.3">
      <c r="B76" s="10"/>
      <c r="C76" s="1029"/>
      <c r="D76" s="1029"/>
      <c r="E76" s="10"/>
      <c r="F76" s="10"/>
      <c r="G76" s="13"/>
      <c r="H76" s="10"/>
      <c r="I76" s="585"/>
      <c r="J76" s="585"/>
      <c r="K76" s="734"/>
      <c r="M76" s="41"/>
      <c r="N76" s="41"/>
    </row>
    <row r="77" spans="2:14" x14ac:dyDescent="0.3">
      <c r="B77" s="10"/>
      <c r="C77" s="1029"/>
      <c r="D77" s="1029"/>
      <c r="E77" s="15"/>
      <c r="F77" s="15"/>
      <c r="G77" s="15"/>
      <c r="H77" s="1082"/>
      <c r="I77" s="22"/>
      <c r="J77" s="1083"/>
      <c r="K77" s="206"/>
      <c r="M77" s="41"/>
      <c r="N77" s="41"/>
    </row>
    <row r="78" spans="2:14" x14ac:dyDescent="0.3">
      <c r="B78" s="10"/>
      <c r="C78" s="1029"/>
      <c r="D78" s="1029"/>
      <c r="E78" s="15"/>
      <c r="F78" s="15"/>
      <c r="G78" s="15"/>
      <c r="H78" s="1082"/>
      <c r="I78" s="22"/>
      <c r="J78" s="1083"/>
      <c r="K78" s="206"/>
      <c r="M78" s="41"/>
      <c r="N78" s="41"/>
    </row>
    <row r="79" spans="2:14" x14ac:dyDescent="0.3">
      <c r="B79" s="10"/>
      <c r="C79" s="1029"/>
      <c r="D79" s="1029"/>
      <c r="E79" s="15"/>
      <c r="F79" s="15"/>
      <c r="G79" s="15"/>
      <c r="H79" s="15"/>
      <c r="I79" s="22"/>
      <c r="J79" s="1083"/>
      <c r="K79" s="206"/>
      <c r="M79" s="41"/>
      <c r="N79" s="41"/>
    </row>
    <row r="80" spans="2:14" x14ac:dyDescent="0.3">
      <c r="B80" s="10"/>
      <c r="C80" s="1029"/>
      <c r="D80" s="1029"/>
      <c r="E80" s="15"/>
      <c r="F80" s="15"/>
      <c r="G80" s="15"/>
      <c r="H80" s="15"/>
      <c r="I80" s="22"/>
      <c r="J80" s="22"/>
      <c r="K80" s="206"/>
      <c r="M80" s="41"/>
      <c r="N80" s="41"/>
    </row>
    <row r="81" spans="2:18" x14ac:dyDescent="0.3">
      <c r="B81" s="1029"/>
      <c r="C81" s="10"/>
      <c r="D81" s="1029"/>
      <c r="E81" s="1029"/>
      <c r="F81" s="1029"/>
      <c r="G81" s="15"/>
      <c r="H81" s="1029"/>
      <c r="I81" s="1029"/>
      <c r="J81" s="1029"/>
      <c r="K81" s="1029"/>
      <c r="M81" s="41"/>
      <c r="N81" s="41"/>
    </row>
    <row r="82" spans="2:18" ht="15.6" x14ac:dyDescent="0.3">
      <c r="B82" s="74"/>
      <c r="C82" s="439"/>
      <c r="D82" s="1029"/>
      <c r="E82" s="1029"/>
      <c r="F82" s="1029"/>
      <c r="G82" s="1029"/>
      <c r="H82" s="1029"/>
      <c r="I82" s="1029"/>
      <c r="J82" s="1029"/>
      <c r="K82" s="1029"/>
      <c r="M82" s="41"/>
      <c r="N82" s="41"/>
    </row>
    <row r="83" spans="2:18" x14ac:dyDescent="0.3">
      <c r="B83" s="1029"/>
      <c r="C83" s="10"/>
      <c r="D83" s="1029"/>
      <c r="E83" s="1029"/>
      <c r="F83" s="1029"/>
      <c r="G83" s="16"/>
      <c r="H83" s="1029"/>
      <c r="I83" s="1029"/>
      <c r="J83" s="1029"/>
      <c r="K83" s="310"/>
      <c r="M83" s="41"/>
      <c r="N83" s="41"/>
    </row>
    <row r="84" spans="2:18" x14ac:dyDescent="0.3">
      <c r="B84" s="1029"/>
      <c r="C84" s="10"/>
      <c r="D84" s="1029"/>
      <c r="E84" s="1029"/>
      <c r="F84" s="1029"/>
      <c r="G84" s="16"/>
      <c r="H84" s="1029"/>
      <c r="I84" s="1029"/>
      <c r="J84" s="1029"/>
      <c r="K84" s="310"/>
      <c r="M84" s="41"/>
      <c r="N84" s="41"/>
    </row>
    <row r="85" spans="2:18" x14ac:dyDescent="0.3">
      <c r="B85" s="1029"/>
      <c r="C85" s="10"/>
      <c r="D85" s="1029"/>
      <c r="E85" s="1029"/>
      <c r="F85" s="1029"/>
      <c r="G85" s="122"/>
      <c r="H85" s="1029"/>
      <c r="I85" s="1029"/>
      <c r="J85" s="1029"/>
      <c r="K85" s="1029"/>
      <c r="M85" s="41"/>
      <c r="N85" s="41"/>
    </row>
    <row r="86" spans="2:18" x14ac:dyDescent="0.3">
      <c r="B86" s="1029"/>
      <c r="C86" s="10"/>
      <c r="D86" s="1029"/>
      <c r="E86" s="1029"/>
      <c r="F86" s="1029"/>
      <c r="G86" s="16"/>
      <c r="H86" s="1029"/>
      <c r="I86" s="1029"/>
      <c r="J86" s="1029"/>
      <c r="K86" s="1029"/>
      <c r="M86" s="41"/>
      <c r="N86" s="41"/>
    </row>
    <row r="87" spans="2:18" x14ac:dyDescent="0.3">
      <c r="B87" s="1029"/>
      <c r="C87" s="10"/>
      <c r="D87" s="1029"/>
      <c r="E87" s="1029"/>
      <c r="F87" s="1029"/>
      <c r="G87" s="16"/>
      <c r="H87" s="1029"/>
      <c r="I87" s="1029"/>
      <c r="J87" s="1029"/>
      <c r="K87" s="1029"/>
      <c r="M87" s="41"/>
      <c r="N87" s="41"/>
    </row>
    <row r="88" spans="2:18" x14ac:dyDescent="0.3">
      <c r="B88" s="1029"/>
      <c r="C88" s="1029"/>
      <c r="D88" s="1029"/>
      <c r="E88" s="1029"/>
      <c r="F88" s="1029"/>
      <c r="G88" s="1029"/>
      <c r="H88" s="1029"/>
      <c r="I88" s="1029"/>
      <c r="J88" s="1029"/>
      <c r="K88" s="1029"/>
      <c r="M88" s="41"/>
      <c r="N88" s="41"/>
    </row>
    <row r="89" spans="2:18" x14ac:dyDescent="0.3">
      <c r="B89" s="1029"/>
      <c r="C89" s="13"/>
      <c r="D89" s="1029"/>
      <c r="E89" s="10"/>
      <c r="F89" s="10"/>
      <c r="G89" s="13"/>
      <c r="H89" s="10"/>
      <c r="I89" s="10"/>
      <c r="J89" s="10"/>
      <c r="K89" s="10"/>
      <c r="M89" s="41"/>
      <c r="N89" s="41"/>
    </row>
    <row r="90" spans="2:18" x14ac:dyDescent="0.3">
      <c r="B90" s="1029"/>
      <c r="C90" s="2006"/>
      <c r="D90" s="2006"/>
      <c r="E90" s="16"/>
      <c r="F90" s="16"/>
      <c r="G90" s="16"/>
      <c r="H90" s="1029"/>
      <c r="I90" s="1029"/>
      <c r="J90" s="1029"/>
      <c r="K90" s="1029"/>
      <c r="M90" s="41"/>
      <c r="N90" s="41"/>
    </row>
    <row r="91" spans="2:18" x14ac:dyDescent="0.3">
      <c r="B91" s="1029"/>
      <c r="C91" s="10"/>
      <c r="D91" s="1029"/>
      <c r="E91" s="16"/>
      <c r="F91" s="16"/>
      <c r="G91" s="1029"/>
      <c r="H91" s="1029"/>
      <c r="I91" s="1029"/>
      <c r="J91" s="1029"/>
      <c r="K91" s="1029"/>
      <c r="M91" s="41"/>
      <c r="N91" s="41"/>
    </row>
    <row r="92" spans="2:18" s="41" customFormat="1" x14ac:dyDescent="0.3">
      <c r="F92" s="1074"/>
      <c r="O92"/>
      <c r="Q92" s="102"/>
      <c r="R92"/>
    </row>
    <row r="93" spans="2:18" x14ac:dyDescent="0.3">
      <c r="M93" s="41"/>
      <c r="N93" s="41"/>
      <c r="R93" s="41"/>
    </row>
    <row r="97" spans="12:15" x14ac:dyDescent="0.3">
      <c r="O97" s="102"/>
    </row>
    <row r="111" spans="12:15" x14ac:dyDescent="0.3">
      <c r="L111" s="56"/>
    </row>
    <row r="112" spans="12:15" x14ac:dyDescent="0.3">
      <c r="L112" s="204"/>
    </row>
    <row r="113" spans="12:12" x14ac:dyDescent="0.3">
      <c r="L113" s="56"/>
    </row>
    <row r="114" spans="12:12" x14ac:dyDescent="0.3">
      <c r="L114" s="56"/>
    </row>
    <row r="115" spans="12:12" x14ac:dyDescent="0.3">
      <c r="L115" s="56"/>
    </row>
    <row r="116" spans="12:12" x14ac:dyDescent="0.3">
      <c r="L116" s="56"/>
    </row>
    <row r="117" spans="12:12" x14ac:dyDescent="0.3">
      <c r="L117" s="127"/>
    </row>
    <row r="118" spans="12:12" x14ac:dyDescent="0.3">
      <c r="L118" s="127"/>
    </row>
    <row r="119" spans="12:12" x14ac:dyDescent="0.3">
      <c r="L119" s="310"/>
    </row>
    <row r="120" spans="12:12" x14ac:dyDescent="0.3">
      <c r="L120" s="310"/>
    </row>
    <row r="121" spans="12:12" x14ac:dyDescent="0.3">
      <c r="L121" s="310"/>
    </row>
    <row r="122" spans="12:12" x14ac:dyDescent="0.3">
      <c r="L122" s="310"/>
    </row>
    <row r="123" spans="12:12" x14ac:dyDescent="0.3">
      <c r="L123" s="310"/>
    </row>
    <row r="124" spans="12:12" x14ac:dyDescent="0.3">
      <c r="L124" s="56"/>
    </row>
    <row r="125" spans="12:12" x14ac:dyDescent="0.3">
      <c r="L125" s="310"/>
    </row>
    <row r="126" spans="12:12" x14ac:dyDescent="0.3">
      <c r="L126" s="310"/>
    </row>
    <row r="127" spans="12:12" x14ac:dyDescent="0.3">
      <c r="L127" s="56"/>
    </row>
    <row r="128" spans="12:12" x14ac:dyDescent="0.3">
      <c r="L128" s="56"/>
    </row>
    <row r="129" spans="12:12" x14ac:dyDescent="0.3">
      <c r="L129" s="771"/>
    </row>
    <row r="130" spans="12:12" x14ac:dyDescent="0.3">
      <c r="L130" s="310"/>
    </row>
    <row r="131" spans="12:12" x14ac:dyDescent="0.3">
      <c r="L131" s="310"/>
    </row>
    <row r="132" spans="12:12" x14ac:dyDescent="0.3">
      <c r="L132" s="310"/>
    </row>
    <row r="133" spans="12:12" x14ac:dyDescent="0.3">
      <c r="L133" s="310"/>
    </row>
    <row r="134" spans="12:12" x14ac:dyDescent="0.3">
      <c r="L134" s="310"/>
    </row>
    <row r="135" spans="12:12" x14ac:dyDescent="0.3">
      <c r="L135" s="310"/>
    </row>
    <row r="136" spans="12:12" x14ac:dyDescent="0.3">
      <c r="L136" s="310"/>
    </row>
    <row r="137" spans="12:12" x14ac:dyDescent="0.3">
      <c r="L137" s="734"/>
    </row>
    <row r="138" spans="12:12" x14ac:dyDescent="0.3">
      <c r="L138" s="206"/>
    </row>
    <row r="139" spans="12:12" x14ac:dyDescent="0.3">
      <c r="L139" s="206"/>
    </row>
    <row r="140" spans="12:12" x14ac:dyDescent="0.3">
      <c r="L140" s="206"/>
    </row>
    <row r="141" spans="12:12" x14ac:dyDescent="0.3">
      <c r="L141" s="206"/>
    </row>
    <row r="142" spans="12:12" x14ac:dyDescent="0.3">
      <c r="L142" s="56"/>
    </row>
    <row r="143" spans="12:12" x14ac:dyDescent="0.3">
      <c r="L143" s="56"/>
    </row>
    <row r="144" spans="12:12" x14ac:dyDescent="0.3">
      <c r="L144" s="310"/>
    </row>
    <row r="145" spans="12:12" x14ac:dyDescent="0.3">
      <c r="L145" s="310"/>
    </row>
    <row r="146" spans="12:12" x14ac:dyDescent="0.3">
      <c r="L146" s="56"/>
    </row>
    <row r="147" spans="12:12" x14ac:dyDescent="0.3">
      <c r="L147" s="56"/>
    </row>
    <row r="148" spans="12:12" x14ac:dyDescent="0.3">
      <c r="L148" s="56"/>
    </row>
    <row r="149" spans="12:12" x14ac:dyDescent="0.3">
      <c r="L149" s="56"/>
    </row>
    <row r="150" spans="12:12" x14ac:dyDescent="0.3">
      <c r="L150" s="10"/>
    </row>
    <row r="151" spans="12:12" x14ac:dyDescent="0.3">
      <c r="L151" s="56"/>
    </row>
    <row r="152" spans="12:12" x14ac:dyDescent="0.3">
      <c r="L152" s="56"/>
    </row>
  </sheetData>
  <sortState ref="B50:B93">
    <sortCondition ref="B50"/>
  </sortState>
  <mergeCells count="18">
    <mergeCell ref="M1:N1"/>
    <mergeCell ref="B42:D42"/>
    <mergeCell ref="B43:D43"/>
    <mergeCell ref="B28:D28"/>
    <mergeCell ref="H28:J28"/>
    <mergeCell ref="H29:J29"/>
    <mergeCell ref="H30:J30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T13">
    <cfRule type="cellIs" dxfId="15" priority="29" operator="lessThan">
      <formula>$T$11</formula>
    </cfRule>
  </conditionalFormatting>
  <conditionalFormatting sqref="G29">
    <cfRule type="cellIs" dxfId="14" priority="19" operator="equal">
      <formula>0</formula>
    </cfRule>
  </conditionalFormatting>
  <conditionalFormatting sqref="N18">
    <cfRule type="cellIs" dxfId="13" priority="35" operator="lessThan">
      <formula>($N$29*0.99-1)</formula>
    </cfRule>
  </conditionalFormatting>
  <conditionalFormatting sqref="P10:P23">
    <cfRule type="containsBlanks" dxfId="12" priority="6">
      <formula>LEN(TRIM(P10))=0</formula>
    </cfRule>
    <cfRule type="cellIs" dxfId="11" priority="7" operator="between">
      <formula>$N$26-10</formula>
      <formula>$N$26+700</formula>
    </cfRule>
    <cfRule type="cellIs" dxfId="10" priority="8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14</xdr:col>
                    <xdr:colOff>182880</xdr:colOff>
                    <xdr:row>2</xdr:row>
                    <xdr:rowOff>22860</xdr:rowOff>
                  </from>
                  <to>
                    <xdr:col>16</xdr:col>
                    <xdr:colOff>83820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" operator="greaterThanOrEqual" id="{83383A41-DBE1-4FCF-8A7F-2F1D34D120F8}">
            <xm:f>VLOOKUP(Данные!$N$138,Данные!$I$33:$K$36,2,0)</xm:f>
            <x14:dxf>
              <fill>
                <patternFill patternType="gray0625">
                  <fgColor rgb="FF92D050"/>
                  <bgColor rgb="FF92D050"/>
                </patternFill>
              </fill>
            </x14:dxf>
          </x14:cfRule>
          <x14:cfRule type="cellIs" priority="4" operator="lessThan" id="{C9D2631C-193F-4DAC-AA48-A81C51A1B1D4}">
            <xm:f>VLOOKUP(Данные!$N$138,Данные!$I$33:$K$36,2,0)</xm:f>
            <x14:dxf>
              <fill>
                <patternFill patternType="gray0625">
                  <fgColor auto="1"/>
                  <bgColor rgb="FFFF00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cellIs" priority="1" operator="lessThanOrEqual" id="{9C1B2DAA-2685-4678-9C91-7D98A56B541E}">
            <xm:f>IF(OR(Данные!$N$138=320,Данные!$N$138=450),170,999)</xm:f>
            <x14:dxf>
              <fill>
                <patternFill patternType="solid">
                  <fgColor auto="1"/>
                  <bgColor rgb="FF92D050"/>
                </patternFill>
              </fill>
            </x14:dxf>
          </x14:cfRule>
          <x14:cfRule type="cellIs" priority="2" operator="greaterThan" id="{E9C1B392-7657-466E-B272-442636153939}">
            <xm:f>IF(OR(Данные!$N$138=320,Данные!$N$138=450),170,999)</xm:f>
            <x14:dxf>
              <fill>
                <patternFill patternType="gray0625">
                  <fgColor auto="1"/>
                  <bgColor rgb="FFFF0000"/>
                </patternFill>
              </fill>
            </x14:dxf>
          </x14:cfRule>
          <xm:sqref>N23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4539B91B-B4CF-41CE-9AE5-00B79406B667}">
          <x14:formula1>
            <xm:f>Данные!$M$92:$M$106</xm:f>
          </x14:formula1>
          <xm:sqref>N28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Z55"/>
  <sheetViews>
    <sheetView showGridLines="0" zoomScale="70" zoomScaleNormal="70" workbookViewId="0">
      <selection activeCell="AB13" sqref="AB13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8.88671875" customWidth="1"/>
    <col min="10" max="10" width="10.44140625" customWidth="1"/>
    <col min="11" max="11" width="2.88671875" style="41" customWidth="1"/>
    <col min="12" max="12" width="25.33203125" customWidth="1"/>
    <col min="13" max="13" width="13.33203125" style="254" customWidth="1"/>
    <col min="14" max="14" width="3.5546875" style="57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5" ht="16.2" thickBot="1" x14ac:dyDescent="0.35">
      <c r="B1" s="412"/>
      <c r="C1" s="412"/>
      <c r="D1" s="412"/>
      <c r="E1" s="412"/>
      <c r="F1" s="412"/>
      <c r="G1" s="412"/>
      <c r="H1" s="412"/>
      <c r="I1" s="412"/>
      <c r="J1" s="1866" t="s">
        <v>309</v>
      </c>
    </row>
    <row r="2" spans="2:15" ht="16.2" thickBot="1" x14ac:dyDescent="0.35">
      <c r="B2" s="446"/>
      <c r="C2" s="448"/>
      <c r="D2" s="448"/>
      <c r="E2" s="1867" t="s">
        <v>0</v>
      </c>
      <c r="F2" s="448"/>
      <c r="G2" s="448"/>
      <c r="H2" s="448"/>
      <c r="I2" s="448"/>
      <c r="J2" s="447" t="s">
        <v>790</v>
      </c>
      <c r="K2" s="4"/>
      <c r="L2" s="1472" t="s">
        <v>973</v>
      </c>
      <c r="M2" s="1473" t="s">
        <v>974</v>
      </c>
      <c r="N2" s="1176"/>
    </row>
    <row r="3" spans="2:15" ht="15.6" x14ac:dyDescent="0.3">
      <c r="B3" s="417" t="s">
        <v>1</v>
      </c>
      <c r="C3" s="411"/>
      <c r="D3" s="411"/>
      <c r="E3" s="1917"/>
      <c r="F3" s="1654"/>
      <c r="G3" s="1868"/>
      <c r="H3" s="1869"/>
      <c r="I3" s="1869"/>
      <c r="J3" s="1870"/>
      <c r="K3" s="204"/>
      <c r="L3" s="1474" t="s">
        <v>220</v>
      </c>
      <c r="M3" s="1497">
        <v>210</v>
      </c>
    </row>
    <row r="4" spans="2:15" ht="15.6" x14ac:dyDescent="0.3">
      <c r="B4" s="410" t="s">
        <v>2</v>
      </c>
      <c r="C4" s="1033"/>
      <c r="D4" s="1033"/>
      <c r="E4" s="1033"/>
      <c r="F4" s="1864"/>
      <c r="G4" s="945"/>
      <c r="H4" s="1033"/>
      <c r="I4" s="1033"/>
      <c r="J4" s="414"/>
      <c r="K4" s="56"/>
      <c r="L4" s="1474" t="s">
        <v>221</v>
      </c>
      <c r="M4" s="1497">
        <v>155</v>
      </c>
      <c r="N4" s="1175"/>
    </row>
    <row r="5" spans="2:15" ht="15.6" x14ac:dyDescent="0.3">
      <c r="B5" s="410" t="s">
        <v>3</v>
      </c>
      <c r="C5" s="1033"/>
      <c r="D5" s="1033"/>
      <c r="E5" s="1033"/>
      <c r="F5" s="1864"/>
      <c r="G5" s="1871"/>
      <c r="H5" s="1033"/>
      <c r="I5" s="1033"/>
      <c r="J5" s="414"/>
      <c r="K5" s="56"/>
      <c r="L5" s="1474" t="s">
        <v>222</v>
      </c>
      <c r="M5" s="1497">
        <v>120</v>
      </c>
      <c r="N5" s="1175"/>
    </row>
    <row r="6" spans="2:15" ht="15.6" x14ac:dyDescent="0.3">
      <c r="B6" s="410" t="s">
        <v>7</v>
      </c>
      <c r="C6" s="1033"/>
      <c r="D6" s="1033"/>
      <c r="E6" s="1033"/>
      <c r="F6" s="1865"/>
      <c r="G6" s="536"/>
      <c r="H6" s="1033"/>
      <c r="I6" s="1033"/>
      <c r="J6" s="414"/>
      <c r="K6" s="56"/>
      <c r="L6" s="1474" t="s">
        <v>223</v>
      </c>
      <c r="M6" s="1497">
        <v>25</v>
      </c>
      <c r="N6" s="1175"/>
    </row>
    <row r="7" spans="2:15" ht="16.2" thickBot="1" x14ac:dyDescent="0.35">
      <c r="B7" s="427"/>
      <c r="C7" s="428"/>
      <c r="D7" s="428"/>
      <c r="E7" s="428"/>
      <c r="F7" s="429"/>
      <c r="G7" s="428"/>
      <c r="H7" s="428"/>
      <c r="I7" s="428"/>
      <c r="J7" s="450"/>
      <c r="K7" s="56"/>
      <c r="L7" s="1474" t="s">
        <v>224</v>
      </c>
      <c r="M7" s="1497">
        <v>160</v>
      </c>
      <c r="N7" s="1175"/>
    </row>
    <row r="8" spans="2:15" ht="15.6" x14ac:dyDescent="0.3">
      <c r="B8" s="417" t="s">
        <v>12</v>
      </c>
      <c r="C8" s="411"/>
      <c r="D8" s="411"/>
      <c r="E8" s="411"/>
      <c r="F8" s="1079" t="s">
        <v>6</v>
      </c>
      <c r="G8" s="411"/>
      <c r="H8" s="411"/>
      <c r="I8" s="1079" t="s">
        <v>894</v>
      </c>
      <c r="J8" s="1872">
        <f>F9/F10</f>
        <v>-1.028169014084507</v>
      </c>
      <c r="K8" s="127"/>
      <c r="L8" s="1475" t="s">
        <v>8</v>
      </c>
      <c r="M8" s="1476">
        <f>VLOOKUP(F8,Марка_металла[],9,FALSE())</f>
        <v>9.1</v>
      </c>
      <c r="N8" s="1175"/>
    </row>
    <row r="9" spans="2:15" ht="15.6" x14ac:dyDescent="0.3">
      <c r="B9" s="410" t="s">
        <v>15</v>
      </c>
      <c r="C9" s="1033"/>
      <c r="D9" s="1033"/>
      <c r="E9" s="1033"/>
      <c r="F9" s="1873">
        <f>IF(M10=0,ROUNDUP(M9,1),M10)</f>
        <v>14.6</v>
      </c>
      <c r="G9" s="1033"/>
      <c r="H9" s="1033"/>
      <c r="I9" s="426" t="s">
        <v>18</v>
      </c>
      <c r="J9" s="420">
        <f>F9/F12</f>
        <v>-0.98648648648648651</v>
      </c>
      <c r="K9" s="127"/>
      <c r="L9" s="1475" t="s">
        <v>289</v>
      </c>
      <c r="M9" s="1741">
        <f>((M4*M4-M5*M5)*3.1415926*M7*M8+(M3*M3-M4*M4)*M6*M8*3.1415926)/4000000</f>
        <v>14.593532112534376</v>
      </c>
    </row>
    <row r="10" spans="2:15" ht="16.2" thickBot="1" x14ac:dyDescent="0.35">
      <c r="B10" s="410" t="s">
        <v>17</v>
      </c>
      <c r="C10" s="1033"/>
      <c r="D10" s="1033"/>
      <c r="E10" s="1033"/>
      <c r="F10" s="421">
        <f>IF(M27=0,IF(M26&lt;100,ROUNDUP(M26,1),ROUNDUP(M26,0)),M27)</f>
        <v>-14.2</v>
      </c>
      <c r="G10" s="1033"/>
      <c r="H10" s="1033"/>
      <c r="I10" s="1033"/>
      <c r="J10" s="425"/>
      <c r="K10" s="310"/>
      <c r="L10" s="1477" t="s">
        <v>259</v>
      </c>
      <c r="M10" s="1498"/>
      <c r="N10" s="709"/>
    </row>
    <row r="11" spans="2:15" ht="16.2" thickBot="1" x14ac:dyDescent="0.35">
      <c r="B11" s="410" t="s">
        <v>262</v>
      </c>
      <c r="C11" s="1033"/>
      <c r="D11" s="1033"/>
      <c r="E11" s="1033"/>
      <c r="F11" s="421">
        <f>ROUND(F10/F14,1)</f>
        <v>-14.2</v>
      </c>
      <c r="G11" s="1033"/>
      <c r="H11" s="1033"/>
      <c r="I11" s="1033"/>
      <c r="J11" s="425"/>
      <c r="K11" s="310"/>
      <c r="L11" s="1478" t="s">
        <v>742</v>
      </c>
      <c r="M11" s="1499"/>
    </row>
    <row r="12" spans="2:15" ht="15.6" x14ac:dyDescent="0.3">
      <c r="B12" s="410" t="s">
        <v>27</v>
      </c>
      <c r="C12" s="1033"/>
      <c r="D12" s="1033"/>
      <c r="E12" s="1033"/>
      <c r="F12" s="421">
        <f>IF(F10&lt;90,ROUNDUP(F10*1.04,1),ROUNDUP(F10*1.04,0))</f>
        <v>-14.799999999999999</v>
      </c>
      <c r="G12" s="1033"/>
      <c r="H12" s="1033"/>
      <c r="I12" s="1033"/>
      <c r="J12" s="1874"/>
      <c r="K12" s="16"/>
      <c r="L12" s="1479" t="s">
        <v>1006</v>
      </c>
      <c r="M12" s="1480">
        <f>IF(M18=0,Данные!X5,Данные!X9)</f>
        <v>5.5</v>
      </c>
    </row>
    <row r="13" spans="2:15" ht="15.6" x14ac:dyDescent="0.3">
      <c r="B13" s="410" t="s">
        <v>263</v>
      </c>
      <c r="C13" s="1033"/>
      <c r="D13" s="1033"/>
      <c r="E13" s="1033"/>
      <c r="F13" s="426">
        <f>ROUND(F12/F14,1)</f>
        <v>-14.8</v>
      </c>
      <c r="G13" s="1033"/>
      <c r="H13" s="1033"/>
      <c r="I13" s="1033"/>
      <c r="J13" s="425"/>
      <c r="K13" s="310"/>
      <c r="L13" s="1481" t="s">
        <v>1007</v>
      </c>
      <c r="M13" s="1482">
        <f>IF(M18=0,Данные!X6,Данные!X10)</f>
        <v>4.5</v>
      </c>
    </row>
    <row r="14" spans="2:15" ht="16.2" thickBot="1" x14ac:dyDescent="0.35">
      <c r="B14" s="427" t="s">
        <v>31</v>
      </c>
      <c r="C14" s="428"/>
      <c r="D14" s="428"/>
      <c r="E14" s="428"/>
      <c r="F14" s="429">
        <v>1</v>
      </c>
      <c r="G14" s="428"/>
      <c r="H14" s="428"/>
      <c r="I14" s="428"/>
      <c r="J14" s="430"/>
      <c r="K14" s="310"/>
      <c r="L14" s="1475" t="s">
        <v>1039</v>
      </c>
      <c r="M14" s="1483">
        <f>IF(M19=0,Данные!Y5*Данные!Y13,Данные!Y9*Данные!Y13)</f>
        <v>13.5</v>
      </c>
      <c r="N14" s="128"/>
    </row>
    <row r="15" spans="2:15" ht="16.2" thickBot="1" x14ac:dyDescent="0.35">
      <c r="B15" s="417"/>
      <c r="C15" s="1875" t="s">
        <v>186</v>
      </c>
      <c r="D15" s="411"/>
      <c r="E15" s="411"/>
      <c r="F15" s="411"/>
      <c r="G15" s="411"/>
      <c r="H15" s="411"/>
      <c r="I15" s="411"/>
      <c r="J15" s="418"/>
      <c r="K15" s="56"/>
      <c r="L15" s="1477" t="s">
        <v>1040</v>
      </c>
      <c r="M15" s="1484">
        <f>IF(M19=0,Данные!Y6*Данные!Y13,Данные!Y10*Данные!Y13)</f>
        <v>6.5</v>
      </c>
    </row>
    <row r="16" spans="2:15" ht="16.2" thickBot="1" x14ac:dyDescent="0.35">
      <c r="B16" s="410"/>
      <c r="C16" s="1033"/>
      <c r="D16" s="1033"/>
      <c r="E16" s="412"/>
      <c r="F16" s="1876">
        <f>F31*0.99</f>
        <v>0</v>
      </c>
      <c r="G16" s="1033"/>
      <c r="H16" s="1033"/>
      <c r="I16" s="1033"/>
      <c r="J16" s="425"/>
      <c r="K16" s="310"/>
      <c r="L16" s="1485" t="s">
        <v>297</v>
      </c>
      <c r="M16" s="1486">
        <f>Данные!U12</f>
        <v>20</v>
      </c>
      <c r="O16" s="1312"/>
    </row>
    <row r="17" spans="2:26" ht="16.2" thickBot="1" x14ac:dyDescent="0.35">
      <c r="B17" s="410"/>
      <c r="C17" s="1033"/>
      <c r="D17" s="1033"/>
      <c r="E17" s="412"/>
      <c r="F17" s="1316">
        <f>M6</f>
        <v>25</v>
      </c>
      <c r="G17" s="1033"/>
      <c r="H17" s="1033"/>
      <c r="I17" s="1033"/>
      <c r="J17" s="425"/>
      <c r="K17" s="310"/>
      <c r="L17" s="1487" t="s">
        <v>1719</v>
      </c>
      <c r="M17" s="1500"/>
      <c r="Q17" s="1029"/>
    </row>
    <row r="18" spans="2:26" ht="15.6" x14ac:dyDescent="0.3">
      <c r="B18" s="410"/>
      <c r="C18" s="1033"/>
      <c r="D18" s="1033"/>
      <c r="E18" s="426"/>
      <c r="F18" s="1857"/>
      <c r="G18" s="1033"/>
      <c r="H18" s="1033"/>
      <c r="I18" s="1033"/>
      <c r="J18" s="425"/>
      <c r="K18" s="310"/>
      <c r="L18" s="1494" t="s">
        <v>292</v>
      </c>
      <c r="M18" s="1628"/>
      <c r="N18" s="128"/>
      <c r="O18" s="57"/>
      <c r="P18" s="57"/>
      <c r="Q18" s="16"/>
      <c r="R18" s="1918"/>
      <c r="S18" s="1919"/>
      <c r="T18" s="1919"/>
      <c r="U18" s="1919"/>
      <c r="V18" s="1919"/>
      <c r="W18" s="1919"/>
      <c r="X18" s="1918"/>
    </row>
    <row r="19" spans="2:26" ht="15.6" x14ac:dyDescent="0.3">
      <c r="B19" s="410"/>
      <c r="C19" s="1033"/>
      <c r="D19" s="1033"/>
      <c r="E19" s="1033"/>
      <c r="F19" s="1857"/>
      <c r="G19" s="1033"/>
      <c r="H19" s="1033"/>
      <c r="I19" s="1033"/>
      <c r="J19" s="425"/>
      <c r="K19" s="310"/>
      <c r="L19" s="1495" t="s">
        <v>290</v>
      </c>
      <c r="M19" s="1629"/>
      <c r="N19" s="709"/>
      <c r="O19" s="654"/>
      <c r="P19" s="1178"/>
      <c r="R19" s="57"/>
      <c r="S19" s="57"/>
      <c r="T19" s="57"/>
      <c r="U19" s="57"/>
      <c r="V19" s="57"/>
      <c r="W19" s="57"/>
      <c r="X19" s="57"/>
    </row>
    <row r="20" spans="2:26" ht="15.6" x14ac:dyDescent="0.3">
      <c r="B20" s="410"/>
      <c r="C20" s="1033"/>
      <c r="D20" s="1033"/>
      <c r="E20" s="1033"/>
      <c r="F20" s="1857"/>
      <c r="G20" s="1033"/>
      <c r="H20" s="1033"/>
      <c r="I20" s="1033"/>
      <c r="J20" s="414"/>
      <c r="K20" s="56"/>
      <c r="L20" s="1496" t="s">
        <v>269</v>
      </c>
      <c r="M20" s="1576">
        <f>IF(M18=0,IF(M22&gt;=60,Данные!V15,Данные!V14),IF(M22&gt;=60,Данные!W15,Данные!W14))</f>
        <v>105</v>
      </c>
      <c r="N20" s="129"/>
      <c r="O20" s="654"/>
      <c r="P20" s="1934"/>
      <c r="R20" s="57"/>
      <c r="S20" s="57"/>
      <c r="T20" s="57"/>
      <c r="U20" s="57"/>
      <c r="V20" s="57"/>
      <c r="W20" s="1007"/>
      <c r="X20" s="57"/>
    </row>
    <row r="21" spans="2:26" ht="15.6" x14ac:dyDescent="0.3">
      <c r="B21" s="1877"/>
      <c r="C21" s="412"/>
      <c r="D21" s="1291">
        <f>ROUNDUP(E31*0.99,0)</f>
        <v>0</v>
      </c>
      <c r="E21" s="1878">
        <f>M20</f>
        <v>105</v>
      </c>
      <c r="F21" s="1857"/>
      <c r="G21" s="1033"/>
      <c r="H21" s="1033"/>
      <c r="I21" s="1291">
        <f>ROUNDUP(E30*0.99,0)</f>
        <v>0</v>
      </c>
      <c r="J21" s="414"/>
      <c r="K21" s="56"/>
      <c r="L21" s="1495" t="s">
        <v>291</v>
      </c>
      <c r="M21" s="1630"/>
      <c r="O21" s="654"/>
      <c r="P21" s="1934"/>
      <c r="R21" s="57"/>
      <c r="S21" s="1175"/>
      <c r="T21" s="1175"/>
      <c r="U21" s="1175"/>
      <c r="V21" s="1175"/>
      <c r="W21" s="1920"/>
      <c r="X21" s="57"/>
    </row>
    <row r="22" spans="2:26" ht="15.6" x14ac:dyDescent="0.3">
      <c r="B22" s="410"/>
      <c r="C22" s="412"/>
      <c r="D22" s="1316">
        <f>M3</f>
        <v>210</v>
      </c>
      <c r="E22" s="1316">
        <f>M5</f>
        <v>120</v>
      </c>
      <c r="F22" s="1857"/>
      <c r="G22" s="1033"/>
      <c r="H22" s="1033"/>
      <c r="I22" s="1316">
        <f>M4</f>
        <v>155</v>
      </c>
      <c r="J22" s="414"/>
      <c r="K22" s="56"/>
      <c r="L22" s="1494" t="s">
        <v>293</v>
      </c>
      <c r="M22" s="1628"/>
      <c r="N22" s="1177"/>
      <c r="O22" s="654"/>
      <c r="P22" s="1934"/>
      <c r="R22" s="57"/>
      <c r="S22" s="1175"/>
      <c r="T22" s="1175"/>
      <c r="U22" s="1175"/>
      <c r="V22" s="1175"/>
      <c r="W22" s="1920"/>
      <c r="X22" s="57"/>
    </row>
    <row r="23" spans="2:26" ht="16.2" thickBot="1" x14ac:dyDescent="0.35">
      <c r="B23" s="410"/>
      <c r="C23" s="1033"/>
      <c r="D23" s="1033"/>
      <c r="E23" s="1033"/>
      <c r="F23" s="1857"/>
      <c r="G23" s="1033"/>
      <c r="H23" s="1033"/>
      <c r="I23" s="1033"/>
      <c r="J23" s="425"/>
      <c r="K23" s="310"/>
      <c r="L23" s="1574" t="s">
        <v>1735</v>
      </c>
      <c r="M23" s="1575">
        <f>IF(M24=0,M7+M16,M7+M16+M24)</f>
        <v>180</v>
      </c>
      <c r="N23" s="129"/>
      <c r="O23" s="654"/>
      <c r="P23" s="1934"/>
      <c r="R23" s="57"/>
      <c r="S23" s="1175"/>
      <c r="T23" s="1175"/>
      <c r="U23" s="1175"/>
      <c r="V23" s="1175"/>
      <c r="W23" s="1920"/>
      <c r="X23" s="57"/>
    </row>
    <row r="24" spans="2:26" ht="16.2" thickBot="1" x14ac:dyDescent="0.35">
      <c r="B24" s="410"/>
      <c r="C24" s="1033"/>
      <c r="D24" s="1033"/>
      <c r="E24" s="1033"/>
      <c r="F24" s="1857"/>
      <c r="G24" s="1033"/>
      <c r="H24" s="1033"/>
      <c r="I24" s="1033"/>
      <c r="J24" s="425"/>
      <c r="K24" s="310"/>
      <c r="L24" s="1488" t="s">
        <v>1724</v>
      </c>
      <c r="M24" s="1501"/>
      <c r="O24" s="1945"/>
      <c r="P24" s="1178"/>
      <c r="R24" s="102"/>
      <c r="S24" s="102"/>
      <c r="T24" s="102"/>
      <c r="U24" s="102"/>
      <c r="V24" s="102"/>
      <c r="W24" s="102"/>
      <c r="X24" s="102"/>
      <c r="Y24" s="102"/>
    </row>
    <row r="25" spans="2:26" ht="16.2" thickBot="1" x14ac:dyDescent="0.35">
      <c r="B25" s="410"/>
      <c r="C25" s="1033"/>
      <c r="D25" s="1033"/>
      <c r="E25" s="1033"/>
      <c r="F25" s="1857"/>
      <c r="G25" s="1033"/>
      <c r="H25" s="1033"/>
      <c r="I25" s="1033"/>
      <c r="J25" s="425"/>
      <c r="K25" s="310"/>
      <c r="L25" s="1489" t="s">
        <v>1056</v>
      </c>
      <c r="M25" s="1502">
        <f>(M21-M22)/60+M19</f>
        <v>0</v>
      </c>
      <c r="O25" s="1945"/>
      <c r="P25" s="1937"/>
      <c r="R25" s="102"/>
      <c r="S25" s="102"/>
      <c r="T25" s="102"/>
      <c r="U25" s="102"/>
      <c r="V25" s="102"/>
      <c r="W25" s="102"/>
      <c r="X25" s="102"/>
      <c r="Y25" s="102"/>
    </row>
    <row r="26" spans="2:26" ht="15.6" x14ac:dyDescent="0.3">
      <c r="B26" s="410"/>
      <c r="C26" s="1033"/>
      <c r="D26" s="1033"/>
      <c r="E26" s="1033"/>
      <c r="F26" s="1879">
        <f>M23</f>
        <v>180</v>
      </c>
      <c r="G26" s="1033"/>
      <c r="H26" s="1033"/>
      <c r="I26" s="1033"/>
      <c r="J26" s="425"/>
      <c r="K26" s="310"/>
      <c r="L26" s="1490" t="s">
        <v>17</v>
      </c>
      <c r="M26" s="1491">
        <f>ROUNDUP(((D21*D21-E21*E21)*3.1415926*F16*M8/4000000+((M25*M25-E21*E21)*(F26-F16)*M8*3.1415926)/4000000),1)</f>
        <v>-14.2</v>
      </c>
      <c r="O26" s="1042"/>
      <c r="P26" s="1043"/>
      <c r="R26" s="102"/>
      <c r="S26" s="102"/>
      <c r="T26" s="102"/>
      <c r="U26" s="102"/>
      <c r="V26" s="102"/>
      <c r="W26" s="102"/>
      <c r="X26" s="102"/>
      <c r="Y26" s="102"/>
    </row>
    <row r="27" spans="2:26" ht="16.2" thickBot="1" x14ac:dyDescent="0.35">
      <c r="B27" s="427"/>
      <c r="C27" s="428"/>
      <c r="D27" s="428"/>
      <c r="E27" s="428"/>
      <c r="F27" s="1880">
        <f>M7</f>
        <v>160</v>
      </c>
      <c r="G27" s="428"/>
      <c r="H27" s="428"/>
      <c r="I27" s="428"/>
      <c r="J27" s="430"/>
      <c r="K27" s="310"/>
      <c r="L27" s="1492" t="s">
        <v>265</v>
      </c>
      <c r="M27" s="1493"/>
      <c r="R27" s="102"/>
      <c r="S27" s="102"/>
      <c r="T27" s="102"/>
      <c r="U27" s="102"/>
      <c r="V27" s="102"/>
      <c r="W27" s="102"/>
      <c r="X27" s="102"/>
      <c r="Y27" s="102"/>
      <c r="Z27" s="1312"/>
    </row>
    <row r="28" spans="2:26" ht="16.2" thickBot="1" x14ac:dyDescent="0.35">
      <c r="B28" s="446"/>
      <c r="C28" s="448"/>
      <c r="D28" s="448"/>
      <c r="E28" s="1881" t="s">
        <v>594</v>
      </c>
      <c r="F28" s="448"/>
      <c r="G28" s="411"/>
      <c r="H28" s="411"/>
      <c r="I28" s="411"/>
      <c r="J28" s="1858"/>
      <c r="K28" s="310"/>
      <c r="O28" s="41" t="s">
        <v>1869</v>
      </c>
      <c r="R28" s="102"/>
      <c r="S28" s="2029"/>
      <c r="T28" s="102"/>
      <c r="U28" s="102"/>
      <c r="V28" s="1740"/>
      <c r="W28" s="102"/>
      <c r="X28" s="102"/>
      <c r="Y28" s="102"/>
    </row>
    <row r="29" spans="2:26" ht="16.2" thickBot="1" x14ac:dyDescent="0.35">
      <c r="B29" s="1882" t="s">
        <v>237</v>
      </c>
      <c r="C29" s="448"/>
      <c r="D29" s="448"/>
      <c r="E29" s="456" t="s">
        <v>177</v>
      </c>
      <c r="F29" s="1883" t="s">
        <v>77</v>
      </c>
      <c r="G29" s="1200" t="s">
        <v>766</v>
      </c>
      <c r="H29" s="1206"/>
      <c r="I29" s="1201"/>
      <c r="J29" s="1859" t="s">
        <v>238</v>
      </c>
      <c r="K29" s="734"/>
      <c r="L29" s="951" t="str">
        <f>_xlfn.IFNA(VLOOKUP(Данные!G35,Залив_кольца[],3,0),"Примечания")</f>
        <v>Примечания</v>
      </c>
      <c r="M29" s="1742"/>
      <c r="O29" s="41"/>
      <c r="R29" s="102"/>
      <c r="S29" s="2029"/>
      <c r="T29" s="102"/>
      <c r="U29" s="41"/>
      <c r="V29" s="1312"/>
      <c r="X29" s="102"/>
      <c r="Y29" s="102"/>
    </row>
    <row r="30" spans="2:26" ht="15.6" x14ac:dyDescent="0.3">
      <c r="B30" s="1884" t="s">
        <v>239</v>
      </c>
      <c r="C30" s="1033"/>
      <c r="D30" s="1033"/>
      <c r="E30" s="1885">
        <f>M19</f>
        <v>0</v>
      </c>
      <c r="F30" s="1886">
        <f>M21</f>
        <v>0</v>
      </c>
      <c r="G30" s="1887" t="e">
        <f>VLOOKUP(E31,Изложницы_с_буртом[],6,FALSE)</f>
        <v>#N/A</v>
      </c>
      <c r="H30" s="1888"/>
      <c r="I30" s="1889"/>
      <c r="J30" s="425"/>
      <c r="K30" s="310"/>
      <c r="V30" s="1312"/>
      <c r="Y30" s="102"/>
    </row>
    <row r="31" spans="2:26" ht="15.6" x14ac:dyDescent="0.3">
      <c r="B31" s="410"/>
      <c r="C31" s="1033"/>
      <c r="D31" s="1033"/>
      <c r="E31" s="1885">
        <f>M18</f>
        <v>0</v>
      </c>
      <c r="F31" s="1885">
        <f>M22</f>
        <v>0</v>
      </c>
      <c r="G31" s="1211"/>
      <c r="H31" s="1212"/>
      <c r="I31" s="1890"/>
      <c r="J31" s="425"/>
      <c r="K31" s="310"/>
      <c r="O31" s="41"/>
      <c r="R31" s="102"/>
      <c r="U31" s="102"/>
      <c r="V31" s="1740"/>
      <c r="W31" s="102"/>
      <c r="X31" s="102"/>
      <c r="Y31" s="102"/>
    </row>
    <row r="32" spans="2:26" ht="15.6" x14ac:dyDescent="0.3">
      <c r="B32" s="1884" t="s">
        <v>962</v>
      </c>
      <c r="C32" s="1033"/>
      <c r="D32" s="1033"/>
      <c r="E32" s="1885">
        <f>M20</f>
        <v>105</v>
      </c>
      <c r="F32" s="1885"/>
      <c r="G32" s="1211" t="e">
        <f ca="1">VLOOKUP(Данные!G35,Залив_кольца[],2,FALSE)&amp;" - "&amp;RANDBETWEEN(1,15)</f>
        <v>#N/A</v>
      </c>
      <c r="H32" s="1212"/>
      <c r="I32" s="1890"/>
      <c r="J32" s="425"/>
      <c r="K32" s="310"/>
      <c r="N32" s="1178"/>
      <c r="O32" s="41"/>
      <c r="R32" s="102"/>
      <c r="V32" s="102"/>
      <c r="W32" s="102"/>
      <c r="X32" s="102"/>
      <c r="Y32" s="102"/>
    </row>
    <row r="33" spans="2:25" ht="15.6" x14ac:dyDescent="0.3">
      <c r="B33" s="1884" t="s">
        <v>240</v>
      </c>
      <c r="C33" s="1033"/>
      <c r="D33" s="1033"/>
      <c r="E33" s="1885">
        <f>E30</f>
        <v>0</v>
      </c>
      <c r="F33" s="1885">
        <v>40</v>
      </c>
      <c r="G33" s="1211" t="e">
        <f>VLOOKUP(E33,Инв_номер_токателя[],2,FALSE)</f>
        <v>#N/A</v>
      </c>
      <c r="H33" s="1212"/>
      <c r="I33" s="1890"/>
      <c r="J33" s="425"/>
      <c r="K33" s="310"/>
      <c r="O33" s="41"/>
      <c r="R33" s="102"/>
      <c r="U33" s="102"/>
      <c r="V33" s="102"/>
      <c r="W33" s="102"/>
      <c r="X33" s="102"/>
      <c r="Y33" s="102"/>
    </row>
    <row r="34" spans="2:25" ht="15.6" x14ac:dyDescent="0.3">
      <c r="B34" s="1884" t="s">
        <v>963</v>
      </c>
      <c r="C34" s="1033"/>
      <c r="D34" s="1033"/>
      <c r="E34" s="1885"/>
      <c r="F34" s="1885">
        <f>F30-F36-F33</f>
        <v>-223</v>
      </c>
      <c r="G34" s="410"/>
      <c r="H34" s="1033"/>
      <c r="I34" s="414"/>
      <c r="J34" s="425"/>
      <c r="K34" s="310"/>
      <c r="L34" s="56"/>
      <c r="O34" s="41"/>
      <c r="R34" s="102"/>
      <c r="U34" s="102"/>
      <c r="V34" s="102"/>
      <c r="W34" s="102"/>
      <c r="X34" s="102"/>
      <c r="Y34" s="102"/>
    </row>
    <row r="35" spans="2:25" ht="16.2" thickBot="1" x14ac:dyDescent="0.35">
      <c r="B35" s="410"/>
      <c r="C35" s="1033"/>
      <c r="D35" s="1033"/>
      <c r="E35" s="1885"/>
      <c r="F35" s="1885"/>
      <c r="G35" s="410"/>
      <c r="H35" s="1033"/>
      <c r="I35" s="414"/>
      <c r="J35" s="425"/>
      <c r="K35" s="310"/>
      <c r="L35" s="1751"/>
      <c r="M35" s="1752"/>
      <c r="O35" s="41"/>
      <c r="R35" s="102"/>
      <c r="S35" s="102"/>
      <c r="T35" s="102"/>
      <c r="U35" s="102"/>
      <c r="V35" s="102"/>
      <c r="W35" s="102"/>
      <c r="X35" s="102"/>
      <c r="Y35" s="102"/>
    </row>
    <row r="36" spans="2:25" ht="15.6" x14ac:dyDescent="0.3">
      <c r="B36" s="1891" t="s">
        <v>241</v>
      </c>
      <c r="C36" s="411"/>
      <c r="D36" s="411"/>
      <c r="E36" s="1863"/>
      <c r="F36" s="1892">
        <f>CEILING(F26/0.985,1)</f>
        <v>183</v>
      </c>
      <c r="G36" s="411"/>
      <c r="H36" s="411"/>
      <c r="I36" s="411"/>
      <c r="J36" s="418"/>
      <c r="K36" s="56"/>
      <c r="L36" s="1751"/>
      <c r="M36" s="1752"/>
      <c r="O36" s="1029"/>
      <c r="R36" s="102"/>
      <c r="S36" s="102"/>
      <c r="T36" s="102"/>
      <c r="U36" s="102"/>
      <c r="V36" s="102"/>
      <c r="W36" s="102"/>
      <c r="X36" s="102"/>
      <c r="Y36" s="102"/>
    </row>
    <row r="37" spans="2:25" ht="16.2" thickBot="1" x14ac:dyDescent="0.35">
      <c r="B37" s="427"/>
      <c r="C37" s="428"/>
      <c r="D37" s="428"/>
      <c r="E37" s="428"/>
      <c r="F37" s="428"/>
      <c r="G37" s="428"/>
      <c r="H37" s="428"/>
      <c r="I37" s="428"/>
      <c r="J37" s="450"/>
      <c r="K37" s="56"/>
      <c r="L37" s="1753"/>
      <c r="M37" s="1752"/>
      <c r="O37" s="1029"/>
    </row>
    <row r="38" spans="2:25" ht="16.2" thickBot="1" x14ac:dyDescent="0.35">
      <c r="B38" s="1882" t="str">
        <f>"Плавка по инструкции "&amp;VLOOKUP(F8,Марка_металла[],6,FALSE)</f>
        <v>Плавка по инструкции 25010.00173</v>
      </c>
      <c r="C38" s="448"/>
      <c r="D38" s="448"/>
      <c r="E38" s="448"/>
      <c r="F38" s="1893"/>
      <c r="G38" s="448"/>
      <c r="H38" s="448"/>
      <c r="I38" s="448"/>
      <c r="J38" s="1858"/>
      <c r="K38" s="310"/>
      <c r="L38" s="1751"/>
      <c r="M38" s="1754"/>
      <c r="O38" s="1029"/>
    </row>
    <row r="39" spans="2:25" ht="16.2" thickBot="1" x14ac:dyDescent="0.35">
      <c r="B39" s="1894" t="s">
        <v>242</v>
      </c>
      <c r="C39" s="428"/>
      <c r="D39" s="428"/>
      <c r="E39" s="428"/>
      <c r="F39" s="449"/>
      <c r="G39" s="428"/>
      <c r="H39" s="428"/>
      <c r="I39" s="428"/>
      <c r="J39" s="430"/>
      <c r="K39" s="310"/>
      <c r="L39" s="1751"/>
      <c r="M39" s="1752"/>
      <c r="O39" s="1029"/>
    </row>
    <row r="40" spans="2:25" ht="15.6" x14ac:dyDescent="0.3">
      <c r="B40" s="1891" t="s">
        <v>243</v>
      </c>
      <c r="C40" s="411"/>
      <c r="D40" s="411"/>
      <c r="E40" s="411"/>
      <c r="F40" s="1895"/>
      <c r="G40" s="411"/>
      <c r="H40" s="411"/>
      <c r="I40" s="411"/>
      <c r="J40" s="418"/>
      <c r="K40" s="56"/>
      <c r="L40" s="57"/>
      <c r="M40" s="1363"/>
      <c r="O40" s="1029"/>
      <c r="U40" s="1312"/>
    </row>
    <row r="41" spans="2:25" ht="15.6" x14ac:dyDescent="0.3">
      <c r="B41" s="1884" t="s">
        <v>244</v>
      </c>
      <c r="C41" s="1033"/>
      <c r="D41" s="1033"/>
      <c r="E41" s="1033"/>
      <c r="F41" s="1857"/>
      <c r="G41" s="1033"/>
      <c r="H41" s="1033"/>
      <c r="I41" s="1033"/>
      <c r="J41" s="414"/>
      <c r="K41" s="56"/>
      <c r="L41" s="1029"/>
      <c r="M41" s="1691"/>
      <c r="O41" s="1029"/>
    </row>
    <row r="42" spans="2:25" ht="15.6" x14ac:dyDescent="0.3">
      <c r="B42" s="1884" t="s">
        <v>245</v>
      </c>
      <c r="C42" s="1033"/>
      <c r="D42" s="1033"/>
      <c r="E42" s="1033"/>
      <c r="F42" s="1857"/>
      <c r="G42" s="1033"/>
      <c r="H42" s="1033"/>
      <c r="I42" s="1033"/>
      <c r="J42" s="414"/>
      <c r="K42" s="56"/>
      <c r="L42" s="1029"/>
      <c r="M42" s="1691"/>
      <c r="O42" s="1029"/>
    </row>
    <row r="43" spans="2:25" ht="16.2" thickBot="1" x14ac:dyDescent="0.35">
      <c r="B43" s="427"/>
      <c r="C43" s="428"/>
      <c r="D43" s="428"/>
      <c r="E43" s="428"/>
      <c r="F43" s="428"/>
      <c r="G43" s="428"/>
      <c r="H43" s="428"/>
      <c r="I43" s="428"/>
      <c r="J43" s="450"/>
      <c r="K43" s="56"/>
      <c r="L43" s="1029"/>
      <c r="M43" s="1691"/>
      <c r="O43" s="1029"/>
    </row>
    <row r="44" spans="2:25" ht="16.2" thickBot="1" x14ac:dyDescent="0.35">
      <c r="B44" s="1999" t="s">
        <v>246</v>
      </c>
      <c r="C44" s="2000"/>
      <c r="D44" s="1858" t="s">
        <v>599</v>
      </c>
      <c r="E44" s="456" t="s">
        <v>248</v>
      </c>
      <c r="F44" s="1165" t="s">
        <v>247</v>
      </c>
      <c r="G44" s="456" t="s">
        <v>248</v>
      </c>
      <c r="H44" s="1896" t="s">
        <v>249</v>
      </c>
      <c r="I44" s="1897"/>
      <c r="J44" s="456" t="s">
        <v>248</v>
      </c>
      <c r="K44" s="10"/>
      <c r="L44" s="1029"/>
      <c r="M44" s="1691"/>
      <c r="O44" s="1029"/>
    </row>
    <row r="45" spans="2:25" ht="16.2" thickBot="1" x14ac:dyDescent="0.35">
      <c r="B45" s="2030">
        <f ca="1">TODAY()</f>
        <v>45590</v>
      </c>
      <c r="C45" s="2031"/>
      <c r="D45" s="1898"/>
      <c r="E45" s="456"/>
      <c r="F45" s="1165"/>
      <c r="G45" s="903"/>
      <c r="H45" s="880"/>
      <c r="I45" s="882"/>
      <c r="J45" s="903"/>
      <c r="K45" s="56"/>
      <c r="L45" s="1029"/>
      <c r="M45" s="1691"/>
      <c r="O45" s="1029"/>
    </row>
    <row r="46" spans="2:25" ht="16.2" thickBot="1" x14ac:dyDescent="0.35">
      <c r="B46" s="1999" t="s">
        <v>61</v>
      </c>
      <c r="C46" s="2000"/>
      <c r="D46" s="447"/>
      <c r="E46" s="1899"/>
      <c r="F46" s="448"/>
      <c r="G46" s="1900"/>
      <c r="H46" s="880"/>
      <c r="I46" s="882"/>
      <c r="J46" s="1900"/>
      <c r="K46" s="56"/>
      <c r="L46" s="1029"/>
      <c r="M46" s="1691"/>
      <c r="O46" s="1029"/>
      <c r="R46" s="1029"/>
    </row>
    <row r="47" spans="2:25" x14ac:dyDescent="0.3">
      <c r="L47" s="1029"/>
      <c r="M47" s="1691"/>
      <c r="O47" s="1029"/>
    </row>
    <row r="48" spans="2:25" x14ac:dyDescent="0.3">
      <c r="F48" s="1173"/>
      <c r="L48" s="1029"/>
      <c r="M48" s="1691"/>
      <c r="O48" s="1029"/>
    </row>
    <row r="49" spans="2:15" x14ac:dyDescent="0.3">
      <c r="L49" s="1029"/>
      <c r="M49" s="1691"/>
      <c r="O49" s="1029"/>
    </row>
    <row r="50" spans="2:15" x14ac:dyDescent="0.3">
      <c r="L50" s="1029"/>
      <c r="M50" s="1691"/>
      <c r="O50" s="1029"/>
    </row>
    <row r="51" spans="2:15" x14ac:dyDescent="0.3">
      <c r="L51" s="1029"/>
      <c r="M51" s="1691"/>
      <c r="O51" s="1029"/>
    </row>
    <row r="52" spans="2:15" x14ac:dyDescent="0.3">
      <c r="B52" s="1174"/>
      <c r="C52" s="1174"/>
      <c r="D52" s="1174"/>
      <c r="E52" s="1174"/>
      <c r="L52" s="1029"/>
      <c r="M52" s="1691"/>
      <c r="O52" s="1029"/>
    </row>
    <row r="53" spans="2:15" x14ac:dyDescent="0.3">
      <c r="L53" s="1029"/>
      <c r="M53" s="1691"/>
      <c r="O53" s="1029"/>
    </row>
    <row r="54" spans="2:15" x14ac:dyDescent="0.3">
      <c r="L54" s="1312"/>
      <c r="O54" s="41"/>
    </row>
    <row r="55" spans="2:15" x14ac:dyDescent="0.3">
      <c r="O55" s="41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0"/>
  <sheetViews>
    <sheetView showGridLines="0" zoomScale="70" zoomScaleNormal="70" workbookViewId="0">
      <selection activeCell="T21" sqref="T21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6.5546875" customWidth="1"/>
    <col min="15" max="15" width="11.6640625" customWidth="1"/>
    <col min="17" max="17" width="9.6640625" customWidth="1"/>
    <col min="18" max="18" width="9.21875" customWidth="1"/>
    <col min="27" max="27" width="8.44140625" customWidth="1"/>
  </cols>
  <sheetData>
    <row r="1" spans="2:16" s="41" customFormat="1" ht="15" customHeight="1" thickBot="1" x14ac:dyDescent="0.35">
      <c r="J1" s="41" t="s">
        <v>834</v>
      </c>
      <c r="P1" s="41" t="s">
        <v>1005</v>
      </c>
    </row>
    <row r="2" spans="2:16" ht="16.2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790</v>
      </c>
      <c r="L2" s="1606" t="s">
        <v>74</v>
      </c>
      <c r="M2" s="125"/>
      <c r="N2" s="395"/>
    </row>
    <row r="3" spans="2:16" ht="15.6" x14ac:dyDescent="0.3">
      <c r="B3" s="11" t="s">
        <v>1</v>
      </c>
      <c r="C3" s="56"/>
      <c r="D3" s="5"/>
      <c r="E3" s="5"/>
      <c r="F3" s="43"/>
      <c r="G3" s="5"/>
      <c r="H3" s="56"/>
      <c r="I3" s="6" t="s">
        <v>63</v>
      </c>
      <c r="J3" s="1860" t="s">
        <v>1124</v>
      </c>
      <c r="L3" s="1607" t="s">
        <v>75</v>
      </c>
      <c r="M3" s="1615">
        <v>85</v>
      </c>
      <c r="N3" s="41"/>
    </row>
    <row r="4" spans="2:16" ht="15.6" x14ac:dyDescent="0.3">
      <c r="B4" s="4" t="s">
        <v>2</v>
      </c>
      <c r="C4" s="56"/>
      <c r="D4" s="52"/>
      <c r="E4" s="52"/>
      <c r="F4" s="527"/>
      <c r="G4" s="526"/>
      <c r="H4" s="52"/>
      <c r="I4" s="52" t="str">
        <f>"("&amp;M16&amp;"x"&amp;M18&amp;"x"&amp;M20&amp;")"</f>
        <v>(104x240x640)</v>
      </c>
      <c r="J4" s="9"/>
      <c r="L4" s="1607" t="s">
        <v>76</v>
      </c>
      <c r="M4" s="1615">
        <v>180</v>
      </c>
      <c r="N4" s="41"/>
    </row>
    <row r="5" spans="2:16" ht="15.6" x14ac:dyDescent="0.3">
      <c r="B5" s="4" t="s">
        <v>3</v>
      </c>
      <c r="C5" s="56"/>
      <c r="D5" s="52"/>
      <c r="E5" s="52"/>
      <c r="F5" s="526"/>
      <c r="G5" s="52"/>
      <c r="H5" s="52"/>
      <c r="I5" s="52"/>
      <c r="J5" s="9"/>
      <c r="L5" s="1607" t="s">
        <v>77</v>
      </c>
      <c r="M5" s="1615">
        <v>1120</v>
      </c>
    </row>
    <row r="6" spans="2:16" ht="16.2" thickBot="1" x14ac:dyDescent="0.35">
      <c r="B6" s="18" t="s">
        <v>7</v>
      </c>
      <c r="C6" s="62"/>
      <c r="D6" s="19"/>
      <c r="E6" s="19"/>
      <c r="F6" s="617"/>
      <c r="G6" s="19"/>
      <c r="H6" s="19"/>
      <c r="I6" s="19"/>
      <c r="J6" s="38"/>
      <c r="L6" s="1608"/>
      <c r="M6" s="1616"/>
    </row>
    <row r="7" spans="2:16" ht="15.6" x14ac:dyDescent="0.3">
      <c r="B7" s="4" t="s">
        <v>12</v>
      </c>
      <c r="C7" s="52"/>
      <c r="D7" s="52"/>
      <c r="E7" s="52"/>
      <c r="F7" s="365" t="s">
        <v>23</v>
      </c>
      <c r="G7" s="52"/>
      <c r="H7" s="56"/>
      <c r="I7" s="52" t="s">
        <v>13</v>
      </c>
      <c r="J7" s="14">
        <f>F8/F10</f>
        <v>1.075</v>
      </c>
      <c r="L7" s="1607" t="s">
        <v>15</v>
      </c>
      <c r="M7" s="1617">
        <f>M3*M5*M4*M9/1000000</f>
        <v>128.52000000000001</v>
      </c>
    </row>
    <row r="8" spans="2:16" ht="15.6" x14ac:dyDescent="0.3">
      <c r="B8" s="4" t="s">
        <v>15</v>
      </c>
      <c r="C8" s="52"/>
      <c r="D8" s="52"/>
      <c r="E8" s="52"/>
      <c r="F8" s="104">
        <f>IF(M8&lt;&gt;0,M8,ОкруглОТНОС(M7))</f>
        <v>129</v>
      </c>
      <c r="G8" s="52"/>
      <c r="H8" s="56"/>
      <c r="I8" s="52" t="s">
        <v>18</v>
      </c>
      <c r="J8" s="14">
        <f>F8/F14</f>
        <v>0.60563380281690138</v>
      </c>
      <c r="L8" s="1609" t="s">
        <v>259</v>
      </c>
      <c r="M8" s="1618"/>
    </row>
    <row r="9" spans="2:16" ht="15.6" x14ac:dyDescent="0.3">
      <c r="B9" s="4" t="s">
        <v>17</v>
      </c>
      <c r="C9" s="52"/>
      <c r="D9" s="52"/>
      <c r="E9" s="52"/>
      <c r="F9" s="104">
        <f>ОкруглОТНОС(M10)</f>
        <v>120</v>
      </c>
      <c r="G9" s="52"/>
      <c r="H9" s="52"/>
      <c r="I9" s="52"/>
      <c r="J9" s="17"/>
      <c r="L9" s="1610" t="s">
        <v>8</v>
      </c>
      <c r="M9" s="1579">
        <f>VLOOKUP(F7,Марка_металла[],9,FALSE())</f>
        <v>7.5</v>
      </c>
    </row>
    <row r="10" spans="2:16" ht="15.6" x14ac:dyDescent="0.3">
      <c r="B10" s="4" t="s">
        <v>70</v>
      </c>
      <c r="C10" s="52"/>
      <c r="D10" s="52"/>
      <c r="E10" s="52"/>
      <c r="F10" s="104">
        <f>F9/F15</f>
        <v>120</v>
      </c>
      <c r="G10" s="52"/>
      <c r="H10" s="52"/>
      <c r="I10" s="52"/>
      <c r="J10" s="17"/>
      <c r="L10" s="1609" t="s">
        <v>17</v>
      </c>
      <c r="M10" s="1617">
        <f>(M16+M17)/2*(M18+M19)/2*M9*M20/1000000</f>
        <v>119.80800000000001</v>
      </c>
    </row>
    <row r="11" spans="2:16" ht="15.6" x14ac:dyDescent="0.3">
      <c r="B11" s="4" t="s">
        <v>22</v>
      </c>
      <c r="C11" s="52"/>
      <c r="D11" s="52"/>
      <c r="E11" s="52"/>
      <c r="F11" s="104">
        <f>ОкруглОТНОС(M11)</f>
        <v>204</v>
      </c>
      <c r="G11" s="52"/>
      <c r="H11" s="52"/>
      <c r="I11" s="52"/>
      <c r="J11" s="17"/>
      <c r="L11" s="1609" t="s">
        <v>22</v>
      </c>
      <c r="M11" s="1617">
        <f>F9+((M23+M24)/2*((M25+M26)/2)*M27*M9)/1000000</f>
        <v>203.9025</v>
      </c>
    </row>
    <row r="12" spans="2:16" ht="15.6" x14ac:dyDescent="0.3">
      <c r="B12" s="4" t="s">
        <v>24</v>
      </c>
      <c r="C12" s="52"/>
      <c r="D12" s="52"/>
      <c r="E12" s="52"/>
      <c r="F12" s="104">
        <f>F11/F15</f>
        <v>204</v>
      </c>
      <c r="G12" s="52"/>
      <c r="H12" s="52"/>
      <c r="I12" s="52"/>
      <c r="J12" s="17"/>
      <c r="L12" s="1611" t="s">
        <v>920</v>
      </c>
      <c r="M12" s="1619"/>
      <c r="N12" s="971"/>
      <c r="O12" s="971"/>
    </row>
    <row r="13" spans="2:16" ht="15.6" x14ac:dyDescent="0.3">
      <c r="B13" s="4" t="s">
        <v>27</v>
      </c>
      <c r="C13" s="52"/>
      <c r="D13" s="52"/>
      <c r="E13" s="52"/>
      <c r="F13" s="104">
        <f>IF(F11&lt;97,ROUNDUP(F11*1.04,1),ROUNDUP(F11*1.04,0))</f>
        <v>213</v>
      </c>
      <c r="G13" s="52"/>
      <c r="H13" s="52"/>
      <c r="I13" s="52"/>
      <c r="J13" s="17"/>
      <c r="L13" s="1612" t="s">
        <v>921</v>
      </c>
      <c r="M13" s="1620">
        <f>VLOOKUP(Данные!N46,планки_фас,2,0)</f>
        <v>8</v>
      </c>
    </row>
    <row r="14" spans="2:16" ht="15.6" x14ac:dyDescent="0.3">
      <c r="B14" s="4" t="s">
        <v>29</v>
      </c>
      <c r="C14" s="52"/>
      <c r="D14" s="52"/>
      <c r="E14" s="52"/>
      <c r="F14" s="104">
        <f>F13/F15</f>
        <v>213</v>
      </c>
      <c r="G14" s="52"/>
      <c r="H14" s="52"/>
      <c r="I14" s="52"/>
      <c r="J14" s="17"/>
      <c r="L14" s="1612" t="s">
        <v>922</v>
      </c>
      <c r="M14" s="1620">
        <f>IF(AND(M9&gt;=7.5,M9&lt;=8.5),10,VLOOKUP(Данные!N46,планки_фас,2,0))</f>
        <v>10</v>
      </c>
      <c r="N14" s="57"/>
    </row>
    <row r="15" spans="2:16" ht="15.6" x14ac:dyDescent="0.3">
      <c r="B15" s="4" t="s">
        <v>31</v>
      </c>
      <c r="C15" s="52"/>
      <c r="D15" s="52"/>
      <c r="E15" s="52"/>
      <c r="F15" s="124">
        <f>F17*F16</f>
        <v>1</v>
      </c>
      <c r="G15" s="52"/>
      <c r="H15" s="52"/>
      <c r="I15" s="52"/>
      <c r="J15" s="17"/>
      <c r="L15" s="1613" t="s">
        <v>62</v>
      </c>
      <c r="M15" s="1580" t="str">
        <f>IF(J3=0,"расчет","по модели")</f>
        <v>по модели</v>
      </c>
      <c r="N15" s="229"/>
    </row>
    <row r="16" spans="2:16" ht="15.6" x14ac:dyDescent="0.3">
      <c r="B16" s="4" t="s">
        <v>33</v>
      </c>
      <c r="C16" s="52"/>
      <c r="D16" s="52"/>
      <c r="E16" s="52"/>
      <c r="F16" s="124">
        <v>1</v>
      </c>
      <c r="G16" s="52"/>
      <c r="H16" s="52"/>
      <c r="I16" s="52"/>
      <c r="J16" s="17"/>
      <c r="L16" s="1607" t="s">
        <v>64</v>
      </c>
      <c r="M16" s="1621">
        <f>IF(J3=0,ROUND((M3+2*M14)/0.985,0),VLOOKUP(J$3,Планки2[],8,FALSE()))</f>
        <v>104</v>
      </c>
      <c r="N16" s="57"/>
    </row>
    <row r="17" spans="2:15" ht="16.2" thickBot="1" x14ac:dyDescent="0.35">
      <c r="B17" s="18" t="s">
        <v>35</v>
      </c>
      <c r="C17" s="19"/>
      <c r="D17" s="19"/>
      <c r="E17" s="19"/>
      <c r="F17" s="217">
        <v>1</v>
      </c>
      <c r="G17" s="19"/>
      <c r="H17" s="19"/>
      <c r="I17" s="19"/>
      <c r="J17" s="21"/>
      <c r="L17" s="1607" t="s">
        <v>65</v>
      </c>
      <c r="M17" s="1621">
        <f>IF(J3=0,M16+2*Данные!P44,VLOOKUP(J$3,Планки2[],9,FALSE()))</f>
        <v>104</v>
      </c>
      <c r="N17" s="57"/>
    </row>
    <row r="18" spans="2:15" ht="15.6" x14ac:dyDescent="0.3">
      <c r="B18" s="11"/>
      <c r="C18" s="5"/>
      <c r="D18" s="392" t="s">
        <v>944</v>
      </c>
      <c r="E18" s="43"/>
      <c r="F18" s="908" t="str">
        <f>"Формовочный уклон "&amp;Данные!P44</f>
        <v>Формовочный уклон 6</v>
      </c>
      <c r="G18" s="5"/>
      <c r="H18" s="5"/>
      <c r="I18" s="118"/>
      <c r="J18" s="119"/>
      <c r="L18" s="1607" t="s">
        <v>66</v>
      </c>
      <c r="M18" s="1621">
        <f>IF(J3=0,ROUND((M4+2*M13)/0.985,0),VLOOKUP(J$3,Планки2[],5,FALSE()))</f>
        <v>240</v>
      </c>
      <c r="N18" s="57"/>
    </row>
    <row r="19" spans="2:15" ht="15.6" x14ac:dyDescent="0.3">
      <c r="B19" s="1144"/>
      <c r="C19" s="132"/>
      <c r="D19" s="132"/>
      <c r="E19" s="132"/>
      <c r="F19" s="132"/>
      <c r="G19" s="132"/>
      <c r="H19" s="132"/>
      <c r="I19" s="704"/>
      <c r="J19" s="1300"/>
      <c r="L19" s="1607" t="s">
        <v>67</v>
      </c>
      <c r="M19" s="1621">
        <f>IF(J3=0,M18+2*Данные!P44,VLOOKUP(J$3,Планки2[],6,FALSE()))</f>
        <v>240</v>
      </c>
      <c r="N19" s="57"/>
    </row>
    <row r="20" spans="2:15" ht="15.6" x14ac:dyDescent="0.3">
      <c r="B20" s="1144"/>
      <c r="C20" s="132"/>
      <c r="D20" s="132"/>
      <c r="E20" s="132"/>
      <c r="F20" s="132"/>
      <c r="G20" s="132"/>
      <c r="H20" s="132"/>
      <c r="I20" s="704"/>
      <c r="J20" s="1300"/>
      <c r="L20" s="1607" t="s">
        <v>68</v>
      </c>
      <c r="M20" s="1621">
        <f>IFERROR(IF(J3=0,ROUND((M5+2*M13+15)/0.985,0),VLOOKUP(J$3,Планки2[],4,FALSE())),0)</f>
        <v>640</v>
      </c>
      <c r="N20" s="57"/>
      <c r="O20" s="41"/>
    </row>
    <row r="21" spans="2:15" ht="15.6" x14ac:dyDescent="0.3">
      <c r="B21" s="1144"/>
      <c r="C21" s="132"/>
      <c r="D21" s="132"/>
      <c r="E21" s="132"/>
      <c r="F21" s="132"/>
      <c r="G21" s="132"/>
      <c r="H21" s="132"/>
      <c r="I21" s="96">
        <f>ROUNDUP(M18*0.985,0)</f>
        <v>237</v>
      </c>
      <c r="J21" s="115"/>
      <c r="L21" s="1608"/>
      <c r="M21" s="1622"/>
      <c r="N21" s="905"/>
    </row>
    <row r="22" spans="2:15" ht="15.6" x14ac:dyDescent="0.3">
      <c r="B22" s="1144"/>
      <c r="C22" s="132"/>
      <c r="D22" s="132"/>
      <c r="E22" s="132"/>
      <c r="F22" s="132"/>
      <c r="G22" s="132"/>
      <c r="H22" s="132"/>
      <c r="I22" s="1323">
        <f>M4</f>
        <v>180</v>
      </c>
      <c r="J22" s="115"/>
      <c r="L22" s="1614" t="s">
        <v>69</v>
      </c>
      <c r="M22" s="1623"/>
      <c r="N22" s="905"/>
    </row>
    <row r="23" spans="2:15" ht="15.6" x14ac:dyDescent="0.3">
      <c r="B23" s="1144"/>
      <c r="C23" s="132"/>
      <c r="D23" s="132"/>
      <c r="E23" s="132"/>
      <c r="F23" s="132"/>
      <c r="G23" s="132"/>
      <c r="H23" s="132"/>
      <c r="I23" s="1301"/>
      <c r="J23" s="115"/>
      <c r="L23" s="1607" t="s">
        <v>65</v>
      </c>
      <c r="M23" s="1621">
        <f>IF(J3=0,M17,VLOOKUP(J$3,Планки2[],9,FALSE()))</f>
        <v>104</v>
      </c>
      <c r="N23" s="57"/>
    </row>
    <row r="24" spans="2:15" ht="15.6" x14ac:dyDescent="0.3">
      <c r="B24" s="1144"/>
      <c r="C24" s="132"/>
      <c r="D24" s="132"/>
      <c r="E24" s="132"/>
      <c r="F24" s="132"/>
      <c r="G24" s="132"/>
      <c r="H24" s="132"/>
      <c r="I24" s="1301"/>
      <c r="J24" s="115"/>
      <c r="L24" s="1607" t="s">
        <v>71</v>
      </c>
      <c r="M24" s="1621">
        <f>IF(J3=0,ROUND(M23+M27/5*2,0),VLOOKUP(J$3,Планки2[],10,FALSE()))</f>
        <v>160</v>
      </c>
      <c r="N24" s="57"/>
    </row>
    <row r="25" spans="2:15" ht="15.6" x14ac:dyDescent="0.3">
      <c r="B25" s="1144"/>
      <c r="C25" s="132"/>
      <c r="D25" s="132"/>
      <c r="E25" s="132"/>
      <c r="F25" s="132"/>
      <c r="G25" s="132"/>
      <c r="H25" s="132"/>
      <c r="I25" s="1301"/>
      <c r="J25" s="115"/>
      <c r="L25" s="1607" t="s">
        <v>67</v>
      </c>
      <c r="M25" s="1621">
        <f>IF(J3=0,M19,VLOOKUP(J$3,Планки2[],6,FALSE()))</f>
        <v>240</v>
      </c>
      <c r="N25" s="57"/>
    </row>
    <row r="26" spans="2:15" ht="15.6" x14ac:dyDescent="0.3">
      <c r="B26" s="1144"/>
      <c r="C26" s="132"/>
      <c r="D26" s="784"/>
      <c r="E26" s="1302">
        <v>20</v>
      </c>
      <c r="F26" s="132"/>
      <c r="G26" s="132"/>
      <c r="H26" s="132"/>
      <c r="I26" s="1301"/>
      <c r="J26" s="115"/>
      <c r="L26" s="1607" t="s">
        <v>72</v>
      </c>
      <c r="M26" s="1621">
        <f>IF(J3=0,ROUND(M25+M27/10*2,0),VLOOKUP(J$3,Планки2[],7,FALSE()))</f>
        <v>260</v>
      </c>
      <c r="N26" s="57"/>
    </row>
    <row r="27" spans="2:15" ht="15.6" x14ac:dyDescent="0.3">
      <c r="B27" s="1144"/>
      <c r="C27" s="132"/>
      <c r="D27" s="132"/>
      <c r="E27" s="132"/>
      <c r="F27" s="132"/>
      <c r="G27" s="132"/>
      <c r="H27" s="132"/>
      <c r="I27" s="1301"/>
      <c r="J27" s="115"/>
      <c r="L27" s="1607" t="s">
        <v>601</v>
      </c>
      <c r="M27" s="1621">
        <f>Данные!M50</f>
        <v>339</v>
      </c>
      <c r="N27" s="57"/>
    </row>
    <row r="28" spans="2:15" ht="18" x14ac:dyDescent="0.35">
      <c r="B28" s="1144"/>
      <c r="C28" s="1303">
        <f>ROUNDUP(M27*0.985,0)</f>
        <v>334</v>
      </c>
      <c r="D28" s="132"/>
      <c r="E28" s="1739">
        <f>ROUNDUP(M20*0.985,0)</f>
        <v>631</v>
      </c>
      <c r="F28" s="132"/>
      <c r="G28" s="132"/>
      <c r="H28" s="132"/>
      <c r="I28" s="1301"/>
      <c r="J28" s="115"/>
      <c r="L28" s="1605" t="s">
        <v>573</v>
      </c>
      <c r="M28" s="1605"/>
      <c r="N28" s="972"/>
    </row>
    <row r="29" spans="2:15" ht="15.6" x14ac:dyDescent="0.3">
      <c r="B29" s="1144"/>
      <c r="C29" s="132"/>
      <c r="D29" s="132"/>
      <c r="E29" s="1323">
        <f>M5</f>
        <v>1120</v>
      </c>
      <c r="F29" s="784"/>
      <c r="G29" s="132"/>
      <c r="H29" s="132"/>
      <c r="I29" s="1301"/>
      <c r="J29" s="115"/>
      <c r="L29" s="1603" t="s">
        <v>1770</v>
      </c>
      <c r="M29" s="1604">
        <f>VLOOKUP(J$3,Планки2[],3,FALSE())</f>
        <v>250</v>
      </c>
    </row>
    <row r="30" spans="2:15" s="41" customFormat="1" ht="15.6" x14ac:dyDescent="0.3">
      <c r="B30" s="1144"/>
      <c r="C30" s="132"/>
      <c r="D30" s="132"/>
      <c r="E30" s="114"/>
      <c r="F30" s="784"/>
      <c r="G30" s="132"/>
      <c r="H30" s="132"/>
      <c r="I30" s="1301"/>
      <c r="J30" s="115"/>
      <c r="L30" s="975" t="s">
        <v>1739</v>
      </c>
      <c r="M30"/>
      <c r="N30" s="1312"/>
      <c r="O30" s="1312"/>
    </row>
    <row r="31" spans="2:15" x14ac:dyDescent="0.3">
      <c r="B31" s="1144"/>
      <c r="C31" s="132"/>
      <c r="D31" s="132"/>
      <c r="E31" s="132"/>
      <c r="F31" s="132"/>
      <c r="G31" s="132"/>
      <c r="H31" s="132"/>
      <c r="I31" s="1301"/>
      <c r="J31" s="115"/>
      <c r="L31" s="971"/>
      <c r="M31" s="971"/>
      <c r="N31" s="971"/>
      <c r="O31" s="971"/>
    </row>
    <row r="32" spans="2:15" ht="15.6" x14ac:dyDescent="0.3">
      <c r="B32" s="1144"/>
      <c r="C32" s="132"/>
      <c r="D32" s="132"/>
      <c r="E32" s="132"/>
      <c r="F32" s="132"/>
      <c r="G32" s="132"/>
      <c r="H32" s="132"/>
      <c r="I32" s="96">
        <f>ROUNDUP(M16*0.985,0)</f>
        <v>103</v>
      </c>
      <c r="J32" s="1304"/>
      <c r="L32" s="609" t="s">
        <v>277</v>
      </c>
      <c r="M32" s="607"/>
      <c r="N32" s="607"/>
      <c r="O32" s="607"/>
    </row>
    <row r="33" spans="2:17" x14ac:dyDescent="0.3">
      <c r="B33" s="1144"/>
      <c r="C33" s="132"/>
      <c r="D33" s="132"/>
      <c r="E33" s="132"/>
      <c r="F33" s="132"/>
      <c r="G33" s="132"/>
      <c r="H33" s="132"/>
      <c r="I33" s="1323">
        <f>M3</f>
        <v>85</v>
      </c>
      <c r="J33" s="115"/>
      <c r="L33" s="610" t="s">
        <v>2042</v>
      </c>
      <c r="M33" s="608"/>
      <c r="N33" s="608"/>
      <c r="O33" s="608"/>
    </row>
    <row r="34" spans="2:17" x14ac:dyDescent="0.3">
      <c r="B34" s="1144"/>
      <c r="C34" s="132"/>
      <c r="D34" s="132"/>
      <c r="E34" s="132"/>
      <c r="F34" s="132"/>
      <c r="G34" s="132"/>
      <c r="H34" s="132"/>
      <c r="I34" s="704"/>
      <c r="J34" s="1300"/>
      <c r="L34" s="610"/>
      <c r="M34" s="608"/>
      <c r="N34" s="608"/>
      <c r="O34" s="608"/>
    </row>
    <row r="35" spans="2:17" ht="15" thickBot="1" x14ac:dyDescent="0.35">
      <c r="B35" s="1144"/>
      <c r="C35" s="132"/>
      <c r="D35" s="132"/>
      <c r="E35" s="132"/>
      <c r="F35" s="132"/>
      <c r="G35" s="132"/>
      <c r="H35" s="654"/>
      <c r="I35" s="704"/>
      <c r="J35" s="1300"/>
    </row>
    <row r="36" spans="2:17" ht="16.2" thickBot="1" x14ac:dyDescent="0.35">
      <c r="B36" s="1144"/>
      <c r="C36" s="132"/>
      <c r="D36" s="132"/>
      <c r="E36" s="132"/>
      <c r="F36" s="132"/>
      <c r="G36" s="132"/>
      <c r="H36" s="132"/>
      <c r="I36" s="704"/>
      <c r="J36" s="1300"/>
      <c r="L36" s="907" t="s">
        <v>78</v>
      </c>
      <c r="M36" s="68"/>
      <c r="N36" s="68"/>
      <c r="O36" s="12"/>
    </row>
    <row r="37" spans="2:17" ht="16.2" thickBot="1" x14ac:dyDescent="0.35">
      <c r="B37" s="1144"/>
      <c r="C37" s="1305" t="s">
        <v>945</v>
      </c>
      <c r="D37" s="132"/>
      <c r="E37" s="132"/>
      <c r="F37" s="132"/>
      <c r="G37" s="132"/>
      <c r="H37" s="132"/>
      <c r="I37" s="704"/>
      <c r="J37" s="1300"/>
      <c r="L37" s="906" t="str">
        <f>VLOOKUP(J3,Планки2[],11,FALSE())</f>
        <v>с 19.09.2017 (занесена 22.11.2019)</v>
      </c>
      <c r="M37" s="62"/>
      <c r="N37" s="62"/>
      <c r="O37" s="38"/>
    </row>
    <row r="38" spans="2:17" s="41" customFormat="1" x14ac:dyDescent="0.3">
      <c r="B38" s="1144"/>
      <c r="C38" s="1305"/>
      <c r="D38" s="132"/>
      <c r="E38" s="132"/>
      <c r="F38" s="132"/>
      <c r="G38" s="132"/>
      <c r="H38" s="132"/>
      <c r="I38" s="704"/>
      <c r="J38" s="1300"/>
      <c r="L38"/>
      <c r="N38"/>
      <c r="O38"/>
    </row>
    <row r="39" spans="2:17" s="41" customFormat="1" ht="16.2" thickBot="1" x14ac:dyDescent="0.35">
      <c r="B39" s="18"/>
      <c r="C39" s="62" t="s">
        <v>2152</v>
      </c>
      <c r="D39" s="393"/>
      <c r="E39" s="215"/>
      <c r="F39" s="62"/>
      <c r="G39" s="62"/>
      <c r="H39" s="19"/>
      <c r="I39" s="19"/>
      <c r="J39" s="69"/>
      <c r="L39"/>
      <c r="N39"/>
      <c r="O39" s="102"/>
      <c r="Q39" s="52"/>
    </row>
    <row r="40" spans="2:17" s="41" customFormat="1" x14ac:dyDescent="0.3">
      <c r="B40" s="322" t="s">
        <v>226</v>
      </c>
      <c r="C40"/>
      <c r="D40" s="52"/>
      <c r="E40" s="52"/>
      <c r="F40" s="50" t="s">
        <v>46</v>
      </c>
      <c r="G40" s="52"/>
      <c r="H40" s="52"/>
      <c r="I40" s="52"/>
      <c r="J40" s="9"/>
      <c r="L40"/>
      <c r="M40"/>
      <c r="N40" s="395"/>
      <c r="O40" s="395"/>
    </row>
    <row r="41" spans="2:17" x14ac:dyDescent="0.3">
      <c r="B41" s="322" t="s">
        <v>52</v>
      </c>
      <c r="C41" s="56"/>
      <c r="D41" s="52"/>
      <c r="E41" s="52"/>
      <c r="F41" s="976">
        <v>1.4999999999999999E-2</v>
      </c>
      <c r="G41" s="52"/>
      <c r="H41" s="52"/>
      <c r="I41" s="52"/>
      <c r="J41" s="9"/>
      <c r="L41" s="41"/>
      <c r="M41" s="41"/>
      <c r="N41" s="41"/>
      <c r="O41" s="41"/>
      <c r="Q41" s="1312"/>
    </row>
    <row r="42" spans="2:17" x14ac:dyDescent="0.3">
      <c r="B42" s="322" t="s">
        <v>47</v>
      </c>
      <c r="C42" s="56"/>
      <c r="D42" s="52"/>
      <c r="E42" s="52"/>
      <c r="F42" s="50" t="s">
        <v>48</v>
      </c>
      <c r="G42" s="52"/>
      <c r="H42" s="52"/>
      <c r="I42" s="52"/>
      <c r="J42" s="9"/>
      <c r="L42" s="41"/>
      <c r="M42" s="41"/>
      <c r="N42" s="41"/>
      <c r="O42" s="41"/>
    </row>
    <row r="43" spans="2:17" x14ac:dyDescent="0.3">
      <c r="B43" s="322" t="s">
        <v>690</v>
      </c>
      <c r="C43" s="56"/>
      <c r="D43" s="52"/>
      <c r="E43" s="52"/>
      <c r="F43" s="51" t="str">
        <f>Данные!Q46</f>
        <v>1060-1080</v>
      </c>
      <c r="G43" s="16" t="s">
        <v>80</v>
      </c>
      <c r="H43" s="52"/>
      <c r="I43" s="52"/>
      <c r="J43" s="9"/>
      <c r="L43" s="41"/>
      <c r="M43" s="41"/>
      <c r="N43" s="41"/>
      <c r="O43" s="41"/>
    </row>
    <row r="44" spans="2:17" x14ac:dyDescent="0.3">
      <c r="B44" s="4" t="s">
        <v>328</v>
      </c>
      <c r="C44" s="56"/>
      <c r="D44" s="56"/>
      <c r="E44" s="56"/>
      <c r="F44" s="124" t="s">
        <v>329</v>
      </c>
      <c r="G44" s="52"/>
      <c r="H44" s="52"/>
      <c r="I44" s="56"/>
      <c r="J44" s="9"/>
    </row>
    <row r="45" spans="2:17" x14ac:dyDescent="0.3">
      <c r="B45" s="322" t="s">
        <v>43</v>
      </c>
      <c r="C45" s="56"/>
      <c r="D45" s="52"/>
      <c r="E45" s="52"/>
      <c r="F45" s="50" t="str">
        <f>VLOOKUP(F7,Данные!A3:I27,6,FALSE())</f>
        <v>25010.00176</v>
      </c>
      <c r="G45" s="52"/>
      <c r="H45" s="52"/>
      <c r="I45" s="52"/>
      <c r="J45" s="9"/>
    </row>
    <row r="46" spans="2:17" x14ac:dyDescent="0.3">
      <c r="B46" s="322" t="s">
        <v>44</v>
      </c>
      <c r="C46" s="56"/>
      <c r="D46" s="52"/>
      <c r="E46" s="52"/>
      <c r="F46" s="50" t="s">
        <v>81</v>
      </c>
      <c r="G46" s="52"/>
      <c r="H46" s="52"/>
      <c r="I46" s="52"/>
      <c r="J46" s="9"/>
    </row>
    <row r="47" spans="2:17" x14ac:dyDescent="0.3">
      <c r="B47" s="322" t="s">
        <v>82</v>
      </c>
      <c r="C47" s="56"/>
      <c r="D47" s="52"/>
      <c r="E47" s="16"/>
      <c r="F47" s="124" t="s">
        <v>50</v>
      </c>
      <c r="G47" s="52"/>
      <c r="H47" s="52"/>
      <c r="I47" s="52"/>
      <c r="J47" s="9"/>
    </row>
    <row r="48" spans="2:17" x14ac:dyDescent="0.3">
      <c r="B48" s="4" t="s">
        <v>923</v>
      </c>
      <c r="C48" s="52" t="str">
        <f>Данные!M57&amp;"мм. х "&amp;Данные!N57&amp;" мм. х "&amp;Данные!O57&amp;" мм. х 1 шт."</f>
        <v>700мм. х 700 мм. х 200 мм. х 1 шт.</v>
      </c>
      <c r="D48" s="52"/>
      <c r="E48" s="310"/>
      <c r="F48" s="124"/>
      <c r="G48" s="52"/>
      <c r="H48" s="52"/>
      <c r="I48" s="52"/>
      <c r="J48" s="9"/>
    </row>
    <row r="49" spans="2:16" x14ac:dyDescent="0.3">
      <c r="B49" s="4" t="s">
        <v>924</v>
      </c>
      <c r="D49" s="52"/>
      <c r="E49" s="52" t="str">
        <f ca="1">Данные!M58&amp;" мм. х "&amp;Данные!Q61&amp;" шт."</f>
        <v>350 мм. х 3 шт.</v>
      </c>
      <c r="F49" s="124"/>
      <c r="G49" s="52"/>
      <c r="H49" s="52"/>
      <c r="I49" s="52"/>
      <c r="J49" s="9"/>
    </row>
    <row r="50" spans="2:16" ht="15" thickBot="1" x14ac:dyDescent="0.35">
      <c r="B50" s="18"/>
      <c r="C50" s="19" t="s">
        <v>56</v>
      </c>
      <c r="D50" s="19"/>
      <c r="E50" s="20"/>
      <c r="F50" s="20" t="s">
        <v>57</v>
      </c>
      <c r="G50" s="19"/>
      <c r="H50" s="19"/>
      <c r="I50" s="19"/>
      <c r="J50" s="38"/>
    </row>
    <row r="51" spans="2:16" ht="15" thickBot="1" x14ac:dyDescent="0.35">
      <c r="B51" s="2032" t="s">
        <v>58</v>
      </c>
      <c r="C51" s="2034"/>
      <c r="D51" s="2033"/>
      <c r="E51" s="1012" t="s">
        <v>59</v>
      </c>
      <c r="F51" s="1066" t="s">
        <v>58</v>
      </c>
      <c r="G51" s="2038" t="s">
        <v>60</v>
      </c>
      <c r="H51" s="2040"/>
      <c r="I51" s="2032" t="s">
        <v>833</v>
      </c>
      <c r="J51" s="2033"/>
    </row>
    <row r="52" spans="2:16" ht="15" thickBot="1" x14ac:dyDescent="0.35">
      <c r="B52" s="2035">
        <f ca="1">TODAY()</f>
        <v>45590</v>
      </c>
      <c r="C52" s="2036"/>
      <c r="D52" s="2037"/>
      <c r="E52" s="1167" t="s">
        <v>946</v>
      </c>
      <c r="F52" s="1166"/>
      <c r="G52" s="2032" t="s">
        <v>946</v>
      </c>
      <c r="H52" s="2033"/>
      <c r="I52" s="2038" t="s">
        <v>946</v>
      </c>
      <c r="J52" s="2040"/>
    </row>
    <row r="53" spans="2:16" ht="15" thickBot="1" x14ac:dyDescent="0.35">
      <c r="B53" s="2032" t="s">
        <v>61</v>
      </c>
      <c r="C53" s="2034"/>
      <c r="D53" s="2033"/>
      <c r="E53" s="20"/>
      <c r="F53" s="19"/>
      <c r="G53" s="19"/>
      <c r="H53" s="19"/>
      <c r="I53" s="19"/>
      <c r="J53" s="38"/>
      <c r="O53" s="42"/>
    </row>
    <row r="54" spans="2:16" ht="15" thickBot="1" x14ac:dyDescent="0.35">
      <c r="B54" s="2038"/>
      <c r="C54" s="2039"/>
      <c r="D54" s="2039"/>
      <c r="E54" s="56"/>
      <c r="F54" s="56"/>
      <c r="G54" s="56"/>
      <c r="H54" s="56"/>
      <c r="I54" s="56"/>
      <c r="J54" s="9"/>
    </row>
    <row r="55" spans="2:16" x14ac:dyDescent="0.3">
      <c r="B55" s="2044" t="s">
        <v>3</v>
      </c>
      <c r="C55" s="2045"/>
      <c r="D55" s="2046"/>
      <c r="E55" s="84" t="s">
        <v>250</v>
      </c>
      <c r="F55" s="85" t="s">
        <v>251</v>
      </c>
      <c r="G55" s="84" t="s">
        <v>251</v>
      </c>
      <c r="H55" s="84" t="s">
        <v>252</v>
      </c>
      <c r="I55" s="2044" t="s">
        <v>253</v>
      </c>
      <c r="J55" s="2046"/>
    </row>
    <row r="56" spans="2:16" ht="15" thickBot="1" x14ac:dyDescent="0.35">
      <c r="B56" s="2047" t="s">
        <v>254</v>
      </c>
      <c r="C56" s="2048"/>
      <c r="D56" s="2049"/>
      <c r="E56" s="88" t="s">
        <v>255</v>
      </c>
      <c r="F56" s="88" t="s">
        <v>256</v>
      </c>
      <c r="G56" s="88" t="s">
        <v>257</v>
      </c>
      <c r="H56" s="88"/>
      <c r="I56" s="2047" t="s">
        <v>258</v>
      </c>
      <c r="J56" s="2049"/>
      <c r="K56" s="314"/>
    </row>
    <row r="57" spans="2:16" ht="15" thickBot="1" x14ac:dyDescent="0.35">
      <c r="B57" s="2041" t="s">
        <v>307</v>
      </c>
      <c r="C57" s="2043"/>
      <c r="D57" s="2042"/>
      <c r="E57" s="141">
        <v>40</v>
      </c>
      <c r="F57" s="142">
        <v>1</v>
      </c>
      <c r="G57" s="141">
        <v>20</v>
      </c>
      <c r="H57" s="141">
        <v>3</v>
      </c>
      <c r="I57" s="2041">
        <f ca="1">ROUND(Данные!M57*Данные!N57*(Данные!M58*Данные!Q61+Данные!O57)/1000000*2.045*2.3/1000/F15,3)</f>
        <v>2.8809999999999998</v>
      </c>
      <c r="J57" s="2042"/>
      <c r="K57" s="313"/>
    </row>
    <row r="61" spans="2:16" x14ac:dyDescent="0.3">
      <c r="B61" s="56"/>
      <c r="C61" s="56"/>
      <c r="D61" s="56"/>
      <c r="E61" s="56"/>
      <c r="F61" s="56"/>
      <c r="G61" s="56"/>
      <c r="H61" s="56"/>
      <c r="I61" s="56"/>
      <c r="J61" s="56"/>
      <c r="K61" s="56"/>
      <c r="P61" s="56"/>
    </row>
    <row r="62" spans="2:16" x14ac:dyDescent="0.3">
      <c r="B62" s="56"/>
      <c r="C62" s="56"/>
      <c r="D62" s="56"/>
      <c r="E62" s="56"/>
      <c r="F62" s="56"/>
      <c r="G62" s="56"/>
      <c r="H62" s="56"/>
      <c r="I62" s="56"/>
      <c r="J62" s="56"/>
      <c r="K62" s="56"/>
      <c r="P62" s="56"/>
    </row>
    <row r="63" spans="2:16" x14ac:dyDescent="0.3">
      <c r="B63" s="56"/>
      <c r="C63" s="56"/>
      <c r="D63" s="56"/>
      <c r="E63" s="56"/>
      <c r="F63" s="56"/>
      <c r="G63" s="56"/>
      <c r="H63" s="56"/>
      <c r="I63" s="56"/>
      <c r="J63" s="56"/>
      <c r="K63" s="56"/>
      <c r="O63" s="954"/>
      <c r="P63" s="56"/>
    </row>
    <row r="64" spans="2:16" x14ac:dyDescent="0.3">
      <c r="B64" s="56"/>
      <c r="C64" s="56"/>
      <c r="D64" s="56"/>
      <c r="E64" s="56"/>
      <c r="F64" s="56"/>
      <c r="G64" s="56"/>
      <c r="H64" s="56"/>
      <c r="I64" s="56"/>
      <c r="J64" s="56"/>
      <c r="K64" s="56"/>
      <c r="P64" s="56"/>
    </row>
    <row r="65" spans="2:16" x14ac:dyDescent="0.3"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1155"/>
      <c r="O65" s="57"/>
      <c r="P65" s="56"/>
    </row>
    <row r="66" spans="2:16" x14ac:dyDescent="0.3">
      <c r="B66" s="56"/>
      <c r="C66" s="56"/>
      <c r="D66" s="56"/>
      <c r="E66" s="56"/>
      <c r="F66" s="56"/>
      <c r="G66" s="56"/>
      <c r="H66" s="56"/>
      <c r="I66" s="56"/>
      <c r="J66" s="56"/>
      <c r="K66" s="56"/>
      <c r="O66" s="57"/>
      <c r="P66" s="56"/>
    </row>
    <row r="67" spans="2:16" x14ac:dyDescent="0.3"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</row>
    <row r="68" spans="2:16" x14ac:dyDescent="0.3"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</row>
    <row r="69" spans="2:16" x14ac:dyDescent="0.3"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</row>
    <row r="70" spans="2:16" x14ac:dyDescent="0.3"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</row>
    <row r="71" spans="2:16" x14ac:dyDescent="0.3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</row>
    <row r="72" spans="2:16" x14ac:dyDescent="0.3">
      <c r="B72" s="56"/>
      <c r="C72" s="56"/>
      <c r="D72" s="57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</row>
    <row r="73" spans="2:16" x14ac:dyDescent="0.3"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</row>
    <row r="74" spans="2:16" x14ac:dyDescent="0.3"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</row>
    <row r="75" spans="2:16" x14ac:dyDescent="0.3"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</row>
    <row r="76" spans="2:16" x14ac:dyDescent="0.3"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</row>
    <row r="77" spans="2:16" x14ac:dyDescent="0.3"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</row>
    <row r="78" spans="2:16" x14ac:dyDescent="0.3"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</row>
    <row r="79" spans="2:16" x14ac:dyDescent="0.3">
      <c r="L79" s="56"/>
      <c r="M79" s="56"/>
      <c r="N79" s="56"/>
      <c r="O79" s="56"/>
    </row>
    <row r="80" spans="2:16" x14ac:dyDescent="0.3">
      <c r="L80" s="56"/>
      <c r="M80" s="56"/>
      <c r="N80" s="56"/>
      <c r="O80" s="56"/>
    </row>
  </sheetData>
  <mergeCells count="14">
    <mergeCell ref="I57:J57"/>
    <mergeCell ref="B57:D57"/>
    <mergeCell ref="B55:D55"/>
    <mergeCell ref="B56:D56"/>
    <mergeCell ref="I55:J55"/>
    <mergeCell ref="I56:J56"/>
    <mergeCell ref="I51:J51"/>
    <mergeCell ref="B51:D51"/>
    <mergeCell ref="B52:D52"/>
    <mergeCell ref="B53:D53"/>
    <mergeCell ref="B54:D54"/>
    <mergeCell ref="G51:H51"/>
    <mergeCell ref="G52:H52"/>
    <mergeCell ref="I52:J52"/>
  </mergeCells>
  <pageMargins left="0.7" right="0.7" top="0.75" bottom="0.75" header="0.511811023622047" footer="0.511811023622047"/>
  <pageSetup paperSize="9" scale="3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28</xdr:row>
                    <xdr:rowOff>220980</xdr:rowOff>
                  </from>
                  <to>
                    <xdr:col>13</xdr:col>
                    <xdr:colOff>76200</xdr:colOff>
                    <xdr:row>30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14</xdr:col>
                    <xdr:colOff>38100</xdr:colOff>
                    <xdr:row>22</xdr:row>
                    <xdr:rowOff>30480</xdr:rowOff>
                  </from>
                  <to>
                    <xdr:col>15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F7</xm:sqref>
        </x14:dataValidation>
        <x14:dataValidation type="list" allowBlank="1" showInputMessage="1" showErrorMessage="1" xr:uid="{00000000-0002-0000-0100-000001000000}">
          <x14:formula1>
            <xm:f>Таблицы!$AD$2:$AD$131</xm:f>
          </x14:formula1>
          <xm:sqref>J3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X51"/>
  <sheetViews>
    <sheetView showGridLines="0" zoomScale="70" zoomScaleNormal="70" zoomScaleSheetLayoutView="40" zoomScalePageLayoutView="70" workbookViewId="0">
      <selection activeCell="R34" sqref="R34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3.44140625" customWidth="1"/>
    <col min="14" max="14" width="4.21875" customWidth="1"/>
    <col min="20" max="20" width="8.88671875" style="41"/>
    <col min="22" max="22" width="10" customWidth="1"/>
    <col min="24" max="24" width="8.88671875" customWidth="1"/>
    <col min="25" max="25" width="11.6640625" customWidth="1"/>
  </cols>
  <sheetData>
    <row r="1" spans="2:24" ht="17.399999999999999" customHeight="1" thickBot="1" x14ac:dyDescent="0.35">
      <c r="J1" t="s">
        <v>836</v>
      </c>
    </row>
    <row r="2" spans="2:24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7" t="s">
        <v>790</v>
      </c>
      <c r="K2" s="56"/>
      <c r="L2" s="642" t="s">
        <v>584</v>
      </c>
      <c r="M2" s="643"/>
      <c r="O2" s="11"/>
      <c r="P2" s="2052"/>
      <c r="Q2" s="2052"/>
      <c r="R2" s="2052"/>
      <c r="S2" s="2053"/>
      <c r="T2" s="2050" t="s">
        <v>583</v>
      </c>
      <c r="U2" s="2050"/>
      <c r="V2" s="2050"/>
      <c r="W2" s="2051"/>
      <c r="X2" s="993"/>
    </row>
    <row r="3" spans="2:24" x14ac:dyDescent="0.3">
      <c r="B3" s="4"/>
      <c r="C3" s="68" t="s">
        <v>1</v>
      </c>
      <c r="D3" s="68"/>
      <c r="E3" s="68"/>
      <c r="F3" s="685"/>
      <c r="G3" s="68"/>
      <c r="H3" s="41"/>
      <c r="I3" s="239" t="s">
        <v>582</v>
      </c>
      <c r="J3" s="240">
        <v>23</v>
      </c>
      <c r="K3" s="241"/>
      <c r="L3" s="594" t="s">
        <v>564</v>
      </c>
      <c r="M3" s="595"/>
      <c r="O3" s="1055" t="s">
        <v>545</v>
      </c>
      <c r="P3" s="1056" t="s">
        <v>355</v>
      </c>
      <c r="Q3" s="1056" t="s">
        <v>547</v>
      </c>
      <c r="R3" s="1056" t="s">
        <v>546</v>
      </c>
      <c r="S3" s="1057" t="s">
        <v>549</v>
      </c>
      <c r="T3" s="1058" t="s">
        <v>785</v>
      </c>
      <c r="U3" s="1058" t="s">
        <v>948</v>
      </c>
      <c r="V3" s="1058" t="s">
        <v>550</v>
      </c>
      <c r="W3" s="1059" t="s">
        <v>281</v>
      </c>
      <c r="X3" s="1059" t="s">
        <v>947</v>
      </c>
    </row>
    <row r="4" spans="2:24" x14ac:dyDescent="0.3">
      <c r="B4" s="4"/>
      <c r="C4" s="56" t="s">
        <v>2</v>
      </c>
      <c r="D4" s="56"/>
      <c r="E4" s="56"/>
      <c r="F4" s="686"/>
      <c r="G4" s="238"/>
      <c r="H4" s="57"/>
      <c r="I4" s="56"/>
      <c r="J4" s="9"/>
      <c r="K4" s="4"/>
      <c r="L4" s="587">
        <f>VLOOKUP(J3,Planka_kok[],3,FALSE())</f>
        <v>1290</v>
      </c>
      <c r="M4" s="588" t="s">
        <v>547</v>
      </c>
      <c r="N4" s="41"/>
      <c r="O4" s="1049">
        <v>11</v>
      </c>
      <c r="P4" s="261">
        <v>290</v>
      </c>
      <c r="Q4" s="261">
        <v>745</v>
      </c>
      <c r="R4" s="261">
        <v>60</v>
      </c>
      <c r="S4" s="264">
        <v>60</v>
      </c>
      <c r="T4" s="263">
        <v>290</v>
      </c>
      <c r="U4" s="263">
        <v>100</v>
      </c>
      <c r="V4" s="263">
        <v>60</v>
      </c>
      <c r="W4" s="1048">
        <v>110</v>
      </c>
      <c r="X4" s="1051"/>
    </row>
    <row r="5" spans="2:24" x14ac:dyDescent="0.3">
      <c r="B5" s="4"/>
      <c r="C5" s="56" t="s">
        <v>3</v>
      </c>
      <c r="D5" s="56"/>
      <c r="E5" s="56"/>
      <c r="F5" s="687"/>
      <c r="G5" s="238"/>
      <c r="H5" s="57"/>
      <c r="I5" s="56"/>
      <c r="J5" s="9"/>
      <c r="K5" s="4"/>
      <c r="L5" s="587">
        <f>VLOOKUP(J3,Planka_kok[],2,FALSE())</f>
        <v>370</v>
      </c>
      <c r="M5" s="588" t="s">
        <v>355</v>
      </c>
      <c r="N5" s="41"/>
      <c r="O5" s="1049">
        <v>3</v>
      </c>
      <c r="P5" s="261">
        <v>540</v>
      </c>
      <c r="Q5" s="261">
        <v>570</v>
      </c>
      <c r="R5" s="261">
        <v>40</v>
      </c>
      <c r="S5" s="264">
        <v>40</v>
      </c>
      <c r="T5" s="263">
        <v>550</v>
      </c>
      <c r="U5" s="263">
        <v>120</v>
      </c>
      <c r="V5" s="263">
        <v>40</v>
      </c>
      <c r="W5" s="1048">
        <v>75</v>
      </c>
      <c r="X5" s="1051"/>
    </row>
    <row r="6" spans="2:24" x14ac:dyDescent="0.3">
      <c r="B6" s="4"/>
      <c r="C6" s="56" t="s">
        <v>7</v>
      </c>
      <c r="D6" s="56"/>
      <c r="E6" s="56"/>
      <c r="F6" s="511"/>
      <c r="G6" s="206"/>
      <c r="H6" s="16"/>
      <c r="I6" s="56"/>
      <c r="J6" s="9"/>
      <c r="K6" s="4"/>
      <c r="L6" s="587">
        <f>VLOOKUP(J3,Planka_kok[],4,FALSE())</f>
        <v>70</v>
      </c>
      <c r="M6" s="588" t="s">
        <v>546</v>
      </c>
      <c r="N6" s="41"/>
      <c r="O6" s="1049">
        <v>22</v>
      </c>
      <c r="P6" s="261">
        <v>240</v>
      </c>
      <c r="Q6" s="261">
        <v>735</v>
      </c>
      <c r="R6" s="261">
        <v>40</v>
      </c>
      <c r="S6" s="264">
        <v>40</v>
      </c>
      <c r="T6" s="263"/>
      <c r="U6" s="266"/>
      <c r="V6" s="266"/>
      <c r="W6" s="1047"/>
      <c r="X6" s="1051"/>
    </row>
    <row r="7" spans="2:24" ht="15" thickBot="1" x14ac:dyDescent="0.35">
      <c r="B7" s="18"/>
      <c r="C7" s="62"/>
      <c r="D7" s="62"/>
      <c r="E7" s="62"/>
      <c r="F7" s="688"/>
      <c r="G7" s="62"/>
      <c r="H7" s="62"/>
      <c r="I7" s="62"/>
      <c r="J7" s="38"/>
      <c r="K7" s="56"/>
      <c r="L7" s="587">
        <f>VLOOKUP(J3,Planka_kok[],5,FALSE())</f>
        <v>80</v>
      </c>
      <c r="M7" s="588" t="s">
        <v>549</v>
      </c>
      <c r="N7" s="41"/>
      <c r="O7" s="1049">
        <v>27</v>
      </c>
      <c r="P7" s="261">
        <v>240</v>
      </c>
      <c r="Q7" s="261">
        <v>1050</v>
      </c>
      <c r="R7" s="261">
        <v>40</v>
      </c>
      <c r="S7" s="264">
        <v>40</v>
      </c>
      <c r="T7" s="263">
        <v>250</v>
      </c>
      <c r="U7" s="266">
        <v>80</v>
      </c>
      <c r="V7" s="266">
        <v>40</v>
      </c>
      <c r="W7" s="266">
        <v>40</v>
      </c>
      <c r="X7" s="1052" t="s">
        <v>185</v>
      </c>
    </row>
    <row r="8" spans="2:24" x14ac:dyDescent="0.3">
      <c r="B8" s="11"/>
      <c r="C8" s="68" t="s">
        <v>12</v>
      </c>
      <c r="D8" s="68"/>
      <c r="E8" s="68"/>
      <c r="F8" s="768" t="s">
        <v>32</v>
      </c>
      <c r="G8" s="68"/>
      <c r="H8" s="68"/>
      <c r="I8" s="68"/>
      <c r="J8" s="12"/>
      <c r="K8" s="56"/>
      <c r="L8" s="589">
        <f>(L6+L7)/2</f>
        <v>75</v>
      </c>
      <c r="M8" s="588" t="s">
        <v>565</v>
      </c>
      <c r="N8" s="41"/>
      <c r="O8" s="1049">
        <v>28</v>
      </c>
      <c r="P8" s="261">
        <v>280</v>
      </c>
      <c r="Q8" s="261">
        <v>1000</v>
      </c>
      <c r="R8" s="261">
        <v>60</v>
      </c>
      <c r="S8" s="264">
        <v>60</v>
      </c>
      <c r="T8" s="263">
        <v>280</v>
      </c>
      <c r="U8" s="266">
        <v>100</v>
      </c>
      <c r="V8" s="266">
        <v>60</v>
      </c>
      <c r="W8" s="1047">
        <v>80</v>
      </c>
      <c r="X8" s="1051"/>
    </row>
    <row r="9" spans="2:24" x14ac:dyDescent="0.3">
      <c r="B9" s="4"/>
      <c r="C9" s="56" t="s">
        <v>15</v>
      </c>
      <c r="D9" s="56"/>
      <c r="E9" s="56"/>
      <c r="F9" s="312">
        <f>IF(M23&lt;&gt;0,M23,ОкруглОТНОС(M24))</f>
        <v>0</v>
      </c>
      <c r="G9" s="56"/>
      <c r="H9" s="16"/>
      <c r="I9" s="56" t="s">
        <v>13</v>
      </c>
      <c r="J9" s="14">
        <f>F9/F11</f>
        <v>0</v>
      </c>
      <c r="K9" s="127"/>
      <c r="L9" s="387"/>
      <c r="M9" s="590"/>
      <c r="N9" s="41"/>
      <c r="O9" s="1049">
        <v>23</v>
      </c>
      <c r="P9" s="261">
        <v>370</v>
      </c>
      <c r="Q9" s="261">
        <f>1440-150</f>
        <v>1290</v>
      </c>
      <c r="R9" s="261">
        <v>70</v>
      </c>
      <c r="S9" s="264">
        <v>80</v>
      </c>
      <c r="T9" s="263">
        <v>370</v>
      </c>
      <c r="U9" s="266">
        <v>130</v>
      </c>
      <c r="V9" s="266">
        <v>80</v>
      </c>
      <c r="W9" s="266">
        <v>150</v>
      </c>
      <c r="X9" s="205" t="s">
        <v>185</v>
      </c>
    </row>
    <row r="10" spans="2:24" x14ac:dyDescent="0.3">
      <c r="B10" s="4"/>
      <c r="C10" s="56" t="s">
        <v>17</v>
      </c>
      <c r="D10" s="56"/>
      <c r="E10" s="56"/>
      <c r="F10" s="312">
        <f>ОкруглОТНОС(M17)</f>
        <v>268</v>
      </c>
      <c r="G10" s="56"/>
      <c r="H10" s="15"/>
      <c r="I10" s="56" t="s">
        <v>13</v>
      </c>
      <c r="J10" s="14">
        <f>F9/F15</f>
        <v>0</v>
      </c>
      <c r="K10" s="127"/>
      <c r="L10" s="596" t="s">
        <v>69</v>
      </c>
      <c r="M10" s="597"/>
      <c r="N10" s="41"/>
      <c r="O10" s="1050">
        <v>21</v>
      </c>
      <c r="P10" s="262">
        <v>490</v>
      </c>
      <c r="Q10" s="262">
        <v>1320</v>
      </c>
      <c r="R10" s="262">
        <v>100</v>
      </c>
      <c r="S10" s="265">
        <v>103</v>
      </c>
      <c r="T10" s="263">
        <v>490</v>
      </c>
      <c r="U10" s="266">
        <v>120</v>
      </c>
      <c r="V10" s="266">
        <v>103</v>
      </c>
      <c r="W10" s="266">
        <v>150</v>
      </c>
      <c r="X10" s="1053"/>
    </row>
    <row r="11" spans="2:24" x14ac:dyDescent="0.3">
      <c r="B11" s="4"/>
      <c r="C11" s="56" t="s">
        <v>70</v>
      </c>
      <c r="D11" s="56"/>
      <c r="E11" s="56"/>
      <c r="F11" s="312">
        <f>ОкруглОТНОС(F10/F16)</f>
        <v>33.5</v>
      </c>
      <c r="G11" s="56"/>
      <c r="H11" s="15"/>
      <c r="I11" s="56"/>
      <c r="J11" s="9"/>
      <c r="K11" s="238"/>
      <c r="L11" s="1065">
        <f>VLOOKUP(J3,Planka_kok[],7,FALSE())</f>
        <v>130</v>
      </c>
      <c r="M11" s="588" t="s">
        <v>547</v>
      </c>
      <c r="N11" s="41"/>
      <c r="O11" s="1049" t="s">
        <v>581</v>
      </c>
      <c r="P11" s="261">
        <v>490</v>
      </c>
      <c r="Q11" s="261">
        <v>1320</v>
      </c>
      <c r="R11" s="261">
        <v>50</v>
      </c>
      <c r="S11" s="264">
        <v>51</v>
      </c>
      <c r="T11" s="263">
        <v>490</v>
      </c>
      <c r="U11" s="266">
        <v>120</v>
      </c>
      <c r="V11" s="266">
        <v>51</v>
      </c>
      <c r="W11" s="1047">
        <v>75</v>
      </c>
      <c r="X11" s="1054"/>
    </row>
    <row r="12" spans="2:24" x14ac:dyDescent="0.3">
      <c r="B12" s="4"/>
      <c r="C12" s="56" t="s">
        <v>22</v>
      </c>
      <c r="D12" s="56"/>
      <c r="E12" s="56"/>
      <c r="F12" s="312">
        <f>ОкруглОТНОС(M18)</f>
        <v>310</v>
      </c>
      <c r="G12" s="56"/>
      <c r="H12" s="15"/>
      <c r="I12" s="56"/>
      <c r="J12" s="17"/>
      <c r="K12" s="238"/>
      <c r="L12" s="1065">
        <f>VLOOKUP(J3,Planka_kok[],6,FALSE())</f>
        <v>370</v>
      </c>
      <c r="M12" s="588" t="s">
        <v>355</v>
      </c>
      <c r="N12" s="41"/>
      <c r="O12" s="1060">
        <v>30</v>
      </c>
      <c r="P12" s="1061">
        <v>510</v>
      </c>
      <c r="Q12" s="1061">
        <v>1300</v>
      </c>
      <c r="R12" s="1061">
        <v>45</v>
      </c>
      <c r="S12" s="1062">
        <v>50</v>
      </c>
      <c r="T12" s="1063">
        <v>510</v>
      </c>
      <c r="U12" s="1064">
        <v>160</v>
      </c>
      <c r="V12" s="1064">
        <v>50</v>
      </c>
      <c r="W12" s="1064">
        <v>75</v>
      </c>
      <c r="X12" s="267"/>
    </row>
    <row r="13" spans="2:24" x14ac:dyDescent="0.3">
      <c r="B13" s="4"/>
      <c r="C13" s="56" t="s">
        <v>24</v>
      </c>
      <c r="D13" s="56"/>
      <c r="E13" s="56"/>
      <c r="F13" s="312">
        <f>ОкруглОТНОС(F12/F16)</f>
        <v>38.799999999999997</v>
      </c>
      <c r="G13" s="56"/>
      <c r="H13" s="15"/>
      <c r="I13" s="56"/>
      <c r="J13" s="17"/>
      <c r="K13" s="238"/>
      <c r="L13" s="1065">
        <f>VLOOKUP(J3,Planka_kok[],8,FALSE())</f>
        <v>80</v>
      </c>
      <c r="M13" s="588" t="s">
        <v>566</v>
      </c>
      <c r="N13" s="41"/>
      <c r="O13" s="1946">
        <v>26</v>
      </c>
      <c r="P13" s="1947">
        <v>1300</v>
      </c>
      <c r="Q13" s="1947">
        <v>535</v>
      </c>
      <c r="R13" s="1947">
        <v>40</v>
      </c>
      <c r="S13" s="1948">
        <v>50</v>
      </c>
      <c r="T13" s="1949">
        <v>1300</v>
      </c>
      <c r="U13" s="1950">
        <v>60</v>
      </c>
      <c r="V13" s="1950">
        <v>50</v>
      </c>
      <c r="W13" s="1950">
        <v>75</v>
      </c>
      <c r="X13" s="1920"/>
    </row>
    <row r="14" spans="2:24" x14ac:dyDescent="0.3">
      <c r="B14" s="4"/>
      <c r="C14" s="56" t="s">
        <v>27</v>
      </c>
      <c r="D14" s="56"/>
      <c r="E14" s="56"/>
      <c r="F14" s="312">
        <f>IF(F12&lt;97,ROUNDUP(M18*1.04,1),ROUNDUP(M18*1.04,0))</f>
        <v>323</v>
      </c>
      <c r="G14" s="56"/>
      <c r="H14" s="15"/>
      <c r="I14" s="56"/>
      <c r="J14" s="17"/>
      <c r="K14" s="238"/>
      <c r="L14" s="1065">
        <f>VLOOKUP(J3,Planka_kok[],9,FALSE())</f>
        <v>150</v>
      </c>
      <c r="M14" s="588" t="s">
        <v>567</v>
      </c>
      <c r="N14" s="41"/>
      <c r="X14" s="57"/>
    </row>
    <row r="15" spans="2:24" x14ac:dyDescent="0.3">
      <c r="B15" s="4"/>
      <c r="C15" s="56" t="s">
        <v>29</v>
      </c>
      <c r="D15" s="56"/>
      <c r="E15" s="56"/>
      <c r="F15" s="312">
        <f>ОкруглОТНОС(F14/F16)</f>
        <v>40.4</v>
      </c>
      <c r="G15" s="56"/>
      <c r="H15" s="15"/>
      <c r="I15" s="56"/>
      <c r="J15" s="17"/>
      <c r="K15" s="238"/>
      <c r="L15" s="589">
        <f>(L13+L14)/2</f>
        <v>115</v>
      </c>
      <c r="M15" s="588" t="s">
        <v>568</v>
      </c>
      <c r="N15" s="41"/>
      <c r="X15" s="57"/>
    </row>
    <row r="16" spans="2:24" ht="15" thickBot="1" x14ac:dyDescent="0.35">
      <c r="B16" s="4"/>
      <c r="C16" s="56" t="s">
        <v>31</v>
      </c>
      <c r="D16" s="56"/>
      <c r="E16" s="56"/>
      <c r="F16" s="124">
        <f>F17*F18</f>
        <v>8</v>
      </c>
      <c r="G16" s="206"/>
      <c r="H16" s="72"/>
      <c r="I16" s="56"/>
      <c r="J16" s="17"/>
      <c r="K16" s="238"/>
      <c r="L16" s="387"/>
      <c r="M16" s="611">
        <f>VLOOKUP(F8,Marka_met_dlya_kok[],3,0)</f>
        <v>7.5</v>
      </c>
      <c r="N16" s="41"/>
      <c r="O16" s="57"/>
      <c r="P16" s="57"/>
      <c r="Q16" s="1921"/>
      <c r="R16" s="1921"/>
      <c r="S16" s="1921"/>
      <c r="T16" s="1921"/>
      <c r="U16" s="1921"/>
      <c r="V16" s="57"/>
      <c r="X16" s="57"/>
    </row>
    <row r="17" spans="2:24" x14ac:dyDescent="0.3">
      <c r="B17" s="4"/>
      <c r="C17" s="56" t="s">
        <v>33</v>
      </c>
      <c r="D17" s="56"/>
      <c r="E17" s="56"/>
      <c r="F17" s="404">
        <v>4</v>
      </c>
      <c r="G17" s="310"/>
      <c r="H17" s="72"/>
      <c r="I17" s="56"/>
      <c r="J17" s="17"/>
      <c r="K17" s="238"/>
      <c r="L17" s="612" t="s">
        <v>267</v>
      </c>
      <c r="M17" s="613">
        <f>IF(N26=TRUE,M28*L5*L8*M16/1000000,L4*L5*L8*M16/1000000)</f>
        <v>268.48124999999999</v>
      </c>
      <c r="N17" s="41"/>
      <c r="O17" s="57"/>
      <c r="P17" s="57"/>
      <c r="Q17" s="57"/>
      <c r="R17" s="57"/>
      <c r="S17" s="57"/>
      <c r="T17" s="57"/>
      <c r="U17" s="57"/>
      <c r="V17" s="57"/>
      <c r="X17" s="57"/>
    </row>
    <row r="18" spans="2:24" ht="15" thickBot="1" x14ac:dyDescent="0.35">
      <c r="B18" s="18"/>
      <c r="C18" s="62" t="s">
        <v>35</v>
      </c>
      <c r="D18" s="62"/>
      <c r="E18" s="62"/>
      <c r="F18" s="405">
        <v>2</v>
      </c>
      <c r="G18" s="684"/>
      <c r="H18" s="73"/>
      <c r="I18" s="62"/>
      <c r="J18" s="691"/>
      <c r="K18" s="238"/>
      <c r="L18" s="614" t="s">
        <v>764</v>
      </c>
      <c r="M18" s="615">
        <f>IF(N26=TRUE,M27*L5*L8*M16/1000000,(L4*L5*L8*M16+L11*L12*L15*M16)/1000000)</f>
        <v>309.96749999999997</v>
      </c>
      <c r="N18" s="41"/>
      <c r="O18" s="57"/>
      <c r="P18" s="57"/>
      <c r="Q18" s="57"/>
      <c r="R18" s="57"/>
      <c r="S18" s="57"/>
      <c r="T18" s="57"/>
      <c r="U18" s="130"/>
      <c r="V18" s="130"/>
      <c r="X18" s="57"/>
    </row>
    <row r="19" spans="2:24" ht="16.2" thickBot="1" x14ac:dyDescent="0.35">
      <c r="B19" s="11"/>
      <c r="E19" s="68"/>
      <c r="F19" s="68"/>
      <c r="G19" s="68"/>
      <c r="H19" s="68"/>
      <c r="J19" s="315"/>
      <c r="K19" s="23"/>
      <c r="L19" s="641" t="s">
        <v>74</v>
      </c>
      <c r="M19" s="633"/>
      <c r="N19" s="41"/>
      <c r="O19" s="2057" t="s">
        <v>270</v>
      </c>
      <c r="P19" s="2058"/>
      <c r="Q19" s="2059"/>
      <c r="R19" s="2064">
        <f>Q20*Q21+Q22*Q21</f>
        <v>500</v>
      </c>
      <c r="S19" s="57"/>
      <c r="T19" s="57"/>
      <c r="U19" s="130"/>
      <c r="V19" s="130"/>
      <c r="X19" s="57"/>
    </row>
    <row r="20" spans="2:24" ht="15.6" x14ac:dyDescent="0.3">
      <c r="B20" s="4"/>
      <c r="C20" s="1307"/>
      <c r="D20" s="41"/>
      <c r="E20" s="56"/>
      <c r="F20" s="56"/>
      <c r="G20" s="56"/>
      <c r="H20" s="1638" t="str">
        <f>IF(N26=TRUE,"Высота заготовки: "&amp;M28&amp;"  мм.","")</f>
        <v/>
      </c>
      <c r="J20" s="653"/>
      <c r="K20" s="22"/>
      <c r="L20" s="591" t="s">
        <v>76</v>
      </c>
      <c r="M20" s="274"/>
      <c r="N20" s="41"/>
      <c r="O20" s="2060" t="s">
        <v>77</v>
      </c>
      <c r="P20" s="2061"/>
      <c r="Q20" s="692">
        <v>10</v>
      </c>
      <c r="R20" s="2065"/>
      <c r="S20" s="57"/>
      <c r="T20" s="57"/>
      <c r="U20" s="1007"/>
      <c r="V20" s="57"/>
      <c r="X20" s="57"/>
    </row>
    <row r="21" spans="2:24" ht="16.2" thickBot="1" x14ac:dyDescent="0.35">
      <c r="B21" s="4"/>
      <c r="D21" s="57"/>
      <c r="E21" s="56"/>
      <c r="F21" s="56"/>
      <c r="G21" s="56"/>
      <c r="H21" s="56"/>
      <c r="I21" s="56"/>
      <c r="J21" s="653"/>
      <c r="K21" s="22"/>
      <c r="L21" s="592" t="s">
        <v>585</v>
      </c>
      <c r="M21" s="58"/>
      <c r="N21" s="41"/>
      <c r="O21" s="2062" t="s">
        <v>791</v>
      </c>
      <c r="P21" s="2063"/>
      <c r="Q21" s="693">
        <v>20</v>
      </c>
      <c r="R21" s="2065"/>
      <c r="S21" s="1175"/>
      <c r="T21" s="1175"/>
      <c r="U21" s="1920"/>
      <c r="V21" s="57"/>
      <c r="X21" s="57"/>
    </row>
    <row r="22" spans="2:24" ht="16.2" thickBot="1" x14ac:dyDescent="0.35">
      <c r="B22" s="4"/>
      <c r="C22" s="56"/>
      <c r="D22" s="56"/>
      <c r="E22" s="56"/>
      <c r="F22" s="56"/>
      <c r="G22" s="56"/>
      <c r="H22" s="56"/>
      <c r="I22" s="22"/>
      <c r="J22" s="23"/>
      <c r="K22" s="22"/>
      <c r="L22" s="593" t="s">
        <v>586</v>
      </c>
      <c r="M22" s="510"/>
      <c r="N22" s="41"/>
      <c r="O22" s="2060" t="s">
        <v>743</v>
      </c>
      <c r="P22" s="2061"/>
      <c r="Q22" s="694">
        <v>15</v>
      </c>
      <c r="R22" s="2066"/>
      <c r="S22" s="1175"/>
      <c r="T22" s="1175"/>
      <c r="U22" s="1920"/>
      <c r="V22" s="57"/>
      <c r="X22" s="57"/>
    </row>
    <row r="23" spans="2:24" ht="15" thickBot="1" x14ac:dyDescent="0.35">
      <c r="B23" s="4"/>
      <c r="C23" s="56"/>
      <c r="D23" s="56"/>
      <c r="E23" s="56"/>
      <c r="F23" s="56"/>
      <c r="G23" s="56"/>
      <c r="H23" s="56"/>
      <c r="I23" s="22"/>
      <c r="J23" s="23"/>
      <c r="K23" s="22"/>
      <c r="L23" s="634" t="s">
        <v>587</v>
      </c>
      <c r="M23" s="80"/>
      <c r="N23" s="41"/>
      <c r="O23" s="57"/>
      <c r="P23" s="1175"/>
      <c r="Q23" s="1175"/>
      <c r="R23" s="1175"/>
      <c r="S23" s="1175"/>
      <c r="T23" s="1175"/>
      <c r="U23" s="1920"/>
      <c r="V23" s="57"/>
    </row>
    <row r="24" spans="2:24" ht="15" thickBot="1" x14ac:dyDescent="0.35">
      <c r="B24" s="4"/>
      <c r="C24" s="56"/>
      <c r="D24" s="56"/>
      <c r="E24" s="56"/>
      <c r="F24" s="56"/>
      <c r="G24" s="56"/>
      <c r="H24" s="56"/>
      <c r="I24" s="26">
        <f>L5*0.985</f>
        <v>364.45</v>
      </c>
      <c r="J24" s="25"/>
      <c r="K24" s="131"/>
      <c r="L24" s="635"/>
      <c r="M24" s="598">
        <f>M20*M21*M22*M16/1000000</f>
        <v>0</v>
      </c>
      <c r="N24" s="41"/>
      <c r="R24" s="640"/>
      <c r="S24" s="640"/>
      <c r="T24" s="640"/>
    </row>
    <row r="25" spans="2:24" ht="15" thickBot="1" x14ac:dyDescent="0.35">
      <c r="B25" s="4"/>
      <c r="C25" s="56"/>
      <c r="D25" s="56"/>
      <c r="E25" s="56"/>
      <c r="F25" s="56"/>
      <c r="G25" s="56"/>
      <c r="H25" s="56"/>
      <c r="I25" s="1324">
        <f>M20</f>
        <v>0</v>
      </c>
      <c r="J25" s="244"/>
      <c r="K25" s="131"/>
      <c r="L25" s="41"/>
      <c r="M25" s="41"/>
      <c r="N25" s="41"/>
      <c r="T25" s="640"/>
    </row>
    <row r="26" spans="2:24" x14ac:dyDescent="0.3">
      <c r="B26" s="4"/>
      <c r="C26" s="56"/>
      <c r="D26" s="56"/>
      <c r="E26" s="56"/>
      <c r="F26" s="56"/>
      <c r="G26" s="56"/>
      <c r="H26" s="56"/>
      <c r="I26" s="27"/>
      <c r="J26" s="25"/>
      <c r="K26" s="131"/>
      <c r="L26" s="601" t="s">
        <v>769</v>
      </c>
      <c r="M26" s="603"/>
      <c r="N26" s="602" t="b">
        <v>0</v>
      </c>
      <c r="T26" s="640"/>
    </row>
    <row r="27" spans="2:24" x14ac:dyDescent="0.3">
      <c r="B27" s="4"/>
      <c r="C27" s="56"/>
      <c r="D27" s="56"/>
      <c r="E27" s="56"/>
      <c r="F27" s="56"/>
      <c r="G27" s="56"/>
      <c r="H27" s="56"/>
      <c r="I27" s="27"/>
      <c r="J27" s="25"/>
      <c r="K27" s="131"/>
      <c r="L27" s="387" t="s">
        <v>767</v>
      </c>
      <c r="M27" s="510"/>
      <c r="N27" s="9"/>
    </row>
    <row r="28" spans="2:24" ht="15" thickBot="1" x14ac:dyDescent="0.35">
      <c r="B28" s="4"/>
      <c r="C28" s="56"/>
      <c r="D28" s="56"/>
      <c r="E28" s="56"/>
      <c r="F28" s="56"/>
      <c r="G28" s="56"/>
      <c r="H28" s="56"/>
      <c r="I28" s="27"/>
      <c r="J28" s="25"/>
      <c r="K28" s="131"/>
      <c r="L28" s="650" t="s">
        <v>768</v>
      </c>
      <c r="M28" s="651"/>
      <c r="N28" s="652"/>
    </row>
    <row r="29" spans="2:24" x14ac:dyDescent="0.3">
      <c r="B29" s="4"/>
      <c r="C29" s="56"/>
      <c r="D29" s="56"/>
      <c r="E29" s="30"/>
      <c r="F29" s="56"/>
      <c r="G29" s="56"/>
      <c r="H29" s="56"/>
      <c r="I29" s="27"/>
      <c r="J29" s="25"/>
      <c r="K29" s="131"/>
      <c r="L29" s="41"/>
      <c r="M29" s="41"/>
      <c r="N29" s="41"/>
      <c r="O29" s="56"/>
    </row>
    <row r="30" spans="2:24" x14ac:dyDescent="0.3">
      <c r="B30" s="4"/>
      <c r="C30" s="56"/>
      <c r="D30" s="29">
        <v>15</v>
      </c>
      <c r="E30" s="56"/>
      <c r="F30" s="56"/>
      <c r="G30" s="56"/>
      <c r="H30" s="56"/>
      <c r="I30" s="27"/>
      <c r="J30" s="25"/>
      <c r="K30" s="131"/>
      <c r="L30" s="1648" t="s">
        <v>991</v>
      </c>
      <c r="M30" s="1647"/>
      <c r="N30" s="1647"/>
    </row>
    <row r="31" spans="2:24" x14ac:dyDescent="0.3">
      <c r="B31" s="4"/>
      <c r="C31" s="56"/>
      <c r="D31" s="56"/>
      <c r="E31" s="56"/>
      <c r="F31" s="56"/>
      <c r="G31" s="56"/>
      <c r="H31" s="56"/>
      <c r="I31" s="27"/>
      <c r="J31" s="25"/>
      <c r="K31" s="131"/>
      <c r="L31" s="131"/>
      <c r="M31" s="56"/>
    </row>
    <row r="32" spans="2:24" x14ac:dyDescent="0.3">
      <c r="B32" s="4"/>
      <c r="C32" s="31">
        <f>IF(N26=TRUE,0,L11*0.985)</f>
        <v>128.05000000000001</v>
      </c>
      <c r="D32" s="56"/>
      <c r="E32" s="32">
        <f>IF(N26=FALSE,L4*0.985,M27*0.985)</f>
        <v>1270.6500000000001</v>
      </c>
      <c r="F32" s="29"/>
      <c r="G32" s="56"/>
      <c r="H32" s="56"/>
      <c r="I32" s="27"/>
      <c r="J32" s="25"/>
      <c r="K32" s="131"/>
      <c r="L32" s="41"/>
      <c r="M32" s="41"/>
    </row>
    <row r="33" spans="2:16" x14ac:dyDescent="0.3">
      <c r="B33" s="4"/>
      <c r="C33" s="56"/>
      <c r="D33" s="56"/>
      <c r="E33" s="1324">
        <f>M21</f>
        <v>0</v>
      </c>
      <c r="F33" s="29"/>
      <c r="G33" s="33"/>
      <c r="H33" s="56"/>
      <c r="I33" s="27"/>
      <c r="J33" s="25"/>
      <c r="K33" s="131"/>
      <c r="L33" s="41"/>
      <c r="M33" s="41"/>
    </row>
    <row r="34" spans="2:16" x14ac:dyDescent="0.3">
      <c r="B34" s="4"/>
      <c r="C34" s="56"/>
      <c r="D34" s="56"/>
      <c r="E34" s="56"/>
      <c r="F34" s="29"/>
      <c r="G34" s="56"/>
      <c r="H34" s="56"/>
      <c r="I34" s="27"/>
      <c r="J34" s="25"/>
      <c r="K34" s="131"/>
      <c r="L34" s="41"/>
      <c r="M34" s="41"/>
    </row>
    <row r="35" spans="2:16" x14ac:dyDescent="0.3">
      <c r="B35" s="4"/>
      <c r="C35" s="56"/>
      <c r="D35" s="56"/>
      <c r="E35" s="56"/>
      <c r="F35" s="56"/>
      <c r="G35" s="56"/>
      <c r="H35" s="56"/>
      <c r="I35" s="27"/>
      <c r="J35" s="25"/>
      <c r="K35" s="131"/>
      <c r="L35" s="41"/>
      <c r="M35" s="41"/>
      <c r="P35" s="56"/>
    </row>
    <row r="36" spans="2:16" x14ac:dyDescent="0.3">
      <c r="B36" s="4"/>
      <c r="C36" s="56"/>
      <c r="D36" s="56"/>
      <c r="E36" s="56"/>
      <c r="F36" s="56"/>
      <c r="G36" s="56"/>
      <c r="H36" s="56"/>
      <c r="I36" s="26">
        <f>L6*0.985</f>
        <v>68.95</v>
      </c>
      <c r="J36" s="25"/>
      <c r="K36" s="131"/>
      <c r="L36" s="41"/>
      <c r="M36" s="41"/>
    </row>
    <row r="37" spans="2:16" x14ac:dyDescent="0.3">
      <c r="B37" s="4"/>
      <c r="C37" s="56"/>
      <c r="D37" s="56"/>
      <c r="E37" s="56"/>
      <c r="F37" s="56"/>
      <c r="G37" s="56"/>
      <c r="H37" s="56"/>
      <c r="I37" s="1324">
        <f>M22</f>
        <v>0</v>
      </c>
      <c r="J37" s="25"/>
      <c r="K37" s="131"/>
      <c r="L37" s="41"/>
      <c r="M37" s="41"/>
    </row>
    <row r="38" spans="2:16" x14ac:dyDescent="0.3">
      <c r="B38" s="4"/>
      <c r="C38" s="56"/>
      <c r="D38" s="56"/>
      <c r="E38" s="56"/>
      <c r="F38" s="56"/>
      <c r="G38" s="56"/>
      <c r="H38" s="56"/>
      <c r="I38" s="22"/>
      <c r="J38" s="23"/>
      <c r="K38" s="22"/>
      <c r="L38" s="41"/>
      <c r="M38" s="41"/>
    </row>
    <row r="39" spans="2:16" x14ac:dyDescent="0.3">
      <c r="B39" s="4"/>
      <c r="C39" s="56"/>
      <c r="D39" s="56"/>
      <c r="E39" s="56"/>
      <c r="F39" s="56"/>
      <c r="G39" s="56"/>
      <c r="H39" s="56"/>
      <c r="I39" s="22"/>
      <c r="J39" s="23"/>
      <c r="K39" s="22"/>
      <c r="L39" s="41"/>
      <c r="M39" s="41"/>
    </row>
    <row r="40" spans="2:16" x14ac:dyDescent="0.3">
      <c r="B40" s="4"/>
      <c r="C40" s="56"/>
      <c r="D40" s="56"/>
      <c r="E40" s="56"/>
      <c r="F40" s="56"/>
      <c r="G40" s="56"/>
      <c r="H40" s="56"/>
      <c r="I40" s="22"/>
      <c r="J40" s="23"/>
      <c r="K40" s="22"/>
      <c r="L40" s="41"/>
      <c r="M40" s="41"/>
    </row>
    <row r="41" spans="2:16" ht="15" thickBot="1" x14ac:dyDescent="0.35">
      <c r="B41" s="18"/>
      <c r="C41" s="62"/>
      <c r="D41" s="62"/>
      <c r="E41" s="93"/>
      <c r="F41" s="62"/>
      <c r="G41" s="62"/>
      <c r="H41" s="62"/>
      <c r="I41" s="62"/>
      <c r="J41" s="38"/>
      <c r="K41" s="56"/>
      <c r="L41" s="41"/>
      <c r="M41" s="41"/>
    </row>
    <row r="42" spans="2:16" x14ac:dyDescent="0.3">
      <c r="B42" s="4"/>
      <c r="C42" s="245" t="s">
        <v>52</v>
      </c>
      <c r="D42" s="245"/>
      <c r="E42" s="245"/>
      <c r="F42" s="246" t="s">
        <v>79</v>
      </c>
      <c r="G42" s="245"/>
      <c r="H42" s="245"/>
      <c r="I42" s="245"/>
      <c r="J42" s="9"/>
      <c r="K42" s="56"/>
      <c r="L42" s="41"/>
      <c r="M42" s="41"/>
    </row>
    <row r="43" spans="2:16" x14ac:dyDescent="0.3">
      <c r="B43" s="4"/>
      <c r="C43" s="245" t="s">
        <v>47</v>
      </c>
      <c r="D43" s="245"/>
      <c r="E43" s="245"/>
      <c r="F43" s="242" t="s">
        <v>48</v>
      </c>
      <c r="G43" s="245"/>
      <c r="H43" s="245"/>
      <c r="I43" s="245"/>
      <c r="J43" s="9"/>
      <c r="K43" s="56"/>
      <c r="L43" s="41"/>
      <c r="M43" s="41"/>
    </row>
    <row r="44" spans="2:16" x14ac:dyDescent="0.3">
      <c r="B44" s="4"/>
      <c r="C44" s="245" t="s">
        <v>690</v>
      </c>
      <c r="D44" s="245"/>
      <c r="E44" s="245"/>
      <c r="F44" s="242" t="str">
        <f>IF(L6&lt;50,VLOOKUP(F8,Данные!N27:Q40,4,FALSE),VLOOKUP(F8,Данные!N27:Q40,2,FALSE))</f>
        <v>1100-1120</v>
      </c>
      <c r="G44" s="245" t="s">
        <v>80</v>
      </c>
      <c r="H44" s="245"/>
      <c r="I44" s="245"/>
      <c r="J44" s="9"/>
      <c r="K44" s="56"/>
      <c r="L44" s="41"/>
      <c r="M44" s="41"/>
    </row>
    <row r="45" spans="2:16" x14ac:dyDescent="0.3">
      <c r="B45" s="4"/>
      <c r="C45" s="245" t="s">
        <v>43</v>
      </c>
      <c r="D45" s="245"/>
      <c r="E45" s="245"/>
      <c r="F45" s="242" t="str">
        <f>VLOOKUP(F8,Данные!A3:I27,6,FALSE())</f>
        <v>25010.00176</v>
      </c>
      <c r="G45" s="245"/>
      <c r="H45" s="245"/>
      <c r="I45" s="245"/>
      <c r="J45" s="9"/>
      <c r="K45" s="56"/>
      <c r="L45" s="41"/>
      <c r="M45" s="41"/>
    </row>
    <row r="46" spans="2:16" x14ac:dyDescent="0.3">
      <c r="B46" s="4"/>
      <c r="C46" s="245" t="s">
        <v>44</v>
      </c>
      <c r="D46" s="245"/>
      <c r="E46" s="245"/>
      <c r="F46" s="242" t="s">
        <v>572</v>
      </c>
      <c r="G46" s="245"/>
      <c r="H46" s="245"/>
      <c r="I46" s="245"/>
      <c r="J46" s="9"/>
      <c r="K46" s="56"/>
      <c r="L46" s="41"/>
      <c r="M46" s="41"/>
    </row>
    <row r="47" spans="2:16" ht="15" thickBot="1" x14ac:dyDescent="0.35">
      <c r="B47" s="4"/>
      <c r="C47" s="245" t="s">
        <v>56</v>
      </c>
      <c r="D47" s="245"/>
      <c r="E47" s="242"/>
      <c r="F47" s="242" t="s">
        <v>57</v>
      </c>
      <c r="G47" s="245"/>
      <c r="H47" s="245"/>
      <c r="I47" s="245"/>
      <c r="J47" s="9"/>
      <c r="K47" s="56"/>
      <c r="L47" s="41"/>
      <c r="M47" s="41"/>
    </row>
    <row r="48" spans="2:16" ht="15" thickBot="1" x14ac:dyDescent="0.35">
      <c r="B48" s="2038" t="s">
        <v>58</v>
      </c>
      <c r="C48" s="2039"/>
      <c r="D48" s="2040"/>
      <c r="E48" s="1171" t="s">
        <v>59</v>
      </c>
      <c r="F48" s="2067" t="s">
        <v>58</v>
      </c>
      <c r="G48" s="2068"/>
      <c r="H48" s="2038" t="s">
        <v>60</v>
      </c>
      <c r="I48" s="2039"/>
      <c r="J48" s="2040"/>
      <c r="K48" s="56"/>
      <c r="L48" s="41"/>
      <c r="M48" s="41"/>
    </row>
    <row r="49" spans="2:13" ht="15" thickBot="1" x14ac:dyDescent="0.35">
      <c r="B49" s="2054">
        <f ca="1">TODAY()</f>
        <v>45590</v>
      </c>
      <c r="C49" s="2055"/>
      <c r="D49" s="2056"/>
      <c r="E49" s="1167" t="s">
        <v>946</v>
      </c>
      <c r="F49" s="2038"/>
      <c r="G49" s="2040"/>
      <c r="H49" s="2038" t="s">
        <v>946</v>
      </c>
      <c r="I49" s="2039"/>
      <c r="J49" s="2040"/>
      <c r="K49" s="56"/>
      <c r="L49" s="41"/>
      <c r="M49" s="41"/>
    </row>
    <row r="50" spans="2:13" ht="15" thickBot="1" x14ac:dyDescent="0.35">
      <c r="B50" s="2038" t="s">
        <v>61</v>
      </c>
      <c r="C50" s="2039"/>
      <c r="D50" s="2040"/>
      <c r="E50" s="71"/>
      <c r="F50" s="62"/>
      <c r="G50" s="62"/>
      <c r="H50" s="2038"/>
      <c r="I50" s="2039"/>
      <c r="J50" s="2040"/>
      <c r="K50" s="56"/>
      <c r="L50" s="41"/>
      <c r="M50" s="41"/>
    </row>
    <row r="51" spans="2:13" x14ac:dyDescent="0.3">
      <c r="K51" s="56"/>
    </row>
  </sheetData>
  <mergeCells count="15">
    <mergeCell ref="B50:D50"/>
    <mergeCell ref="H50:J50"/>
    <mergeCell ref="T2:W2"/>
    <mergeCell ref="P2:S2"/>
    <mergeCell ref="B48:D48"/>
    <mergeCell ref="B49:D49"/>
    <mergeCell ref="O19:Q19"/>
    <mergeCell ref="O20:P20"/>
    <mergeCell ref="O22:P22"/>
    <mergeCell ref="O21:P21"/>
    <mergeCell ref="R19:R22"/>
    <mergeCell ref="H48:J48"/>
    <mergeCell ref="H49:J49"/>
    <mergeCell ref="F48:G48"/>
    <mergeCell ref="F49:G49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23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Данные!$N$27:$N$40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topLeftCell="A22" zoomScale="70" zoomScaleNormal="70" workbookViewId="0">
      <selection activeCell="X52" sqref="X52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</row>
    <row r="2" spans="1:19" ht="15" customHeight="1" thickBot="1" x14ac:dyDescent="0.35">
      <c r="A2" s="41"/>
      <c r="B2" s="459"/>
      <c r="C2" s="460"/>
      <c r="D2" s="460"/>
      <c r="E2" s="460"/>
      <c r="F2" s="460"/>
      <c r="G2" s="460"/>
      <c r="H2" s="460"/>
      <c r="I2" s="460"/>
      <c r="J2" s="460"/>
      <c r="K2" s="460"/>
      <c r="L2" s="461"/>
      <c r="M2" s="41"/>
      <c r="N2" s="220" t="s">
        <v>684</v>
      </c>
    </row>
    <row r="3" spans="1:19" x14ac:dyDescent="0.3">
      <c r="A3" s="41"/>
      <c r="B3" s="462"/>
      <c r="C3" s="11"/>
      <c r="D3" s="68"/>
      <c r="E3" s="68"/>
      <c r="F3" s="68"/>
      <c r="G3" s="68"/>
      <c r="H3" s="68"/>
      <c r="I3" s="68"/>
      <c r="J3" s="68"/>
      <c r="K3" s="12"/>
      <c r="L3" s="463"/>
      <c r="M3" s="41"/>
      <c r="N3" s="505" t="s">
        <v>683</v>
      </c>
      <c r="S3" s="1157"/>
    </row>
    <row r="4" spans="1:19" ht="18" x14ac:dyDescent="0.35">
      <c r="A4" s="41"/>
      <c r="B4" s="462"/>
      <c r="C4" s="4"/>
      <c r="D4" s="2080" t="s">
        <v>594</v>
      </c>
      <c r="E4" s="2080"/>
      <c r="F4" s="2080"/>
      <c r="G4" s="2080"/>
      <c r="H4" s="2080"/>
      <c r="I4" s="2080"/>
      <c r="J4" s="2080"/>
      <c r="K4" s="9"/>
      <c r="L4" s="463"/>
      <c r="M4" s="41"/>
      <c r="N4" s="509" t="s">
        <v>237</v>
      </c>
      <c r="S4" s="1157"/>
    </row>
    <row r="5" spans="1:19" ht="15.6" x14ac:dyDescent="0.3">
      <c r="A5" s="41"/>
      <c r="B5" s="462"/>
      <c r="C5" s="464"/>
      <c r="D5" s="2081" t="s">
        <v>626</v>
      </c>
      <c r="E5" s="2081"/>
      <c r="F5" s="2081"/>
      <c r="G5" s="2081"/>
      <c r="H5" s="2081"/>
      <c r="I5" s="2081"/>
      <c r="J5" s="2081"/>
      <c r="K5" s="465"/>
      <c r="L5" s="463"/>
      <c r="M5" s="41"/>
      <c r="N5" s="627" t="s">
        <v>784</v>
      </c>
      <c r="S5" s="1157"/>
    </row>
    <row r="6" spans="1:19" ht="15.6" x14ac:dyDescent="0.3">
      <c r="A6" s="41"/>
      <c r="B6" s="462"/>
      <c r="C6" s="464"/>
      <c r="D6" s="2081" t="s">
        <v>627</v>
      </c>
      <c r="E6" s="2081"/>
      <c r="F6" s="2081"/>
      <c r="G6" s="2081"/>
      <c r="H6" s="2081"/>
      <c r="I6" s="2081"/>
      <c r="J6" s="2081"/>
      <c r="K6" s="465"/>
      <c r="L6" s="463"/>
      <c r="M6" s="41"/>
      <c r="N6" s="41"/>
      <c r="S6" s="1157"/>
    </row>
    <row r="7" spans="1:19" ht="15.6" x14ac:dyDescent="0.3">
      <c r="A7" s="41"/>
      <c r="B7" s="462"/>
      <c r="C7" s="464"/>
      <c r="D7" s="455"/>
      <c r="E7" s="455"/>
      <c r="F7" s="455"/>
      <c r="G7" s="455"/>
      <c r="H7" s="455"/>
      <c r="I7" s="455"/>
      <c r="J7" s="466"/>
      <c r="K7" s="465"/>
      <c r="L7" s="463"/>
      <c r="M7" s="41"/>
      <c r="N7" s="41"/>
      <c r="S7" s="1157"/>
    </row>
    <row r="8" spans="1:19" ht="15.6" x14ac:dyDescent="0.3">
      <c r="A8" s="41"/>
      <c r="B8" s="462"/>
      <c r="C8" s="464"/>
      <c r="D8" s="455"/>
      <c r="E8" s="455"/>
      <c r="F8" s="455"/>
      <c r="G8" s="455"/>
      <c r="H8" s="455"/>
      <c r="I8" s="455"/>
      <c r="J8" s="466"/>
      <c r="K8" s="465"/>
      <c r="L8" s="463"/>
      <c r="M8" s="41"/>
      <c r="N8" s="41"/>
      <c r="S8" s="1157"/>
    </row>
    <row r="9" spans="1:19" ht="15.6" x14ac:dyDescent="0.3">
      <c r="A9" s="41"/>
      <c r="B9" s="462"/>
      <c r="C9" s="464"/>
      <c r="D9" s="455"/>
      <c r="E9" s="455"/>
      <c r="F9" s="455"/>
      <c r="G9" s="455"/>
      <c r="H9" s="455"/>
      <c r="I9" s="455"/>
      <c r="J9" s="466"/>
      <c r="K9" s="465"/>
      <c r="L9" s="463"/>
      <c r="M9" s="41"/>
      <c r="N9" s="41"/>
      <c r="S9" s="1157"/>
    </row>
    <row r="10" spans="1:19" ht="15.6" x14ac:dyDescent="0.3">
      <c r="A10" s="41"/>
      <c r="B10" s="462"/>
      <c r="C10" s="464"/>
      <c r="D10" s="415"/>
      <c r="E10" s="415"/>
      <c r="F10" s="415"/>
      <c r="G10" s="415"/>
      <c r="H10" s="415"/>
      <c r="I10" s="415"/>
      <c r="J10" s="467"/>
      <c r="K10" s="465"/>
      <c r="L10" s="463"/>
      <c r="M10" s="41"/>
      <c r="N10" s="41"/>
      <c r="S10" s="1157"/>
    </row>
    <row r="11" spans="1:19" ht="15.6" x14ac:dyDescent="0.3">
      <c r="A11" s="41"/>
      <c r="B11" s="462"/>
      <c r="C11" s="468">
        <v>1</v>
      </c>
      <c r="D11" s="415" t="s">
        <v>628</v>
      </c>
      <c r="E11" s="669" t="s">
        <v>2047</v>
      </c>
      <c r="F11" s="415"/>
      <c r="G11" s="415"/>
      <c r="H11" s="415" t="s">
        <v>629</v>
      </c>
      <c r="I11" s="616" t="s">
        <v>2048</v>
      </c>
      <c r="J11" s="467"/>
      <c r="K11" s="465"/>
      <c r="L11" s="463"/>
      <c r="M11" s="41"/>
      <c r="N11" s="41"/>
      <c r="S11" s="1157"/>
    </row>
    <row r="12" spans="1:19" ht="15.6" x14ac:dyDescent="0.3">
      <c r="A12" s="41"/>
      <c r="B12" s="462"/>
      <c r="C12" s="468"/>
      <c r="D12" s="415"/>
      <c r="E12" s="439"/>
      <c r="F12" s="415"/>
      <c r="G12" s="415"/>
      <c r="H12" s="415"/>
      <c r="I12" s="439"/>
      <c r="J12" s="467"/>
      <c r="K12" s="465"/>
      <c r="L12" s="463"/>
      <c r="M12" s="41"/>
      <c r="N12" s="41"/>
      <c r="S12" s="1157"/>
    </row>
    <row r="13" spans="1:19" ht="15.6" x14ac:dyDescent="0.3">
      <c r="A13" s="41"/>
      <c r="B13" s="462"/>
      <c r="C13" s="468"/>
      <c r="D13" s="415"/>
      <c r="F13" s="415"/>
      <c r="G13" s="415"/>
      <c r="H13" s="415" t="s">
        <v>630</v>
      </c>
      <c r="I13" s="469" t="s">
        <v>2049</v>
      </c>
      <c r="J13" s="467"/>
      <c r="K13" s="465"/>
      <c r="L13" s="463"/>
      <c r="M13" s="41"/>
      <c r="N13" s="41"/>
      <c r="S13" s="1157"/>
    </row>
    <row r="14" spans="1:19" ht="15.6" x14ac:dyDescent="0.3">
      <c r="A14" s="41"/>
      <c r="B14" s="462"/>
      <c r="C14" s="468"/>
      <c r="D14" s="415"/>
      <c r="E14" s="439"/>
      <c r="F14" s="415"/>
      <c r="G14" s="415"/>
      <c r="H14" s="415"/>
      <c r="I14" s="439"/>
      <c r="J14" s="467"/>
      <c r="K14" s="465"/>
      <c r="L14" s="463"/>
      <c r="M14" s="41"/>
      <c r="N14" s="41"/>
      <c r="S14" s="1157"/>
    </row>
    <row r="15" spans="1:19" ht="15.6" x14ac:dyDescent="0.3">
      <c r="A15" s="41"/>
      <c r="B15" s="462"/>
      <c r="C15" s="468">
        <v>2</v>
      </c>
      <c r="D15" s="415" t="s">
        <v>3</v>
      </c>
      <c r="E15" s="469" t="s">
        <v>797</v>
      </c>
      <c r="F15" s="415"/>
      <c r="G15" s="415"/>
      <c r="H15" s="415" t="s">
        <v>631</v>
      </c>
      <c r="I15" s="415"/>
      <c r="J15" s="1720">
        <v>2</v>
      </c>
      <c r="K15" s="465" t="s">
        <v>632</v>
      </c>
      <c r="L15" s="463"/>
      <c r="M15" s="41"/>
      <c r="N15" s="41"/>
      <c r="S15" s="1157"/>
    </row>
    <row r="16" spans="1:19" ht="15.6" x14ac:dyDescent="0.3">
      <c r="A16" s="41"/>
      <c r="B16" s="462"/>
      <c r="C16" s="468"/>
      <c r="D16" s="415"/>
      <c r="E16" s="439"/>
      <c r="F16" s="415"/>
      <c r="G16" s="415"/>
      <c r="H16" s="415"/>
      <c r="I16" s="415"/>
      <c r="J16" s="467"/>
      <c r="K16" s="465"/>
      <c r="L16" s="463"/>
      <c r="M16" s="41"/>
      <c r="N16" s="41"/>
      <c r="S16" s="1157"/>
    </row>
    <row r="17" spans="1:19" ht="15.6" x14ac:dyDescent="0.3">
      <c r="A17" s="41"/>
      <c r="B17" s="462"/>
      <c r="C17" s="468">
        <v>3</v>
      </c>
      <c r="D17" s="415" t="s">
        <v>633</v>
      </c>
      <c r="E17" s="415"/>
      <c r="F17" s="444" t="s">
        <v>2050</v>
      </c>
      <c r="G17" s="470">
        <v>588</v>
      </c>
      <c r="H17" s="415" t="s">
        <v>635</v>
      </c>
      <c r="I17" s="470">
        <v>65</v>
      </c>
      <c r="J17" s="471" t="s">
        <v>636</v>
      </c>
      <c r="K17" s="9"/>
      <c r="L17" s="463"/>
      <c r="M17" s="41"/>
      <c r="N17" s="41"/>
      <c r="S17" s="1157"/>
    </row>
    <row r="18" spans="1:19" ht="15.6" x14ac:dyDescent="0.3">
      <c r="A18" s="41"/>
      <c r="B18" s="462"/>
      <c r="C18" s="468"/>
      <c r="D18" s="415" t="s">
        <v>637</v>
      </c>
      <c r="E18" s="470">
        <v>27</v>
      </c>
      <c r="F18" s="444" t="s">
        <v>634</v>
      </c>
      <c r="G18" s="470">
        <v>550</v>
      </c>
      <c r="H18" s="415" t="s">
        <v>635</v>
      </c>
      <c r="I18" s="470">
        <v>635</v>
      </c>
      <c r="J18" s="471" t="s">
        <v>636</v>
      </c>
      <c r="K18" s="465"/>
      <c r="L18" s="463"/>
      <c r="M18" s="41"/>
      <c r="N18" s="41"/>
      <c r="S18" s="1157"/>
    </row>
    <row r="19" spans="1:19" ht="15.6" x14ac:dyDescent="0.3">
      <c r="A19" s="41"/>
      <c r="B19" s="462"/>
      <c r="C19" s="468"/>
      <c r="D19" s="415"/>
      <c r="E19" s="441"/>
      <c r="F19" s="1727"/>
      <c r="G19" s="1727"/>
      <c r="H19" s="1726"/>
      <c r="I19" s="1728"/>
      <c r="J19" s="467"/>
      <c r="K19" s="465"/>
      <c r="L19" s="463"/>
      <c r="M19" s="41"/>
      <c r="N19" s="41"/>
      <c r="S19" s="1157"/>
    </row>
    <row r="20" spans="1:19" ht="15.6" x14ac:dyDescent="0.3">
      <c r="A20" s="41"/>
      <c r="B20" s="462"/>
      <c r="C20" s="468">
        <v>4</v>
      </c>
      <c r="D20" s="415" t="s">
        <v>638</v>
      </c>
      <c r="E20" s="470">
        <v>150</v>
      </c>
      <c r="F20" s="415" t="s">
        <v>639</v>
      </c>
      <c r="G20" s="472">
        <v>46</v>
      </c>
      <c r="H20" s="415" t="s">
        <v>820</v>
      </c>
      <c r="I20" s="987" t="s">
        <v>2052</v>
      </c>
      <c r="J20" s="467"/>
      <c r="K20" s="465"/>
      <c r="L20" s="463"/>
      <c r="M20" s="41"/>
      <c r="N20" s="41"/>
      <c r="S20" s="1157"/>
    </row>
    <row r="21" spans="1:19" ht="15.6" x14ac:dyDescent="0.3">
      <c r="A21" s="41"/>
      <c r="B21" s="462"/>
      <c r="C21" s="468"/>
      <c r="D21" s="415"/>
      <c r="E21" s="415"/>
      <c r="F21" s="440"/>
      <c r="G21" s="415"/>
      <c r="H21" s="440"/>
      <c r="I21" s="419"/>
      <c r="J21" s="467"/>
      <c r="K21" s="465"/>
      <c r="L21" s="463"/>
      <c r="M21" s="41"/>
      <c r="N21" s="41"/>
      <c r="S21" s="1157"/>
    </row>
    <row r="22" spans="1:19" ht="15.6" x14ac:dyDescent="0.3">
      <c r="A22" s="41"/>
      <c r="B22" s="462"/>
      <c r="C22" s="468">
        <v>5</v>
      </c>
      <c r="D22" s="415" t="s">
        <v>640</v>
      </c>
      <c r="E22" s="441" t="s">
        <v>641</v>
      </c>
      <c r="F22" s="415" t="s">
        <v>642</v>
      </c>
      <c r="G22" s="455" t="s">
        <v>641</v>
      </c>
      <c r="H22" s="415" t="s">
        <v>639</v>
      </c>
      <c r="I22" s="415"/>
      <c r="J22" s="473" t="s">
        <v>641</v>
      </c>
      <c r="K22" s="465"/>
      <c r="L22" s="463"/>
      <c r="M22" s="41"/>
      <c r="N22" s="41"/>
      <c r="S22" s="1157"/>
    </row>
    <row r="23" spans="1:19" ht="15.6" x14ac:dyDescent="0.3">
      <c r="A23" s="41"/>
      <c r="B23" s="462"/>
      <c r="C23" s="468"/>
      <c r="D23" s="415"/>
      <c r="E23" s="441"/>
      <c r="F23" s="415"/>
      <c r="G23" s="455"/>
      <c r="H23" s="415"/>
      <c r="I23" s="415"/>
      <c r="J23" s="473"/>
      <c r="K23" s="465"/>
      <c r="L23" s="463"/>
      <c r="M23" s="41"/>
      <c r="N23" s="41"/>
      <c r="S23" s="1157"/>
    </row>
    <row r="24" spans="1:19" ht="15.6" x14ac:dyDescent="0.3">
      <c r="A24" s="41"/>
      <c r="B24" s="462"/>
      <c r="C24" s="468">
        <v>6</v>
      </c>
      <c r="D24" s="474" t="s">
        <v>643</v>
      </c>
      <c r="E24" s="474"/>
      <c r="F24" s="475">
        <v>700</v>
      </c>
      <c r="G24" s="415"/>
      <c r="H24" s="415"/>
      <c r="I24" s="415"/>
      <c r="J24" s="467"/>
      <c r="K24" s="465"/>
      <c r="L24" s="463"/>
      <c r="M24" s="41"/>
      <c r="N24" s="41"/>
      <c r="S24" s="1157"/>
    </row>
    <row r="25" spans="1:19" ht="15.6" x14ac:dyDescent="0.3">
      <c r="A25" s="41"/>
      <c r="B25" s="462"/>
      <c r="C25" s="468"/>
      <c r="D25" s="2082" t="s">
        <v>644</v>
      </c>
      <c r="E25" s="2083"/>
      <c r="F25" s="504">
        <v>830</v>
      </c>
      <c r="G25" s="440"/>
      <c r="H25" s="415"/>
      <c r="I25" s="415"/>
      <c r="J25" s="467"/>
      <c r="K25" s="465"/>
      <c r="L25" s="463"/>
      <c r="M25" s="41"/>
      <c r="N25" s="41"/>
      <c r="S25" s="1157"/>
    </row>
    <row r="26" spans="1:19" ht="15.6" x14ac:dyDescent="0.3">
      <c r="A26" s="41"/>
      <c r="B26" s="462"/>
      <c r="C26" s="468"/>
      <c r="D26" s="2084" t="s">
        <v>645</v>
      </c>
      <c r="E26" s="2085"/>
      <c r="F26" s="475">
        <v>230</v>
      </c>
      <c r="G26" s="440"/>
      <c r="H26" s="415"/>
      <c r="I26" s="415"/>
      <c r="J26" s="467"/>
      <c r="K26" s="465"/>
      <c r="L26" s="463"/>
      <c r="M26" s="41"/>
      <c r="N26" s="41"/>
      <c r="S26" s="1157"/>
    </row>
    <row r="27" spans="1:19" ht="15.6" x14ac:dyDescent="0.3">
      <c r="A27" s="41"/>
      <c r="B27" s="462"/>
      <c r="C27" s="468"/>
      <c r="D27" s="2086" t="s">
        <v>2051</v>
      </c>
      <c r="E27" s="2087"/>
      <c r="F27" s="476">
        <v>627.5</v>
      </c>
      <c r="G27" s="477"/>
      <c r="H27" s="467"/>
      <c r="I27" s="467"/>
      <c r="J27" s="467"/>
      <c r="K27" s="465"/>
      <c r="L27" s="463"/>
      <c r="M27" s="41"/>
      <c r="N27" s="41"/>
      <c r="S27" s="1157"/>
    </row>
    <row r="28" spans="1:19" ht="15.6" x14ac:dyDescent="0.3">
      <c r="A28" s="41"/>
      <c r="B28" s="462"/>
      <c r="C28" s="468"/>
      <c r="D28" s="2086" t="s">
        <v>959</v>
      </c>
      <c r="E28" s="2087"/>
      <c r="F28" s="476">
        <v>80</v>
      </c>
      <c r="G28" s="477"/>
      <c r="H28" s="467"/>
      <c r="I28" s="467"/>
      <c r="J28" s="467"/>
      <c r="K28" s="465"/>
      <c r="L28" s="463"/>
      <c r="M28" s="41"/>
      <c r="N28" s="41"/>
      <c r="S28" s="1157"/>
    </row>
    <row r="29" spans="1:19" ht="15.6" x14ac:dyDescent="0.3">
      <c r="A29" s="41"/>
      <c r="B29" s="462"/>
      <c r="C29" s="468"/>
      <c r="D29" s="128"/>
      <c r="E29" s="467"/>
      <c r="F29" s="473"/>
      <c r="G29" s="477"/>
      <c r="H29" s="478"/>
      <c r="I29" s="467"/>
      <c r="J29" s="467"/>
      <c r="K29" s="465"/>
      <c r="L29" s="463"/>
      <c r="M29" s="41"/>
      <c r="N29" s="41"/>
      <c r="S29" s="1157"/>
    </row>
    <row r="30" spans="1:19" ht="15.6" x14ac:dyDescent="0.3">
      <c r="A30" s="41"/>
      <c r="B30" s="462"/>
      <c r="C30" s="468">
        <v>7</v>
      </c>
      <c r="D30" s="479" t="s">
        <v>646</v>
      </c>
      <c r="E30" s="479"/>
      <c r="F30" s="479"/>
      <c r="G30" s="479"/>
      <c r="H30" s="479"/>
      <c r="I30" s="479"/>
      <c r="J30" s="479"/>
      <c r="K30" s="465"/>
      <c r="L30" s="463"/>
      <c r="M30" s="41"/>
      <c r="N30" s="41"/>
      <c r="S30" s="1157"/>
    </row>
    <row r="31" spans="1:19" ht="15.6" x14ac:dyDescent="0.3">
      <c r="A31" s="41"/>
      <c r="B31" s="462"/>
      <c r="C31" s="464"/>
      <c r="D31" s="101" t="s">
        <v>647</v>
      </c>
      <c r="E31" s="480">
        <f>(F27+610+580)/3*0.99</f>
        <v>599.77499999999998</v>
      </c>
      <c r="F31" s="481"/>
      <c r="G31" s="481"/>
      <c r="H31" s="481"/>
      <c r="I31" s="481"/>
      <c r="J31" s="481"/>
      <c r="K31" s="465"/>
      <c r="L31" s="463"/>
      <c r="M31" s="41"/>
      <c r="N31" s="41"/>
      <c r="S31" s="1157"/>
    </row>
    <row r="32" spans="1:19" ht="15.6" x14ac:dyDescent="0.3">
      <c r="A32" s="41"/>
      <c r="B32" s="462"/>
      <c r="C32" s="468"/>
      <c r="D32" s="482" t="s">
        <v>223</v>
      </c>
      <c r="E32" s="480">
        <f>(F28+30)*0.985</f>
        <v>108.35</v>
      </c>
      <c r="F32" s="481"/>
      <c r="G32" s="481"/>
      <c r="H32" s="481"/>
      <c r="I32" s="481"/>
      <c r="J32" s="481"/>
      <c r="K32" s="465"/>
      <c r="L32" s="463"/>
      <c r="M32" s="41"/>
      <c r="N32" s="41"/>
      <c r="S32" s="1157"/>
    </row>
    <row r="33" spans="1:19" ht="15.6" x14ac:dyDescent="0.3">
      <c r="A33" s="41"/>
      <c r="B33" s="462"/>
      <c r="C33" s="464"/>
      <c r="D33" s="101" t="s">
        <v>648</v>
      </c>
      <c r="E33" s="480">
        <f>G18*0.99</f>
        <v>544.5</v>
      </c>
      <c r="F33" s="467"/>
      <c r="G33" s="467"/>
      <c r="H33" s="467"/>
      <c r="I33" s="467"/>
      <c r="J33" s="467"/>
      <c r="K33" s="465"/>
      <c r="L33" s="463"/>
      <c r="M33" s="41"/>
      <c r="N33" s="41"/>
      <c r="S33" s="1157"/>
    </row>
    <row r="34" spans="1:19" ht="15.6" x14ac:dyDescent="0.3">
      <c r="A34" s="41"/>
      <c r="B34" s="462"/>
      <c r="C34" s="464"/>
      <c r="D34" s="101" t="s">
        <v>649</v>
      </c>
      <c r="E34" s="483">
        <v>270</v>
      </c>
      <c r="F34" s="467"/>
      <c r="G34" s="467"/>
      <c r="H34" s="473"/>
      <c r="I34" s="467"/>
      <c r="J34" s="467"/>
      <c r="K34" s="465"/>
      <c r="L34" s="463"/>
      <c r="M34" s="41"/>
      <c r="N34" s="41"/>
      <c r="S34" s="1157"/>
    </row>
    <row r="35" spans="1:19" ht="15.6" x14ac:dyDescent="0.3">
      <c r="A35" s="41"/>
      <c r="B35" s="462"/>
      <c r="C35" s="464"/>
      <c r="D35" s="101" t="s">
        <v>650</v>
      </c>
      <c r="E35" s="480">
        <f>E34*1.03</f>
        <v>278.10000000000002</v>
      </c>
      <c r="F35" s="467"/>
      <c r="G35" s="467"/>
      <c r="H35" s="473"/>
      <c r="I35" s="467"/>
      <c r="J35" s="467"/>
      <c r="K35" s="465"/>
      <c r="L35" s="463"/>
      <c r="M35" s="41"/>
      <c r="N35" s="41"/>
      <c r="S35" s="1157"/>
    </row>
    <row r="36" spans="1:19" ht="15.6" x14ac:dyDescent="0.3">
      <c r="A36" s="41"/>
      <c r="B36" s="462"/>
      <c r="C36" s="464"/>
      <c r="D36" s="101" t="s">
        <v>651</v>
      </c>
      <c r="E36" s="480">
        <f>(I17+F28+I18)*0.985</f>
        <v>768.3</v>
      </c>
      <c r="F36" s="484"/>
      <c r="G36" s="467"/>
      <c r="H36" s="467"/>
      <c r="I36" s="467"/>
      <c r="J36" s="467"/>
      <c r="K36" s="465"/>
      <c r="L36" s="463"/>
      <c r="M36" s="41"/>
      <c r="N36" s="41"/>
      <c r="S36" s="1157"/>
    </row>
    <row r="37" spans="1:19" ht="15.6" x14ac:dyDescent="0.3">
      <c r="A37" s="41"/>
      <c r="B37" s="462"/>
      <c r="C37" s="464"/>
      <c r="D37" s="467"/>
      <c r="E37" s="485"/>
      <c r="F37" s="467"/>
      <c r="G37" s="467"/>
      <c r="H37" s="485"/>
      <c r="I37" s="467"/>
      <c r="J37" s="467"/>
      <c r="K37" s="465"/>
      <c r="L37" s="463"/>
      <c r="M37" s="41"/>
      <c r="N37" s="41"/>
      <c r="S37" s="1157"/>
    </row>
    <row r="38" spans="1:19" ht="15.6" x14ac:dyDescent="0.3">
      <c r="A38" s="41"/>
      <c r="B38" s="462"/>
      <c r="C38" s="468">
        <v>8</v>
      </c>
      <c r="D38" s="467" t="s">
        <v>652</v>
      </c>
      <c r="E38" s="467"/>
      <c r="F38" s="486">
        <f>3.1415926*(E33*E33-E34*E34)*E74*E36/4000000/J39+3.1415926*(E31*E31-E33*E33)*E74*E32/4000000/J39</f>
        <v>1245.8243216043597</v>
      </c>
      <c r="G38" s="467" t="s">
        <v>653</v>
      </c>
      <c r="H38" s="467"/>
      <c r="I38" s="487">
        <f>F38</f>
        <v>1245.8243216043597</v>
      </c>
      <c r="J38" s="467"/>
      <c r="K38" s="465"/>
      <c r="L38" s="463"/>
      <c r="M38" s="41"/>
      <c r="N38" s="41"/>
      <c r="S38" s="1157"/>
    </row>
    <row r="39" spans="1:19" ht="15.6" x14ac:dyDescent="0.3">
      <c r="A39" s="41"/>
      <c r="B39" s="462"/>
      <c r="C39" s="464"/>
      <c r="D39" s="41"/>
      <c r="E39" s="467" t="s">
        <v>654</v>
      </c>
      <c r="F39" s="488">
        <f>I38*1.04</f>
        <v>1295.6572944685342</v>
      </c>
      <c r="G39" s="467" t="s">
        <v>655</v>
      </c>
      <c r="H39" s="467"/>
      <c r="I39" s="467"/>
      <c r="J39" s="470">
        <v>1</v>
      </c>
      <c r="K39" s="465"/>
      <c r="L39" s="463"/>
      <c r="M39" s="41"/>
      <c r="N39" s="41"/>
      <c r="S39" s="1157"/>
    </row>
    <row r="40" spans="1:19" ht="15.6" x14ac:dyDescent="0.3">
      <c r="A40" s="41"/>
      <c r="B40" s="462"/>
      <c r="C40" s="464"/>
      <c r="D40" s="467" t="s">
        <v>656</v>
      </c>
      <c r="E40" s="467"/>
      <c r="F40" s="488">
        <f>F39*J39</f>
        <v>1295.6572944685342</v>
      </c>
      <c r="G40" s="467"/>
      <c r="H40" s="467"/>
      <c r="I40" s="467"/>
      <c r="J40" s="473"/>
      <c r="K40" s="465"/>
      <c r="L40" s="463"/>
      <c r="M40" s="41"/>
      <c r="N40" s="41"/>
      <c r="S40" s="1157"/>
    </row>
    <row r="41" spans="1:19" ht="15.6" x14ac:dyDescent="0.3">
      <c r="A41" s="41"/>
      <c r="B41" s="462"/>
      <c r="C41" s="464"/>
      <c r="D41" s="467"/>
      <c r="E41" s="467"/>
      <c r="F41" s="488"/>
      <c r="G41" s="467"/>
      <c r="H41" s="467"/>
      <c r="I41" s="467"/>
      <c r="J41" s="473"/>
      <c r="K41" s="465"/>
      <c r="L41" s="463"/>
      <c r="M41" s="41"/>
      <c r="N41" s="41"/>
      <c r="S41" s="1157"/>
    </row>
    <row r="42" spans="1:19" ht="15.6" x14ac:dyDescent="0.3">
      <c r="A42" s="41"/>
      <c r="B42" s="462"/>
      <c r="C42" s="464"/>
      <c r="D42" s="2088" t="str">
        <f>IF(E34-E20&gt;20,D73&amp;E73&amp;F73,"")</f>
        <v>Металл в ковш сливать по показаниям тензодатчиков печи FS-30. Всего 1250 кг.</v>
      </c>
      <c r="E42" s="2088"/>
      <c r="F42" s="2088"/>
      <c r="G42" s="2088"/>
      <c r="H42" s="2088"/>
      <c r="I42" s="2088"/>
      <c r="J42" s="2088"/>
      <c r="K42" s="2089"/>
      <c r="L42" s="463"/>
      <c r="M42" s="41"/>
      <c r="N42" s="41"/>
      <c r="S42" s="1157"/>
    </row>
    <row r="43" spans="1:19" ht="15.6" x14ac:dyDescent="0.3">
      <c r="A43" s="41"/>
      <c r="B43" s="462"/>
      <c r="C43" s="464"/>
      <c r="D43" s="2088"/>
      <c r="E43" s="2088"/>
      <c r="F43" s="2088"/>
      <c r="G43" s="2088"/>
      <c r="H43" s="2088"/>
      <c r="I43" s="2088"/>
      <c r="J43" s="2088"/>
      <c r="K43" s="2089"/>
      <c r="L43" s="463"/>
      <c r="M43" s="41"/>
      <c r="N43" s="41"/>
      <c r="S43" s="1157"/>
    </row>
    <row r="44" spans="1:19" ht="21" x14ac:dyDescent="0.4">
      <c r="A44" s="41"/>
      <c r="B44" s="462"/>
      <c r="C44" s="464"/>
      <c r="D44" s="489"/>
      <c r="E44" s="489"/>
      <c r="F44" s="489"/>
      <c r="G44" s="489"/>
      <c r="H44" s="489"/>
      <c r="I44" s="489"/>
      <c r="J44" s="489"/>
      <c r="K44" s="465"/>
      <c r="L44" s="463"/>
      <c r="M44" s="41"/>
      <c r="N44" s="41"/>
      <c r="S44" s="1157"/>
    </row>
    <row r="45" spans="1:19" ht="15.6" x14ac:dyDescent="0.3">
      <c r="A45" s="41"/>
      <c r="B45" s="462"/>
      <c r="C45" s="468">
        <v>9</v>
      </c>
      <c r="D45" s="467" t="s">
        <v>657</v>
      </c>
      <c r="E45" s="467"/>
      <c r="F45" s="490" t="str">
        <f>VLOOKUP(E47,Данные!A3:F22,6,FALSE())&amp;", ТИ 25012.00014"</f>
        <v>25010.00172, ТИ 25012.00014</v>
      </c>
      <c r="G45" s="467"/>
      <c r="H45" s="467"/>
      <c r="I45" s="467"/>
      <c r="J45" s="467"/>
      <c r="K45" s="465"/>
      <c r="L45" s="463"/>
      <c r="M45" s="41"/>
      <c r="N45" s="41"/>
      <c r="S45" s="1157"/>
    </row>
    <row r="46" spans="1:19" ht="15.6" x14ac:dyDescent="0.3">
      <c r="A46" s="41"/>
      <c r="B46" s="462"/>
      <c r="C46" s="468"/>
      <c r="D46" s="467"/>
      <c r="E46" s="467"/>
      <c r="F46" s="467"/>
      <c r="G46" s="490"/>
      <c r="H46" s="467"/>
      <c r="I46" s="467"/>
      <c r="J46" s="467"/>
      <c r="K46" s="465"/>
      <c r="L46" s="463"/>
      <c r="M46" s="41"/>
      <c r="N46" s="41"/>
      <c r="S46" s="1157"/>
    </row>
    <row r="47" spans="1:19" ht="15.6" x14ac:dyDescent="0.3">
      <c r="A47" s="41"/>
      <c r="B47" s="462"/>
      <c r="C47" s="468">
        <v>10</v>
      </c>
      <c r="D47" s="467" t="s">
        <v>658</v>
      </c>
      <c r="E47" s="469" t="s">
        <v>16</v>
      </c>
      <c r="F47" s="467"/>
      <c r="G47" s="467"/>
      <c r="H47" s="467"/>
      <c r="I47" s="467"/>
      <c r="J47" s="467"/>
      <c r="K47" s="465"/>
      <c r="L47" s="463"/>
      <c r="M47" s="41"/>
      <c r="N47" s="41"/>
      <c r="S47" s="1157"/>
    </row>
    <row r="48" spans="1:19" ht="15.6" x14ac:dyDescent="0.3">
      <c r="A48" s="41"/>
      <c r="B48" s="462"/>
      <c r="C48" s="468"/>
      <c r="D48" s="467"/>
      <c r="E48" s="467"/>
      <c r="F48" s="490"/>
      <c r="G48" s="467"/>
      <c r="H48" s="467"/>
      <c r="I48" s="467"/>
      <c r="J48" s="467"/>
      <c r="K48" s="465"/>
      <c r="L48" s="463"/>
      <c r="M48" s="41"/>
      <c r="N48" s="41"/>
      <c r="S48" s="1157"/>
    </row>
    <row r="49" spans="1:19" ht="15.6" x14ac:dyDescent="0.3">
      <c r="A49" s="41"/>
      <c r="B49" s="462"/>
      <c r="C49" s="468">
        <v>11</v>
      </c>
      <c r="D49" s="2090" t="s">
        <v>659</v>
      </c>
      <c r="E49" s="2090"/>
      <c r="F49" s="2090"/>
      <c r="G49" s="2090"/>
      <c r="H49" s="2091"/>
      <c r="I49" s="2090"/>
      <c r="J49" s="2090"/>
      <c r="K49" s="465"/>
      <c r="L49" s="463"/>
      <c r="M49" s="41"/>
      <c r="N49" s="41"/>
      <c r="S49" s="1157"/>
    </row>
    <row r="50" spans="1:19" ht="15.6" x14ac:dyDescent="0.3">
      <c r="A50" s="41"/>
      <c r="B50" s="462"/>
      <c r="C50" s="4"/>
      <c r="D50" s="101" t="s">
        <v>660</v>
      </c>
      <c r="E50" s="101"/>
      <c r="F50" s="101"/>
      <c r="G50" s="506">
        <f>995*E72*POWER(G17, -0.3333)</f>
        <v>546.44624961523391</v>
      </c>
      <c r="H50" s="101" t="s">
        <v>661</v>
      </c>
      <c r="I50" s="55"/>
      <c r="J50" s="101"/>
      <c r="K50" s="492">
        <f>(E33-E34)/200*10</f>
        <v>13.725000000000001</v>
      </c>
      <c r="L50" s="463"/>
      <c r="M50" s="220">
        <v>4.5999999999999996</v>
      </c>
      <c r="N50" s="41"/>
      <c r="S50" s="1157"/>
    </row>
    <row r="51" spans="1:19" ht="15.6" x14ac:dyDescent="0.3">
      <c r="A51" s="41"/>
      <c r="B51" s="462"/>
      <c r="C51" s="4"/>
      <c r="D51" s="101" t="s">
        <v>662</v>
      </c>
      <c r="E51" s="101"/>
      <c r="F51" s="101"/>
      <c r="G51" s="491">
        <f>G50*0.8</f>
        <v>437.15699969218713</v>
      </c>
      <c r="H51" s="101" t="s">
        <v>663</v>
      </c>
      <c r="I51" s="55"/>
      <c r="J51" s="101"/>
      <c r="K51" s="492">
        <f>K50*0.8</f>
        <v>10.980000000000002</v>
      </c>
      <c r="L51" s="463"/>
      <c r="M51" s="41"/>
      <c r="N51" s="41"/>
      <c r="S51" s="1157"/>
    </row>
    <row r="52" spans="1:19" ht="21" x14ac:dyDescent="0.4">
      <c r="A52" s="41"/>
      <c r="B52" s="462"/>
      <c r="C52" s="4"/>
      <c r="D52" s="101" t="s">
        <v>664</v>
      </c>
      <c r="E52" s="101"/>
      <c r="F52" s="101"/>
      <c r="G52" s="493">
        <f>G50*F25/F26/39.25</f>
        <v>50.240973379190713</v>
      </c>
      <c r="H52" s="2092" t="s">
        <v>665</v>
      </c>
      <c r="I52" s="2092"/>
      <c r="J52" s="2092"/>
      <c r="K52" s="2093">
        <v>4</v>
      </c>
      <c r="L52" s="463"/>
      <c r="M52" s="41"/>
      <c r="N52" s="41"/>
    </row>
    <row r="53" spans="1:19" ht="21" x14ac:dyDescent="0.4">
      <c r="A53" s="41"/>
      <c r="B53" s="462"/>
      <c r="C53" s="4"/>
      <c r="D53" s="101" t="s">
        <v>666</v>
      </c>
      <c r="E53" s="101"/>
      <c r="F53" s="101"/>
      <c r="G53" s="493">
        <f>G52*0.8</f>
        <v>40.192778703352573</v>
      </c>
      <c r="H53" s="2092"/>
      <c r="I53" s="2092"/>
      <c r="J53" s="2092"/>
      <c r="K53" s="2094"/>
      <c r="L53" s="463"/>
      <c r="M53" s="41"/>
      <c r="N53" s="41"/>
    </row>
    <row r="54" spans="1:19" x14ac:dyDescent="0.3">
      <c r="A54" s="41"/>
      <c r="B54" s="462"/>
      <c r="C54" s="4"/>
      <c r="D54" s="2077" t="s">
        <v>667</v>
      </c>
      <c r="E54" s="2078"/>
      <c r="F54" s="2079"/>
      <c r="G54" s="494">
        <f>ROUND(SQRT(E71)/50,0)*50</f>
        <v>750</v>
      </c>
      <c r="H54" s="56"/>
      <c r="I54" s="56"/>
      <c r="J54" s="56"/>
      <c r="K54" s="9"/>
      <c r="L54" s="463"/>
      <c r="M54" s="41"/>
      <c r="N54" s="41"/>
    </row>
    <row r="55" spans="1:19" x14ac:dyDescent="0.3">
      <c r="A55" s="41"/>
      <c r="B55" s="462"/>
      <c r="C55" s="4"/>
      <c r="D55" s="56"/>
      <c r="E55" s="56"/>
      <c r="F55" s="56"/>
      <c r="G55" s="56"/>
      <c r="H55" s="56"/>
      <c r="I55" s="56"/>
      <c r="J55" s="56"/>
      <c r="K55" s="9"/>
      <c r="L55" s="463"/>
      <c r="M55" s="41"/>
      <c r="N55" s="41"/>
    </row>
    <row r="56" spans="1:19" ht="15.6" x14ac:dyDescent="0.3">
      <c r="A56" s="41"/>
      <c r="B56" s="462"/>
      <c r="C56" s="468">
        <v>12</v>
      </c>
      <c r="D56" s="467" t="s">
        <v>668</v>
      </c>
      <c r="E56" s="467"/>
      <c r="F56" s="467"/>
      <c r="G56" s="467"/>
      <c r="H56" s="467"/>
      <c r="I56" s="56"/>
      <c r="J56" s="56"/>
      <c r="K56" s="9"/>
      <c r="L56" s="463"/>
      <c r="M56" s="41"/>
      <c r="N56" s="41"/>
    </row>
    <row r="57" spans="1:19" ht="15.6" x14ac:dyDescent="0.3">
      <c r="A57" s="41"/>
      <c r="B57" s="462"/>
      <c r="C57" s="464"/>
      <c r="D57" s="467" t="s">
        <v>669</v>
      </c>
      <c r="E57" s="467"/>
      <c r="F57" s="467"/>
      <c r="G57" s="467"/>
      <c r="H57" s="467"/>
      <c r="I57" s="56"/>
      <c r="J57" s="56"/>
      <c r="K57" s="9"/>
      <c r="L57" s="463"/>
      <c r="M57" s="41"/>
      <c r="N57" s="41"/>
    </row>
    <row r="58" spans="1:19" ht="15.6" x14ac:dyDescent="0.3">
      <c r="A58" s="41"/>
      <c r="B58" s="462"/>
      <c r="C58" s="464"/>
      <c r="D58" s="467" t="s">
        <v>670</v>
      </c>
      <c r="E58" s="467"/>
      <c r="F58" s="467"/>
      <c r="G58" s="467"/>
      <c r="H58" s="467"/>
      <c r="I58" s="56"/>
      <c r="J58" s="56"/>
      <c r="K58" s="9"/>
      <c r="L58" s="463"/>
      <c r="M58" s="41"/>
      <c r="N58" s="41"/>
    </row>
    <row r="59" spans="1:19" ht="15.6" x14ac:dyDescent="0.3">
      <c r="A59" s="41"/>
      <c r="B59" s="462"/>
      <c r="C59" s="464"/>
      <c r="D59" s="467"/>
      <c r="E59" s="467"/>
      <c r="F59" s="467"/>
      <c r="G59" s="467"/>
      <c r="H59" s="467"/>
      <c r="I59" s="56"/>
      <c r="J59" s="56"/>
      <c r="K59" s="9"/>
      <c r="L59" s="463"/>
      <c r="M59" s="41"/>
      <c r="N59" s="41"/>
    </row>
    <row r="60" spans="1:19" ht="15.6" x14ac:dyDescent="0.3">
      <c r="A60" s="41"/>
      <c r="B60" s="462"/>
      <c r="C60" s="464"/>
      <c r="D60" s="467"/>
      <c r="E60" s="467"/>
      <c r="F60" s="467"/>
      <c r="G60" s="467"/>
      <c r="H60" s="467"/>
      <c r="I60" s="56"/>
      <c r="J60" s="56"/>
      <c r="K60" s="9"/>
      <c r="L60" s="463"/>
      <c r="M60" s="41"/>
      <c r="N60" s="41"/>
    </row>
    <row r="61" spans="1:19" x14ac:dyDescent="0.3">
      <c r="A61" s="41"/>
      <c r="B61" s="462"/>
      <c r="C61" s="4"/>
      <c r="D61" s="56"/>
      <c r="E61" s="56"/>
      <c r="F61" s="56"/>
      <c r="G61" s="56"/>
      <c r="H61" s="56"/>
      <c r="I61" s="56"/>
      <c r="J61" s="56"/>
      <c r="K61" s="9"/>
      <c r="L61" s="463"/>
      <c r="M61" s="41"/>
      <c r="N61" s="41"/>
    </row>
    <row r="62" spans="1:19" x14ac:dyDescent="0.3">
      <c r="A62" s="41"/>
      <c r="B62" s="462"/>
      <c r="C62" s="4"/>
      <c r="D62" s="56"/>
      <c r="E62" s="56"/>
      <c r="F62" s="56"/>
      <c r="G62" s="56"/>
      <c r="H62" s="56"/>
      <c r="I62" s="56"/>
      <c r="J62" s="56"/>
      <c r="K62" s="9"/>
      <c r="L62" s="463"/>
      <c r="M62" s="41"/>
      <c r="N62" s="41"/>
    </row>
    <row r="63" spans="1:19" x14ac:dyDescent="0.3">
      <c r="A63" s="41"/>
      <c r="B63" s="462"/>
      <c r="C63" s="4"/>
      <c r="D63" s="56"/>
      <c r="E63" s="56"/>
      <c r="F63" s="56"/>
      <c r="G63" s="56"/>
      <c r="H63" s="56"/>
      <c r="I63" s="56"/>
      <c r="J63" s="56"/>
      <c r="K63" s="9"/>
      <c r="L63" s="463"/>
      <c r="M63" s="41"/>
      <c r="N63" s="41"/>
    </row>
    <row r="64" spans="1:19" ht="15.6" x14ac:dyDescent="0.3">
      <c r="A64" s="41"/>
      <c r="B64" s="462"/>
      <c r="C64" s="4"/>
      <c r="D64" s="56"/>
      <c r="E64" s="101"/>
      <c r="F64" s="101" t="s">
        <v>671</v>
      </c>
      <c r="G64" s="2073" t="s">
        <v>672</v>
      </c>
      <c r="H64" s="2073"/>
      <c r="I64" s="2074" t="s">
        <v>61</v>
      </c>
      <c r="J64" s="2075"/>
      <c r="K64" s="495" t="s">
        <v>58</v>
      </c>
      <c r="L64" s="463"/>
      <c r="M64" s="41"/>
      <c r="N64" s="41"/>
    </row>
    <row r="65" spans="1:14" ht="15.6" x14ac:dyDescent="0.3">
      <c r="A65" s="41"/>
      <c r="B65" s="462"/>
      <c r="C65" s="4"/>
      <c r="D65" s="56"/>
      <c r="E65" s="101" t="s">
        <v>673</v>
      </c>
      <c r="F65" s="101" t="s">
        <v>674</v>
      </c>
      <c r="G65" s="2076" t="s">
        <v>2054</v>
      </c>
      <c r="H65" s="2076"/>
      <c r="I65" s="2074"/>
      <c r="J65" s="2075"/>
      <c r="K65" s="496">
        <f ca="1">TODAY()</f>
        <v>45590</v>
      </c>
      <c r="L65" s="463"/>
      <c r="M65" s="41"/>
      <c r="N65" s="41"/>
    </row>
    <row r="66" spans="1:14" ht="15.6" x14ac:dyDescent="0.3">
      <c r="A66" s="41"/>
      <c r="B66" s="462"/>
      <c r="C66" s="4"/>
      <c r="D66" s="56"/>
      <c r="E66" s="101" t="s">
        <v>675</v>
      </c>
      <c r="F66" s="101"/>
      <c r="G66" s="2076"/>
      <c r="H66" s="2076"/>
      <c r="I66" s="2074"/>
      <c r="J66" s="2075"/>
      <c r="K66" s="497"/>
      <c r="L66" s="463"/>
      <c r="M66" s="41"/>
      <c r="N66" s="41"/>
    </row>
    <row r="67" spans="1:14" ht="16.2" thickBot="1" x14ac:dyDescent="0.35">
      <c r="A67" s="41"/>
      <c r="B67" s="462"/>
      <c r="C67" s="18"/>
      <c r="D67" s="62"/>
      <c r="E67" s="498" t="s">
        <v>676</v>
      </c>
      <c r="F67" s="498" t="s">
        <v>677</v>
      </c>
      <c r="G67" s="2069" t="s">
        <v>2053</v>
      </c>
      <c r="H67" s="2070"/>
      <c r="I67" s="2071"/>
      <c r="J67" s="2072"/>
      <c r="K67" s="499"/>
      <c r="L67" s="463"/>
      <c r="M67" s="41"/>
      <c r="N67" s="41"/>
    </row>
    <row r="68" spans="1:14" x14ac:dyDescent="0.3">
      <c r="A68" s="41"/>
      <c r="B68" s="500"/>
      <c r="C68" s="501"/>
      <c r="D68" s="501"/>
      <c r="E68" s="501"/>
      <c r="F68" s="501"/>
      <c r="G68" s="501"/>
      <c r="H68" s="501"/>
      <c r="I68" s="501"/>
      <c r="J68" s="501"/>
      <c r="K68" s="501"/>
      <c r="L68" s="502"/>
      <c r="M68" s="41"/>
      <c r="N68" s="41"/>
    </row>
    <row r="69" spans="1:14" x14ac:dyDescent="0.3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</row>
    <row r="70" spans="1:14" x14ac:dyDescent="0.3">
      <c r="A70" s="41"/>
      <c r="B70" s="41" t="s">
        <v>685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</row>
    <row r="71" spans="1:14" x14ac:dyDescent="0.3">
      <c r="A71" s="41"/>
      <c r="B71" s="41"/>
      <c r="C71" s="41"/>
      <c r="D71" s="41" t="s">
        <v>678</v>
      </c>
      <c r="E71" s="41">
        <f>2*((F25/2+F26/2)*(F25/2+F26/2))</f>
        <v>561800</v>
      </c>
      <c r="F71" s="41"/>
      <c r="G71" s="41"/>
      <c r="H71" s="41"/>
      <c r="I71" s="41"/>
      <c r="J71" s="41"/>
      <c r="K71" s="41"/>
      <c r="L71" s="41"/>
      <c r="M71" s="41"/>
      <c r="N71" s="41"/>
    </row>
    <row r="72" spans="1:14" x14ac:dyDescent="0.3">
      <c r="A72" s="41"/>
      <c r="B72" s="41"/>
      <c r="C72" s="41"/>
      <c r="D72" s="41" t="s">
        <v>679</v>
      </c>
      <c r="E72" s="41">
        <f>M50</f>
        <v>4.5999999999999996</v>
      </c>
      <c r="F72" s="41"/>
      <c r="G72" s="41"/>
      <c r="H72" s="41"/>
      <c r="I72" s="41"/>
      <c r="J72" s="41"/>
      <c r="K72" s="41"/>
      <c r="L72" s="41"/>
      <c r="M72" s="41"/>
      <c r="N72" s="41"/>
    </row>
    <row r="73" spans="1:14" x14ac:dyDescent="0.3">
      <c r="A73" s="41"/>
      <c r="B73" s="41"/>
      <c r="C73" s="41"/>
      <c r="D73" s="41" t="s">
        <v>680</v>
      </c>
      <c r="E73" s="503">
        <f>ROUNDUP(F38*J39/50,0)*50</f>
        <v>1250</v>
      </c>
      <c r="F73" s="41" t="s">
        <v>681</v>
      </c>
      <c r="G73" s="41"/>
      <c r="H73" s="41"/>
      <c r="I73" s="41"/>
      <c r="J73" s="41"/>
      <c r="K73" s="41"/>
      <c r="L73" s="41"/>
      <c r="M73" s="41"/>
      <c r="N73" s="41"/>
    </row>
    <row r="74" spans="1:14" x14ac:dyDescent="0.3">
      <c r="D74" t="s">
        <v>682</v>
      </c>
      <c r="E74">
        <f>VLOOKUP(E47,Марка_металла[],9,FALSE())</f>
        <v>8.8800000000000008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EB66"/>
  <sheetViews>
    <sheetView showGridLines="0" zoomScale="55" zoomScaleNormal="55" workbookViewId="0">
      <selection activeCell="B1" sqref="B1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233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4" max="34" width="10.109375" bestFit="1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1.218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236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  <col min="115" max="115" width="8.109375" customWidth="1"/>
    <col min="116" max="116" width="13.109375" customWidth="1"/>
    <col min="120" max="120" width="11" bestFit="1" customWidth="1"/>
    <col min="123" max="123" width="5.6640625" customWidth="1"/>
    <col min="124" max="124" width="9" customWidth="1"/>
    <col min="125" max="125" width="7" customWidth="1"/>
    <col min="126" max="126" width="17.5546875" customWidth="1"/>
    <col min="127" max="127" width="12.21875" customWidth="1"/>
    <col min="128" max="128" width="13.33203125" customWidth="1"/>
  </cols>
  <sheetData>
    <row r="1" spans="2:131" ht="15" thickBot="1" x14ac:dyDescent="0.35">
      <c r="AG1" s="41"/>
      <c r="AH1" s="41"/>
      <c r="AI1" s="41"/>
      <c r="AJ1" s="41"/>
      <c r="AK1" s="41"/>
      <c r="AL1" s="41"/>
      <c r="AM1" s="41"/>
      <c r="AN1" s="41"/>
      <c r="AO1" s="41"/>
      <c r="AP1" s="41"/>
      <c r="CZ1" s="1647" t="s">
        <v>2006</v>
      </c>
      <c r="DA1" s="1647"/>
    </row>
    <row r="2" spans="2:131" ht="15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790</v>
      </c>
      <c r="K2" s="52"/>
      <c r="M2" s="1"/>
      <c r="N2" s="2"/>
      <c r="O2" s="2"/>
      <c r="P2" s="39" t="s">
        <v>0</v>
      </c>
      <c r="Q2" s="2"/>
      <c r="R2" s="2"/>
      <c r="S2" s="2"/>
      <c r="T2" s="2"/>
      <c r="U2" s="212" t="s">
        <v>790</v>
      </c>
      <c r="W2" s="1"/>
      <c r="X2" s="2"/>
      <c r="Y2" s="2"/>
      <c r="Z2" s="39" t="s">
        <v>0</v>
      </c>
      <c r="AA2" s="2"/>
      <c r="AB2" s="2"/>
      <c r="AC2" s="2"/>
      <c r="AD2" s="2"/>
      <c r="AE2" s="212" t="s">
        <v>790</v>
      </c>
      <c r="AF2" s="41"/>
      <c r="AG2" s="1"/>
      <c r="AH2" s="2"/>
      <c r="AI2" s="2"/>
      <c r="AJ2" s="39" t="s">
        <v>0</v>
      </c>
      <c r="AK2" s="2"/>
      <c r="AL2" s="2"/>
      <c r="AM2" s="2"/>
      <c r="AN2" s="2"/>
      <c r="AO2" s="3" t="s">
        <v>790</v>
      </c>
      <c r="AP2" s="41"/>
      <c r="AQ2" s="1"/>
      <c r="AR2" s="2"/>
      <c r="AS2" s="2"/>
      <c r="AT2" s="39" t="s">
        <v>0</v>
      </c>
      <c r="AU2" s="2"/>
      <c r="AV2" s="2"/>
      <c r="AW2" s="2"/>
      <c r="AX2" s="2"/>
      <c r="AY2" s="3" t="s">
        <v>790</v>
      </c>
      <c r="AZ2" s="41"/>
      <c r="BA2" s="1"/>
      <c r="BB2" s="2"/>
      <c r="BC2" s="2"/>
      <c r="BD2" s="39" t="s">
        <v>0</v>
      </c>
      <c r="BE2" s="2"/>
      <c r="BF2" s="2"/>
      <c r="BG2" s="2"/>
      <c r="BH2" s="2"/>
      <c r="BI2" s="3" t="s">
        <v>790</v>
      </c>
      <c r="BJ2" s="41"/>
      <c r="BK2" s="1"/>
      <c r="BL2" s="2"/>
      <c r="BM2" s="2"/>
      <c r="BN2" s="39" t="s">
        <v>0</v>
      </c>
      <c r="BO2" s="2"/>
      <c r="BP2" s="2"/>
      <c r="BQ2" s="2"/>
      <c r="BR2" s="2"/>
      <c r="BS2" s="3" t="s">
        <v>790</v>
      </c>
      <c r="BU2" s="1"/>
      <c r="BV2" s="2"/>
      <c r="BW2" s="2"/>
      <c r="BX2" s="39" t="s">
        <v>0</v>
      </c>
      <c r="BY2" s="2"/>
      <c r="BZ2" s="2"/>
      <c r="CA2" s="2"/>
      <c r="CB2" s="2"/>
      <c r="CC2" s="3" t="s">
        <v>790</v>
      </c>
      <c r="CE2" s="1"/>
      <c r="CF2" s="2"/>
      <c r="CG2" s="2"/>
      <c r="CH2" s="39" t="s">
        <v>0</v>
      </c>
      <c r="CI2" s="2"/>
      <c r="CJ2" s="2"/>
      <c r="CK2" s="2"/>
      <c r="CL2" s="2"/>
      <c r="CM2" s="852" t="s">
        <v>790</v>
      </c>
      <c r="CN2" s="526"/>
      <c r="CO2" s="1"/>
      <c r="CP2" s="2"/>
      <c r="CQ2" s="2"/>
      <c r="CR2" s="39" t="s">
        <v>0</v>
      </c>
      <c r="CS2" s="2"/>
      <c r="CT2" s="2"/>
      <c r="CU2" s="2"/>
      <c r="CV2" s="2"/>
      <c r="CW2" s="983" t="s">
        <v>790</v>
      </c>
      <c r="CY2" s="1566"/>
      <c r="CZ2" s="1567"/>
      <c r="DA2" s="1567"/>
      <c r="DB2" s="39" t="s">
        <v>0</v>
      </c>
      <c r="DC2" s="1567"/>
      <c r="DD2" s="1567"/>
      <c r="DE2" s="1567"/>
      <c r="DF2" s="1567"/>
      <c r="DG2" s="1562" t="s">
        <v>790</v>
      </c>
      <c r="DI2" s="1686"/>
      <c r="DJ2" s="1687"/>
      <c r="DK2" s="1687"/>
      <c r="DL2" s="39" t="s">
        <v>0</v>
      </c>
      <c r="DM2" s="1687"/>
      <c r="DN2" s="1687"/>
      <c r="DO2" s="1687"/>
      <c r="DP2" s="1687"/>
      <c r="DQ2" s="3" t="s">
        <v>790</v>
      </c>
      <c r="DS2" s="1705"/>
      <c r="DT2" s="1706"/>
      <c r="DU2" s="1706"/>
      <c r="DV2" s="39" t="s">
        <v>0</v>
      </c>
      <c r="DW2" s="1706"/>
      <c r="DX2" s="1706"/>
      <c r="DY2" s="1706"/>
      <c r="DZ2" s="1706"/>
      <c r="EA2" s="3" t="s">
        <v>790</v>
      </c>
    </row>
    <row r="3" spans="2:131" x14ac:dyDescent="0.3">
      <c r="B3" s="11" t="s">
        <v>1</v>
      </c>
      <c r="C3" s="56"/>
      <c r="D3" s="5"/>
      <c r="E3" s="5"/>
      <c r="F3" s="868"/>
      <c r="G3" s="5"/>
      <c r="H3" s="56"/>
      <c r="I3" s="41" t="s">
        <v>231</v>
      </c>
      <c r="J3" s="98"/>
      <c r="K3" s="738"/>
      <c r="M3" s="11" t="s">
        <v>1</v>
      </c>
      <c r="N3" s="56"/>
      <c r="O3" s="5"/>
      <c r="P3" s="5"/>
      <c r="Q3" s="43" t="s">
        <v>312</v>
      </c>
      <c r="R3" s="5"/>
      <c r="S3" s="56"/>
      <c r="T3" s="41"/>
      <c r="U3" s="98"/>
      <c r="W3" s="11" t="s">
        <v>1</v>
      </c>
      <c r="X3" s="56"/>
      <c r="Y3" s="5"/>
      <c r="Z3" s="5"/>
      <c r="AA3" s="43" t="s">
        <v>575</v>
      </c>
      <c r="AB3" s="5"/>
      <c r="AC3" s="56"/>
      <c r="AD3" s="41"/>
      <c r="AE3" s="98"/>
      <c r="AF3" s="41"/>
      <c r="AG3" s="11" t="s">
        <v>1</v>
      </c>
      <c r="AH3" s="56"/>
      <c r="AI3" s="5"/>
      <c r="AJ3" s="5"/>
      <c r="AK3" s="43" t="s">
        <v>579</v>
      </c>
      <c r="AL3" s="5"/>
      <c r="AM3" s="56"/>
      <c r="AN3" s="41" t="s">
        <v>274</v>
      </c>
      <c r="AO3" s="98"/>
      <c r="AP3" s="41"/>
      <c r="AQ3" s="11" t="s">
        <v>1</v>
      </c>
      <c r="AR3" s="56"/>
      <c r="AS3" s="5"/>
      <c r="AT3" s="5"/>
      <c r="AU3" s="43" t="s">
        <v>609</v>
      </c>
      <c r="AV3" s="5"/>
      <c r="AW3" s="56"/>
      <c r="AX3" s="41" t="s">
        <v>274</v>
      </c>
      <c r="AY3" s="98"/>
      <c r="AZ3" s="41"/>
      <c r="BA3" s="11" t="s">
        <v>1</v>
      </c>
      <c r="BB3" s="56"/>
      <c r="BC3" s="5"/>
      <c r="BD3" s="5"/>
      <c r="BE3" s="43" t="s">
        <v>781</v>
      </c>
      <c r="BF3" s="5"/>
      <c r="BG3" s="56"/>
      <c r="BH3" s="41" t="s">
        <v>274</v>
      </c>
      <c r="BI3" s="98" t="s">
        <v>780</v>
      </c>
      <c r="BJ3" s="41"/>
      <c r="BK3" s="11" t="s">
        <v>1</v>
      </c>
      <c r="BL3" s="56"/>
      <c r="BM3" s="5"/>
      <c r="BN3" s="5"/>
      <c r="BO3" s="43"/>
      <c r="BP3" s="5"/>
      <c r="BQ3" s="56"/>
      <c r="BR3" t="s">
        <v>274</v>
      </c>
      <c r="BS3" s="98"/>
      <c r="BU3" s="11" t="s">
        <v>1</v>
      </c>
      <c r="BV3" s="56"/>
      <c r="BW3" s="5"/>
      <c r="BX3" s="5"/>
      <c r="BY3" s="43" t="s">
        <v>286</v>
      </c>
      <c r="BZ3" s="5"/>
      <c r="CA3" s="56"/>
      <c r="CB3" s="41" t="s">
        <v>274</v>
      </c>
      <c r="CC3" s="98"/>
      <c r="CE3" s="11" t="s">
        <v>1</v>
      </c>
      <c r="CF3" s="56"/>
      <c r="CG3" s="5"/>
      <c r="CH3" s="5"/>
      <c r="CI3" s="868" t="s">
        <v>860</v>
      </c>
      <c r="CJ3" s="5"/>
      <c r="CK3" s="56"/>
      <c r="CL3" s="41"/>
      <c r="CM3" s="98"/>
      <c r="CN3" s="738"/>
      <c r="CO3" s="11" t="s">
        <v>1</v>
      </c>
      <c r="CP3" s="56"/>
      <c r="CQ3" s="5"/>
      <c r="CR3" s="5"/>
      <c r="CS3" s="868"/>
      <c r="CT3" s="5"/>
      <c r="CU3" s="56"/>
      <c r="CV3" s="984"/>
      <c r="CW3" s="98"/>
      <c r="CY3" s="11" t="s">
        <v>1</v>
      </c>
      <c r="CZ3" s="1029"/>
      <c r="DA3" s="5"/>
      <c r="DB3" s="5"/>
      <c r="DC3" s="868" t="s">
        <v>860</v>
      </c>
      <c r="DD3" s="5"/>
      <c r="DE3" s="1029"/>
      <c r="DF3" s="1312"/>
      <c r="DG3" s="98"/>
      <c r="DI3" s="11" t="s">
        <v>1</v>
      </c>
      <c r="DJ3" s="1029"/>
      <c r="DK3" s="5"/>
      <c r="DL3" s="5"/>
      <c r="DM3" s="43" t="s">
        <v>2021</v>
      </c>
      <c r="DN3" s="5"/>
      <c r="DO3" s="1029"/>
      <c r="DP3" s="1312" t="s">
        <v>274</v>
      </c>
      <c r="DQ3" s="98"/>
      <c r="DS3" s="11" t="s">
        <v>1</v>
      </c>
      <c r="DT3" s="1029"/>
      <c r="DU3" s="5"/>
      <c r="DV3" s="5"/>
      <c r="DW3" s="43"/>
      <c r="DX3" s="5"/>
      <c r="DY3" s="1029"/>
      <c r="DZ3" s="1312" t="s">
        <v>274</v>
      </c>
      <c r="EA3" s="98"/>
    </row>
    <row r="4" spans="2:131" x14ac:dyDescent="0.3">
      <c r="B4" s="4" t="s">
        <v>2</v>
      </c>
      <c r="C4" s="56"/>
      <c r="D4" s="52"/>
      <c r="E4" s="52"/>
      <c r="F4" s="42" t="s">
        <v>796</v>
      </c>
      <c r="G4" s="52"/>
      <c r="H4" s="52"/>
      <c r="I4" s="44" t="s">
        <v>796</v>
      </c>
      <c r="J4" s="9"/>
      <c r="K4" s="1029"/>
      <c r="M4" s="4" t="s">
        <v>2</v>
      </c>
      <c r="N4" s="56"/>
      <c r="O4" s="52"/>
      <c r="P4" s="52"/>
      <c r="Q4" s="41" t="s">
        <v>320</v>
      </c>
      <c r="R4" s="52"/>
      <c r="S4" s="52"/>
      <c r="T4" s="44"/>
      <c r="U4" s="9"/>
      <c r="W4" s="4" t="s">
        <v>2</v>
      </c>
      <c r="X4" s="56"/>
      <c r="Y4" s="52"/>
      <c r="Z4" s="52"/>
      <c r="AA4" s="254" t="s">
        <v>576</v>
      </c>
      <c r="AB4" s="52"/>
      <c r="AC4" s="52"/>
      <c r="AD4" s="44"/>
      <c r="AE4" s="9"/>
      <c r="AF4" s="41"/>
      <c r="AG4" s="4" t="s">
        <v>2</v>
      </c>
      <c r="AH4" s="56"/>
      <c r="AI4" s="52"/>
      <c r="AJ4" s="52"/>
      <c r="AK4" s="41" t="s">
        <v>580</v>
      </c>
      <c r="AL4" s="52"/>
      <c r="AM4" s="52"/>
      <c r="AN4" s="44" t="s">
        <v>580</v>
      </c>
      <c r="AO4" s="9"/>
      <c r="AP4" s="41"/>
      <c r="AQ4" s="4" t="s">
        <v>2</v>
      </c>
      <c r="AR4" s="56"/>
      <c r="AS4" s="52"/>
      <c r="AT4" s="52"/>
      <c r="AU4" s="41" t="s">
        <v>288</v>
      </c>
      <c r="AV4" s="52"/>
      <c r="AW4" s="52"/>
      <c r="AX4" s="44" t="s">
        <v>288</v>
      </c>
      <c r="AY4" s="9"/>
      <c r="AZ4" s="41"/>
      <c r="BA4" s="4" t="s">
        <v>2</v>
      </c>
      <c r="BB4" s="56"/>
      <c r="BC4" s="52"/>
      <c r="BD4" s="52"/>
      <c r="BE4" s="41" t="s">
        <v>777</v>
      </c>
      <c r="BF4" s="52"/>
      <c r="BG4" s="52"/>
      <c r="BH4" s="44"/>
      <c r="BI4" s="9"/>
      <c r="BJ4" s="41"/>
      <c r="BK4" s="4" t="s">
        <v>2</v>
      </c>
      <c r="BL4" s="56"/>
      <c r="BM4" s="52"/>
      <c r="BN4" s="52"/>
      <c r="BO4" s="44" t="s">
        <v>273</v>
      </c>
      <c r="BP4" s="52"/>
      <c r="BQ4" s="52"/>
      <c r="BR4" s="44" t="s">
        <v>273</v>
      </c>
      <c r="BS4" s="9"/>
      <c r="BU4" s="4" t="s">
        <v>2</v>
      </c>
      <c r="BV4" s="56"/>
      <c r="BW4" s="52"/>
      <c r="BX4" s="52"/>
      <c r="BY4" s="41" t="s">
        <v>287</v>
      </c>
      <c r="BZ4" s="52"/>
      <c r="CA4" s="52"/>
      <c r="CB4" s="44" t="s">
        <v>288</v>
      </c>
      <c r="CC4" s="9"/>
      <c r="CE4" s="4" t="s">
        <v>2</v>
      </c>
      <c r="CF4" s="56"/>
      <c r="CG4" s="52"/>
      <c r="CH4" s="52"/>
      <c r="CI4" s="248">
        <v>1472464</v>
      </c>
      <c r="CJ4" s="52"/>
      <c r="CK4" s="52"/>
      <c r="CL4" s="44"/>
      <c r="CM4" s="9"/>
      <c r="CN4" s="1029"/>
      <c r="CO4" s="4" t="s">
        <v>2</v>
      </c>
      <c r="CP4" s="56"/>
      <c r="CQ4" s="52"/>
      <c r="CR4" s="52"/>
      <c r="CS4" s="248" t="s">
        <v>952</v>
      </c>
      <c r="CT4" s="52"/>
      <c r="CU4" s="52"/>
      <c r="CV4" s="44"/>
      <c r="CW4" s="9"/>
      <c r="CY4" s="4" t="s">
        <v>2</v>
      </c>
      <c r="CZ4" s="1029"/>
      <c r="DA4" s="52"/>
      <c r="DB4" s="52"/>
      <c r="DC4" s="248">
        <v>1500612</v>
      </c>
      <c r="DD4" s="52"/>
      <c r="DE4" s="52"/>
      <c r="DF4" s="44"/>
      <c r="DG4" s="9"/>
      <c r="DI4" s="4" t="s">
        <v>2</v>
      </c>
      <c r="DJ4" s="1029"/>
      <c r="DK4" s="52"/>
      <c r="DL4" s="52"/>
      <c r="DM4" s="1312" t="s">
        <v>2022</v>
      </c>
      <c r="DN4" s="52"/>
      <c r="DO4" s="52"/>
      <c r="DP4" s="44" t="s">
        <v>2022</v>
      </c>
      <c r="DQ4" s="9"/>
      <c r="DS4" s="4" t="s">
        <v>2</v>
      </c>
      <c r="DT4" s="1029"/>
      <c r="DU4" s="52"/>
      <c r="DV4" s="52"/>
      <c r="DW4" s="1312" t="s">
        <v>2040</v>
      </c>
      <c r="DX4" s="52"/>
      <c r="DY4" s="52"/>
      <c r="DZ4" s="44" t="s">
        <v>2040</v>
      </c>
      <c r="EA4" s="9"/>
    </row>
    <row r="5" spans="2:131" x14ac:dyDescent="0.3">
      <c r="B5" s="4" t="s">
        <v>3</v>
      </c>
      <c r="C5" s="56"/>
      <c r="D5" s="52"/>
      <c r="E5" s="52"/>
      <c r="F5" s="734" t="s">
        <v>261</v>
      </c>
      <c r="G5" s="52"/>
      <c r="H5" s="52"/>
      <c r="I5" s="52"/>
      <c r="J5" s="9"/>
      <c r="K5" s="1029"/>
      <c r="M5" s="4" t="s">
        <v>3</v>
      </c>
      <c r="N5" s="56"/>
      <c r="O5" s="52"/>
      <c r="P5" s="52"/>
      <c r="Q5" s="13" t="s">
        <v>313</v>
      </c>
      <c r="R5" s="52"/>
      <c r="S5" s="52"/>
      <c r="T5" s="52"/>
      <c r="U5" s="9"/>
      <c r="W5" s="4" t="s">
        <v>3</v>
      </c>
      <c r="X5" s="56"/>
      <c r="Y5" s="52"/>
      <c r="Z5" s="52"/>
      <c r="AA5" s="13" t="s">
        <v>577</v>
      </c>
      <c r="AB5" s="52"/>
      <c r="AC5" s="52"/>
      <c r="AD5" s="52"/>
      <c r="AE5" s="9"/>
      <c r="AF5" s="41"/>
      <c r="AG5" s="4" t="s">
        <v>3</v>
      </c>
      <c r="AH5" s="56"/>
      <c r="AI5" s="52"/>
      <c r="AJ5" s="52"/>
      <c r="AK5" s="13" t="s">
        <v>261</v>
      </c>
      <c r="AL5" s="52"/>
      <c r="AM5" s="52"/>
      <c r="AN5" s="52"/>
      <c r="AO5" s="9"/>
      <c r="AP5" s="41"/>
      <c r="AQ5" s="4" t="s">
        <v>3</v>
      </c>
      <c r="AR5" s="56"/>
      <c r="AS5" s="52"/>
      <c r="AT5" s="52"/>
      <c r="AU5" s="13" t="s">
        <v>261</v>
      </c>
      <c r="AV5" s="52"/>
      <c r="AW5" s="52"/>
      <c r="AX5" s="52"/>
      <c r="AY5" s="9"/>
      <c r="AZ5" s="41"/>
      <c r="BA5" s="4" t="s">
        <v>3</v>
      </c>
      <c r="BB5" s="56"/>
      <c r="BC5" s="52"/>
      <c r="BD5" s="52"/>
      <c r="BE5" s="13" t="s">
        <v>4</v>
      </c>
      <c r="BF5" s="52"/>
      <c r="BG5" s="52"/>
      <c r="BH5" s="52"/>
      <c r="BI5" s="9"/>
      <c r="BJ5" s="41"/>
      <c r="BK5" s="4" t="s">
        <v>3</v>
      </c>
      <c r="BL5" s="56"/>
      <c r="BM5" s="52"/>
      <c r="BN5" s="52"/>
      <c r="BO5" s="13" t="s">
        <v>272</v>
      </c>
      <c r="BP5" s="52"/>
      <c r="BQ5" s="52"/>
      <c r="BR5" s="52"/>
      <c r="BS5" s="9"/>
      <c r="BU5" s="4" t="s">
        <v>3</v>
      </c>
      <c r="BV5" s="56"/>
      <c r="BW5" s="52"/>
      <c r="BX5" s="52"/>
      <c r="BY5" s="13" t="s">
        <v>261</v>
      </c>
      <c r="BZ5" s="52"/>
      <c r="CA5" s="52"/>
      <c r="CB5" s="52" t="s">
        <v>2007</v>
      </c>
      <c r="CC5" s="9"/>
      <c r="CE5" s="4" t="s">
        <v>3</v>
      </c>
      <c r="CF5" s="56"/>
      <c r="CG5" s="52"/>
      <c r="CH5" s="52"/>
      <c r="CI5" s="51" t="s">
        <v>861</v>
      </c>
      <c r="CJ5" s="52"/>
      <c r="CK5" s="52"/>
      <c r="CL5" s="52"/>
      <c r="CM5" s="9"/>
      <c r="CN5" s="1029"/>
      <c r="CO5" s="4" t="s">
        <v>3</v>
      </c>
      <c r="CP5" s="56"/>
      <c r="CQ5" s="52"/>
      <c r="CR5" s="52"/>
      <c r="CS5" s="51" t="s">
        <v>949</v>
      </c>
      <c r="CT5" s="52"/>
      <c r="CU5" s="52"/>
      <c r="CV5" s="52"/>
      <c r="CW5" s="9"/>
      <c r="CY5" s="4" t="s">
        <v>3</v>
      </c>
      <c r="CZ5" s="1029"/>
      <c r="DA5" s="52"/>
      <c r="DB5" s="52"/>
      <c r="DC5" s="51" t="s">
        <v>1730</v>
      </c>
      <c r="DD5" s="52"/>
      <c r="DE5" s="52"/>
      <c r="DF5" s="52"/>
      <c r="DG5" s="9"/>
      <c r="DI5" s="4" t="s">
        <v>3</v>
      </c>
      <c r="DJ5" s="1029"/>
      <c r="DK5" s="52"/>
      <c r="DL5" s="52"/>
      <c r="DM5" s="13" t="s">
        <v>261</v>
      </c>
      <c r="DN5" s="52"/>
      <c r="DO5" s="52"/>
      <c r="DP5" s="52"/>
      <c r="DQ5" s="9"/>
      <c r="DS5" s="4" t="s">
        <v>3</v>
      </c>
      <c r="DT5" s="1029"/>
      <c r="DU5" s="52"/>
      <c r="DV5" s="52"/>
      <c r="DW5" s="13" t="s">
        <v>261</v>
      </c>
      <c r="DX5" s="52"/>
      <c r="DY5" s="52"/>
      <c r="DZ5" s="52"/>
      <c r="EA5" s="9"/>
    </row>
    <row r="6" spans="2:131" ht="15" thickBot="1" x14ac:dyDescent="0.35">
      <c r="B6" s="18" t="s">
        <v>7</v>
      </c>
      <c r="C6" s="62"/>
      <c r="D6" s="19"/>
      <c r="E6" s="19"/>
      <c r="F6" s="217"/>
      <c r="G6" s="19"/>
      <c r="H6" s="19"/>
      <c r="I6" s="19"/>
      <c r="J6" s="38"/>
      <c r="K6" s="1029"/>
      <c r="M6" s="18" t="s">
        <v>7</v>
      </c>
      <c r="N6" s="62"/>
      <c r="O6" s="19"/>
      <c r="P6" s="19"/>
      <c r="Q6" s="20">
        <v>3</v>
      </c>
      <c r="R6" s="19"/>
      <c r="S6" s="19"/>
      <c r="T6" s="19"/>
      <c r="U6" s="38"/>
      <c r="W6" s="18" t="s">
        <v>7</v>
      </c>
      <c r="X6" s="62"/>
      <c r="Y6" s="19"/>
      <c r="Z6" s="19"/>
      <c r="AA6" s="20">
        <v>20</v>
      </c>
      <c r="AB6" s="19"/>
      <c r="AC6" s="19"/>
      <c r="AD6" s="19"/>
      <c r="AE6" s="38"/>
      <c r="AF6" s="41"/>
      <c r="AG6" s="18" t="s">
        <v>7</v>
      </c>
      <c r="AH6" s="62"/>
      <c r="AI6" s="19"/>
      <c r="AJ6" s="19"/>
      <c r="AK6" s="20">
        <v>3</v>
      </c>
      <c r="AL6" s="19"/>
      <c r="AM6" s="19"/>
      <c r="AN6" s="19"/>
      <c r="AO6" s="38"/>
      <c r="AP6" s="41"/>
      <c r="AQ6" s="18" t="s">
        <v>7</v>
      </c>
      <c r="AR6" s="62"/>
      <c r="AS6" s="19"/>
      <c r="AT6" s="19"/>
      <c r="AU6" s="20">
        <v>1</v>
      </c>
      <c r="AV6" s="19"/>
      <c r="AW6" s="19"/>
      <c r="AX6" s="19"/>
      <c r="AY6" s="38"/>
      <c r="AZ6" s="41"/>
      <c r="BA6" s="18" t="s">
        <v>7</v>
      </c>
      <c r="BB6" s="62"/>
      <c r="BC6" s="19"/>
      <c r="BD6" s="19"/>
      <c r="BE6" s="20">
        <v>1</v>
      </c>
      <c r="BF6" s="19"/>
      <c r="BG6" s="19"/>
      <c r="BH6" s="19"/>
      <c r="BI6" s="38"/>
      <c r="BJ6" s="41"/>
      <c r="BK6" s="18" t="s">
        <v>7</v>
      </c>
      <c r="BL6" s="62"/>
      <c r="BM6" s="19"/>
      <c r="BN6" s="19"/>
      <c r="BO6" s="20">
        <v>1</v>
      </c>
      <c r="BP6" s="19"/>
      <c r="BQ6" s="19"/>
      <c r="BR6" s="19"/>
      <c r="BS6" s="38"/>
      <c r="BU6" s="18" t="s">
        <v>7</v>
      </c>
      <c r="BV6" s="62"/>
      <c r="BW6" s="19"/>
      <c r="BX6" s="19"/>
      <c r="BY6" s="20">
        <v>1</v>
      </c>
      <c r="BZ6" s="19"/>
      <c r="CA6" s="19"/>
      <c r="CB6" s="19"/>
      <c r="CC6" s="38"/>
      <c r="CE6" s="18" t="s">
        <v>7</v>
      </c>
      <c r="CF6" s="62"/>
      <c r="CG6" s="19"/>
      <c r="CH6" s="19"/>
      <c r="CI6" s="217">
        <v>12</v>
      </c>
      <c r="CJ6" s="19"/>
      <c r="CK6" s="19"/>
      <c r="CL6" s="19"/>
      <c r="CM6" s="38"/>
      <c r="CN6" s="1029"/>
      <c r="CO6" s="18" t="s">
        <v>7</v>
      </c>
      <c r="CP6" s="62"/>
      <c r="CQ6" s="19"/>
      <c r="CR6" s="19"/>
      <c r="CS6" s="217">
        <v>1</v>
      </c>
      <c r="CT6" s="19"/>
      <c r="CU6" s="19"/>
      <c r="CV6" s="19"/>
      <c r="CW6" s="38"/>
      <c r="CY6" s="18" t="s">
        <v>7</v>
      </c>
      <c r="CZ6" s="62"/>
      <c r="DA6" s="19"/>
      <c r="DB6" s="19"/>
      <c r="DC6" s="217">
        <v>4</v>
      </c>
      <c r="DD6" s="19"/>
      <c r="DE6" s="19"/>
      <c r="DF6" s="19"/>
      <c r="DG6" s="38"/>
      <c r="DI6" s="18" t="s">
        <v>7</v>
      </c>
      <c r="DJ6" s="62"/>
      <c r="DK6" s="19"/>
      <c r="DL6" s="19"/>
      <c r="DM6" s="20">
        <v>1</v>
      </c>
      <c r="DN6" s="19"/>
      <c r="DO6" s="19"/>
      <c r="DP6" s="19"/>
      <c r="DQ6" s="38"/>
      <c r="DS6" s="18" t="s">
        <v>7</v>
      </c>
      <c r="DT6" s="62"/>
      <c r="DU6" s="19"/>
      <c r="DV6" s="19"/>
      <c r="DW6" s="20">
        <v>1</v>
      </c>
      <c r="DX6" s="19"/>
      <c r="DY6" s="19"/>
      <c r="DZ6" s="19"/>
      <c r="EA6" s="38"/>
    </row>
    <row r="7" spans="2:131" x14ac:dyDescent="0.3">
      <c r="B7" s="4" t="s">
        <v>12</v>
      </c>
      <c r="C7" s="52"/>
      <c r="D7" s="52"/>
      <c r="E7" s="52"/>
      <c r="F7" s="365" t="s">
        <v>6</v>
      </c>
      <c r="G7" s="52"/>
      <c r="H7" s="56"/>
      <c r="I7" s="52" t="s">
        <v>13</v>
      </c>
      <c r="J7" s="14">
        <f>F8/F9</f>
        <v>0.41976149914821126</v>
      </c>
      <c r="K7" s="127"/>
      <c r="M7" s="4" t="s">
        <v>12</v>
      </c>
      <c r="N7" s="52"/>
      <c r="O7" s="52"/>
      <c r="P7" s="52"/>
      <c r="Q7" s="46" t="s">
        <v>11</v>
      </c>
      <c r="R7" s="52"/>
      <c r="S7" s="56"/>
      <c r="T7" s="52" t="s">
        <v>13</v>
      </c>
      <c r="U7" s="14">
        <f>Q8/Q9</f>
        <v>0.72967032967032963</v>
      </c>
      <c r="W7" s="4" t="s">
        <v>12</v>
      </c>
      <c r="X7" s="52"/>
      <c r="Y7" s="52"/>
      <c r="Z7" s="52"/>
      <c r="AA7" s="46" t="s">
        <v>578</v>
      </c>
      <c r="AB7" s="52"/>
      <c r="AC7" s="56"/>
      <c r="AD7" s="52" t="s">
        <v>13</v>
      </c>
      <c r="AE7" s="14">
        <f>AA8/AA9</f>
        <v>0.90625</v>
      </c>
      <c r="AF7" s="41"/>
      <c r="AG7" s="4" t="s">
        <v>12</v>
      </c>
      <c r="AH7" s="52"/>
      <c r="AI7" s="52"/>
      <c r="AJ7" s="52"/>
      <c r="AK7" s="46" t="s">
        <v>6</v>
      </c>
      <c r="AL7" s="52"/>
      <c r="AM7" s="56"/>
      <c r="AN7" s="52" t="s">
        <v>13</v>
      </c>
      <c r="AO7" s="14">
        <f>AK8/AK9</f>
        <v>0.27647058823529413</v>
      </c>
      <c r="AP7" s="41"/>
      <c r="AQ7" s="4" t="s">
        <v>12</v>
      </c>
      <c r="AR7" s="52"/>
      <c r="AS7" s="52"/>
      <c r="AT7" s="52"/>
      <c r="AU7" s="365" t="s">
        <v>6</v>
      </c>
      <c r="AV7" s="52"/>
      <c r="AW7" s="56"/>
      <c r="AX7" s="52" t="s">
        <v>13</v>
      </c>
      <c r="AY7" s="14">
        <f>AU8/AU9</f>
        <v>0.43333333333333335</v>
      </c>
      <c r="AZ7" s="41"/>
      <c r="BA7" s="11" t="s">
        <v>12</v>
      </c>
      <c r="BB7" s="5"/>
      <c r="BC7" s="5"/>
      <c r="BD7" s="5"/>
      <c r="BE7" s="666" t="s">
        <v>23</v>
      </c>
      <c r="BF7" s="5"/>
      <c r="BG7" s="68"/>
      <c r="BH7" s="5" t="s">
        <v>13</v>
      </c>
      <c r="BI7" s="133">
        <f>BE8/BE9</f>
        <v>0.53366058906030855</v>
      </c>
      <c r="BJ7" s="41"/>
      <c r="BK7" s="4" t="s">
        <v>12</v>
      </c>
      <c r="BL7" s="52"/>
      <c r="BM7" s="52"/>
      <c r="BN7" s="52"/>
      <c r="BO7" s="46" t="s">
        <v>6</v>
      </c>
      <c r="BP7" s="52"/>
      <c r="BQ7" s="56"/>
      <c r="BR7" s="52" t="s">
        <v>13</v>
      </c>
      <c r="BS7" s="14">
        <f>BO8/BO9</f>
        <v>0.33469387755102042</v>
      </c>
      <c r="BU7" s="4" t="s">
        <v>12</v>
      </c>
      <c r="BV7" s="52"/>
      <c r="BW7" s="52"/>
      <c r="BX7" s="52"/>
      <c r="BY7" s="46" t="s">
        <v>23</v>
      </c>
      <c r="BZ7" s="52"/>
      <c r="CA7" s="56"/>
      <c r="CB7" s="52" t="s">
        <v>13</v>
      </c>
      <c r="CC7" s="14">
        <f>BY8/BY9</f>
        <v>0.32786885245901637</v>
      </c>
      <c r="CE7" s="4" t="s">
        <v>12</v>
      </c>
      <c r="CF7" s="52"/>
      <c r="CG7" s="52"/>
      <c r="CH7" s="52"/>
      <c r="CI7" s="365" t="s">
        <v>37</v>
      </c>
      <c r="CJ7" s="52"/>
      <c r="CK7" s="56"/>
      <c r="CL7" s="52" t="s">
        <v>13</v>
      </c>
      <c r="CM7" s="14">
        <f>CI8/CI9</f>
        <v>0.67017543859649131</v>
      </c>
      <c r="CN7" s="127"/>
      <c r="CO7" s="4" t="s">
        <v>12</v>
      </c>
      <c r="CP7" s="52"/>
      <c r="CQ7" s="52"/>
      <c r="CR7" s="52"/>
      <c r="CS7" s="365" t="s">
        <v>37</v>
      </c>
      <c r="CT7" s="52"/>
      <c r="CU7" s="56"/>
      <c r="CV7" s="52" t="s">
        <v>13</v>
      </c>
      <c r="CW7" s="14">
        <f>CS8/CS9</f>
        <v>0.7614840989399293</v>
      </c>
      <c r="CY7" s="4" t="s">
        <v>12</v>
      </c>
      <c r="CZ7" s="52"/>
      <c r="DA7" s="52"/>
      <c r="DB7" s="52"/>
      <c r="DC7" s="365" t="s">
        <v>37</v>
      </c>
      <c r="DD7" s="52"/>
      <c r="DE7" s="1029"/>
      <c r="DF7" s="52" t="s">
        <v>13</v>
      </c>
      <c r="DG7" s="14">
        <f>DC8/DC9</f>
        <v>0.50054644808743165</v>
      </c>
      <c r="DI7" s="4" t="s">
        <v>12</v>
      </c>
      <c r="DJ7" s="52"/>
      <c r="DK7" s="52"/>
      <c r="DL7" s="52"/>
      <c r="DM7" s="46" t="s">
        <v>6</v>
      </c>
      <c r="DN7" s="52"/>
      <c r="DO7" s="1029"/>
      <c r="DP7" s="52" t="s">
        <v>13</v>
      </c>
      <c r="DQ7" s="14">
        <f>DM8/DM9</f>
        <v>0.41157294213528933</v>
      </c>
      <c r="DS7" s="4" t="s">
        <v>12</v>
      </c>
      <c r="DT7" s="52"/>
      <c r="DU7" s="52"/>
      <c r="DV7" s="52"/>
      <c r="DW7" s="46" t="s">
        <v>11</v>
      </c>
      <c r="DX7" s="52"/>
      <c r="DY7" s="1029"/>
      <c r="DZ7" s="52" t="s">
        <v>13</v>
      </c>
      <c r="EA7" s="14">
        <f>DW8/DW9</f>
        <v>0.34220532319391633</v>
      </c>
    </row>
    <row r="8" spans="2:131" x14ac:dyDescent="0.3">
      <c r="B8" s="4" t="s">
        <v>15</v>
      </c>
      <c r="C8" s="52"/>
      <c r="D8" s="52"/>
      <c r="E8" s="52"/>
      <c r="F8" s="104">
        <v>1232</v>
      </c>
      <c r="G8" s="52"/>
      <c r="H8" s="56"/>
      <c r="I8" s="52" t="s">
        <v>18</v>
      </c>
      <c r="J8" s="14">
        <f>F8/F13</f>
        <v>0.38024691358024693</v>
      </c>
      <c r="K8" s="127"/>
      <c r="M8" s="4" t="s">
        <v>15</v>
      </c>
      <c r="N8" s="52"/>
      <c r="O8" s="52"/>
      <c r="P8" s="52"/>
      <c r="Q8" s="104">
        <v>332</v>
      </c>
      <c r="R8" s="52"/>
      <c r="S8" s="56"/>
      <c r="T8" s="52" t="s">
        <v>18</v>
      </c>
      <c r="U8" s="14">
        <f>Q8/Q13</f>
        <v>0.38425925925925924</v>
      </c>
      <c r="W8" s="4" t="s">
        <v>15</v>
      </c>
      <c r="X8" s="52"/>
      <c r="Y8" s="52"/>
      <c r="Z8" s="52"/>
      <c r="AA8" s="104">
        <v>145</v>
      </c>
      <c r="AB8" s="52"/>
      <c r="AC8" s="56"/>
      <c r="AD8" s="52" t="s">
        <v>18</v>
      </c>
      <c r="AE8" s="14">
        <f>AA8/AA11</f>
        <v>0.86826347305389218</v>
      </c>
      <c r="AF8" s="41"/>
      <c r="AG8" s="4" t="s">
        <v>15</v>
      </c>
      <c r="AH8" s="52"/>
      <c r="AI8" s="52"/>
      <c r="AJ8" s="52"/>
      <c r="AK8" s="104">
        <v>235</v>
      </c>
      <c r="AL8" s="52"/>
      <c r="AM8" s="56"/>
      <c r="AN8" s="52" t="s">
        <v>18</v>
      </c>
      <c r="AO8" s="14">
        <f>AK8/AK13</f>
        <v>0.23906408952187183</v>
      </c>
      <c r="AP8" s="41"/>
      <c r="AQ8" s="4" t="s">
        <v>15</v>
      </c>
      <c r="AR8" s="52"/>
      <c r="AS8" s="52"/>
      <c r="AT8" s="52"/>
      <c r="AU8" s="104">
        <v>260</v>
      </c>
      <c r="AV8" s="52"/>
      <c r="AW8" s="56"/>
      <c r="AX8" s="52" t="s">
        <v>18</v>
      </c>
      <c r="AY8" s="14">
        <f>AU8/AU13</f>
        <v>0.35961272475795297</v>
      </c>
      <c r="AZ8" s="41"/>
      <c r="BA8" s="4" t="s">
        <v>15</v>
      </c>
      <c r="BB8" s="52"/>
      <c r="BC8" s="52"/>
      <c r="BD8" s="52"/>
      <c r="BE8" s="104">
        <v>761</v>
      </c>
      <c r="BF8" s="52"/>
      <c r="BG8" s="56"/>
      <c r="BH8" s="52" t="s">
        <v>18</v>
      </c>
      <c r="BI8" s="14">
        <f>BE8/BE13</f>
        <v>0.41928374655647382</v>
      </c>
      <c r="BJ8" s="41"/>
      <c r="BK8" s="4" t="s">
        <v>15</v>
      </c>
      <c r="BL8" s="52"/>
      <c r="BM8" s="52"/>
      <c r="BN8" s="52"/>
      <c r="BO8" s="104">
        <v>82</v>
      </c>
      <c r="BP8" s="52"/>
      <c r="BQ8" s="56"/>
      <c r="BR8" s="52" t="s">
        <v>18</v>
      </c>
      <c r="BS8" s="14">
        <f>BO8/BO13</f>
        <v>0.28671328671328672</v>
      </c>
      <c r="BU8" s="4" t="s">
        <v>15</v>
      </c>
      <c r="BV8" s="52"/>
      <c r="BW8" s="52"/>
      <c r="BX8" s="52"/>
      <c r="BY8" s="104">
        <v>200</v>
      </c>
      <c r="BZ8" s="52"/>
      <c r="CA8" s="56"/>
      <c r="CB8" s="52" t="s">
        <v>18</v>
      </c>
      <c r="CC8" s="14">
        <f>BY8/BY13</f>
        <v>0.28050490883590462</v>
      </c>
      <c r="CE8" s="4" t="s">
        <v>15</v>
      </c>
      <c r="CF8" s="52"/>
      <c r="CG8" s="52"/>
      <c r="CH8" s="52"/>
      <c r="CI8" s="104">
        <v>76.400000000000006</v>
      </c>
      <c r="CJ8" s="52"/>
      <c r="CK8" s="56"/>
      <c r="CL8" s="52" t="s">
        <v>18</v>
      </c>
      <c r="CM8" s="14">
        <f>CI8/CI11</f>
        <v>0.60157480314960632</v>
      </c>
      <c r="CN8" s="127"/>
      <c r="CO8" s="4" t="s">
        <v>15</v>
      </c>
      <c r="CP8" s="52"/>
      <c r="CQ8" s="52"/>
      <c r="CR8" s="52"/>
      <c r="CS8" s="104">
        <v>862</v>
      </c>
      <c r="CT8" s="52"/>
      <c r="CU8" s="56"/>
      <c r="CV8" s="52" t="s">
        <v>18</v>
      </c>
      <c r="CW8" s="14">
        <f>CS8/CS11</f>
        <v>0.73174872665534807</v>
      </c>
      <c r="CY8" s="4" t="s">
        <v>15</v>
      </c>
      <c r="CZ8" s="52"/>
      <c r="DA8" s="52"/>
      <c r="DB8" s="52"/>
      <c r="DC8" s="104">
        <v>45.8</v>
      </c>
      <c r="DD8" s="52"/>
      <c r="DE8" s="1029"/>
      <c r="DF8" s="52" t="s">
        <v>18</v>
      </c>
      <c r="DG8" s="14">
        <f>DC8/DC11</f>
        <v>0.33430656934306568</v>
      </c>
      <c r="DI8" s="4" t="s">
        <v>15</v>
      </c>
      <c r="DJ8" s="52"/>
      <c r="DK8" s="52"/>
      <c r="DL8" s="52"/>
      <c r="DM8" s="104">
        <v>505</v>
      </c>
      <c r="DN8" s="52"/>
      <c r="DO8" s="1029"/>
      <c r="DP8" s="52" t="s">
        <v>18</v>
      </c>
      <c r="DQ8" s="14">
        <f>DM8/DM13</f>
        <v>0.37490720118782478</v>
      </c>
      <c r="DS8" s="4" t="s">
        <v>15</v>
      </c>
      <c r="DT8" s="52"/>
      <c r="DU8" s="52"/>
      <c r="DV8" s="52"/>
      <c r="DW8" s="104">
        <v>180</v>
      </c>
      <c r="DX8" s="52"/>
      <c r="DY8" s="1029"/>
      <c r="DZ8" s="52" t="s">
        <v>18</v>
      </c>
      <c r="EA8" s="14">
        <f>DW8/DW13</f>
        <v>0.30354131534569984</v>
      </c>
    </row>
    <row r="9" spans="2:131" x14ac:dyDescent="0.3">
      <c r="B9" s="4" t="s">
        <v>17</v>
      </c>
      <c r="C9" s="52"/>
      <c r="D9" s="52"/>
      <c r="E9" s="52"/>
      <c r="F9" s="104">
        <v>2935</v>
      </c>
      <c r="G9" s="8" t="s">
        <v>276</v>
      </c>
      <c r="H9" s="52"/>
      <c r="I9" s="52"/>
      <c r="J9" s="17"/>
      <c r="K9" s="310"/>
      <c r="M9" s="4" t="s">
        <v>17</v>
      </c>
      <c r="N9" s="52"/>
      <c r="O9" s="52"/>
      <c r="P9" s="52"/>
      <c r="Q9" s="104">
        <v>455</v>
      </c>
      <c r="R9" s="8"/>
      <c r="S9" s="52"/>
      <c r="T9" s="52"/>
      <c r="U9" s="17"/>
      <c r="W9" s="4" t="s">
        <v>17</v>
      </c>
      <c r="X9" s="52"/>
      <c r="Y9" s="52"/>
      <c r="Z9" s="52"/>
      <c r="AA9" s="104">
        <v>160</v>
      </c>
      <c r="AB9" s="8"/>
      <c r="AC9" s="52"/>
      <c r="AD9" s="52"/>
      <c r="AE9" s="17"/>
      <c r="AF9" s="41"/>
      <c r="AG9" s="4" t="s">
        <v>17</v>
      </c>
      <c r="AH9" s="52"/>
      <c r="AI9" s="52"/>
      <c r="AJ9" s="52"/>
      <c r="AK9" s="104">
        <v>850</v>
      </c>
      <c r="AL9" s="8" t="s">
        <v>276</v>
      </c>
      <c r="AM9" s="52"/>
      <c r="AN9" s="52"/>
      <c r="AO9" s="17"/>
      <c r="AP9" s="41"/>
      <c r="AQ9" s="4" t="s">
        <v>17</v>
      </c>
      <c r="AR9" s="52"/>
      <c r="AS9" s="52"/>
      <c r="AT9" s="52"/>
      <c r="AU9" s="104">
        <v>600</v>
      </c>
      <c r="AV9" s="8" t="s">
        <v>276</v>
      </c>
      <c r="AW9" s="52"/>
      <c r="AX9" s="52"/>
      <c r="AY9" s="17"/>
      <c r="AZ9" s="41"/>
      <c r="BA9" s="4" t="s">
        <v>17</v>
      </c>
      <c r="BB9" s="52"/>
      <c r="BC9" s="52"/>
      <c r="BD9" s="52"/>
      <c r="BE9" s="104">
        <v>1426</v>
      </c>
      <c r="BF9" s="8"/>
      <c r="BG9" s="52"/>
      <c r="BH9" s="52"/>
      <c r="BI9" s="17"/>
      <c r="BJ9" s="41"/>
      <c r="BK9" s="4" t="s">
        <v>17</v>
      </c>
      <c r="BL9" s="52"/>
      <c r="BM9" s="52"/>
      <c r="BN9" s="52"/>
      <c r="BO9" s="104">
        <v>245</v>
      </c>
      <c r="BP9" s="8" t="s">
        <v>276</v>
      </c>
      <c r="BQ9" s="52"/>
      <c r="BR9" s="52"/>
      <c r="BS9" s="17"/>
      <c r="BU9" s="4" t="s">
        <v>17</v>
      </c>
      <c r="BV9" s="52"/>
      <c r="BW9" s="52"/>
      <c r="BX9" s="52"/>
      <c r="BY9" s="104">
        <v>610</v>
      </c>
      <c r="BZ9" s="8" t="s">
        <v>276</v>
      </c>
      <c r="CA9" s="52"/>
      <c r="CB9" s="52"/>
      <c r="CC9" s="17"/>
      <c r="CE9" s="4" t="s">
        <v>17</v>
      </c>
      <c r="CF9" s="52"/>
      <c r="CG9" s="52"/>
      <c r="CH9" s="52"/>
      <c r="CI9" s="104">
        <v>114</v>
      </c>
      <c r="CJ9" s="8"/>
      <c r="CK9" s="52"/>
      <c r="CL9" s="52"/>
      <c r="CM9" s="17"/>
      <c r="CN9" s="310"/>
      <c r="CO9" s="4" t="s">
        <v>17</v>
      </c>
      <c r="CP9" s="52"/>
      <c r="CQ9" s="52"/>
      <c r="CR9" s="52"/>
      <c r="CS9" s="104">
        <v>1132</v>
      </c>
      <c r="CT9" s="8"/>
      <c r="CU9" s="52"/>
      <c r="CV9" s="52"/>
      <c r="CW9" s="17"/>
      <c r="CX9" s="41"/>
      <c r="CY9" s="4" t="s">
        <v>17</v>
      </c>
      <c r="CZ9" s="52"/>
      <c r="DA9" s="52"/>
      <c r="DB9" s="52"/>
      <c r="DC9" s="104">
        <v>91.5</v>
      </c>
      <c r="DD9" s="8"/>
      <c r="DE9" s="52"/>
      <c r="DF9" s="52"/>
      <c r="DG9" s="17"/>
      <c r="DI9" s="4" t="s">
        <v>17</v>
      </c>
      <c r="DJ9" s="52"/>
      <c r="DK9" s="52"/>
      <c r="DL9" s="52"/>
      <c r="DM9" s="104">
        <v>1227</v>
      </c>
      <c r="DN9" s="8" t="s">
        <v>276</v>
      </c>
      <c r="DO9" s="52"/>
      <c r="DP9" s="52"/>
      <c r="DQ9" s="17"/>
      <c r="DS9" s="4" t="s">
        <v>17</v>
      </c>
      <c r="DT9" s="52"/>
      <c r="DU9" s="52"/>
      <c r="DV9" s="52"/>
      <c r="DW9" s="104">
        <v>526</v>
      </c>
      <c r="DX9" s="8" t="s">
        <v>276</v>
      </c>
      <c r="DY9" s="52"/>
      <c r="DZ9" s="52"/>
      <c r="EA9" s="17"/>
    </row>
    <row r="10" spans="2:131" s="41" customFormat="1" x14ac:dyDescent="0.3">
      <c r="B10" s="4" t="s">
        <v>19</v>
      </c>
      <c r="C10" s="52"/>
      <c r="D10" s="52"/>
      <c r="E10" s="52"/>
      <c r="F10" s="104">
        <v>920</v>
      </c>
      <c r="G10" s="52"/>
      <c r="H10" s="52"/>
      <c r="I10" s="52"/>
      <c r="J10" s="17"/>
      <c r="K10" s="310"/>
      <c r="M10" s="4" t="s">
        <v>19</v>
      </c>
      <c r="N10" s="52"/>
      <c r="O10" s="52"/>
      <c r="P10" s="52"/>
      <c r="Q10" s="104">
        <v>294</v>
      </c>
      <c r="R10" s="52"/>
      <c r="S10" s="52"/>
      <c r="T10" s="52"/>
      <c r="U10" s="17"/>
      <c r="W10" s="4" t="s">
        <v>22</v>
      </c>
      <c r="X10" s="52"/>
      <c r="Y10" s="52"/>
      <c r="Z10" s="52"/>
      <c r="AA10" s="104">
        <v>160</v>
      </c>
      <c r="AB10" s="52"/>
      <c r="AC10" s="52"/>
      <c r="AD10" s="52"/>
      <c r="AE10" s="17"/>
      <c r="AG10" s="4" t="s">
        <v>19</v>
      </c>
      <c r="AH10" s="52"/>
      <c r="AI10" s="52"/>
      <c r="AJ10" s="52"/>
      <c r="AK10" s="104">
        <v>510</v>
      </c>
      <c r="AL10" s="52"/>
      <c r="AM10" s="52"/>
      <c r="AN10" s="52"/>
      <c r="AO10" s="17"/>
      <c r="AQ10" s="4" t="s">
        <v>19</v>
      </c>
      <c r="AR10" s="52"/>
      <c r="AS10" s="52"/>
      <c r="AT10" s="52"/>
      <c r="AU10" s="104">
        <v>140</v>
      </c>
      <c r="AV10" s="52"/>
      <c r="AW10" s="52"/>
      <c r="AX10" s="52"/>
      <c r="AY10" s="17"/>
      <c r="BA10" s="4" t="s">
        <v>19</v>
      </c>
      <c r="BB10" s="52"/>
      <c r="BC10" s="52"/>
      <c r="BD10" s="52"/>
      <c r="BE10" s="104">
        <v>245</v>
      </c>
      <c r="BF10" s="52"/>
      <c r="BG10" s="52"/>
      <c r="BH10" s="52"/>
      <c r="BI10" s="17"/>
      <c r="BK10" s="4" t="s">
        <v>19</v>
      </c>
      <c r="BL10" s="52"/>
      <c r="BM10" s="52"/>
      <c r="BN10" s="52"/>
      <c r="BO10" s="104">
        <v>60.8</v>
      </c>
      <c r="BP10" s="52"/>
      <c r="BQ10" s="52"/>
      <c r="BR10" s="52"/>
      <c r="BS10" s="17"/>
      <c r="BT10"/>
      <c r="BU10" s="4" t="s">
        <v>19</v>
      </c>
      <c r="BV10" s="52"/>
      <c r="BW10" s="52"/>
      <c r="BX10" s="52"/>
      <c r="BY10" s="104">
        <v>172</v>
      </c>
      <c r="BZ10" s="52"/>
      <c r="CA10" s="52"/>
      <c r="CB10" s="52"/>
      <c r="CC10" s="17"/>
      <c r="CE10" s="4" t="s">
        <v>22</v>
      </c>
      <c r="CF10" s="52"/>
      <c r="CG10" s="52"/>
      <c r="CH10" s="52"/>
      <c r="CI10" s="104">
        <v>122</v>
      </c>
      <c r="CJ10" s="52"/>
      <c r="CK10" s="52"/>
      <c r="CL10" s="52"/>
      <c r="CM10" s="17"/>
      <c r="CN10" s="310"/>
      <c r="CO10" s="4" t="s">
        <v>22</v>
      </c>
      <c r="CP10" s="52"/>
      <c r="CQ10" s="52"/>
      <c r="CR10" s="52"/>
      <c r="CS10" s="104">
        <v>1132</v>
      </c>
      <c r="CT10" s="52"/>
      <c r="CU10" s="52"/>
      <c r="CV10" s="52"/>
      <c r="CW10" s="17"/>
      <c r="CY10" s="4" t="s">
        <v>22</v>
      </c>
      <c r="CZ10" s="52"/>
      <c r="DA10" s="52"/>
      <c r="DB10" s="52"/>
      <c r="DC10" s="104">
        <v>131</v>
      </c>
      <c r="DD10" s="52"/>
      <c r="DE10" s="52"/>
      <c r="DF10" s="52"/>
      <c r="DG10" s="17"/>
      <c r="DI10" s="4" t="s">
        <v>19</v>
      </c>
      <c r="DJ10" s="52"/>
      <c r="DK10" s="52"/>
      <c r="DL10" s="52"/>
      <c r="DM10" s="104">
        <v>313</v>
      </c>
      <c r="DN10" s="52"/>
      <c r="DO10" s="52"/>
      <c r="DP10" s="52"/>
      <c r="DQ10" s="17"/>
      <c r="DS10" s="4" t="s">
        <v>19</v>
      </c>
      <c r="DT10" s="52"/>
      <c r="DU10" s="52"/>
      <c r="DV10" s="52"/>
      <c r="DW10" s="104">
        <v>161</v>
      </c>
      <c r="DX10" s="52"/>
      <c r="DY10" s="52"/>
      <c r="DZ10" s="52"/>
      <c r="EA10" s="17"/>
    </row>
    <row r="11" spans="2:131" s="41" customFormat="1" ht="15" thickBot="1" x14ac:dyDescent="0.35">
      <c r="B11" s="4" t="s">
        <v>275</v>
      </c>
      <c r="C11" s="52"/>
      <c r="D11" s="52"/>
      <c r="E11" s="52"/>
      <c r="F11" s="104">
        <v>180</v>
      </c>
      <c r="G11" s="52"/>
      <c r="H11" s="52"/>
      <c r="I11" s="52"/>
      <c r="J11" s="17"/>
      <c r="K11" s="310"/>
      <c r="M11" s="4" t="s">
        <v>275</v>
      </c>
      <c r="N11" s="52"/>
      <c r="O11" s="52"/>
      <c r="P11" s="52"/>
      <c r="Q11" s="104">
        <v>81</v>
      </c>
      <c r="R11" s="52"/>
      <c r="S11" s="52"/>
      <c r="T11" s="52"/>
      <c r="U11" s="17"/>
      <c r="W11" s="18" t="s">
        <v>27</v>
      </c>
      <c r="X11" s="19"/>
      <c r="Y11" s="19"/>
      <c r="Z11" s="19"/>
      <c r="AA11" s="105">
        <f>ROUNDUP(AA10*1.04,0)</f>
        <v>167</v>
      </c>
      <c r="AB11" s="19"/>
      <c r="AC11" s="19"/>
      <c r="AD11" s="19"/>
      <c r="AE11" s="21"/>
      <c r="AG11" s="4" t="s">
        <v>275</v>
      </c>
      <c r="AH11" s="52"/>
      <c r="AI11" s="52"/>
      <c r="AJ11" s="52"/>
      <c r="AK11" s="104">
        <v>95</v>
      </c>
      <c r="AL11" s="52"/>
      <c r="AM11" s="52"/>
      <c r="AN11" s="52"/>
      <c r="AO11" s="17"/>
      <c r="AQ11" s="4" t="s">
        <v>275</v>
      </c>
      <c r="AR11" s="52"/>
      <c r="AS11" s="52"/>
      <c r="AT11" s="52"/>
      <c r="AU11" s="104">
        <v>95</v>
      </c>
      <c r="AV11" s="52"/>
      <c r="AW11" s="52"/>
      <c r="AX11" s="52"/>
      <c r="AY11" s="17"/>
      <c r="BA11" s="4" t="s">
        <v>275</v>
      </c>
      <c r="BB11" s="52"/>
      <c r="BC11" s="52"/>
      <c r="BD11" s="52"/>
      <c r="BE11" s="104">
        <v>74</v>
      </c>
      <c r="BF11" s="52"/>
      <c r="BG11" s="52"/>
      <c r="BH11" s="52"/>
      <c r="BI11" s="17"/>
      <c r="BK11" s="4" t="s">
        <v>275</v>
      </c>
      <c r="BL11" s="52"/>
      <c r="BM11" s="52"/>
      <c r="BN11" s="52"/>
      <c r="BO11" s="104">
        <v>29.8</v>
      </c>
      <c r="BP11" s="52"/>
      <c r="BQ11" s="52"/>
      <c r="BR11" s="52"/>
      <c r="BS11" s="17"/>
      <c r="BU11" s="4" t="s">
        <v>275</v>
      </c>
      <c r="BV11" s="52"/>
      <c r="BW11" s="52"/>
      <c r="BX11" s="52"/>
      <c r="BY11" s="104">
        <v>75</v>
      </c>
      <c r="BZ11" s="52"/>
      <c r="CA11" s="52"/>
      <c r="CB11" s="52"/>
      <c r="CC11" s="17"/>
      <c r="CE11" s="18" t="s">
        <v>27</v>
      </c>
      <c r="CF11" s="19"/>
      <c r="CG11" s="19"/>
      <c r="CH11" s="19"/>
      <c r="CI11" s="105">
        <f>ROUNDUP(CI10*1.04,0)</f>
        <v>127</v>
      </c>
      <c r="CJ11" s="19"/>
      <c r="CK11" s="19"/>
      <c r="CL11" s="19"/>
      <c r="CM11" s="853"/>
      <c r="CN11" s="310"/>
      <c r="CO11" s="18" t="s">
        <v>27</v>
      </c>
      <c r="CP11" s="19"/>
      <c r="CQ11" s="19"/>
      <c r="CR11" s="19"/>
      <c r="CS11" s="105">
        <f>ROUNDUP(CS10*1.04,0)</f>
        <v>1178</v>
      </c>
      <c r="CT11" s="19"/>
      <c r="CU11" s="19"/>
      <c r="CV11" s="19"/>
      <c r="CW11" s="986"/>
      <c r="CX11"/>
      <c r="CY11" s="18" t="s">
        <v>27</v>
      </c>
      <c r="CZ11" s="19"/>
      <c r="DA11" s="19"/>
      <c r="DB11" s="19"/>
      <c r="DC11" s="105">
        <v>137</v>
      </c>
      <c r="DD11" s="19"/>
      <c r="DE11" s="19"/>
      <c r="DF11" s="19"/>
      <c r="DG11" s="1172"/>
      <c r="DI11" s="4" t="s">
        <v>275</v>
      </c>
      <c r="DJ11" s="52"/>
      <c r="DK11" s="52"/>
      <c r="DL11" s="52"/>
      <c r="DM11" s="104">
        <v>68</v>
      </c>
      <c r="DN11" s="52"/>
      <c r="DO11" s="52"/>
      <c r="DP11" s="52"/>
      <c r="DQ11" s="17"/>
      <c r="DS11" s="4" t="s">
        <v>275</v>
      </c>
      <c r="DT11" s="52"/>
      <c r="DU11" s="52"/>
      <c r="DV11" s="52"/>
      <c r="DW11" s="104">
        <v>44</v>
      </c>
      <c r="DX11" s="52"/>
      <c r="DY11" s="52"/>
      <c r="DZ11" s="52"/>
      <c r="EA11" s="17"/>
    </row>
    <row r="12" spans="2:131" x14ac:dyDescent="0.3">
      <c r="B12" s="4" t="s">
        <v>22</v>
      </c>
      <c r="C12" s="52"/>
      <c r="D12" s="52"/>
      <c r="E12" s="52"/>
      <c r="F12" s="104">
        <f>F9+F11</f>
        <v>3115</v>
      </c>
      <c r="G12" s="52"/>
      <c r="H12" s="52" t="s">
        <v>798</v>
      </c>
      <c r="I12" s="52"/>
      <c r="J12" s="17"/>
      <c r="K12" s="310"/>
      <c r="M12" s="4" t="s">
        <v>22</v>
      </c>
      <c r="N12" s="52"/>
      <c r="O12" s="52"/>
      <c r="P12" s="52"/>
      <c r="Q12" s="104">
        <v>830</v>
      </c>
      <c r="R12" s="52"/>
      <c r="S12" s="52"/>
      <c r="T12" s="52"/>
      <c r="U12" s="17"/>
      <c r="W12" s="11"/>
      <c r="X12" s="5"/>
      <c r="Y12" s="116"/>
      <c r="Z12" s="43"/>
      <c r="AA12" s="117"/>
      <c r="AB12" s="5"/>
      <c r="AC12" s="5"/>
      <c r="AD12" s="118"/>
      <c r="AE12" s="119"/>
      <c r="AF12" s="41"/>
      <c r="AG12" s="4" t="s">
        <v>22</v>
      </c>
      <c r="AH12" s="52"/>
      <c r="AI12" s="52"/>
      <c r="AJ12" s="52"/>
      <c r="AK12" s="104">
        <f>AK9+AK11</f>
        <v>945</v>
      </c>
      <c r="AL12" s="52"/>
      <c r="AM12" s="52"/>
      <c r="AN12" s="52"/>
      <c r="AO12" s="17"/>
      <c r="AP12" s="41"/>
      <c r="AQ12" s="4" t="s">
        <v>22</v>
      </c>
      <c r="AR12" s="52"/>
      <c r="AS12" s="52"/>
      <c r="AT12" s="52"/>
      <c r="AU12" s="104">
        <f>AU9+AU11</f>
        <v>695</v>
      </c>
      <c r="AV12" s="52"/>
      <c r="AW12" s="52"/>
      <c r="AX12" s="52"/>
      <c r="AY12" s="17"/>
      <c r="AZ12" s="41"/>
      <c r="BA12" s="4" t="s">
        <v>22</v>
      </c>
      <c r="BB12" s="52"/>
      <c r="BC12" s="52"/>
      <c r="BD12" s="52"/>
      <c r="BE12" s="104">
        <f>BE9+BE11+BE10</f>
        <v>1745</v>
      </c>
      <c r="BF12" s="52"/>
      <c r="BG12" s="52"/>
      <c r="BH12" s="52"/>
      <c r="BI12" s="17"/>
      <c r="BJ12" s="41"/>
      <c r="BK12" s="4" t="s">
        <v>22</v>
      </c>
      <c r="BL12" s="52"/>
      <c r="BM12" s="52"/>
      <c r="BN12" s="52"/>
      <c r="BO12" s="104">
        <f>BO9+BO11</f>
        <v>274.8</v>
      </c>
      <c r="BP12" s="52"/>
      <c r="BQ12" s="52"/>
      <c r="BR12" s="52"/>
      <c r="BS12" s="17"/>
      <c r="BT12" s="41"/>
      <c r="BU12" s="4" t="s">
        <v>22</v>
      </c>
      <c r="BV12" s="52"/>
      <c r="BW12" s="52"/>
      <c r="BX12" s="52"/>
      <c r="BY12" s="104">
        <f>BY9+BY11</f>
        <v>685</v>
      </c>
      <c r="BZ12" s="52"/>
      <c r="CA12" s="52"/>
      <c r="CB12" s="52"/>
      <c r="CC12" s="17"/>
      <c r="CE12" s="854"/>
      <c r="CF12" s="855"/>
      <c r="CG12" s="855"/>
      <c r="CH12" s="856"/>
      <c r="CI12" s="857"/>
      <c r="CJ12" s="855"/>
      <c r="CK12" s="855"/>
      <c r="CL12" s="118"/>
      <c r="CM12" s="119"/>
      <c r="CN12" s="22"/>
      <c r="CO12" s="854"/>
      <c r="CP12" s="855"/>
      <c r="CQ12" s="855"/>
      <c r="CR12" s="856"/>
      <c r="CS12" s="857"/>
      <c r="CT12" s="855"/>
      <c r="CU12" s="855"/>
      <c r="CV12" s="118"/>
      <c r="CW12" s="119"/>
      <c r="CY12" s="854"/>
      <c r="CZ12" s="855" t="s">
        <v>186</v>
      </c>
      <c r="DA12" s="855"/>
      <c r="DB12" s="856"/>
      <c r="DC12" s="857"/>
      <c r="DD12" s="855"/>
      <c r="DE12" s="855"/>
      <c r="DF12" s="118"/>
      <c r="DG12" s="119"/>
      <c r="DI12" s="4" t="s">
        <v>22</v>
      </c>
      <c r="DJ12" s="52"/>
      <c r="DK12" s="52"/>
      <c r="DL12" s="52"/>
      <c r="DM12" s="104">
        <f>DM9+DM11</f>
        <v>1295</v>
      </c>
      <c r="DN12" s="52"/>
      <c r="DO12" s="52"/>
      <c r="DP12" s="52"/>
      <c r="DQ12" s="17"/>
      <c r="DS12" s="4" t="s">
        <v>22</v>
      </c>
      <c r="DT12" s="52"/>
      <c r="DU12" s="52"/>
      <c r="DV12" s="52"/>
      <c r="DW12" s="104">
        <f>DW9+DW11</f>
        <v>570</v>
      </c>
      <c r="DX12" s="52"/>
      <c r="DY12" s="52"/>
      <c r="DZ12" s="52"/>
      <c r="EA12" s="17"/>
    </row>
    <row r="13" spans="2:131" ht="15" thickBot="1" x14ac:dyDescent="0.35">
      <c r="B13" s="18" t="s">
        <v>27</v>
      </c>
      <c r="C13" s="19"/>
      <c r="D13" s="19"/>
      <c r="E13" s="19"/>
      <c r="F13" s="105">
        <f>ROUNDUP(F12*1.04,0)</f>
        <v>3240</v>
      </c>
      <c r="G13" s="19"/>
      <c r="H13" s="19"/>
      <c r="I13" s="19"/>
      <c r="J13" s="21"/>
      <c r="K13" s="310"/>
      <c r="M13" s="18" t="s">
        <v>27</v>
      </c>
      <c r="N13" s="19"/>
      <c r="O13" s="19"/>
      <c r="P13" s="19"/>
      <c r="Q13" s="105">
        <f>ROUNDUP(Q12*1.04,0)</f>
        <v>864</v>
      </c>
      <c r="R13" s="19"/>
      <c r="S13" s="19"/>
      <c r="T13" s="19"/>
      <c r="U13" s="21"/>
      <c r="W13" s="4"/>
      <c r="X13" s="52"/>
      <c r="Y13" s="52"/>
      <c r="Z13" s="52"/>
      <c r="AA13" s="52"/>
      <c r="AB13" s="50"/>
      <c r="AC13" s="211"/>
      <c r="AD13" s="22"/>
      <c r="AE13" s="23"/>
      <c r="AF13" s="41"/>
      <c r="AG13" s="18" t="s">
        <v>27</v>
      </c>
      <c r="AH13" s="19"/>
      <c r="AI13" s="19"/>
      <c r="AJ13" s="19"/>
      <c r="AK13" s="105">
        <f>ROUNDUP(AK12*1.04,0)</f>
        <v>983</v>
      </c>
      <c r="AL13" s="19"/>
      <c r="AM13" s="19"/>
      <c r="AN13" s="19"/>
      <c r="AO13" s="21"/>
      <c r="AP13" s="41"/>
      <c r="AQ13" s="18" t="s">
        <v>27</v>
      </c>
      <c r="AR13" s="19"/>
      <c r="AS13" s="19"/>
      <c r="AT13" s="19"/>
      <c r="AU13" s="105">
        <f>ROUNDUP(AU12*1.04,0)</f>
        <v>723</v>
      </c>
      <c r="AV13" s="19"/>
      <c r="AW13" s="19"/>
      <c r="AX13" s="19"/>
      <c r="AY13" s="21"/>
      <c r="AZ13" s="41"/>
      <c r="BA13" s="18" t="s">
        <v>27</v>
      </c>
      <c r="BB13" s="19"/>
      <c r="BC13" s="19"/>
      <c r="BD13" s="19"/>
      <c r="BE13" s="105">
        <f>ROUNDUP(BE12*1.04,0)</f>
        <v>1815</v>
      </c>
      <c r="BF13" s="19"/>
      <c r="BG13" s="19"/>
      <c r="BH13" s="19"/>
      <c r="BI13" s="21"/>
      <c r="BJ13" s="41"/>
      <c r="BK13" s="18" t="s">
        <v>27</v>
      </c>
      <c r="BL13" s="19"/>
      <c r="BM13" s="19"/>
      <c r="BN13" s="19"/>
      <c r="BO13" s="105">
        <f>ROUNDUP(BO12*1.04,0)</f>
        <v>286</v>
      </c>
      <c r="BP13" s="19"/>
      <c r="BQ13" s="19"/>
      <c r="BR13" s="19"/>
      <c r="BS13" s="21"/>
      <c r="BU13" s="18" t="s">
        <v>27</v>
      </c>
      <c r="BV13" s="19"/>
      <c r="BW13" s="19"/>
      <c r="BX13" s="19"/>
      <c r="BY13" s="105">
        <f>ROUNDUP(BY12*1.04,0)</f>
        <v>713</v>
      </c>
      <c r="BZ13" s="19"/>
      <c r="CA13" s="19"/>
      <c r="CB13" s="19"/>
      <c r="CC13" s="21"/>
      <c r="CE13" s="701"/>
      <c r="CF13" s="702"/>
      <c r="CG13" s="702"/>
      <c r="CH13" s="861"/>
      <c r="CI13" s="702"/>
      <c r="CJ13" s="49"/>
      <c r="CK13" s="858"/>
      <c r="CL13" s="22"/>
      <c r="CM13" s="23"/>
      <c r="CN13" s="22"/>
      <c r="CO13" s="701"/>
      <c r="CP13" s="702"/>
      <c r="CQ13" s="702"/>
      <c r="CR13" s="861"/>
      <c r="CS13" s="702"/>
      <c r="CT13" s="49"/>
      <c r="CU13" s="858"/>
      <c r="CV13" s="22"/>
      <c r="CW13" s="23"/>
      <c r="CY13" s="701"/>
      <c r="CZ13" s="702"/>
      <c r="DA13" s="702"/>
      <c r="DB13" s="861"/>
      <c r="DC13" s="766"/>
      <c r="DD13" s="49"/>
      <c r="DE13" s="858"/>
      <c r="DF13" s="22"/>
      <c r="DG13" s="23"/>
      <c r="DI13" s="18" t="s">
        <v>27</v>
      </c>
      <c r="DJ13" s="19"/>
      <c r="DK13" s="19"/>
      <c r="DL13" s="19"/>
      <c r="DM13" s="105">
        <f>ROUNDUP(DM12*1.04,0)</f>
        <v>1347</v>
      </c>
      <c r="DN13" s="19"/>
      <c r="DO13" s="19"/>
      <c r="DP13" s="19"/>
      <c r="DQ13" s="1172"/>
      <c r="DS13" s="18" t="s">
        <v>27</v>
      </c>
      <c r="DT13" s="19"/>
      <c r="DU13" s="19"/>
      <c r="DV13" s="19"/>
      <c r="DW13" s="105">
        <f>ROUNDUP(DW12*1.04,0)</f>
        <v>593</v>
      </c>
      <c r="DX13" s="19"/>
      <c r="DY13" s="19"/>
      <c r="DZ13" s="19"/>
      <c r="EA13" s="1172"/>
    </row>
    <row r="14" spans="2:131" x14ac:dyDescent="0.3">
      <c r="B14" s="11"/>
      <c r="C14" s="5"/>
      <c r="D14" s="116"/>
      <c r="E14" s="43"/>
      <c r="F14" s="117"/>
      <c r="G14" s="5"/>
      <c r="H14" s="5"/>
      <c r="I14" s="118"/>
      <c r="J14" s="119"/>
      <c r="K14" s="22"/>
      <c r="M14" s="11"/>
      <c r="N14" s="5"/>
      <c r="O14" s="116"/>
      <c r="P14" s="43"/>
      <c r="Q14" s="117"/>
      <c r="R14" s="5"/>
      <c r="S14" s="5"/>
      <c r="T14" s="118"/>
      <c r="U14" s="119"/>
      <c r="W14" s="4"/>
      <c r="X14" s="52"/>
      <c r="Y14" s="52"/>
      <c r="Z14" s="52"/>
      <c r="AA14" s="52"/>
      <c r="AB14" s="52"/>
      <c r="AC14" s="44"/>
      <c r="AD14" s="22"/>
      <c r="AE14" s="23"/>
      <c r="AF14" s="41"/>
      <c r="AG14" s="4"/>
      <c r="AH14" s="52"/>
      <c r="AI14" s="94"/>
      <c r="AJ14" s="44"/>
      <c r="AK14" s="34"/>
      <c r="AL14" s="52"/>
      <c r="AM14" s="52"/>
      <c r="AN14" s="22"/>
      <c r="AO14" s="23"/>
      <c r="AP14" s="41"/>
      <c r="AQ14" s="4"/>
      <c r="AR14" s="52"/>
      <c r="AS14" s="94"/>
      <c r="AT14" s="44"/>
      <c r="AU14" s="34"/>
      <c r="AV14" s="52"/>
      <c r="AW14" s="52"/>
      <c r="AX14" s="22"/>
      <c r="AY14" s="23"/>
      <c r="AZ14" s="41"/>
      <c r="BA14" s="4"/>
      <c r="BB14" s="52"/>
      <c r="BC14" s="94"/>
      <c r="BD14" s="44"/>
      <c r="BE14" s="34"/>
      <c r="BF14" s="52"/>
      <c r="BG14" s="52"/>
      <c r="BH14" s="1691">
        <f>1090*1090*50*3.1415926*7.5/4000000</f>
        <v>349.92432825562503</v>
      </c>
      <c r="BI14" s="23"/>
      <c r="BJ14" s="41"/>
      <c r="BK14" s="4"/>
      <c r="BL14" s="52" t="s">
        <v>2008</v>
      </c>
      <c r="BM14" s="94"/>
      <c r="BN14" s="44"/>
      <c r="BO14" s="34"/>
      <c r="BP14" s="52"/>
      <c r="BQ14" s="52"/>
      <c r="BR14" s="22"/>
      <c r="BS14" s="23"/>
      <c r="BU14" s="4"/>
      <c r="BV14" s="52"/>
      <c r="BW14" s="94"/>
      <c r="BX14" s="44"/>
      <c r="BY14" s="34"/>
      <c r="BZ14" s="52"/>
      <c r="CA14" s="52"/>
      <c r="CB14" s="22"/>
      <c r="CC14" s="23"/>
      <c r="CE14" s="701"/>
      <c r="CF14" s="702"/>
      <c r="CG14" s="702"/>
      <c r="CH14" s="702"/>
      <c r="CI14" s="702"/>
      <c r="CJ14" s="702"/>
      <c r="CK14" s="703"/>
      <c r="CL14" s="22"/>
      <c r="CM14" s="23"/>
      <c r="CN14" s="22"/>
      <c r="CO14" s="701"/>
      <c r="CP14" s="702"/>
      <c r="CQ14" s="702"/>
      <c r="CR14" s="702"/>
      <c r="CS14" s="702"/>
      <c r="CT14" s="702"/>
      <c r="CU14" s="703"/>
      <c r="CV14" s="1068">
        <v>100</v>
      </c>
      <c r="CW14" s="23"/>
      <c r="CY14" s="701"/>
      <c r="CZ14" s="702"/>
      <c r="DA14" s="702"/>
      <c r="DB14" s="702"/>
      <c r="DC14" s="766"/>
      <c r="DD14" s="702"/>
      <c r="DE14" s="703"/>
      <c r="DF14" s="22"/>
      <c r="DG14" s="23"/>
      <c r="DI14" s="11"/>
      <c r="DJ14" s="5"/>
      <c r="DK14" s="116"/>
      <c r="DL14" s="43"/>
      <c r="DM14" s="117"/>
      <c r="DN14" s="5"/>
      <c r="DO14" s="5"/>
      <c r="DP14" s="118"/>
      <c r="DQ14" s="119"/>
      <c r="DS14" s="854"/>
      <c r="DT14" s="855"/>
      <c r="DU14" s="855"/>
      <c r="DV14" s="856"/>
      <c r="DW14" s="857"/>
      <c r="DX14" s="855"/>
      <c r="DY14" s="855"/>
      <c r="DZ14" s="118"/>
      <c r="EA14" s="119"/>
    </row>
    <row r="15" spans="2:131" x14ac:dyDescent="0.3">
      <c r="B15" s="701"/>
      <c r="C15" s="702"/>
      <c r="D15" s="702"/>
      <c r="E15" s="702"/>
      <c r="F15" s="702" t="s">
        <v>2059</v>
      </c>
      <c r="G15" s="702"/>
      <c r="H15" s="702"/>
      <c r="I15" s="22"/>
      <c r="J15" s="23"/>
      <c r="K15" s="22"/>
      <c r="M15" s="4"/>
      <c r="N15" s="52"/>
      <c r="O15" s="52"/>
      <c r="P15" s="52"/>
      <c r="Q15" s="52"/>
      <c r="R15" s="50" t="s">
        <v>314</v>
      </c>
      <c r="S15" s="211" t="s">
        <v>315</v>
      </c>
      <c r="T15" s="22"/>
      <c r="U15" s="23"/>
      <c r="W15" s="4"/>
      <c r="X15" s="52"/>
      <c r="Y15" s="52"/>
      <c r="Z15" s="52"/>
      <c r="AA15" s="52"/>
      <c r="AB15" s="52"/>
      <c r="AC15" s="52"/>
      <c r="AD15" s="26"/>
      <c r="AE15" s="25"/>
      <c r="AF15" s="41"/>
      <c r="AG15" s="4"/>
      <c r="AH15" s="52"/>
      <c r="AI15" s="52"/>
      <c r="AJ15" s="52"/>
      <c r="AK15" s="52"/>
      <c r="AL15" s="52"/>
      <c r="AM15" s="52"/>
      <c r="AN15" s="22"/>
      <c r="AO15" s="23"/>
      <c r="AP15" s="41"/>
      <c r="AQ15" s="4"/>
      <c r="AR15" s="52"/>
      <c r="AS15" s="52"/>
      <c r="AT15" s="52"/>
      <c r="AU15" s="52"/>
      <c r="AV15" s="52"/>
      <c r="AW15" s="52"/>
      <c r="AX15" s="22"/>
      <c r="AY15" s="23"/>
      <c r="AZ15" s="41"/>
      <c r="BA15" s="4"/>
      <c r="BB15" s="52"/>
      <c r="BC15" s="52"/>
      <c r="BD15" s="656" t="s">
        <v>776</v>
      </c>
      <c r="BE15" s="52"/>
      <c r="BF15" s="52"/>
      <c r="BG15" s="52"/>
      <c r="BH15" s="22"/>
      <c r="BI15" s="23"/>
      <c r="BJ15" s="41"/>
      <c r="BK15" s="4"/>
      <c r="BL15" s="52"/>
      <c r="BM15" s="52"/>
      <c r="BN15" s="52"/>
      <c r="BO15" s="52"/>
      <c r="BP15" s="52"/>
      <c r="BQ15" s="52"/>
      <c r="BR15" s="22"/>
      <c r="BS15" s="23"/>
      <c r="BU15" s="4"/>
      <c r="BV15" s="52"/>
      <c r="BW15" s="52"/>
      <c r="BX15" s="52"/>
      <c r="BY15" s="52"/>
      <c r="BZ15" s="52"/>
      <c r="CA15" s="52"/>
      <c r="CB15" s="22"/>
      <c r="CC15" s="23"/>
      <c r="CE15" s="701"/>
      <c r="CF15" s="702"/>
      <c r="CG15" s="702"/>
      <c r="CH15" s="859"/>
      <c r="CI15" s="702"/>
      <c r="CJ15" s="702"/>
      <c r="CK15" s="702"/>
      <c r="CL15" s="27"/>
      <c r="CM15" s="25"/>
      <c r="CN15" s="131"/>
      <c r="CO15" s="701"/>
      <c r="CP15" s="702"/>
      <c r="CQ15" s="702"/>
      <c r="CR15" s="859"/>
      <c r="CS15" s="702"/>
      <c r="CT15" s="702"/>
      <c r="CU15" s="702"/>
      <c r="CV15" s="1069"/>
      <c r="CW15" s="25"/>
      <c r="CY15" s="701"/>
      <c r="CZ15" s="702"/>
      <c r="DA15" s="702"/>
      <c r="DB15" s="859"/>
      <c r="DC15" s="1293">
        <v>313</v>
      </c>
      <c r="DD15" s="702"/>
      <c r="DE15" s="702"/>
      <c r="DF15" s="27"/>
      <c r="DG15" s="25"/>
      <c r="DI15" s="701"/>
      <c r="DJ15" s="702"/>
      <c r="DK15" s="702"/>
      <c r="DL15" s="702"/>
      <c r="DM15" s="1688">
        <v>760</v>
      </c>
      <c r="DN15" s="702"/>
      <c r="DO15" s="702"/>
      <c r="DP15" s="22"/>
      <c r="DQ15" s="23"/>
      <c r="DS15" s="1713"/>
      <c r="DT15" s="766"/>
      <c r="DU15" s="766"/>
      <c r="DV15" s="766"/>
      <c r="DW15" s="1714"/>
      <c r="DX15" s="766"/>
      <c r="DY15" s="766"/>
      <c r="DZ15" s="22"/>
      <c r="EA15" s="23"/>
    </row>
    <row r="16" spans="2:131" x14ac:dyDescent="0.3">
      <c r="B16" s="701"/>
      <c r="C16" s="702"/>
      <c r="D16" s="702"/>
      <c r="E16" s="702"/>
      <c r="F16" s="702"/>
      <c r="G16" s="702"/>
      <c r="H16" s="703"/>
      <c r="I16" s="22"/>
      <c r="J16" s="23"/>
      <c r="K16" s="22"/>
      <c r="M16" s="4"/>
      <c r="N16" s="52"/>
      <c r="O16" s="52"/>
      <c r="P16" s="52"/>
      <c r="Q16" s="52"/>
      <c r="R16" s="52"/>
      <c r="S16" s="44" t="s">
        <v>316</v>
      </c>
      <c r="T16" s="22"/>
      <c r="U16" s="23"/>
      <c r="W16" s="4"/>
      <c r="X16" s="52"/>
      <c r="Y16" s="52"/>
      <c r="Z16" s="52"/>
      <c r="AA16" s="52"/>
      <c r="AB16" s="56"/>
      <c r="AC16" s="56"/>
      <c r="AD16" s="56"/>
      <c r="AE16" s="9"/>
      <c r="AF16" s="41"/>
      <c r="AG16" s="4"/>
      <c r="AH16" s="52"/>
      <c r="AI16" s="52"/>
      <c r="AJ16" s="52"/>
      <c r="AK16" s="52"/>
      <c r="AL16" s="52"/>
      <c r="AM16" s="44" t="e">
        <f>IF(Данные!#REF!=TRUE,"ХХ","")</f>
        <v>#REF!</v>
      </c>
      <c r="AN16" s="22"/>
      <c r="AO16" s="23"/>
      <c r="AP16" s="41"/>
      <c r="AQ16" s="4"/>
      <c r="AR16" s="52"/>
      <c r="AS16" s="52"/>
      <c r="AT16" s="52"/>
      <c r="AU16" s="52"/>
      <c r="AV16" s="52"/>
      <c r="AW16" s="44" t="e">
        <f>IF(Данные!#REF!=TRUE,"ХХ","")</f>
        <v>#REF!</v>
      </c>
      <c r="AX16" s="22"/>
      <c r="AY16" s="23"/>
      <c r="AZ16" s="41"/>
      <c r="BA16" s="4"/>
      <c r="BB16" s="52"/>
      <c r="BC16" s="52"/>
      <c r="BD16" s="52"/>
      <c r="BE16" s="52"/>
      <c r="BF16" s="52"/>
      <c r="BG16" s="44"/>
      <c r="BH16" s="22"/>
      <c r="BI16" s="23"/>
      <c r="BJ16" s="41"/>
      <c r="BK16" s="4"/>
      <c r="BL16" s="52"/>
      <c r="BM16" s="52"/>
      <c r="BN16" s="52"/>
      <c r="BO16" s="52"/>
      <c r="BP16" s="52"/>
      <c r="BQ16" s="44" t="str">
        <f>IF(Данные!O50=TRUE,"ХХ","")</f>
        <v/>
      </c>
      <c r="BR16" s="22"/>
      <c r="BS16" s="23"/>
      <c r="BU16" s="4"/>
      <c r="BV16" s="52"/>
      <c r="BW16" s="52"/>
      <c r="BX16" s="52"/>
      <c r="BY16" s="52"/>
      <c r="BZ16" s="52"/>
      <c r="CA16" s="44" t="str">
        <f>IF(Данные!L42=TRUE,"ХХ","")</f>
        <v/>
      </c>
      <c r="CB16" s="22"/>
      <c r="CC16" s="23"/>
      <c r="CE16" s="701"/>
      <c r="CF16" s="702"/>
      <c r="CG16" s="702"/>
      <c r="CI16" s="707"/>
      <c r="CJ16" s="22"/>
      <c r="CK16" s="22"/>
      <c r="CL16" s="22"/>
      <c r="CM16" s="23"/>
      <c r="CN16" s="22"/>
      <c r="CO16" s="701"/>
      <c r="CP16" s="702"/>
      <c r="CQ16" s="702"/>
      <c r="CR16" s="984"/>
      <c r="CS16" s="707"/>
      <c r="CT16" s="22"/>
      <c r="CU16" s="22"/>
      <c r="CV16" s="1068"/>
      <c r="CW16" s="23"/>
      <c r="CY16" s="701"/>
      <c r="CZ16" s="702"/>
      <c r="DA16" s="702"/>
      <c r="DB16" s="1312"/>
      <c r="DC16" s="1569">
        <v>323</v>
      </c>
      <c r="DD16" s="22"/>
      <c r="DE16" s="22"/>
      <c r="DF16" s="22"/>
      <c r="DG16" s="23"/>
      <c r="DI16" s="701"/>
      <c r="DJ16" s="702"/>
      <c r="DK16" s="702"/>
      <c r="DL16" s="702"/>
      <c r="DM16" s="702"/>
      <c r="DN16" s="702"/>
      <c r="DO16" s="703" t="str">
        <f>IF(Данные!CM42=TRUE,"ХХ","")</f>
        <v/>
      </c>
      <c r="DP16" s="22"/>
      <c r="DQ16" s="23"/>
      <c r="DS16" s="1713"/>
      <c r="DT16" s="766"/>
      <c r="DU16" s="766"/>
      <c r="DV16" s="766"/>
      <c r="DW16" s="1714">
        <v>808</v>
      </c>
      <c r="DX16" s="766"/>
      <c r="DY16" s="1714"/>
      <c r="DZ16" s="22"/>
      <c r="EA16" s="23"/>
    </row>
    <row r="17" spans="2:131" x14ac:dyDescent="0.3">
      <c r="B17" s="701"/>
      <c r="C17" s="702"/>
      <c r="D17" s="702"/>
      <c r="E17" s="702"/>
      <c r="F17" s="704" t="s">
        <v>2058</v>
      </c>
      <c r="G17" s="702"/>
      <c r="H17" s="702"/>
      <c r="I17" s="27"/>
      <c r="J17" s="25"/>
      <c r="K17" s="131"/>
      <c r="M17" s="4"/>
      <c r="N17" s="52"/>
      <c r="O17" s="52"/>
      <c r="P17" s="52"/>
      <c r="Q17" s="52"/>
      <c r="R17" s="52"/>
      <c r="S17" s="52" t="s">
        <v>318</v>
      </c>
      <c r="T17" s="26"/>
      <c r="U17" s="25"/>
      <c r="W17" s="4"/>
      <c r="X17" s="52"/>
      <c r="Y17" s="52"/>
      <c r="Z17" s="52"/>
      <c r="AA17" s="52"/>
      <c r="AB17" s="50"/>
      <c r="AC17" s="52"/>
      <c r="AD17" s="24"/>
      <c r="AE17" s="25"/>
      <c r="AF17" s="41"/>
      <c r="AG17" s="4"/>
      <c r="AH17" s="52"/>
      <c r="AI17" s="52"/>
      <c r="AJ17" s="52"/>
      <c r="AK17" s="52"/>
      <c r="AL17" s="52"/>
      <c r="AM17" s="52" t="e">
        <f>IF(Данные!#REF!=TRUE,"ХХ","")</f>
        <v>#REF!</v>
      </c>
      <c r="AN17" s="26"/>
      <c r="AO17" s="25"/>
      <c r="AP17" s="41"/>
      <c r="AQ17" s="4"/>
      <c r="AR17" s="52"/>
      <c r="AS17" s="52"/>
      <c r="AT17" s="52"/>
      <c r="AU17" s="52"/>
      <c r="AV17" s="52"/>
      <c r="AW17" s="52" t="e">
        <f>IF(Данные!#REF!=TRUE,"ХХ","")</f>
        <v>#REF!</v>
      </c>
      <c r="AX17" s="26"/>
      <c r="AY17" s="25"/>
      <c r="AZ17" s="41"/>
      <c r="BA17" s="4"/>
      <c r="BB17" s="52"/>
      <c r="BC17" s="52"/>
      <c r="BD17" s="52"/>
      <c r="BE17" s="52"/>
      <c r="BF17" s="52"/>
      <c r="BG17" s="52"/>
      <c r="BH17" s="26"/>
      <c r="BI17" s="25"/>
      <c r="BJ17" s="41"/>
      <c r="BK17" s="4"/>
      <c r="BL17" s="52"/>
      <c r="BM17" s="52"/>
      <c r="BN17" s="52"/>
      <c r="BO17" s="52"/>
      <c r="BP17" s="52"/>
      <c r="BQ17" s="52" t="str">
        <f>IF(Данные!O50=TRUE,"ХХ","")</f>
        <v/>
      </c>
      <c r="BR17" s="26"/>
      <c r="BS17" s="25"/>
      <c r="BU17" s="4"/>
      <c r="BV17" s="52"/>
      <c r="BW17" s="52"/>
      <c r="BX17" s="52"/>
      <c r="BY17" s="52"/>
      <c r="BZ17" s="52"/>
      <c r="CA17" s="52" t="str">
        <f>IF(Данные!L42=TRUE,"ХХ","")</f>
        <v/>
      </c>
      <c r="CB17" s="26"/>
      <c r="CC17" s="25"/>
      <c r="CE17" s="701"/>
      <c r="CF17" s="702"/>
      <c r="CG17" s="702"/>
      <c r="CH17" s="859"/>
      <c r="CI17" s="702"/>
      <c r="CJ17" s="49"/>
      <c r="CK17" s="702"/>
      <c r="CL17" s="27"/>
      <c r="CM17" s="25"/>
      <c r="CN17" s="131"/>
      <c r="CO17" s="701"/>
      <c r="CP17" s="702"/>
      <c r="CQ17" s="702"/>
      <c r="CR17" s="859"/>
      <c r="CS17" s="702"/>
      <c r="CT17" s="49"/>
      <c r="CU17" s="702"/>
      <c r="CV17" s="1069"/>
      <c r="CW17" s="25"/>
      <c r="CY17" s="701"/>
      <c r="CZ17" s="702"/>
      <c r="DA17" s="702"/>
      <c r="DB17" s="859"/>
      <c r="DC17" s="1293">
        <v>209</v>
      </c>
      <c r="DD17" s="49"/>
      <c r="DE17" s="702"/>
      <c r="DF17" s="27"/>
      <c r="DG17" s="25"/>
      <c r="DI17" s="701"/>
      <c r="DJ17" s="702"/>
      <c r="DK17" s="702"/>
      <c r="DL17" s="702"/>
      <c r="DM17" s="1689">
        <v>545</v>
      </c>
      <c r="DN17" s="702"/>
      <c r="DO17" s="702" t="str">
        <f>IF(Данные!CM42=TRUE,"ХХ","")</f>
        <v/>
      </c>
      <c r="DP17" s="27"/>
      <c r="DQ17" s="25"/>
      <c r="DS17" s="1713"/>
      <c r="DT17" s="766"/>
      <c r="DU17" s="766"/>
      <c r="DV17" s="766"/>
      <c r="DW17" s="1718"/>
      <c r="DX17" s="766"/>
      <c r="DY17" s="766"/>
      <c r="DZ17" s="27"/>
      <c r="EA17" s="25"/>
    </row>
    <row r="18" spans="2:131" x14ac:dyDescent="0.3">
      <c r="B18" s="701"/>
      <c r="C18" s="702"/>
      <c r="D18" s="702"/>
      <c r="E18" s="702"/>
      <c r="F18" s="702"/>
      <c r="G18" s="702"/>
      <c r="H18" s="702"/>
      <c r="I18" s="27"/>
      <c r="J18" s="25"/>
      <c r="K18" s="131"/>
      <c r="M18" s="4"/>
      <c r="N18" s="52"/>
      <c r="O18" s="52"/>
      <c r="P18" s="52"/>
      <c r="Q18" s="52"/>
      <c r="R18" s="56"/>
      <c r="S18" s="56"/>
      <c r="T18" s="56"/>
      <c r="U18" s="9"/>
      <c r="W18" s="4"/>
      <c r="X18" s="52"/>
      <c r="Y18" s="52"/>
      <c r="Z18" s="52"/>
      <c r="AA18" s="52"/>
      <c r="AB18" s="52"/>
      <c r="AC18" s="92"/>
      <c r="AD18" s="27"/>
      <c r="AE18" s="25"/>
      <c r="AF18" s="41"/>
      <c r="AG18" s="4"/>
      <c r="AH18" s="52"/>
      <c r="AI18" s="52"/>
      <c r="AJ18" s="52"/>
      <c r="AK18" s="52"/>
      <c r="AL18" s="52"/>
      <c r="AM18" s="52" t="e">
        <f>IF(Данные!#REF!=TRUE,"ХХ","")</f>
        <v>#REF!</v>
      </c>
      <c r="AN18" s="24"/>
      <c r="AO18" s="25"/>
      <c r="AP18" s="41"/>
      <c r="AQ18" s="4"/>
      <c r="AR18" s="52"/>
      <c r="AS18" s="52"/>
      <c r="AT18" s="52"/>
      <c r="AU18" s="52"/>
      <c r="AV18" s="52"/>
      <c r="AW18" s="52" t="e">
        <f>IF(Данные!#REF!=TRUE,"ХХ","")</f>
        <v>#REF!</v>
      </c>
      <c r="AX18" s="24"/>
      <c r="AY18" s="25"/>
      <c r="AZ18" s="41"/>
      <c r="BA18" s="4"/>
      <c r="BB18" s="52"/>
      <c r="BC18" s="52"/>
      <c r="BD18" s="52"/>
      <c r="BE18" s="52"/>
      <c r="BF18" s="52"/>
      <c r="BG18" s="52"/>
      <c r="BH18" s="24"/>
      <c r="BI18" s="25"/>
      <c r="BJ18" s="41"/>
      <c r="BK18" s="4"/>
      <c r="BL18" s="52"/>
      <c r="BM18" s="52"/>
      <c r="BN18" s="52"/>
      <c r="BO18" s="52"/>
      <c r="BP18" s="52"/>
      <c r="BQ18" s="52" t="str">
        <f>IF(Данные!O50=TRUE,"ХХ","")</f>
        <v/>
      </c>
      <c r="BR18" s="24"/>
      <c r="BS18" s="25"/>
      <c r="BU18" s="4"/>
      <c r="BV18" s="52"/>
      <c r="BW18" s="52"/>
      <c r="BX18" s="52"/>
      <c r="BY18" s="52"/>
      <c r="BZ18" s="52"/>
      <c r="CA18" s="52" t="str">
        <f>IF(Данные!L42=TRUE,"ХХ","")</f>
        <v/>
      </c>
      <c r="CB18" s="24"/>
      <c r="CC18" s="25"/>
      <c r="CE18" s="701"/>
      <c r="CF18" s="702"/>
      <c r="CG18" s="702"/>
      <c r="CI18" s="707"/>
      <c r="CJ18" s="702"/>
      <c r="CK18" s="705"/>
      <c r="CL18" s="27"/>
      <c r="CM18" s="25"/>
      <c r="CN18" s="131"/>
      <c r="CO18" s="701"/>
      <c r="CP18" s="702"/>
      <c r="CQ18" s="702"/>
      <c r="CR18" s="76">
        <v>660</v>
      </c>
      <c r="CS18" s="707"/>
      <c r="CT18" s="702"/>
      <c r="CU18" s="705"/>
      <c r="CV18" s="1069"/>
      <c r="CW18" s="25"/>
      <c r="CY18" s="701"/>
      <c r="CZ18" s="702"/>
      <c r="DA18" s="702"/>
      <c r="DB18" s="1312"/>
      <c r="DC18" s="1569">
        <v>219</v>
      </c>
      <c r="DD18" s="702"/>
      <c r="DE18" s="705"/>
      <c r="DF18" s="27"/>
      <c r="DG18" s="25"/>
      <c r="DI18" s="701"/>
      <c r="DJ18" s="702"/>
      <c r="DK18" s="702"/>
      <c r="DL18" s="702"/>
      <c r="DM18" s="702"/>
      <c r="DN18" s="702"/>
      <c r="DO18" s="702" t="str">
        <f>IF(Данные!CM42=TRUE,"ХХ","")</f>
        <v/>
      </c>
      <c r="DP18" s="27"/>
      <c r="DQ18" s="25"/>
      <c r="DS18" s="1713"/>
      <c r="DT18" s="766"/>
      <c r="DU18" s="766"/>
      <c r="DV18" s="766"/>
      <c r="DW18" s="1714">
        <v>627</v>
      </c>
      <c r="DX18" s="766"/>
      <c r="DY18" s="766"/>
      <c r="DZ18" s="27"/>
      <c r="EA18" s="25"/>
    </row>
    <row r="19" spans="2:131" ht="15.6" x14ac:dyDescent="0.3">
      <c r="B19" s="701"/>
      <c r="C19" s="702"/>
      <c r="D19" s="702"/>
      <c r="E19" s="702"/>
      <c r="F19" s="702"/>
      <c r="G19" s="702"/>
      <c r="H19" s="705"/>
      <c r="I19" s="27"/>
      <c r="J19" s="25"/>
      <c r="K19" s="131"/>
      <c r="M19" s="4"/>
      <c r="N19" s="52"/>
      <c r="O19" s="52"/>
      <c r="P19" s="52"/>
      <c r="Q19" s="52"/>
      <c r="R19" s="50" t="s">
        <v>317</v>
      </c>
      <c r="S19" s="52" t="s">
        <v>323</v>
      </c>
      <c r="T19" s="24"/>
      <c r="U19" s="25"/>
      <c r="W19" s="4"/>
      <c r="X19" s="52"/>
      <c r="Y19" s="52"/>
      <c r="Z19" s="52"/>
      <c r="AA19" s="52"/>
      <c r="AB19" s="52"/>
      <c r="AC19" s="92"/>
      <c r="AD19" s="27"/>
      <c r="AE19" s="25"/>
      <c r="AF19" s="41"/>
      <c r="AG19" s="4"/>
      <c r="AH19" s="52"/>
      <c r="AI19" s="52"/>
      <c r="AJ19" s="52"/>
      <c r="AK19" s="52"/>
      <c r="AL19" s="52"/>
      <c r="AM19" s="92" t="e">
        <f>IF(Данные!#REF!=TRUE,"ХХ","")</f>
        <v>#REF!</v>
      </c>
      <c r="AN19" s="27"/>
      <c r="AO19" s="25"/>
      <c r="AP19" s="41"/>
      <c r="AQ19" s="4"/>
      <c r="AR19" s="52"/>
      <c r="AS19" s="52"/>
      <c r="AT19" s="52"/>
      <c r="AU19" s="52"/>
      <c r="AV19" s="52"/>
      <c r="AW19" s="92" t="e">
        <f>IF(Данные!#REF!=TRUE,"ХХ","")</f>
        <v>#REF!</v>
      </c>
      <c r="AX19" s="27"/>
      <c r="AY19" s="25"/>
      <c r="AZ19" s="41"/>
      <c r="BA19" s="4"/>
      <c r="BB19" s="657"/>
      <c r="BC19" s="52"/>
      <c r="BD19" s="52"/>
      <c r="BE19" s="52"/>
      <c r="BF19" s="52"/>
      <c r="BG19" s="92"/>
      <c r="BH19" s="27"/>
      <c r="BI19" s="25"/>
      <c r="BJ19" s="41"/>
      <c r="BK19" s="4"/>
      <c r="BL19" s="52"/>
      <c r="BM19" s="52"/>
      <c r="BN19" s="52"/>
      <c r="BO19" s="52"/>
      <c r="BP19" s="52"/>
      <c r="BQ19" s="92" t="str">
        <f>IF(Данные!O50=TRUE,"ХХ","")</f>
        <v/>
      </c>
      <c r="BR19" s="27"/>
      <c r="BS19" s="25"/>
      <c r="BU19" s="4"/>
      <c r="BV19" s="52"/>
      <c r="BW19" s="52"/>
      <c r="BX19" s="52"/>
      <c r="BY19" s="52"/>
      <c r="BZ19" s="52"/>
      <c r="CA19" s="92" t="str">
        <f>IF(Данные!L42=TRUE,"ХХ","")</f>
        <v/>
      </c>
      <c r="CB19" s="27"/>
      <c r="CC19" s="25"/>
      <c r="CE19" s="701"/>
      <c r="CF19" s="702"/>
      <c r="CG19" s="702"/>
      <c r="CH19" s="702"/>
      <c r="CI19" s="702"/>
      <c r="CJ19" s="702"/>
      <c r="CK19" s="705"/>
      <c r="CL19" s="27"/>
      <c r="CM19" s="25"/>
      <c r="CN19" s="131"/>
      <c r="CO19" s="701"/>
      <c r="CP19" s="702"/>
      <c r="CQ19" s="702"/>
      <c r="CR19" s="702"/>
      <c r="CS19" s="702"/>
      <c r="CT19" s="702"/>
      <c r="CU19" s="705"/>
      <c r="CV19" s="1069"/>
      <c r="CW19" s="25"/>
      <c r="CY19" s="701"/>
      <c r="CZ19" s="702"/>
      <c r="DA19" s="702"/>
      <c r="DB19" s="702"/>
      <c r="DC19" s="1570"/>
      <c r="DD19" s="702"/>
      <c r="DE19" s="705"/>
      <c r="DF19" s="27"/>
      <c r="DG19" s="25"/>
      <c r="DI19" s="701"/>
      <c r="DJ19" s="702"/>
      <c r="DK19" s="702"/>
      <c r="DL19" s="702"/>
      <c r="DM19" s="702"/>
      <c r="DN19" s="702"/>
      <c r="DO19" s="705" t="str">
        <f>IF(Данные!CM42=TRUE,"ХХ","")</f>
        <v/>
      </c>
      <c r="DP19" s="27"/>
      <c r="DQ19" s="25"/>
      <c r="DS19" s="1713"/>
      <c r="DT19" s="766"/>
      <c r="DU19" s="766"/>
      <c r="DV19" s="766"/>
      <c r="DW19" s="1714"/>
      <c r="DX19" s="766"/>
      <c r="DY19" s="1715"/>
      <c r="DZ19" s="27"/>
      <c r="EA19" s="25"/>
    </row>
    <row r="20" spans="2:131" x14ac:dyDescent="0.3">
      <c r="B20" s="701"/>
      <c r="C20" s="702"/>
      <c r="D20" s="702"/>
      <c r="E20" s="702"/>
      <c r="F20" s="702"/>
      <c r="G20" s="702"/>
      <c r="H20" s="705"/>
      <c r="I20" s="27"/>
      <c r="J20" s="25"/>
      <c r="K20" s="131"/>
      <c r="M20" s="4"/>
      <c r="N20" s="52"/>
      <c r="O20" s="52"/>
      <c r="P20" s="52"/>
      <c r="Q20" s="52"/>
      <c r="R20" s="52"/>
      <c r="S20" s="92" t="s">
        <v>324</v>
      </c>
      <c r="T20" s="27"/>
      <c r="U20" s="25"/>
      <c r="W20" s="4"/>
      <c r="X20" s="52"/>
      <c r="Y20" s="29"/>
      <c r="Z20" s="30"/>
      <c r="AA20" s="52"/>
      <c r="AB20" s="50"/>
      <c r="AC20" s="92"/>
      <c r="AD20" s="27"/>
      <c r="AE20" s="25"/>
      <c r="AF20" s="41"/>
      <c r="AG20" s="4"/>
      <c r="AH20" s="52"/>
      <c r="AI20" s="52"/>
      <c r="AJ20" s="52"/>
      <c r="AK20" s="52"/>
      <c r="AL20" s="52"/>
      <c r="AM20" s="92" t="e">
        <f>IF(Данные!#REF!=TRUE,"ХХ","")</f>
        <v>#REF!</v>
      </c>
      <c r="AN20" s="27"/>
      <c r="AO20" s="25"/>
      <c r="AP20" s="41"/>
      <c r="AQ20" s="4"/>
      <c r="AR20" s="52"/>
      <c r="AS20" s="52"/>
      <c r="AT20" s="52"/>
      <c r="AU20" s="52"/>
      <c r="AV20" s="52"/>
      <c r="AW20" s="92" t="e">
        <f>IF(Данные!#REF!=TRUE,"ХХ","")</f>
        <v>#REF!</v>
      </c>
      <c r="AX20" s="27"/>
      <c r="AY20" s="25"/>
      <c r="AZ20" s="41"/>
      <c r="BA20" s="4"/>
      <c r="BB20" s="52"/>
      <c r="BC20" s="52"/>
      <c r="BD20" s="52"/>
      <c r="BE20" s="52"/>
      <c r="BF20" s="52"/>
      <c r="BG20" s="655">
        <v>415</v>
      </c>
      <c r="BH20" s="27"/>
      <c r="BI20" s="25"/>
      <c r="BJ20" s="41"/>
      <c r="BK20" s="4"/>
      <c r="BL20" s="52"/>
      <c r="BM20" s="52"/>
      <c r="BN20" s="52"/>
      <c r="BO20" s="52"/>
      <c r="BP20" s="52"/>
      <c r="BQ20" s="92" t="str">
        <f>IF(Данные!O50=TRUE,"ХХ","")</f>
        <v/>
      </c>
      <c r="BR20" s="27"/>
      <c r="BS20" s="25"/>
      <c r="BU20" s="4"/>
      <c r="BV20" s="52"/>
      <c r="BW20" s="52"/>
      <c r="BX20" s="52"/>
      <c r="BY20" s="52"/>
      <c r="BZ20" s="52"/>
      <c r="CA20" s="92" t="str">
        <f>IF(Данные!L42=TRUE,"ХХ","")</f>
        <v/>
      </c>
      <c r="CB20" s="27"/>
      <c r="CC20" s="25"/>
      <c r="CE20" s="701"/>
      <c r="CF20" s="702"/>
      <c r="CG20" s="131"/>
      <c r="CH20" s="28"/>
      <c r="CI20" s="702"/>
      <c r="CJ20" s="49"/>
      <c r="CK20" s="705"/>
      <c r="CL20" s="27"/>
      <c r="CM20" s="25"/>
      <c r="CN20" s="131"/>
      <c r="CO20" s="701"/>
      <c r="CP20" s="702"/>
      <c r="CQ20" s="131"/>
      <c r="CR20" s="28"/>
      <c r="CS20" s="702"/>
      <c r="CT20" s="49"/>
      <c r="CU20" s="705"/>
      <c r="CV20" s="1069">
        <v>100</v>
      </c>
      <c r="CW20" s="25"/>
      <c r="CY20" s="701"/>
      <c r="CZ20" s="702"/>
      <c r="DA20" s="131"/>
      <c r="DB20" s="28"/>
      <c r="DC20" s="1570"/>
      <c r="DD20" s="49"/>
      <c r="DE20" s="705"/>
      <c r="DF20" s="27"/>
      <c r="DG20" s="25"/>
      <c r="DI20" s="701"/>
      <c r="DJ20" s="702"/>
      <c r="DK20" s="702"/>
      <c r="DL20" s="702"/>
      <c r="DM20" s="702"/>
      <c r="DN20" s="702"/>
      <c r="DO20" s="705" t="str">
        <f>IF(Данные!CM42=TRUE,"ХХ","")</f>
        <v/>
      </c>
      <c r="DP20" s="27"/>
      <c r="DQ20" s="25"/>
      <c r="DS20" s="1713"/>
      <c r="DT20" s="766"/>
      <c r="DU20" s="766"/>
      <c r="DV20" s="766"/>
      <c r="DW20" s="1714"/>
      <c r="DX20" s="766"/>
      <c r="DY20" s="1715"/>
      <c r="DZ20" s="27"/>
      <c r="EA20" s="25"/>
    </row>
    <row r="21" spans="2:131" x14ac:dyDescent="0.3">
      <c r="B21" s="701"/>
      <c r="C21" s="702"/>
      <c r="D21" s="702"/>
      <c r="E21" s="702"/>
      <c r="F21" s="702"/>
      <c r="G21" s="702"/>
      <c r="H21" s="705"/>
      <c r="I21" s="273">
        <v>316</v>
      </c>
      <c r="J21" s="23"/>
      <c r="K21" s="22"/>
      <c r="M21" s="4"/>
      <c r="N21" s="52"/>
      <c r="O21" s="52"/>
      <c r="P21" s="52"/>
      <c r="Q21" s="52"/>
      <c r="R21" s="52"/>
      <c r="S21" s="92"/>
      <c r="T21" s="27"/>
      <c r="U21" s="25"/>
      <c r="W21" s="4"/>
      <c r="X21" s="52"/>
      <c r="Y21" s="56"/>
      <c r="Z21" s="52"/>
      <c r="AA21" s="52"/>
      <c r="AB21" s="52"/>
      <c r="AC21" s="92"/>
      <c r="AD21" s="27"/>
      <c r="AE21" s="25"/>
      <c r="AF21" s="41"/>
      <c r="AG21" s="4"/>
      <c r="AH21" s="52"/>
      <c r="AI21" s="52"/>
      <c r="AJ21" s="52"/>
      <c r="AK21" s="52"/>
      <c r="AL21" s="52"/>
      <c r="AM21" s="92" t="e">
        <f>IF(Данные!#REF!=TRUE,"ХХ","")</f>
        <v>#REF!</v>
      </c>
      <c r="AN21" s="27"/>
      <c r="AO21" s="25"/>
      <c r="AP21" s="41"/>
      <c r="AQ21" s="4"/>
      <c r="AR21" s="52"/>
      <c r="AS21" s="52"/>
      <c r="AT21" s="52"/>
      <c r="AU21" s="52"/>
      <c r="AV21" s="52"/>
      <c r="AW21" s="92" t="e">
        <f>IF(Данные!#REF!=TRUE,"ХХ","")</f>
        <v>#REF!</v>
      </c>
      <c r="AX21" s="27"/>
      <c r="AY21" s="25"/>
      <c r="AZ21" s="41"/>
      <c r="BA21" s="4"/>
      <c r="BB21" s="52"/>
      <c r="BC21" s="52"/>
      <c r="BD21" s="52"/>
      <c r="BE21" s="52"/>
      <c r="BF21" s="52"/>
      <c r="BG21" s="92"/>
      <c r="BH21" s="27"/>
      <c r="BI21" s="25"/>
      <c r="BJ21" s="41"/>
      <c r="BK21" s="4"/>
      <c r="BL21" s="52"/>
      <c r="BM21" s="52"/>
      <c r="BN21" s="52"/>
      <c r="BO21" s="52"/>
      <c r="BP21" s="52"/>
      <c r="BQ21" s="92" t="str">
        <f>IF(Данные!O50=TRUE,"ХХ","")</f>
        <v/>
      </c>
      <c r="BR21" s="27"/>
      <c r="BS21" s="25"/>
      <c r="BU21" s="4"/>
      <c r="BV21" s="52"/>
      <c r="BW21" s="52"/>
      <c r="BX21" s="52"/>
      <c r="BY21" s="52"/>
      <c r="BZ21" s="52"/>
      <c r="CA21" s="92" t="str">
        <f>IF(Данные!L42=TRUE,"ХХ","")</f>
        <v/>
      </c>
      <c r="CB21" s="27"/>
      <c r="CC21" s="25"/>
      <c r="CE21" s="701"/>
      <c r="CF21" s="702"/>
      <c r="CG21" s="22"/>
      <c r="CH21" s="702"/>
      <c r="CI21" s="702"/>
      <c r="CJ21" s="702"/>
      <c r="CK21" s="705"/>
      <c r="CL21" s="27"/>
      <c r="CM21" s="25"/>
      <c r="CN21" s="131"/>
      <c r="CO21" s="701"/>
      <c r="CP21" s="702"/>
      <c r="CQ21" s="22"/>
      <c r="CR21" s="702"/>
      <c r="CS21" s="702"/>
      <c r="CT21" s="702"/>
      <c r="CU21" s="705"/>
      <c r="CV21" s="273"/>
      <c r="CW21" s="25"/>
      <c r="CY21" s="701"/>
      <c r="CZ21" s="702"/>
      <c r="DA21" s="22"/>
      <c r="DB21" s="702"/>
      <c r="DC21" s="1570"/>
      <c r="DD21" s="702"/>
      <c r="DE21" s="705"/>
      <c r="DF21" s="740">
        <v>145</v>
      </c>
      <c r="DG21" s="25"/>
      <c r="DI21" s="701"/>
      <c r="DJ21" s="702"/>
      <c r="DK21" s="702"/>
      <c r="DL21" s="702"/>
      <c r="DM21" s="702"/>
      <c r="DN21" s="702"/>
      <c r="DO21" s="705" t="str">
        <f>IF(Данные!CM42=TRUE,"ХХ","")</f>
        <v/>
      </c>
      <c r="DP21" s="740">
        <v>195</v>
      </c>
      <c r="DQ21" s="23"/>
      <c r="DS21" s="1713"/>
      <c r="DT21" s="766"/>
      <c r="DU21" s="766"/>
      <c r="DV21" s="766"/>
      <c r="DW21" s="1714"/>
      <c r="DX21" s="766"/>
      <c r="DY21" s="1715"/>
      <c r="DZ21" s="1708"/>
      <c r="EA21" s="23"/>
    </row>
    <row r="22" spans="2:131" x14ac:dyDescent="0.3">
      <c r="B22" s="701"/>
      <c r="C22" s="702"/>
      <c r="D22" s="131"/>
      <c r="E22" s="28"/>
      <c r="F22" s="702" t="s">
        <v>2057</v>
      </c>
      <c r="G22" s="702"/>
      <c r="H22" s="702"/>
      <c r="I22" s="27"/>
      <c r="J22" s="25"/>
      <c r="K22" s="131"/>
      <c r="M22" s="4"/>
      <c r="N22" s="52"/>
      <c r="O22" s="29"/>
      <c r="P22" s="30"/>
      <c r="Q22" s="52"/>
      <c r="R22" s="50" t="s">
        <v>319</v>
      </c>
      <c r="S22" s="92" t="s">
        <v>321</v>
      </c>
      <c r="T22" s="27"/>
      <c r="U22" s="25"/>
      <c r="W22" s="4"/>
      <c r="X22" s="31"/>
      <c r="Y22" s="56"/>
      <c r="Z22" s="32"/>
      <c r="AA22" s="52"/>
      <c r="AB22" s="52"/>
      <c r="AC22" s="92"/>
      <c r="AD22" s="27"/>
      <c r="AE22" s="25"/>
      <c r="AF22" s="41"/>
      <c r="AG22" s="4"/>
      <c r="AH22" s="52"/>
      <c r="AI22" s="29"/>
      <c r="AJ22" s="30"/>
      <c r="AK22" s="52"/>
      <c r="AL22" s="52"/>
      <c r="AM22" s="52"/>
      <c r="AN22" s="27"/>
      <c r="AO22" s="25"/>
      <c r="AP22" s="41"/>
      <c r="AQ22" s="4"/>
      <c r="AR22" s="52"/>
      <c r="AS22" s="29"/>
      <c r="AT22" s="30"/>
      <c r="AU22" s="52"/>
      <c r="AV22" s="52"/>
      <c r="AW22" s="52"/>
      <c r="AX22" s="27"/>
      <c r="AY22" s="25"/>
      <c r="AZ22" s="41"/>
      <c r="BA22" s="4"/>
      <c r="BB22" s="52"/>
      <c r="BC22" s="29"/>
      <c r="BD22" s="30"/>
      <c r="BE22" s="52"/>
      <c r="BF22" s="52"/>
      <c r="BG22" s="52"/>
      <c r="BH22" s="27"/>
      <c r="BI22" s="25"/>
      <c r="BJ22" s="41"/>
      <c r="BK22" s="4"/>
      <c r="BL22" s="52"/>
      <c r="BM22" s="29"/>
      <c r="BN22" s="30"/>
      <c r="BO22" s="52"/>
      <c r="BP22" s="52"/>
      <c r="BQ22" s="52"/>
      <c r="BR22" s="27"/>
      <c r="BS22" s="25"/>
      <c r="BU22" s="4"/>
      <c r="BV22" s="52"/>
      <c r="BW22" s="29"/>
      <c r="BX22" s="30"/>
      <c r="BY22" s="52"/>
      <c r="BZ22" s="52"/>
      <c r="CA22" s="52"/>
      <c r="CB22" s="27"/>
      <c r="CC22" s="25"/>
      <c r="CE22" s="701"/>
      <c r="CF22" s="706"/>
      <c r="CG22" s="22"/>
      <c r="CH22" s="131"/>
      <c r="CI22" s="702"/>
      <c r="CJ22" s="702"/>
      <c r="CK22" s="705"/>
      <c r="CL22" s="27"/>
      <c r="CM22" s="25"/>
      <c r="CN22" s="131"/>
      <c r="CO22" s="701"/>
      <c r="CP22" s="706"/>
      <c r="CQ22" s="22"/>
      <c r="CR22" s="131"/>
      <c r="CS22" s="702"/>
      <c r="CT22" s="702"/>
      <c r="CU22" s="705"/>
      <c r="CV22" s="273"/>
      <c r="CW22" s="25"/>
      <c r="CY22" s="701"/>
      <c r="CZ22" s="706"/>
      <c r="DA22" s="22"/>
      <c r="DB22" s="131"/>
      <c r="DC22" s="1570"/>
      <c r="DD22" s="702"/>
      <c r="DE22" s="1568">
        <v>70</v>
      </c>
      <c r="DF22" s="27"/>
      <c r="DG22" s="25"/>
      <c r="DI22" s="701"/>
      <c r="DJ22" s="702"/>
      <c r="DK22" s="131"/>
      <c r="DL22" s="28"/>
      <c r="DM22" s="1688">
        <v>600</v>
      </c>
      <c r="DN22" s="702"/>
      <c r="DO22" s="702"/>
      <c r="DP22" s="27"/>
      <c r="DQ22" s="25"/>
      <c r="DS22" s="1713"/>
      <c r="DT22" s="766"/>
      <c r="DU22" s="1716"/>
      <c r="DV22" s="782"/>
      <c r="DW22" s="1714"/>
      <c r="DX22" s="766"/>
      <c r="DY22" s="582">
        <v>123</v>
      </c>
      <c r="EA22" s="25"/>
    </row>
    <row r="23" spans="2:131" x14ac:dyDescent="0.3">
      <c r="B23" s="701"/>
      <c r="C23" s="702"/>
      <c r="D23" s="22"/>
      <c r="E23" s="702"/>
      <c r="F23" s="702"/>
      <c r="G23" s="702"/>
      <c r="H23" s="702"/>
      <c r="I23" s="27"/>
      <c r="J23" s="25"/>
      <c r="K23" s="131"/>
      <c r="M23" s="4"/>
      <c r="N23" s="52"/>
      <c r="O23" s="56"/>
      <c r="P23" s="52"/>
      <c r="Q23" s="52"/>
      <c r="R23" s="52"/>
      <c r="S23" s="92" t="s">
        <v>322</v>
      </c>
      <c r="T23" s="27"/>
      <c r="U23" s="25"/>
      <c r="W23" s="4"/>
      <c r="X23" s="56"/>
      <c r="Y23" s="52"/>
      <c r="Z23" s="24"/>
      <c r="AA23" s="29"/>
      <c r="AB23" s="52"/>
      <c r="AC23" s="92"/>
      <c r="AD23" s="27"/>
      <c r="AE23" s="25"/>
      <c r="AF23" s="41"/>
      <c r="AG23" s="4"/>
      <c r="AH23" s="52"/>
      <c r="AI23" s="56"/>
      <c r="AJ23" s="52"/>
      <c r="AK23" s="52"/>
      <c r="AL23" s="52"/>
      <c r="AM23" s="52"/>
      <c r="AN23" s="27"/>
      <c r="AO23" s="25"/>
      <c r="AP23" s="41"/>
      <c r="AQ23" s="4"/>
      <c r="AR23" s="52"/>
      <c r="AS23" s="56"/>
      <c r="AT23" s="52"/>
      <c r="AU23" s="52"/>
      <c r="AV23" s="52"/>
      <c r="AW23" s="52"/>
      <c r="AX23" s="27"/>
      <c r="AY23" s="25"/>
      <c r="AZ23" s="41"/>
      <c r="BA23" s="4"/>
      <c r="BB23" s="52"/>
      <c r="BC23" s="654" t="s">
        <v>775</v>
      </c>
      <c r="BD23" s="52"/>
      <c r="BE23" s="52"/>
      <c r="BF23" s="52"/>
      <c r="BG23" s="52"/>
      <c r="BH23" s="27"/>
      <c r="BI23" s="25"/>
      <c r="BJ23" s="41"/>
      <c r="BK23" s="4"/>
      <c r="BL23" s="52"/>
      <c r="BM23" s="56"/>
      <c r="BN23" s="52"/>
      <c r="BO23" s="52"/>
      <c r="BP23" s="52"/>
      <c r="BQ23" s="52"/>
      <c r="BR23" s="27"/>
      <c r="BS23" s="25"/>
      <c r="BU23" s="4"/>
      <c r="BV23" s="52"/>
      <c r="BW23" s="56"/>
      <c r="BX23" s="52"/>
      <c r="BY23" s="52"/>
      <c r="BZ23" s="52"/>
      <c r="CA23" s="52"/>
      <c r="CB23" s="27"/>
      <c r="CC23" s="25"/>
      <c r="CE23" s="701"/>
      <c r="CF23" s="22"/>
      <c r="CG23" s="702"/>
      <c r="CH23" s="27"/>
      <c r="CI23" s="131"/>
      <c r="CJ23" s="702"/>
      <c r="CK23" s="860"/>
      <c r="CL23" s="27"/>
      <c r="CM23" s="25"/>
      <c r="CN23" s="131"/>
      <c r="CO23" s="701"/>
      <c r="CP23" s="22"/>
      <c r="CQ23" s="702"/>
      <c r="CR23" s="27"/>
      <c r="CS23" s="702" t="s">
        <v>933</v>
      </c>
      <c r="CT23" s="702"/>
      <c r="CU23" s="860"/>
      <c r="CV23" s="1070">
        <v>100</v>
      </c>
      <c r="CW23" s="25"/>
      <c r="CY23" s="701"/>
      <c r="CZ23" s="22"/>
      <c r="DA23" s="702"/>
      <c r="DB23" s="27"/>
      <c r="DC23" s="273"/>
      <c r="DD23" s="702"/>
      <c r="DE23" s="860"/>
      <c r="DF23" s="27"/>
      <c r="DG23" s="25"/>
      <c r="DI23" s="701"/>
      <c r="DJ23" s="702"/>
      <c r="DK23" s="22"/>
      <c r="DL23" s="702"/>
      <c r="DM23" s="702"/>
      <c r="DN23" s="702"/>
      <c r="DO23" s="702"/>
      <c r="DP23" s="27"/>
      <c r="DQ23" s="25"/>
      <c r="DS23" s="1713"/>
      <c r="DT23" s="766"/>
      <c r="DU23" s="1691"/>
      <c r="DV23" s="766"/>
      <c r="DW23" s="1714">
        <v>656</v>
      </c>
      <c r="DX23" s="766"/>
      <c r="DY23" s="766"/>
      <c r="DZ23" s="27"/>
      <c r="EA23" s="25"/>
    </row>
    <row r="24" spans="2:131" x14ac:dyDescent="0.3">
      <c r="B24" s="701"/>
      <c r="C24" s="706"/>
      <c r="D24" s="22"/>
      <c r="E24" s="131"/>
      <c r="F24" s="702" t="s">
        <v>802</v>
      </c>
      <c r="G24" s="702"/>
      <c r="H24" s="702"/>
      <c r="I24" s="27"/>
      <c r="J24" s="25"/>
      <c r="K24" s="131"/>
      <c r="M24" s="4"/>
      <c r="N24" s="31"/>
      <c r="O24" s="56"/>
      <c r="P24" s="32"/>
      <c r="Q24" s="52"/>
      <c r="R24" s="52"/>
      <c r="S24" s="92" t="s">
        <v>325</v>
      </c>
      <c r="T24" s="27"/>
      <c r="U24" s="25"/>
      <c r="W24" s="4"/>
      <c r="X24" s="56"/>
      <c r="Y24" s="52"/>
      <c r="Z24" s="24"/>
      <c r="AA24" s="29"/>
      <c r="AB24" s="52"/>
      <c r="AC24" s="52"/>
      <c r="AD24" s="27"/>
      <c r="AE24" s="25"/>
      <c r="AF24" s="41"/>
      <c r="AG24" s="4"/>
      <c r="AH24" s="31"/>
      <c r="AI24" s="56"/>
      <c r="AJ24" s="32"/>
      <c r="AK24" s="52"/>
      <c r="AL24" s="52"/>
      <c r="AM24" s="52"/>
      <c r="AN24" s="27"/>
      <c r="AO24" s="25"/>
      <c r="AP24" s="41"/>
      <c r="AQ24" s="4"/>
      <c r="AR24" s="31"/>
      <c r="AS24" s="56"/>
      <c r="AT24" s="32"/>
      <c r="AU24" s="52"/>
      <c r="AV24" s="52"/>
      <c r="AW24" s="52"/>
      <c r="AX24" s="27"/>
      <c r="AY24" s="25"/>
      <c r="AZ24" s="41"/>
      <c r="BA24" s="4"/>
      <c r="BB24" s="31"/>
      <c r="BC24" s="56"/>
      <c r="BD24" s="32"/>
      <c r="BE24" s="52"/>
      <c r="BF24" s="52"/>
      <c r="BG24" s="52"/>
      <c r="BH24" s="27"/>
      <c r="BI24" s="25"/>
      <c r="BJ24" s="41"/>
      <c r="BK24" s="4"/>
      <c r="BL24" s="31"/>
      <c r="BM24" s="56"/>
      <c r="BN24" s="32"/>
      <c r="BO24" s="52"/>
      <c r="BP24" s="52"/>
      <c r="BQ24" s="52"/>
      <c r="BR24" s="27"/>
      <c r="BS24" s="25"/>
      <c r="BU24" s="4"/>
      <c r="BV24" s="31"/>
      <c r="BW24" s="56"/>
      <c r="BX24" s="32"/>
      <c r="BY24" s="52"/>
      <c r="BZ24" s="52"/>
      <c r="CA24" s="52"/>
      <c r="CB24" s="27"/>
      <c r="CC24" s="25"/>
      <c r="CE24" s="701"/>
      <c r="CF24" s="22"/>
      <c r="CG24" s="702"/>
      <c r="CH24" s="27"/>
      <c r="CI24" s="131"/>
      <c r="CJ24" s="702"/>
      <c r="CK24" s="702"/>
      <c r="CL24" s="27"/>
      <c r="CM24" s="25"/>
      <c r="CN24" s="131"/>
      <c r="CO24" s="701"/>
      <c r="CP24" s="22"/>
      <c r="CQ24" s="702"/>
      <c r="CR24" s="27"/>
      <c r="CS24" s="131"/>
      <c r="CT24" s="702"/>
      <c r="CU24" s="702"/>
      <c r="CV24" s="273"/>
      <c r="CW24" s="25"/>
      <c r="CY24" s="701"/>
      <c r="CZ24" s="22"/>
      <c r="DA24" s="702"/>
      <c r="DB24" s="27"/>
      <c r="DC24" s="1572">
        <v>280</v>
      </c>
      <c r="DD24" s="702"/>
      <c r="DE24" s="702"/>
      <c r="DF24" s="27"/>
      <c r="DG24" s="25"/>
      <c r="DI24" s="701"/>
      <c r="DJ24" s="706"/>
      <c r="DK24" s="22"/>
      <c r="DL24" s="131"/>
      <c r="DM24" s="1690">
        <v>620</v>
      </c>
      <c r="DN24" s="702"/>
      <c r="DO24" s="702"/>
      <c r="DP24" s="27"/>
      <c r="DQ24" s="25"/>
      <c r="DS24" s="1713"/>
      <c r="DT24" s="1717"/>
      <c r="DU24" s="1691"/>
      <c r="DV24" s="1716"/>
      <c r="DW24" s="1714"/>
      <c r="DX24" s="766"/>
      <c r="DY24" s="766"/>
      <c r="DZ24" s="27"/>
      <c r="EA24" s="25"/>
    </row>
    <row r="25" spans="2:131" x14ac:dyDescent="0.3">
      <c r="B25" s="708" t="s">
        <v>2060</v>
      </c>
      <c r="C25" s="22"/>
      <c r="D25" s="702"/>
      <c r="E25" s="27"/>
      <c r="F25" s="131"/>
      <c r="G25" s="702"/>
      <c r="H25" s="702"/>
      <c r="I25" s="27"/>
      <c r="J25" s="25"/>
      <c r="K25" s="131"/>
      <c r="M25" s="4"/>
      <c r="N25" s="56"/>
      <c r="O25" s="52"/>
      <c r="P25" s="24"/>
      <c r="Q25" s="29"/>
      <c r="R25" s="52"/>
      <c r="S25" s="92" t="s">
        <v>326</v>
      </c>
      <c r="T25" s="27"/>
      <c r="U25" s="25"/>
      <c r="W25" s="4"/>
      <c r="X25" s="52"/>
      <c r="Y25" s="52"/>
      <c r="Z25" s="52"/>
      <c r="AA25" s="52"/>
      <c r="AB25" s="52"/>
      <c r="AC25" s="52"/>
      <c r="AD25" s="27"/>
      <c r="AE25" s="25"/>
      <c r="AF25" s="41"/>
      <c r="AG25" s="4"/>
      <c r="AH25" s="41"/>
      <c r="AI25" s="52"/>
      <c r="AJ25" s="24"/>
      <c r="AK25" s="29"/>
      <c r="AL25" s="52"/>
      <c r="AM25" s="52"/>
      <c r="AN25" s="27"/>
      <c r="AO25" s="25"/>
      <c r="AP25" s="41"/>
      <c r="AQ25" s="4"/>
      <c r="AR25" s="41"/>
      <c r="AS25" s="52"/>
      <c r="AT25" s="24"/>
      <c r="AU25" s="29"/>
      <c r="AV25" s="52"/>
      <c r="AW25" s="52"/>
      <c r="AX25" s="27"/>
      <c r="AY25" s="25"/>
      <c r="AZ25" s="41"/>
      <c r="BA25" s="4"/>
      <c r="BB25" s="41"/>
      <c r="BC25" s="52"/>
      <c r="BD25" s="24"/>
      <c r="BE25" s="29"/>
      <c r="BF25" s="52"/>
      <c r="BG25" s="52"/>
      <c r="BH25" s="27"/>
      <c r="BI25" s="25"/>
      <c r="BJ25" s="41"/>
      <c r="BK25" s="4"/>
      <c r="BL25" s="41"/>
      <c r="BM25" s="52"/>
      <c r="BN25" s="24"/>
      <c r="BO25" s="29"/>
      <c r="BP25" s="52"/>
      <c r="BQ25" s="52"/>
      <c r="BR25" s="27"/>
      <c r="BS25" s="25"/>
      <c r="BU25" s="4"/>
      <c r="BV25" s="41"/>
      <c r="BW25" s="52"/>
      <c r="BX25" s="24"/>
      <c r="BY25" s="29"/>
      <c r="BZ25" s="52"/>
      <c r="CA25" s="52"/>
      <c r="CB25" s="27"/>
      <c r="CC25" s="25"/>
      <c r="CE25" s="701"/>
      <c r="CF25" s="702"/>
      <c r="CG25" s="702"/>
      <c r="CH25" s="702"/>
      <c r="CI25" s="702"/>
      <c r="CJ25" s="702"/>
      <c r="CK25" s="702"/>
      <c r="CL25" s="27"/>
      <c r="CM25" s="25"/>
      <c r="CN25" s="131"/>
      <c r="CO25" s="701"/>
      <c r="CP25" s="702"/>
      <c r="CQ25" s="702"/>
      <c r="CR25" s="702"/>
      <c r="CS25" s="702"/>
      <c r="CT25" s="702"/>
      <c r="CU25" s="702"/>
      <c r="CV25" s="273"/>
      <c r="CW25" s="25"/>
      <c r="CY25" s="701"/>
      <c r="CZ25" s="702"/>
      <c r="DA25" s="702"/>
      <c r="DB25" s="702"/>
      <c r="DC25" s="1571">
        <v>270</v>
      </c>
      <c r="DD25" s="702" t="s">
        <v>1731</v>
      </c>
      <c r="DE25" s="702"/>
      <c r="DF25" s="27"/>
      <c r="DG25" s="25"/>
      <c r="DI25" s="1692">
        <v>350</v>
      </c>
      <c r="DJ25" s="22"/>
      <c r="DK25" s="702"/>
      <c r="DL25" s="27"/>
      <c r="DM25" s="131"/>
      <c r="DN25" s="702"/>
      <c r="DO25" s="702"/>
      <c r="DP25" s="27"/>
      <c r="DQ25" s="25"/>
      <c r="DS25" s="1692"/>
      <c r="DT25" s="1691"/>
      <c r="DU25" s="766"/>
      <c r="DV25" s="273"/>
      <c r="DW25" s="782"/>
      <c r="DX25" s="766"/>
      <c r="DY25" s="766"/>
      <c r="DZ25" s="27"/>
      <c r="EA25" s="25"/>
    </row>
    <row r="26" spans="2:131" x14ac:dyDescent="0.3">
      <c r="B26" s="708" t="s">
        <v>803</v>
      </c>
      <c r="C26" s="22"/>
      <c r="D26" s="702"/>
      <c r="E26" s="27"/>
      <c r="F26" s="131"/>
      <c r="G26" s="702"/>
      <c r="H26" s="702"/>
      <c r="I26" s="27"/>
      <c r="J26" s="25"/>
      <c r="K26" s="131"/>
      <c r="M26" s="4"/>
      <c r="N26" s="56"/>
      <c r="O26" s="52"/>
      <c r="P26" s="24"/>
      <c r="Q26" s="29"/>
      <c r="R26" s="52"/>
      <c r="S26" s="52"/>
      <c r="T26" s="27"/>
      <c r="U26" s="25"/>
      <c r="W26" s="4"/>
      <c r="X26" s="52"/>
      <c r="Y26" s="52"/>
      <c r="Z26" s="52"/>
      <c r="AA26" s="52"/>
      <c r="AB26" s="52"/>
      <c r="AC26" s="52" t="e">
        <f>IF(Данные!#REF!=TRUE,"ХХ","")</f>
        <v>#REF!</v>
      </c>
      <c r="AD26" s="26"/>
      <c r="AE26" s="25"/>
      <c r="AF26" s="41"/>
      <c r="AG26" s="4"/>
      <c r="AH26" s="41"/>
      <c r="AI26" s="52"/>
      <c r="AJ26" s="24"/>
      <c r="AK26" s="29"/>
      <c r="AL26" s="52"/>
      <c r="AM26" s="52"/>
      <c r="AN26" s="27"/>
      <c r="AO26" s="25"/>
      <c r="AP26" s="41"/>
      <c r="AQ26" s="4"/>
      <c r="AR26" s="41"/>
      <c r="AS26" s="52"/>
      <c r="AT26" s="24"/>
      <c r="AU26" s="29"/>
      <c r="AV26" s="52"/>
      <c r="AW26" s="52"/>
      <c r="AX26" s="27"/>
      <c r="AY26" s="25"/>
      <c r="AZ26" s="41"/>
      <c r="BA26" s="4"/>
      <c r="BB26" s="41"/>
      <c r="BC26" s="52"/>
      <c r="BD26" s="24"/>
      <c r="BE26" s="29">
        <v>250</v>
      </c>
      <c r="BF26" s="52"/>
      <c r="BG26" s="52"/>
      <c r="BH26" s="27"/>
      <c r="BI26" s="25"/>
      <c r="BJ26" s="41"/>
      <c r="BK26" s="4"/>
      <c r="BL26" s="41"/>
      <c r="BM26" s="52"/>
      <c r="BN26" s="24"/>
      <c r="BO26" s="29"/>
      <c r="BP26" s="52"/>
      <c r="BQ26" s="52"/>
      <c r="BR26" s="27"/>
      <c r="BS26" s="25"/>
      <c r="BU26" s="4"/>
      <c r="BV26" s="41"/>
      <c r="BW26" s="52"/>
      <c r="BX26" s="24"/>
      <c r="BY26" s="29"/>
      <c r="BZ26" s="52"/>
      <c r="CA26" s="52"/>
      <c r="CB26" s="27"/>
      <c r="CC26" s="25"/>
      <c r="CE26" s="701"/>
      <c r="CF26" s="702"/>
      <c r="CG26" s="702"/>
      <c r="CH26" s="859"/>
      <c r="CI26" s="702"/>
      <c r="CJ26" s="702"/>
      <c r="CK26" s="702"/>
      <c r="CL26" s="27"/>
      <c r="CM26" s="25"/>
      <c r="CN26" s="131"/>
      <c r="CO26" s="701"/>
      <c r="CP26" s="702"/>
      <c r="CQ26" s="702"/>
      <c r="CR26" s="44">
        <v>145</v>
      </c>
      <c r="CT26" s="766">
        <v>70</v>
      </c>
      <c r="CU26" s="702"/>
      <c r="CV26" s="273"/>
      <c r="CW26" s="25"/>
      <c r="CY26" s="701"/>
      <c r="CZ26" s="702"/>
      <c r="DA26" s="702"/>
      <c r="DB26" s="859"/>
      <c r="DC26" s="1293">
        <v>450</v>
      </c>
      <c r="DD26" s="702"/>
      <c r="DE26" s="702"/>
      <c r="DF26" s="27"/>
      <c r="DG26" s="25"/>
      <c r="DI26" s="1693">
        <v>270</v>
      </c>
      <c r="DJ26" s="22"/>
      <c r="DK26" s="702"/>
      <c r="DL26" s="27"/>
      <c r="DM26" s="131"/>
      <c r="DN26" s="702"/>
      <c r="DO26" s="702"/>
      <c r="DP26" s="27"/>
      <c r="DQ26" s="25"/>
      <c r="DS26" s="1692">
        <v>202</v>
      </c>
      <c r="DT26" s="1691"/>
      <c r="DU26" s="766"/>
      <c r="DV26" s="273"/>
      <c r="DW26" s="782"/>
      <c r="DX26" s="766"/>
      <c r="DY26" s="766"/>
      <c r="DZ26" s="27"/>
      <c r="EA26" s="25"/>
    </row>
    <row r="27" spans="2:131" x14ac:dyDescent="0.3">
      <c r="B27" s="708"/>
      <c r="C27" s="702"/>
      <c r="D27" s="702"/>
      <c r="E27" s="702"/>
      <c r="F27" s="702"/>
      <c r="G27" s="702"/>
      <c r="H27" s="702"/>
      <c r="I27" s="27"/>
      <c r="J27" s="25"/>
      <c r="K27" s="131"/>
      <c r="M27" s="4"/>
      <c r="N27" s="52"/>
      <c r="O27" s="52"/>
      <c r="P27" s="52"/>
      <c r="Q27" s="52"/>
      <c r="R27" s="52"/>
      <c r="S27" s="52"/>
      <c r="T27" s="27"/>
      <c r="U27" s="25"/>
      <c r="W27" s="4"/>
      <c r="X27" s="52"/>
      <c r="Y27" s="52"/>
      <c r="Z27" s="52"/>
      <c r="AA27" s="52"/>
      <c r="AB27" s="52"/>
      <c r="AC27" s="52" t="e">
        <f>IF(Данные!#REF!=TRUE,"ХХ","")</f>
        <v>#REF!</v>
      </c>
      <c r="AD27" s="24"/>
      <c r="AE27" s="25"/>
      <c r="AF27" s="41"/>
      <c r="AG27" s="4"/>
      <c r="AH27" s="52"/>
      <c r="AI27" s="52"/>
      <c r="AJ27" s="52"/>
      <c r="AK27" s="52"/>
      <c r="AL27" s="52"/>
      <c r="AM27" s="52"/>
      <c r="AN27" s="27"/>
      <c r="AO27" s="25"/>
      <c r="AP27" s="41"/>
      <c r="AQ27" s="4"/>
      <c r="AR27" s="52"/>
      <c r="AS27" s="52"/>
      <c r="AT27" s="52"/>
      <c r="AU27" s="52"/>
      <c r="AV27" s="52"/>
      <c r="AW27" s="52"/>
      <c r="AX27" s="27"/>
      <c r="AY27" s="25"/>
      <c r="AZ27" s="41"/>
      <c r="BA27" s="4"/>
      <c r="BB27" s="52"/>
      <c r="BC27" s="52"/>
      <c r="BD27" s="52"/>
      <c r="BE27" s="52"/>
      <c r="BF27" s="52"/>
      <c r="BG27" s="52"/>
      <c r="BH27" s="27" t="s">
        <v>783</v>
      </c>
      <c r="BI27" s="25"/>
      <c r="BJ27" s="41"/>
      <c r="BK27" s="4"/>
      <c r="BL27" s="52"/>
      <c r="BM27" s="52"/>
      <c r="BN27" s="52"/>
      <c r="BO27" s="52"/>
      <c r="BP27" s="52"/>
      <c r="BQ27" s="52"/>
      <c r="BR27" s="27"/>
      <c r="BS27" s="25"/>
      <c r="BU27" s="4"/>
      <c r="BV27" s="52"/>
      <c r="BW27" s="52"/>
      <c r="BX27" s="52"/>
      <c r="BY27" s="52"/>
      <c r="BZ27" s="52"/>
      <c r="CA27" s="52"/>
      <c r="CB27" s="27"/>
      <c r="CC27" s="25"/>
      <c r="CE27" s="701"/>
      <c r="CF27" s="702"/>
      <c r="CG27" s="702"/>
      <c r="CH27" s="702"/>
      <c r="CI27" s="702"/>
      <c r="CJ27" s="702"/>
      <c r="CK27" s="702"/>
      <c r="CL27" s="27"/>
      <c r="CM27" s="25"/>
      <c r="CN27" s="131"/>
      <c r="CO27" s="701"/>
      <c r="CP27" s="702"/>
      <c r="CQ27" s="702"/>
      <c r="CR27" s="702"/>
      <c r="CS27" s="702"/>
      <c r="CT27" s="702"/>
      <c r="CU27" s="702"/>
      <c r="CV27" s="273"/>
      <c r="CW27" s="25"/>
      <c r="CY27" s="701"/>
      <c r="CZ27" s="702"/>
      <c r="DA27" s="702"/>
      <c r="DB27" s="702"/>
      <c r="DC27" s="1571">
        <v>440</v>
      </c>
      <c r="DD27" s="702" t="s">
        <v>1731</v>
      </c>
      <c r="DE27" s="702"/>
      <c r="DF27" s="27"/>
      <c r="DG27" s="25"/>
      <c r="DI27" s="1694"/>
      <c r="DJ27" s="702"/>
      <c r="DK27" s="702"/>
      <c r="DL27" s="702"/>
      <c r="DM27" s="702"/>
      <c r="DN27" s="702"/>
      <c r="DO27" s="702"/>
      <c r="DP27" s="27"/>
      <c r="DQ27" s="25"/>
      <c r="DS27" s="1692"/>
      <c r="DT27" s="766"/>
      <c r="DU27" s="766"/>
      <c r="DV27" s="766"/>
      <c r="DW27" s="1714"/>
      <c r="DX27" s="766"/>
      <c r="DY27" s="766"/>
      <c r="DZ27" s="27"/>
      <c r="EA27" s="25"/>
    </row>
    <row r="28" spans="2:131" x14ac:dyDescent="0.3">
      <c r="B28" s="701"/>
      <c r="C28" s="702"/>
      <c r="D28" s="702"/>
      <c r="E28" s="702"/>
      <c r="F28" s="702" t="s">
        <v>2056</v>
      </c>
      <c r="G28" s="702"/>
      <c r="H28" s="702"/>
      <c r="I28" s="27"/>
      <c r="J28" s="25"/>
      <c r="K28" s="131"/>
      <c r="M28" s="4"/>
      <c r="N28" s="52"/>
      <c r="O28" s="52"/>
      <c r="P28" s="52"/>
      <c r="Q28" s="52"/>
      <c r="R28" s="52"/>
      <c r="S28" s="52"/>
      <c r="T28" s="26"/>
      <c r="U28" s="25"/>
      <c r="W28" s="4"/>
      <c r="X28" s="52"/>
      <c r="Y28" s="52"/>
      <c r="Z28" s="52"/>
      <c r="AA28" s="52"/>
      <c r="AB28" s="52"/>
      <c r="AC28" s="52" t="e">
        <f>IF(Данные!#REF!=TRUE,"ХХ","")</f>
        <v>#REF!</v>
      </c>
      <c r="AD28" s="22"/>
      <c r="AE28" s="23"/>
      <c r="AF28" s="41"/>
      <c r="AG28" s="4"/>
      <c r="AH28" s="52"/>
      <c r="AI28" s="52"/>
      <c r="AJ28" s="52"/>
      <c r="AK28" s="52"/>
      <c r="AL28" s="52"/>
      <c r="AM28" s="52" t="e">
        <f>IF(Данные!#REF!=TRUE,"ХХ","")</f>
        <v>#REF!</v>
      </c>
      <c r="AN28" s="26"/>
      <c r="AO28" s="25"/>
      <c r="AP28" s="41"/>
      <c r="AQ28" s="4"/>
      <c r="AR28" s="52"/>
      <c r="AS28" s="52"/>
      <c r="AT28" s="52"/>
      <c r="AU28" s="52"/>
      <c r="AV28" s="52"/>
      <c r="AW28" s="52" t="e">
        <f>IF(Данные!#REF!=TRUE,"ХХ","")</f>
        <v>#REF!</v>
      </c>
      <c r="AX28" s="26"/>
      <c r="AY28" s="25"/>
      <c r="AZ28" s="41"/>
      <c r="BA28" s="4"/>
      <c r="BB28" s="52"/>
      <c r="BC28" s="52"/>
      <c r="BD28" s="52"/>
      <c r="BE28" s="52"/>
      <c r="BF28" s="52"/>
      <c r="BG28" s="52"/>
      <c r="BH28" s="26"/>
      <c r="BI28" s="25"/>
      <c r="BJ28" s="41"/>
      <c r="BK28" s="4"/>
      <c r="BL28" s="52"/>
      <c r="BM28" s="52"/>
      <c r="BN28" s="52"/>
      <c r="BO28" s="52"/>
      <c r="BP28" s="52"/>
      <c r="BQ28" s="52" t="str">
        <f>IF(Данные!O50=TRUE,"ХХ","")</f>
        <v/>
      </c>
      <c r="BR28" s="26"/>
      <c r="BS28" s="25"/>
      <c r="BU28" s="4"/>
      <c r="BV28" s="52"/>
      <c r="BW28" s="52"/>
      <c r="BX28" s="52"/>
      <c r="BY28" s="52"/>
      <c r="BZ28" s="52"/>
      <c r="CA28" s="52" t="str">
        <f>IF(Данные!L42=TRUE,"ХХ","")</f>
        <v/>
      </c>
      <c r="CB28" s="26"/>
      <c r="CC28" s="25"/>
      <c r="CE28" s="701"/>
      <c r="CF28" s="702"/>
      <c r="CG28" s="702"/>
      <c r="CH28" s="859"/>
      <c r="CI28" s="707"/>
      <c r="CJ28" s="702"/>
      <c r="CK28" s="702"/>
      <c r="CL28" s="22"/>
      <c r="CM28" s="23"/>
      <c r="CN28" s="22"/>
      <c r="CO28" s="701"/>
      <c r="CP28" s="702"/>
      <c r="CQ28" s="702"/>
      <c r="CR28" s="859"/>
      <c r="CS28" s="707"/>
      <c r="CT28" s="702"/>
      <c r="CU28" s="702"/>
      <c r="CV28" s="22"/>
      <c r="CW28" s="23"/>
      <c r="CY28" s="701"/>
      <c r="CZ28" s="702"/>
      <c r="DA28" s="702"/>
      <c r="DB28" s="859"/>
      <c r="DC28" s="707"/>
      <c r="DD28" s="702"/>
      <c r="DE28" s="702"/>
      <c r="DF28" s="22"/>
      <c r="DG28" s="23"/>
      <c r="DI28" s="701"/>
      <c r="DJ28" s="702"/>
      <c r="DK28" s="702"/>
      <c r="DL28" s="702"/>
      <c r="DM28" s="1688">
        <v>1350</v>
      </c>
      <c r="DN28" s="702"/>
      <c r="DO28" s="702" t="str">
        <f>IF(Данные!CM42=TRUE,"ХХ","")</f>
        <v/>
      </c>
      <c r="DP28" s="27"/>
      <c r="DQ28" s="25"/>
      <c r="DS28" s="1713"/>
      <c r="DT28" s="766"/>
      <c r="DU28" s="766"/>
      <c r="DV28" s="766"/>
      <c r="DW28" s="1714"/>
      <c r="DX28" s="766"/>
      <c r="DY28" s="766"/>
      <c r="DZ28" s="27"/>
      <c r="EA28" s="25"/>
    </row>
    <row r="29" spans="2:131" ht="15.6" x14ac:dyDescent="0.3">
      <c r="B29" s="701"/>
      <c r="C29" s="702"/>
      <c r="D29" s="702"/>
      <c r="E29" s="702"/>
      <c r="F29" s="707" t="s">
        <v>800</v>
      </c>
      <c r="G29" s="702"/>
      <c r="H29" s="702"/>
      <c r="I29" s="27"/>
      <c r="J29" s="25"/>
      <c r="K29" s="131"/>
      <c r="M29" s="4"/>
      <c r="N29" s="52"/>
      <c r="O29" s="52"/>
      <c r="P29" s="52"/>
      <c r="Q29" s="52"/>
      <c r="R29" s="52"/>
      <c r="S29" s="52"/>
      <c r="T29" s="24"/>
      <c r="U29" s="25"/>
      <c r="W29" s="4"/>
      <c r="X29" s="52"/>
      <c r="Y29" s="52"/>
      <c r="Z29" s="52"/>
      <c r="AA29" s="52"/>
      <c r="AB29" s="52"/>
      <c r="AC29" s="92" t="e">
        <f>IF(Данные!#REF!=TRUE,"ХХ","")</f>
        <v>#REF!</v>
      </c>
      <c r="AD29" s="22"/>
      <c r="AE29" s="23"/>
      <c r="AF29" s="41"/>
      <c r="AG29" s="4"/>
      <c r="AH29" s="52"/>
      <c r="AI29" s="52"/>
      <c r="AJ29" s="52"/>
      <c r="AK29" s="52"/>
      <c r="AL29" s="52"/>
      <c r="AM29" s="52" t="e">
        <f>IF(Данные!#REF!=TRUE,"ХХ","")</f>
        <v>#REF!</v>
      </c>
      <c r="AN29" s="24"/>
      <c r="AO29" s="25"/>
      <c r="AP29" s="41"/>
      <c r="AQ29" s="4"/>
      <c r="AR29" s="52"/>
      <c r="AS29" s="52"/>
      <c r="AT29" s="52"/>
      <c r="AU29" s="52"/>
      <c r="AV29" s="52"/>
      <c r="AW29" s="52" t="e">
        <f>IF(Данные!#REF!=TRUE,"ХХ","")</f>
        <v>#REF!</v>
      </c>
      <c r="AX29" s="24"/>
      <c r="AY29" s="25"/>
      <c r="AZ29" s="41"/>
      <c r="BA29" s="4"/>
      <c r="BB29" s="657" t="s">
        <v>782</v>
      </c>
      <c r="BC29" s="657"/>
      <c r="BD29" s="657"/>
      <c r="BE29" s="657"/>
      <c r="BF29" s="657"/>
      <c r="BG29" s="657"/>
      <c r="BH29" s="24"/>
      <c r="BI29" s="25"/>
      <c r="BJ29" s="41"/>
      <c r="BK29" s="4"/>
      <c r="BL29" s="52"/>
      <c r="BM29" s="52"/>
      <c r="BN29" s="52"/>
      <c r="BO29" s="52"/>
      <c r="BP29" s="52"/>
      <c r="BQ29" s="52" t="str">
        <f>IF(Данные!O50=TRUE,"ХХ","")</f>
        <v/>
      </c>
      <c r="BR29" s="24"/>
      <c r="BS29" s="25"/>
      <c r="BU29" s="4"/>
      <c r="BV29" s="52"/>
      <c r="BW29" s="52"/>
      <c r="BX29" s="52"/>
      <c r="BY29" s="52"/>
      <c r="BZ29" s="52"/>
      <c r="CA29" s="52" t="str">
        <f>IF(Данные!L42=TRUE,"ХХ","")</f>
        <v/>
      </c>
      <c r="CB29" s="24"/>
      <c r="CC29" s="25"/>
      <c r="CE29" s="4"/>
      <c r="CF29" s="52"/>
      <c r="CG29" s="52"/>
      <c r="CH29" s="52"/>
      <c r="CI29" s="52"/>
      <c r="CJ29" s="52"/>
      <c r="CK29" s="92"/>
      <c r="CL29" s="22"/>
      <c r="CM29" s="23"/>
      <c r="CN29" s="22"/>
      <c r="CO29" s="4"/>
      <c r="CP29" s="52"/>
      <c r="CQ29" s="52"/>
      <c r="CS29" s="52"/>
      <c r="CT29" s="50"/>
      <c r="CU29" s="92"/>
      <c r="CV29" s="104"/>
      <c r="CW29" s="23"/>
      <c r="CY29" s="4"/>
      <c r="CZ29" s="52"/>
      <c r="DA29" s="52"/>
      <c r="DB29" s="52"/>
      <c r="DC29" s="52"/>
      <c r="DD29" s="52"/>
      <c r="DE29" s="92"/>
      <c r="DF29" s="22"/>
      <c r="DG29" s="23"/>
      <c r="DI29" s="701"/>
      <c r="DJ29" s="702"/>
      <c r="DK29" s="702"/>
      <c r="DL29" s="702"/>
      <c r="DM29" s="1313">
        <v>1340</v>
      </c>
      <c r="DN29" s="702"/>
      <c r="DO29" s="702" t="str">
        <f>IF(Данные!CM42=TRUE,"ХХ","")</f>
        <v/>
      </c>
      <c r="DP29" s="27"/>
      <c r="DQ29" s="25"/>
      <c r="DS29" s="1713"/>
      <c r="DT29" s="766"/>
      <c r="DU29" s="766"/>
      <c r="DV29" s="766"/>
      <c r="DW29" s="1719"/>
      <c r="DX29" s="766"/>
      <c r="DY29" s="766"/>
      <c r="DZ29" s="27"/>
      <c r="EA29" s="25"/>
    </row>
    <row r="30" spans="2:131" ht="15.6" x14ac:dyDescent="0.3">
      <c r="B30" s="701"/>
      <c r="C30" s="702"/>
      <c r="D30" s="702"/>
      <c r="E30" s="702"/>
      <c r="F30" s="702"/>
      <c r="G30" s="702"/>
      <c r="H30" s="702"/>
      <c r="I30" s="22"/>
      <c r="J30" s="23"/>
      <c r="K30" s="22"/>
      <c r="M30" s="4"/>
      <c r="N30" s="52"/>
      <c r="O30" s="52"/>
      <c r="P30" s="52"/>
      <c r="Q30" s="52"/>
      <c r="R30" s="52"/>
      <c r="S30" s="52"/>
      <c r="T30" s="22"/>
      <c r="U30" s="23"/>
      <c r="W30" s="4"/>
      <c r="X30" s="52"/>
      <c r="Y30" s="52" t="e">
        <f>IF(Данные!#REF!=TRUE,"ХХХХХХХХХХХХХХХХХХХХХХХХХХХХХХХХХХХ","")</f>
        <v>#REF!</v>
      </c>
      <c r="Z30" s="56"/>
      <c r="AA30" s="52"/>
      <c r="AB30" s="52"/>
      <c r="AC30" s="52"/>
      <c r="AD30" s="22"/>
      <c r="AE30" s="23"/>
      <c r="AF30" s="41"/>
      <c r="AG30" s="4"/>
      <c r="AH30" s="52"/>
      <c r="AI30" s="52"/>
      <c r="AJ30" s="52"/>
      <c r="AK30" s="52"/>
      <c r="AL30" s="52"/>
      <c r="AM30" s="52" t="e">
        <f>IF(Данные!#REF!=TRUE,"ХХ","")</f>
        <v>#REF!</v>
      </c>
      <c r="AN30" s="22"/>
      <c r="AO30" s="23"/>
      <c r="AP30" s="41"/>
      <c r="AQ30" s="4"/>
      <c r="AR30" s="52"/>
      <c r="AS30" s="52"/>
      <c r="AT30" s="52"/>
      <c r="AU30" s="52"/>
      <c r="AV30" s="52"/>
      <c r="AW30" s="52" t="e">
        <f>IF(Данные!#REF!=TRUE,"ХХ","")</f>
        <v>#REF!</v>
      </c>
      <c r="AX30" s="22"/>
      <c r="AY30" s="23"/>
      <c r="AZ30" s="41"/>
      <c r="BA30" s="4"/>
      <c r="BB30" s="52"/>
      <c r="BC30" s="52"/>
      <c r="BD30" s="668" t="s">
        <v>778</v>
      </c>
      <c r="BE30" s="52"/>
      <c r="BF30" s="52"/>
      <c r="BG30" s="52"/>
      <c r="BH30" s="22"/>
      <c r="BI30" s="23"/>
      <c r="BJ30" s="41"/>
      <c r="BK30" s="4"/>
      <c r="BL30" s="52"/>
      <c r="BM30" s="52"/>
      <c r="BN30" s="52"/>
      <c r="BO30" s="52"/>
      <c r="BP30" s="52"/>
      <c r="BQ30" s="52" t="str">
        <f>IF(Данные!O50=TRUE,"ХХ","")</f>
        <v/>
      </c>
      <c r="BR30" s="22"/>
      <c r="BS30" s="23"/>
      <c r="BU30" s="4"/>
      <c r="BV30" s="52"/>
      <c r="BW30" s="52"/>
      <c r="BX30" s="52"/>
      <c r="BY30" s="52"/>
      <c r="BZ30" s="52"/>
      <c r="CA30" s="52" t="str">
        <f>IF(Данные!L42=TRUE,"ХХ","")</f>
        <v/>
      </c>
      <c r="CB30" s="22"/>
      <c r="CC30" s="23"/>
      <c r="CE30" s="4"/>
      <c r="CF30" s="52"/>
      <c r="CG30" s="52"/>
      <c r="CH30" s="56"/>
      <c r="CI30" s="52"/>
      <c r="CJ30" s="52"/>
      <c r="CK30" s="52"/>
      <c r="CL30" s="22"/>
      <c r="CM30" s="23"/>
      <c r="CN30" s="22"/>
      <c r="CO30" s="4"/>
      <c r="CQ30" s="52"/>
      <c r="CR30" s="56"/>
      <c r="CS30" s="52"/>
      <c r="CT30" s="52"/>
      <c r="CU30" s="52"/>
      <c r="CV30" s="22"/>
      <c r="CW30" s="23"/>
      <c r="CY30" s="4"/>
      <c r="CZ30" s="52"/>
      <c r="DA30" s="52"/>
      <c r="DB30" s="1029"/>
      <c r="DC30" s="52"/>
      <c r="DD30" s="52"/>
      <c r="DE30" s="52"/>
      <c r="DF30" s="22"/>
      <c r="DG30" s="23"/>
      <c r="DI30" s="701"/>
      <c r="DJ30" s="702"/>
      <c r="DK30" s="702"/>
      <c r="DL30" s="702"/>
      <c r="DM30" s="702"/>
      <c r="DN30" s="702"/>
      <c r="DO30" s="702" t="str">
        <f>IF(Данные!CM42=TRUE,"ХХ","")</f>
        <v/>
      </c>
      <c r="DP30" s="22"/>
      <c r="DQ30" s="23"/>
      <c r="DS30" s="1713"/>
      <c r="DT30" s="766"/>
      <c r="DU30" s="766"/>
      <c r="DV30" s="766"/>
      <c r="DW30" s="1714">
        <v>1024</v>
      </c>
      <c r="DX30" s="766"/>
      <c r="DY30" s="766"/>
      <c r="DZ30" s="22"/>
      <c r="EA30" s="23"/>
    </row>
    <row r="31" spans="2:131" x14ac:dyDescent="0.3">
      <c r="B31" s="701"/>
      <c r="C31" s="702"/>
      <c r="D31" s="702"/>
      <c r="E31" s="702"/>
      <c r="F31" s="702" t="s">
        <v>2055</v>
      </c>
      <c r="G31" s="702"/>
      <c r="H31" s="705"/>
      <c r="I31" s="22"/>
      <c r="J31" s="23"/>
      <c r="K31" s="22"/>
      <c r="M31" s="4"/>
      <c r="N31" s="52"/>
      <c r="O31" s="52"/>
      <c r="P31" s="52"/>
      <c r="Q31" s="52"/>
      <c r="R31" s="52"/>
      <c r="S31" s="92"/>
      <c r="T31" s="22"/>
      <c r="U31" s="23"/>
      <c r="W31" s="4"/>
      <c r="X31" s="94"/>
      <c r="Y31" s="52"/>
      <c r="Z31" s="52"/>
      <c r="AA31" s="52"/>
      <c r="AB31" s="52"/>
      <c r="AC31" s="52"/>
      <c r="AD31" s="22"/>
      <c r="AE31" s="23"/>
      <c r="AF31" s="41"/>
      <c r="AG31" s="4"/>
      <c r="AH31" s="52"/>
      <c r="AI31" s="52"/>
      <c r="AJ31" s="52"/>
      <c r="AK31" s="52"/>
      <c r="AL31" s="52"/>
      <c r="AM31" s="92" t="e">
        <f>IF(Данные!#REF!=TRUE,"ХХ","")</f>
        <v>#REF!</v>
      </c>
      <c r="AN31" s="22"/>
      <c r="AO31" s="23"/>
      <c r="AP31" s="41"/>
      <c r="AQ31" s="4"/>
      <c r="AR31" s="52"/>
      <c r="AS31" s="52"/>
      <c r="AT31" s="52"/>
      <c r="AU31" s="52"/>
      <c r="AV31" s="52"/>
      <c r="AW31" s="92" t="e">
        <f>IF(Данные!#REF!=TRUE,"ХХ","")</f>
        <v>#REF!</v>
      </c>
      <c r="AX31" s="22"/>
      <c r="AY31" s="23"/>
      <c r="AZ31" s="41"/>
      <c r="BA31" s="4"/>
      <c r="BB31" s="52"/>
      <c r="BC31" s="52"/>
      <c r="BD31" s="52"/>
      <c r="BE31" s="52"/>
      <c r="BF31" s="52"/>
      <c r="BG31" s="92"/>
      <c r="BH31" s="22"/>
      <c r="BI31" s="23"/>
      <c r="BJ31" s="41"/>
      <c r="BK31" s="4"/>
      <c r="BL31" s="52"/>
      <c r="BM31" s="52"/>
      <c r="BN31" s="52"/>
      <c r="BO31" s="52"/>
      <c r="BP31" s="52"/>
      <c r="BQ31" s="92" t="str">
        <f>IF(Данные!O50=TRUE,"ХХ","")</f>
        <v/>
      </c>
      <c r="BR31" s="22"/>
      <c r="BS31" s="23"/>
      <c r="BU31" s="4"/>
      <c r="BV31" s="52"/>
      <c r="BW31" s="52"/>
      <c r="BX31" s="52"/>
      <c r="BY31" s="52"/>
      <c r="BZ31" s="52"/>
      <c r="CA31" s="92" t="str">
        <f>IF(Данные!L42=TRUE,"ХХ","")</f>
        <v/>
      </c>
      <c r="CB31" s="22"/>
      <c r="CC31" s="23"/>
      <c r="CE31" s="4"/>
      <c r="CF31" s="94"/>
      <c r="CG31" s="52"/>
      <c r="CH31" s="52"/>
      <c r="CI31" s="52"/>
      <c r="CJ31" s="52"/>
      <c r="CK31" s="52"/>
      <c r="CL31" s="22"/>
      <c r="CM31" s="23"/>
      <c r="CN31" s="22"/>
      <c r="CO31" s="4"/>
      <c r="CP31" s="94"/>
      <c r="CQ31" s="52"/>
      <c r="CR31" s="52"/>
      <c r="CS31" s="52"/>
      <c r="CT31" s="44"/>
      <c r="CU31" s="52"/>
      <c r="CV31" s="104"/>
      <c r="CW31" s="1067"/>
      <c r="CY31" s="4"/>
      <c r="CZ31" s="94"/>
      <c r="DA31" s="52"/>
      <c r="DB31" s="52"/>
      <c r="DC31" s="52"/>
      <c r="DD31" s="52"/>
      <c r="DE31" s="52"/>
      <c r="DF31" s="22"/>
      <c r="DG31" s="23"/>
      <c r="DI31" s="701"/>
      <c r="DJ31" s="702"/>
      <c r="DK31" s="702"/>
      <c r="DL31" s="702"/>
      <c r="DM31" s="1688">
        <v>1400</v>
      </c>
      <c r="DN31" s="702"/>
      <c r="DO31" s="705" t="str">
        <f>IF(Данные!CM42=TRUE,"ХХ","")</f>
        <v/>
      </c>
      <c r="DP31" s="22"/>
      <c r="DQ31" s="23"/>
      <c r="DS31" s="1713"/>
      <c r="DT31" s="766"/>
      <c r="DU31" s="766"/>
      <c r="DV31" s="766"/>
      <c r="DW31" s="1714"/>
      <c r="DX31" s="766"/>
      <c r="DY31" s="1715"/>
      <c r="DZ31" s="22"/>
      <c r="EA31" s="23"/>
    </row>
    <row r="32" spans="2:131" x14ac:dyDescent="0.3">
      <c r="B32" s="701"/>
      <c r="C32" s="702"/>
      <c r="D32" s="702"/>
      <c r="E32" s="22"/>
      <c r="F32" s="702" t="s">
        <v>801</v>
      </c>
      <c r="G32" s="702"/>
      <c r="H32" s="702"/>
      <c r="I32" s="22"/>
      <c r="J32" s="23"/>
      <c r="K32" s="22"/>
      <c r="M32" s="4"/>
      <c r="N32" s="52"/>
      <c r="O32" s="52" t="e">
        <f>IF(Данные!#REF!=TRUE,"ХХХХХХХХХХХХХХХХХХХХХХХХХХХХХХХХХХХ","")</f>
        <v>#REF!</v>
      </c>
      <c r="P32" s="56"/>
      <c r="Q32" s="52"/>
      <c r="R32" s="52"/>
      <c r="S32" s="52"/>
      <c r="T32" s="22"/>
      <c r="U32" s="23"/>
      <c r="W32" s="4"/>
      <c r="X32" s="52"/>
      <c r="Y32" s="52"/>
      <c r="Z32" s="52"/>
      <c r="AA32" s="52"/>
      <c r="AB32" s="56"/>
      <c r="AC32" s="52"/>
      <c r="AD32" s="52"/>
      <c r="AE32" s="23"/>
      <c r="AF32" s="41"/>
      <c r="AG32" s="4"/>
      <c r="AH32" s="52"/>
      <c r="AI32" s="52" t="e">
        <f>IF(Данные!#REF!=TRUE,"ХХХХХХХХХХХХХХХХХХХХХХХХХХХХХХХХХХХ","")</f>
        <v>#REF!</v>
      </c>
      <c r="AJ32" s="41"/>
      <c r="AK32" s="52"/>
      <c r="AL32" s="52"/>
      <c r="AM32" s="52"/>
      <c r="AN32" s="22"/>
      <c r="AO32" s="23"/>
      <c r="AP32" s="41"/>
      <c r="AQ32" s="4"/>
      <c r="AR32" s="52"/>
      <c r="AS32" s="52"/>
      <c r="AT32" s="41"/>
      <c r="AU32" s="52"/>
      <c r="AV32" s="52"/>
      <c r="AW32" s="52"/>
      <c r="AX32" s="22"/>
      <c r="AY32" s="23"/>
      <c r="AZ32" s="41"/>
      <c r="BA32" s="4"/>
      <c r="BB32" s="52"/>
      <c r="BC32" s="52"/>
      <c r="BD32" s="41"/>
      <c r="BE32" s="52"/>
      <c r="BF32" s="52"/>
      <c r="BG32" s="52"/>
      <c r="BH32" s="22"/>
      <c r="BI32" s="23"/>
      <c r="BJ32" s="41"/>
      <c r="BK32" s="4"/>
      <c r="BL32" s="52"/>
      <c r="BM32" s="52" t="str">
        <f>IF(Данные!O48=TRUE,"ХХХХХХХХХХХХХХХХХХХХХХХХХХХХХХХХХХХ","")</f>
        <v/>
      </c>
      <c r="BN32" s="41"/>
      <c r="BO32" s="52"/>
      <c r="BP32" s="52"/>
      <c r="BQ32" s="52"/>
      <c r="BR32" s="22"/>
      <c r="BS32" s="23"/>
      <c r="BU32" s="4"/>
      <c r="BV32" s="52"/>
      <c r="BW32" s="52" t="str">
        <f>IF(Данные!L38=TRUE,"ХХХХХХХХХХХХХХХХХХХХХХХХХХХХХХХХХХХ","")</f>
        <v/>
      </c>
      <c r="BX32" s="41"/>
      <c r="BY32" s="52"/>
      <c r="BZ32" s="52"/>
      <c r="CA32" s="52"/>
      <c r="CB32" s="22"/>
      <c r="CC32" s="23"/>
      <c r="CE32" s="4"/>
      <c r="CL32" s="52"/>
      <c r="CM32" s="23"/>
      <c r="CN32" s="22"/>
      <c r="CO32" s="4"/>
      <c r="CP32" s="984"/>
      <c r="CQ32" s="984"/>
      <c r="CR32" s="984"/>
      <c r="CS32" s="984"/>
      <c r="CT32" s="76"/>
      <c r="CU32" s="984"/>
      <c r="CV32" s="52"/>
      <c r="CW32" s="23"/>
      <c r="CY32" s="4"/>
      <c r="CZ32" s="1312"/>
      <c r="DA32" s="1312"/>
      <c r="DB32" s="1312"/>
      <c r="DC32" s="1312"/>
      <c r="DD32" s="1312"/>
      <c r="DE32" s="1312"/>
      <c r="DF32" s="52"/>
      <c r="DG32" s="23"/>
      <c r="DI32" s="701"/>
      <c r="DJ32" s="702"/>
      <c r="DK32" s="702" t="str">
        <f>IF(Данные!CM38=TRUE,"ХХХХХХХХХХХХХХХХХХХХХХХХХХХХХХХХХХХ","")</f>
        <v/>
      </c>
      <c r="DL32" s="22"/>
      <c r="DM32" s="1690">
        <v>1360</v>
      </c>
      <c r="DN32" s="702"/>
      <c r="DO32" s="702"/>
      <c r="DP32" s="22"/>
      <c r="DQ32" s="23"/>
      <c r="DS32" s="1713"/>
      <c r="DT32" s="766"/>
      <c r="DU32" s="766"/>
      <c r="DV32" s="1691"/>
      <c r="DW32" s="1714">
        <v>1064</v>
      </c>
      <c r="DX32" s="766"/>
      <c r="DY32" s="766"/>
      <c r="DZ32" s="22"/>
      <c r="EA32" s="23"/>
    </row>
    <row r="33" spans="2:131" ht="16.2" thickBot="1" x14ac:dyDescent="0.35">
      <c r="B33" s="701"/>
      <c r="C33" s="702"/>
      <c r="D33" s="702"/>
      <c r="E33" s="702"/>
      <c r="F33" s="702"/>
      <c r="G33" s="702"/>
      <c r="H33" s="702"/>
      <c r="I33" s="22"/>
      <c r="J33" s="23"/>
      <c r="K33" s="22"/>
      <c r="M33" s="4"/>
      <c r="N33" s="94"/>
      <c r="O33" s="52"/>
      <c r="P33" s="52"/>
      <c r="Q33" s="52"/>
      <c r="R33" s="52"/>
      <c r="S33" s="52"/>
      <c r="T33" s="22"/>
      <c r="U33" s="23"/>
      <c r="W33" s="18"/>
      <c r="X33" s="93"/>
      <c r="Y33" s="19"/>
      <c r="Z33" s="97"/>
      <c r="AA33" s="19"/>
      <c r="AB33" s="62"/>
      <c r="AC33" s="19"/>
      <c r="AD33" s="19"/>
      <c r="AE33" s="69"/>
      <c r="AF33" s="41"/>
      <c r="AG33" s="4"/>
      <c r="AH33" s="94"/>
      <c r="AI33" s="52"/>
      <c r="AJ33" s="52"/>
      <c r="AK33" s="52"/>
      <c r="AL33" s="52"/>
      <c r="AM33" s="52"/>
      <c r="AN33" s="22"/>
      <c r="AO33" s="23"/>
      <c r="AP33" s="41"/>
      <c r="AQ33" s="4"/>
      <c r="AR33" s="94"/>
      <c r="AS33" s="52"/>
      <c r="AT33" s="52"/>
      <c r="AU33" s="52"/>
      <c r="AV33" s="52"/>
      <c r="AW33" s="52"/>
      <c r="AX33" s="22"/>
      <c r="AY33" s="23"/>
      <c r="AZ33" s="41"/>
      <c r="BA33" s="4"/>
      <c r="BB33" s="94"/>
      <c r="BC33" s="52"/>
      <c r="BD33" s="52"/>
      <c r="BE33" s="52"/>
      <c r="BF33" s="52"/>
      <c r="BG33" s="52"/>
      <c r="BH33" s="22"/>
      <c r="BI33" s="23"/>
      <c r="BJ33" s="41"/>
      <c r="BK33" s="4"/>
      <c r="BL33" s="94"/>
      <c r="BM33" s="52"/>
      <c r="BN33" s="52"/>
      <c r="BO33" s="52"/>
      <c r="BP33" s="52"/>
      <c r="BQ33" s="52"/>
      <c r="BR33" s="22"/>
      <c r="BS33" s="23"/>
      <c r="BU33" s="4"/>
      <c r="BV33" s="94"/>
      <c r="BW33" s="52"/>
      <c r="BX33" s="52"/>
      <c r="BY33" s="52"/>
      <c r="BZ33" s="52"/>
      <c r="CA33" s="52"/>
      <c r="CB33" s="22"/>
      <c r="CC33" s="23"/>
      <c r="CE33" s="4"/>
      <c r="CJ33" s="56"/>
      <c r="CK33" s="52"/>
      <c r="CL33" s="52"/>
      <c r="CM33" s="23"/>
      <c r="CN33" s="22"/>
      <c r="CO33" s="4"/>
      <c r="CP33" s="984" t="s">
        <v>951</v>
      </c>
      <c r="CQ33" s="984"/>
      <c r="CR33" s="984"/>
      <c r="CS33" s="984"/>
      <c r="CT33" s="56"/>
      <c r="CU33" s="52"/>
      <c r="CV33" s="52"/>
      <c r="CW33" s="23"/>
      <c r="CY33" s="4"/>
      <c r="CZ33" s="1312"/>
      <c r="DA33" s="1312"/>
      <c r="DB33" s="1312"/>
      <c r="DC33" s="1312"/>
      <c r="DD33" s="1029"/>
      <c r="DE33" s="52"/>
      <c r="DF33" s="52"/>
      <c r="DG33" s="23"/>
      <c r="DI33" s="701"/>
      <c r="DJ33" s="702"/>
      <c r="DK33" s="702"/>
      <c r="DL33" s="702"/>
      <c r="DM33" s="702"/>
      <c r="DN33" s="702"/>
      <c r="DO33" s="702"/>
      <c r="DP33" s="22"/>
      <c r="DQ33" s="23"/>
      <c r="DS33" s="1713"/>
      <c r="DT33" s="766"/>
      <c r="DU33" s="766"/>
      <c r="DV33" s="766"/>
      <c r="DW33" s="1714"/>
      <c r="DX33" s="766"/>
      <c r="DY33" s="766"/>
      <c r="DZ33" s="22"/>
      <c r="EA33" s="23"/>
    </row>
    <row r="34" spans="2:131" ht="15.6" customHeight="1" thickBot="1" x14ac:dyDescent="0.45">
      <c r="B34" s="4"/>
      <c r="C34" s="52"/>
      <c r="D34" s="52"/>
      <c r="E34" s="52"/>
      <c r="F34" s="52"/>
      <c r="G34" s="56"/>
      <c r="H34" s="52"/>
      <c r="I34" s="52"/>
      <c r="J34" s="23"/>
      <c r="K34" s="22"/>
      <c r="M34" s="4"/>
      <c r="N34" s="52"/>
      <c r="O34" s="52"/>
      <c r="P34" s="52"/>
      <c r="Q34" s="52"/>
      <c r="R34" s="56"/>
      <c r="S34" s="52"/>
      <c r="T34" s="52"/>
      <c r="U34" s="23"/>
      <c r="W34" s="4"/>
      <c r="X34" s="52" t="s">
        <v>226</v>
      </c>
      <c r="Y34" s="52"/>
      <c r="Z34" s="52"/>
      <c r="AA34" s="50" t="s">
        <v>46</v>
      </c>
      <c r="AB34" s="52"/>
      <c r="AC34" s="52"/>
      <c r="AD34" s="52"/>
      <c r="AE34" s="9"/>
      <c r="AF34" s="41"/>
      <c r="AG34" s="4"/>
      <c r="AH34" s="52"/>
      <c r="AI34" s="52"/>
      <c r="AJ34" s="52"/>
      <c r="AK34" s="52"/>
      <c r="AL34" s="41"/>
      <c r="AM34" s="52"/>
      <c r="AN34" s="52"/>
      <c r="AO34" s="23"/>
      <c r="AP34" s="41"/>
      <c r="AQ34" s="4"/>
      <c r="AR34" s="52"/>
      <c r="AS34" s="52"/>
      <c r="AT34" s="52"/>
      <c r="AU34" s="52"/>
      <c r="AV34" s="41"/>
      <c r="AW34" s="52"/>
      <c r="AX34" s="52"/>
      <c r="AY34" s="23"/>
      <c r="AZ34" s="41"/>
      <c r="BA34" s="4"/>
      <c r="BB34" s="667" t="s">
        <v>779</v>
      </c>
      <c r="BC34" s="52"/>
      <c r="BD34" s="52"/>
      <c r="BE34" s="52"/>
      <c r="BF34" s="41"/>
      <c r="BG34" s="52"/>
      <c r="BH34" s="52"/>
      <c r="BI34" s="23"/>
      <c r="BJ34" s="41"/>
      <c r="BK34" s="4"/>
      <c r="BL34" s="52"/>
      <c r="BM34" s="52"/>
      <c r="BN34" s="52"/>
      <c r="BO34" s="52"/>
      <c r="BP34" s="41"/>
      <c r="BQ34" s="52"/>
      <c r="BR34" s="52"/>
      <c r="BS34" s="23"/>
      <c r="BU34" s="4"/>
      <c r="BV34" s="52"/>
      <c r="BW34" s="52"/>
      <c r="BX34" s="52"/>
      <c r="BY34" s="52"/>
      <c r="BZ34" s="41"/>
      <c r="CA34" s="52"/>
      <c r="CB34" s="52"/>
      <c r="CC34" s="23"/>
      <c r="CE34" s="18"/>
      <c r="CF34" s="93"/>
      <c r="CG34" s="19"/>
      <c r="CH34" s="97"/>
      <c r="CI34" s="19"/>
      <c r="CJ34" s="62"/>
      <c r="CK34" s="19"/>
      <c r="CL34" s="19"/>
      <c r="CM34" s="69"/>
      <c r="CN34" s="22"/>
      <c r="CO34" s="18"/>
      <c r="CP34" s="93"/>
      <c r="CQ34" s="19"/>
      <c r="CR34" s="97"/>
      <c r="CS34" s="19"/>
      <c r="CT34" s="62"/>
      <c r="CU34" s="19"/>
      <c r="CV34" s="19"/>
      <c r="CW34" s="69"/>
      <c r="CY34" s="18"/>
      <c r="CZ34" s="93"/>
      <c r="DA34" s="19"/>
      <c r="DB34" s="97"/>
      <c r="DC34" s="19"/>
      <c r="DD34" s="62"/>
      <c r="DE34" s="19"/>
      <c r="DF34" s="19"/>
      <c r="DG34" s="69"/>
      <c r="DH34" s="1573"/>
      <c r="DI34" s="4"/>
      <c r="DJ34" s="52"/>
      <c r="DK34" s="52"/>
      <c r="DL34" s="52"/>
      <c r="DM34" s="52"/>
      <c r="DN34" s="1029"/>
      <c r="DO34" s="52"/>
      <c r="DP34" s="52"/>
      <c r="DQ34" s="23"/>
      <c r="DS34" s="701"/>
      <c r="DT34" s="702"/>
      <c r="DU34" s="702"/>
      <c r="DV34" s="702"/>
      <c r="DW34" s="702"/>
      <c r="DX34" s="22"/>
      <c r="DY34" s="702"/>
      <c r="DZ34" s="702"/>
      <c r="EA34" s="23"/>
    </row>
    <row r="35" spans="2:131" ht="16.2" thickBot="1" x14ac:dyDescent="0.35">
      <c r="B35" s="18"/>
      <c r="C35" s="93"/>
      <c r="D35" s="19"/>
      <c r="E35" s="97"/>
      <c r="F35" s="19"/>
      <c r="G35" s="62"/>
      <c r="H35" s="19"/>
      <c r="I35" s="19" t="s">
        <v>804</v>
      </c>
      <c r="J35" s="69"/>
      <c r="K35" s="22"/>
      <c r="M35" s="18"/>
      <c r="N35" s="93"/>
      <c r="O35" s="19"/>
      <c r="P35" s="97"/>
      <c r="Q35" s="19"/>
      <c r="R35" s="62"/>
      <c r="S35" s="19"/>
      <c r="T35" s="19"/>
      <c r="U35" s="69"/>
      <c r="W35" s="4"/>
      <c r="X35" s="52" t="s">
        <v>52</v>
      </c>
      <c r="Y35" s="52"/>
      <c r="Z35" s="52"/>
      <c r="AA35" s="49" t="s">
        <v>79</v>
      </c>
      <c r="AB35" s="52"/>
      <c r="AC35" s="52"/>
      <c r="AD35" s="52"/>
      <c r="AE35" s="9"/>
      <c r="AF35" s="41"/>
      <c r="AG35" s="18"/>
      <c r="AH35" s="93"/>
      <c r="AI35" s="19"/>
      <c r="AJ35" s="97"/>
      <c r="AK35" s="19"/>
      <c r="AL35" s="62"/>
      <c r="AM35" s="19"/>
      <c r="AN35" s="19"/>
      <c r="AO35" s="69"/>
      <c r="AP35" s="41"/>
      <c r="AQ35" s="18"/>
      <c r="AR35" s="93"/>
      <c r="AS35" s="19"/>
      <c r="AT35" s="97"/>
      <c r="AU35" s="19"/>
      <c r="AV35" s="62"/>
      <c r="AW35" s="19"/>
      <c r="AX35" s="19"/>
      <c r="AY35" s="69"/>
      <c r="AZ35" s="41"/>
      <c r="BA35" s="18"/>
      <c r="BB35" s="93"/>
      <c r="BC35" s="19"/>
      <c r="BD35" s="97"/>
      <c r="BE35" s="19"/>
      <c r="BF35" s="62"/>
      <c r="BG35" s="19"/>
      <c r="BH35" s="19"/>
      <c r="BI35" s="69"/>
      <c r="BJ35" s="41"/>
      <c r="BK35" s="18"/>
      <c r="BL35" s="93" t="s">
        <v>2009</v>
      </c>
      <c r="BM35" s="19"/>
      <c r="BN35" s="97"/>
      <c r="BO35" s="19"/>
      <c r="BP35" s="62"/>
      <c r="BQ35" s="19"/>
      <c r="BR35" s="19"/>
      <c r="BS35" s="69"/>
      <c r="BU35" s="18"/>
      <c r="BV35" s="93"/>
      <c r="BW35" s="19"/>
      <c r="BX35" s="97"/>
      <c r="BY35" s="19"/>
      <c r="BZ35" s="62"/>
      <c r="CA35" s="19"/>
      <c r="CB35" s="19"/>
      <c r="CC35" s="69"/>
      <c r="CE35" s="4"/>
      <c r="CF35" s="52" t="s">
        <v>226</v>
      </c>
      <c r="CG35" s="52"/>
      <c r="CH35" s="52"/>
      <c r="CI35" s="50" t="s">
        <v>46</v>
      </c>
      <c r="CJ35" s="52"/>
      <c r="CK35" s="52"/>
      <c r="CL35" s="52"/>
      <c r="CM35" s="9"/>
      <c r="CN35" s="1029"/>
      <c r="CO35" s="4"/>
      <c r="CP35" s="52" t="s">
        <v>226</v>
      </c>
      <c r="CQ35" s="52"/>
      <c r="CR35" s="52"/>
      <c r="CS35" s="50" t="s">
        <v>46</v>
      </c>
      <c r="CT35" s="52"/>
      <c r="CU35" s="52"/>
      <c r="CV35" s="52"/>
      <c r="CW35" s="9"/>
      <c r="CY35" s="4"/>
      <c r="CZ35" s="52" t="s">
        <v>226</v>
      </c>
      <c r="DA35" s="52"/>
      <c r="DB35" s="52"/>
      <c r="DC35" s="50" t="s">
        <v>46</v>
      </c>
      <c r="DD35" s="52"/>
      <c r="DE35" s="52"/>
      <c r="DF35" s="52"/>
      <c r="DG35" s="9"/>
      <c r="DI35" s="18"/>
      <c r="DJ35" s="93"/>
      <c r="DK35" s="19"/>
      <c r="DL35" s="97"/>
      <c r="DM35" s="19"/>
      <c r="DN35" s="62"/>
      <c r="DO35" s="19"/>
      <c r="DP35" s="19"/>
      <c r="DQ35" s="69"/>
      <c r="DS35" s="1709"/>
      <c r="DT35" s="1710"/>
      <c r="DU35" s="1711"/>
      <c r="DV35" s="1712"/>
      <c r="DW35" s="1711"/>
      <c r="DX35" s="123"/>
      <c r="DY35" s="1711"/>
      <c r="DZ35" s="1711"/>
      <c r="EA35" s="69"/>
    </row>
    <row r="36" spans="2:131" x14ac:dyDescent="0.3">
      <c r="B36" s="4"/>
      <c r="C36" s="52" t="s">
        <v>226</v>
      </c>
      <c r="D36" s="52"/>
      <c r="E36" s="52"/>
      <c r="F36" s="50" t="s">
        <v>46</v>
      </c>
      <c r="G36" s="52"/>
      <c r="H36" s="52"/>
      <c r="I36" s="52"/>
      <c r="J36" s="9"/>
      <c r="K36" s="1029"/>
      <c r="M36" s="4"/>
      <c r="N36" s="52" t="s">
        <v>226</v>
      </c>
      <c r="O36" s="52"/>
      <c r="P36" s="52"/>
      <c r="Q36" s="50" t="s">
        <v>46</v>
      </c>
      <c r="R36" s="52"/>
      <c r="S36" s="52"/>
      <c r="T36" s="52"/>
      <c r="U36" s="9"/>
      <c r="W36" s="4"/>
      <c r="X36" s="52" t="s">
        <v>47</v>
      </c>
      <c r="Y36" s="52"/>
      <c r="Z36" s="52"/>
      <c r="AA36" s="50" t="s">
        <v>48</v>
      </c>
      <c r="AB36" s="52"/>
      <c r="AC36" s="52"/>
      <c r="AD36" s="52"/>
      <c r="AE36" s="9"/>
      <c r="AF36" s="41"/>
      <c r="AG36" s="4"/>
      <c r="AH36" s="52" t="s">
        <v>226</v>
      </c>
      <c r="AI36" s="52"/>
      <c r="AJ36" s="52"/>
      <c r="AK36" s="50" t="s">
        <v>46</v>
      </c>
      <c r="AL36" s="52"/>
      <c r="AM36" s="52"/>
      <c r="AN36" s="52"/>
      <c r="AO36" s="9"/>
      <c r="AP36" s="41"/>
      <c r="AQ36" s="4"/>
      <c r="AR36" s="52" t="s">
        <v>226</v>
      </c>
      <c r="AS36" s="52"/>
      <c r="AT36" s="52"/>
      <c r="AU36" s="50" t="s">
        <v>46</v>
      </c>
      <c r="AV36" s="52"/>
      <c r="AW36" s="52"/>
      <c r="AX36" s="52"/>
      <c r="AY36" s="9"/>
      <c r="AZ36" s="41"/>
      <c r="BA36" s="4"/>
      <c r="BB36" s="52" t="s">
        <v>226</v>
      </c>
      <c r="BC36" s="52"/>
      <c r="BD36" s="52"/>
      <c r="BE36" s="50" t="s">
        <v>46</v>
      </c>
      <c r="BF36" s="52"/>
      <c r="BG36" s="52"/>
      <c r="BH36" s="52"/>
      <c r="BI36" s="9"/>
      <c r="BJ36" s="41"/>
      <c r="BK36" s="4"/>
      <c r="BL36" s="52" t="s">
        <v>226</v>
      </c>
      <c r="BM36" s="52"/>
      <c r="BN36" s="52"/>
      <c r="BO36" s="50" t="s">
        <v>46</v>
      </c>
      <c r="BP36" s="52"/>
      <c r="BQ36" s="52"/>
      <c r="BR36" s="52"/>
      <c r="BS36" s="9"/>
      <c r="BU36" s="4"/>
      <c r="BV36" s="52" t="s">
        <v>226</v>
      </c>
      <c r="BW36" s="52"/>
      <c r="BX36" s="52"/>
      <c r="BY36" s="50" t="s">
        <v>46</v>
      </c>
      <c r="BZ36" s="52"/>
      <c r="CA36" s="52"/>
      <c r="CB36" s="52"/>
      <c r="CC36" s="9"/>
      <c r="CE36" s="4"/>
      <c r="CF36" s="52" t="s">
        <v>47</v>
      </c>
      <c r="CG36" s="52"/>
      <c r="CH36" s="52"/>
      <c r="CI36" s="50" t="s">
        <v>48</v>
      </c>
      <c r="CJ36" s="52"/>
      <c r="CK36" s="52"/>
      <c r="CL36" s="52"/>
      <c r="CM36" s="9"/>
      <c r="CN36" s="1029"/>
      <c r="CO36" s="4"/>
      <c r="CP36" s="52" t="s">
        <v>47</v>
      </c>
      <c r="CQ36" s="52"/>
      <c r="CR36" s="52"/>
      <c r="CS36" s="50" t="s">
        <v>48</v>
      </c>
      <c r="CT36" s="52"/>
      <c r="CU36" s="52"/>
      <c r="CV36" s="52"/>
      <c r="CW36" s="9"/>
      <c r="CY36" s="4"/>
      <c r="CZ36" s="52" t="s">
        <v>47</v>
      </c>
      <c r="DA36" s="52"/>
      <c r="DB36" s="52"/>
      <c r="DC36" s="50" t="s">
        <v>48</v>
      </c>
      <c r="DD36" s="52"/>
      <c r="DE36" s="52"/>
      <c r="DF36" s="52"/>
      <c r="DG36" s="9"/>
      <c r="DI36" s="4"/>
      <c r="DJ36" s="52" t="s">
        <v>226</v>
      </c>
      <c r="DK36" s="52"/>
      <c r="DL36" s="52"/>
      <c r="DM36" s="50" t="s">
        <v>46</v>
      </c>
      <c r="DN36" s="52"/>
      <c r="DO36" s="52"/>
      <c r="DP36" s="52"/>
      <c r="DQ36" s="9"/>
      <c r="DS36" s="4"/>
      <c r="DT36" s="52" t="s">
        <v>226</v>
      </c>
      <c r="DU36" s="52"/>
      <c r="DV36" s="52"/>
      <c r="DW36" s="50" t="s">
        <v>46</v>
      </c>
      <c r="DX36" s="52"/>
      <c r="DY36" s="52"/>
      <c r="DZ36" s="52"/>
      <c r="EA36" s="9"/>
    </row>
    <row r="37" spans="2:131" x14ac:dyDescent="0.3">
      <c r="B37" s="4"/>
      <c r="C37" s="52" t="s">
        <v>52</v>
      </c>
      <c r="D37" s="52"/>
      <c r="E37" s="52"/>
      <c r="F37" s="49" t="s">
        <v>79</v>
      </c>
      <c r="G37" s="52"/>
      <c r="H37" s="52"/>
      <c r="I37" s="52"/>
      <c r="J37" s="9"/>
      <c r="K37" s="1029"/>
      <c r="M37" s="4"/>
      <c r="N37" s="52" t="s">
        <v>52</v>
      </c>
      <c r="O37" s="52"/>
      <c r="P37" s="52"/>
      <c r="Q37" s="49" t="s">
        <v>79</v>
      </c>
      <c r="R37" s="52"/>
      <c r="S37" s="52"/>
      <c r="T37" s="52"/>
      <c r="U37" s="9"/>
      <c r="W37" s="4"/>
      <c r="X37" s="52" t="s">
        <v>56</v>
      </c>
      <c r="Y37" s="52"/>
      <c r="Z37" s="16"/>
      <c r="AA37" s="16" t="s">
        <v>57</v>
      </c>
      <c r="AB37" s="52"/>
      <c r="AC37" s="52"/>
      <c r="AD37" s="52"/>
      <c r="AE37" s="9"/>
      <c r="AF37" s="41"/>
      <c r="AG37" s="4"/>
      <c r="AH37" s="52" t="s">
        <v>52</v>
      </c>
      <c r="AI37" s="52"/>
      <c r="AJ37" s="52"/>
      <c r="AK37" s="49" t="s">
        <v>79</v>
      </c>
      <c r="AL37" s="52"/>
      <c r="AM37" s="52"/>
      <c r="AN37" s="52"/>
      <c r="AO37" s="9"/>
      <c r="AP37" s="41"/>
      <c r="AQ37" s="4"/>
      <c r="AR37" s="52" t="s">
        <v>52</v>
      </c>
      <c r="AS37" s="52"/>
      <c r="AT37" s="52"/>
      <c r="AU37" s="49" t="s">
        <v>79</v>
      </c>
      <c r="AV37" s="52"/>
      <c r="AW37" s="52"/>
      <c r="AX37" s="52"/>
      <c r="AY37" s="9"/>
      <c r="AZ37" s="41"/>
      <c r="BA37" s="4"/>
      <c r="BB37" s="52" t="s">
        <v>52</v>
      </c>
      <c r="BC37" s="52"/>
      <c r="BD37" s="52"/>
      <c r="BE37" s="49" t="s">
        <v>79</v>
      </c>
      <c r="BF37" s="52"/>
      <c r="BG37" s="52"/>
      <c r="BH37" s="52"/>
      <c r="BI37" s="9"/>
      <c r="BJ37" s="41"/>
      <c r="BK37" s="4"/>
      <c r="BL37" s="52" t="s">
        <v>52</v>
      </c>
      <c r="BM37" s="52"/>
      <c r="BN37" s="52"/>
      <c r="BO37" s="49" t="s">
        <v>79</v>
      </c>
      <c r="BP37" s="52"/>
      <c r="BQ37" s="52"/>
      <c r="BR37" s="52"/>
      <c r="BS37" s="9"/>
      <c r="BU37" s="4"/>
      <c r="BV37" s="52" t="s">
        <v>52</v>
      </c>
      <c r="BW37" s="52"/>
      <c r="BX37" s="52"/>
      <c r="BY37" s="49" t="s">
        <v>79</v>
      </c>
      <c r="BZ37" s="52"/>
      <c r="CA37" s="52"/>
      <c r="CB37" s="52"/>
      <c r="CC37" s="9"/>
      <c r="CE37" s="4"/>
      <c r="CF37" s="52" t="s">
        <v>52</v>
      </c>
      <c r="CG37" s="52"/>
      <c r="CH37" s="52"/>
      <c r="CI37" s="49" t="s">
        <v>868</v>
      </c>
      <c r="CJ37" s="52"/>
      <c r="CK37" s="52"/>
      <c r="CL37" s="52"/>
      <c r="CM37" s="9"/>
      <c r="CN37" s="1029"/>
      <c r="CO37" s="4"/>
      <c r="CP37" s="52" t="s">
        <v>52</v>
      </c>
      <c r="CQ37" s="52"/>
      <c r="CR37" s="52"/>
      <c r="CS37" s="49" t="s">
        <v>868</v>
      </c>
      <c r="CT37" s="52"/>
      <c r="CU37" s="52"/>
      <c r="CV37" s="52"/>
      <c r="CW37" s="9"/>
      <c r="CY37" s="4"/>
      <c r="CZ37" s="52" t="s">
        <v>52</v>
      </c>
      <c r="DA37" s="52"/>
      <c r="DB37" s="52"/>
      <c r="DC37" s="49" t="s">
        <v>868</v>
      </c>
      <c r="DD37" s="52"/>
      <c r="DE37" s="52"/>
      <c r="DF37" s="52"/>
      <c r="DG37" s="9"/>
      <c r="DI37" s="4"/>
      <c r="DJ37" s="52" t="s">
        <v>52</v>
      </c>
      <c r="DK37" s="52"/>
      <c r="DL37" s="52"/>
      <c r="DM37" s="976">
        <v>1.4999999999999999E-2</v>
      </c>
      <c r="DN37" s="52"/>
      <c r="DO37" s="52"/>
      <c r="DP37" s="52"/>
      <c r="DQ37" s="9"/>
      <c r="DS37" s="4"/>
      <c r="DT37" s="52" t="s">
        <v>52</v>
      </c>
      <c r="DU37" s="52"/>
      <c r="DV37" s="52"/>
      <c r="DW37" s="976">
        <v>1.4999999999999999E-2</v>
      </c>
      <c r="DX37" s="52"/>
      <c r="DY37" s="52"/>
      <c r="DZ37" s="52"/>
      <c r="EA37" s="9"/>
    </row>
    <row r="38" spans="2:131" ht="16.2" thickBot="1" x14ac:dyDescent="0.35">
      <c r="B38" s="4"/>
      <c r="C38" s="52" t="s">
        <v>47</v>
      </c>
      <c r="D38" s="52"/>
      <c r="E38" s="52"/>
      <c r="F38" s="50" t="s">
        <v>48</v>
      </c>
      <c r="G38" s="52"/>
      <c r="H38" s="52"/>
      <c r="I38" s="52"/>
      <c r="J38" s="9"/>
      <c r="K38" s="1029"/>
      <c r="M38" s="4"/>
      <c r="N38" s="52" t="s">
        <v>47</v>
      </c>
      <c r="O38" s="52"/>
      <c r="P38" s="52"/>
      <c r="Q38" s="50" t="s">
        <v>48</v>
      </c>
      <c r="R38" s="52"/>
      <c r="S38" s="52"/>
      <c r="T38" s="52"/>
      <c r="U38" s="9"/>
      <c r="W38" s="4"/>
      <c r="X38" s="52" t="s">
        <v>82</v>
      </c>
      <c r="Y38" s="52"/>
      <c r="Z38" s="16"/>
      <c r="AA38" s="16" t="s">
        <v>50</v>
      </c>
      <c r="AB38" s="52"/>
      <c r="AC38" s="52"/>
      <c r="AD38" s="52"/>
      <c r="AE38" s="9"/>
      <c r="AF38" s="41"/>
      <c r="AG38" s="4"/>
      <c r="AH38" s="52" t="s">
        <v>47</v>
      </c>
      <c r="AI38" s="52"/>
      <c r="AJ38" s="52"/>
      <c r="AK38" s="50" t="s">
        <v>48</v>
      </c>
      <c r="AL38" s="52"/>
      <c r="AM38" s="52"/>
      <c r="AN38" s="52"/>
      <c r="AO38" s="9"/>
      <c r="AP38" s="41"/>
      <c r="AQ38" s="4"/>
      <c r="AR38" s="52" t="s">
        <v>47</v>
      </c>
      <c r="AS38" s="52"/>
      <c r="AT38" s="52"/>
      <c r="AU38" s="50" t="s">
        <v>48</v>
      </c>
      <c r="AV38" s="52"/>
      <c r="AW38" s="52"/>
      <c r="AX38" s="52"/>
      <c r="AY38" s="9"/>
      <c r="AZ38" s="41"/>
      <c r="BA38" s="4"/>
      <c r="BB38" s="52" t="s">
        <v>47</v>
      </c>
      <c r="BC38" s="52"/>
      <c r="BD38" s="52"/>
      <c r="BE38" s="50" t="s">
        <v>48</v>
      </c>
      <c r="BF38" s="52"/>
      <c r="BG38" s="52"/>
      <c r="BH38" s="52"/>
      <c r="BI38" s="9"/>
      <c r="BJ38" s="41"/>
      <c r="BK38" s="4"/>
      <c r="BL38" s="52" t="s">
        <v>47</v>
      </c>
      <c r="BM38" s="52"/>
      <c r="BN38" s="52"/>
      <c r="BO38" s="50" t="s">
        <v>48</v>
      </c>
      <c r="BP38" s="52"/>
      <c r="BQ38" s="52"/>
      <c r="BR38" s="52"/>
      <c r="BS38" s="9"/>
      <c r="BU38" s="4"/>
      <c r="BV38" s="52" t="s">
        <v>47</v>
      </c>
      <c r="BW38" s="52"/>
      <c r="BX38" s="52"/>
      <c r="BY38" s="50" t="s">
        <v>48</v>
      </c>
      <c r="BZ38" s="52"/>
      <c r="CA38" s="52"/>
      <c r="CB38" s="52"/>
      <c r="CC38" s="9"/>
      <c r="CE38" s="4"/>
      <c r="CF38" s="92" t="s">
        <v>866</v>
      </c>
      <c r="CG38" s="52"/>
      <c r="CH38" s="16"/>
      <c r="CI38" s="16" t="s">
        <v>128</v>
      </c>
      <c r="CJ38" s="869" t="s">
        <v>867</v>
      </c>
      <c r="CK38" s="41"/>
      <c r="CL38" s="52"/>
      <c r="CM38" s="9"/>
      <c r="CN38" s="1029"/>
      <c r="CO38" s="4"/>
      <c r="CP38" s="92" t="s">
        <v>866</v>
      </c>
      <c r="CQ38" s="52"/>
      <c r="CR38" s="16"/>
      <c r="CS38" s="16" t="s">
        <v>128</v>
      </c>
      <c r="CT38" s="869" t="s">
        <v>867</v>
      </c>
      <c r="CU38" s="984"/>
      <c r="CV38" s="52"/>
      <c r="CW38" s="9"/>
      <c r="CX38" s="41"/>
      <c r="CY38" s="4"/>
      <c r="CZ38" s="92" t="s">
        <v>866</v>
      </c>
      <c r="DA38" s="52"/>
      <c r="DB38" s="16"/>
      <c r="DC38" s="16" t="s">
        <v>128</v>
      </c>
      <c r="DD38" s="869" t="s">
        <v>867</v>
      </c>
      <c r="DE38" s="1312"/>
      <c r="DF38" s="52"/>
      <c r="DG38" s="9"/>
      <c r="DI38" s="4"/>
      <c r="DJ38" s="52" t="s">
        <v>47</v>
      </c>
      <c r="DK38" s="52"/>
      <c r="DL38" s="52"/>
      <c r="DM38" s="50" t="s">
        <v>48</v>
      </c>
      <c r="DN38" s="52"/>
      <c r="DO38" s="52"/>
      <c r="DP38" s="52"/>
      <c r="DQ38" s="9"/>
      <c r="DS38" s="4"/>
      <c r="DT38" s="52" t="s">
        <v>47</v>
      </c>
      <c r="DU38" s="52"/>
      <c r="DV38" s="52"/>
      <c r="DW38" s="50" t="s">
        <v>48</v>
      </c>
      <c r="DX38" s="52"/>
      <c r="DY38" s="52"/>
      <c r="DZ38" s="52"/>
      <c r="EA38" s="9"/>
    </row>
    <row r="39" spans="2:131" s="41" customFormat="1" ht="16.2" thickBot="1" x14ac:dyDescent="0.35">
      <c r="B39" s="4"/>
      <c r="C39" s="92" t="s">
        <v>54</v>
      </c>
      <c r="D39" s="52"/>
      <c r="E39" s="52"/>
      <c r="F39" s="364" t="s">
        <v>108</v>
      </c>
      <c r="G39" s="44">
        <v>-6</v>
      </c>
      <c r="H39" s="52"/>
      <c r="I39" s="52"/>
      <c r="J39" s="9"/>
      <c r="K39" s="1029"/>
      <c r="M39" s="4"/>
      <c r="N39" s="92" t="s">
        <v>54</v>
      </c>
      <c r="O39" s="52"/>
      <c r="P39" s="52"/>
      <c r="Q39" s="103" t="s">
        <v>108</v>
      </c>
      <c r="R39" s="44">
        <v>-1</v>
      </c>
      <c r="S39" s="52"/>
      <c r="T39" s="52"/>
      <c r="U39" s="9"/>
      <c r="W39" s="11"/>
      <c r="X39" s="5" t="s">
        <v>58</v>
      </c>
      <c r="Y39" s="12"/>
      <c r="Z39" s="35" t="s">
        <v>59</v>
      </c>
      <c r="AA39" s="213" t="s">
        <v>58</v>
      </c>
      <c r="AB39" s="12"/>
      <c r="AC39" s="5" t="s">
        <v>60</v>
      </c>
      <c r="AD39" s="5"/>
      <c r="AE39" s="12"/>
      <c r="AG39" s="4"/>
      <c r="AH39" s="92" t="s">
        <v>54</v>
      </c>
      <c r="AI39" s="52"/>
      <c r="AJ39" s="52"/>
      <c r="AK39" s="103" t="s">
        <v>108</v>
      </c>
      <c r="AL39" s="44">
        <v>-2</v>
      </c>
      <c r="AM39" s="52"/>
      <c r="AN39" s="52"/>
      <c r="AO39" s="9"/>
      <c r="AQ39" s="4"/>
      <c r="AR39" s="92" t="s">
        <v>54</v>
      </c>
      <c r="AS39" s="52"/>
      <c r="AT39" s="52"/>
      <c r="AU39" s="364" t="s">
        <v>108</v>
      </c>
      <c r="AV39" s="44">
        <v>-1</v>
      </c>
      <c r="AW39" s="52"/>
      <c r="AX39" s="52"/>
      <c r="AY39" s="9"/>
      <c r="BA39" s="4"/>
      <c r="BB39" s="92" t="s">
        <v>54</v>
      </c>
      <c r="BC39" s="52"/>
      <c r="BD39" s="52"/>
      <c r="BE39" s="364" t="s">
        <v>117</v>
      </c>
      <c r="BF39" s="44">
        <v>-3</v>
      </c>
      <c r="BG39" s="52"/>
      <c r="BH39" s="52"/>
      <c r="BI39" s="9"/>
      <c r="BK39" s="4"/>
      <c r="BL39" s="92" t="s">
        <v>54</v>
      </c>
      <c r="BM39" s="52"/>
      <c r="BN39" s="52"/>
      <c r="BO39" s="103" t="s">
        <v>108</v>
      </c>
      <c r="BP39" s="52"/>
      <c r="BQ39" s="52"/>
      <c r="BR39" s="52"/>
      <c r="BS39" s="9"/>
      <c r="BT39"/>
      <c r="BU39" s="4"/>
      <c r="BV39" s="92" t="s">
        <v>54</v>
      </c>
      <c r="BW39" s="52"/>
      <c r="BX39" s="52"/>
      <c r="BY39" s="103" t="s">
        <v>117</v>
      </c>
      <c r="BZ39" s="44">
        <v>-1</v>
      </c>
      <c r="CA39" s="52"/>
      <c r="CB39" s="52"/>
      <c r="CC39" s="9"/>
      <c r="CE39" s="4"/>
      <c r="CF39" s="52" t="s">
        <v>56</v>
      </c>
      <c r="CG39" s="52"/>
      <c r="CH39" s="16"/>
      <c r="CI39" s="16" t="s">
        <v>57</v>
      </c>
      <c r="CJ39" s="52"/>
      <c r="CK39" s="52"/>
      <c r="CL39" s="52"/>
      <c r="CM39" s="9"/>
      <c r="CN39" s="1029"/>
      <c r="CO39" s="4"/>
      <c r="CP39" s="92" t="s">
        <v>934</v>
      </c>
      <c r="CQ39" s="52"/>
      <c r="CR39" s="16"/>
      <c r="CS39" s="16"/>
      <c r="CT39" s="869"/>
      <c r="CU39" s="984"/>
      <c r="CV39" s="52"/>
      <c r="CW39" s="9"/>
      <c r="CX39"/>
      <c r="CY39" s="4"/>
      <c r="CZ39" s="52" t="s">
        <v>56</v>
      </c>
      <c r="DA39" s="52"/>
      <c r="DB39" s="16"/>
      <c r="DC39" s="16" t="s">
        <v>57</v>
      </c>
      <c r="DD39" s="52"/>
      <c r="DE39" s="52"/>
      <c r="DF39" s="52"/>
      <c r="DG39" s="9"/>
      <c r="DI39" s="4"/>
      <c r="DJ39" s="92" t="s">
        <v>54</v>
      </c>
      <c r="DK39" s="52"/>
      <c r="DL39" s="52"/>
      <c r="DM39" s="364" t="s">
        <v>108</v>
      </c>
      <c r="DN39" s="44">
        <v>-2</v>
      </c>
      <c r="DO39" s="52"/>
      <c r="DP39" s="52"/>
      <c r="DQ39" s="9"/>
      <c r="DS39" s="4"/>
      <c r="DT39" s="92" t="s">
        <v>54</v>
      </c>
      <c r="DU39" s="52"/>
      <c r="DV39" s="52"/>
      <c r="DW39" s="364" t="s">
        <v>108</v>
      </c>
      <c r="DX39" s="44">
        <v>-1</v>
      </c>
      <c r="DY39" s="52"/>
      <c r="DZ39" s="52"/>
      <c r="EA39" s="9"/>
    </row>
    <row r="40" spans="2:131" ht="16.2" thickBot="1" x14ac:dyDescent="0.35">
      <c r="B40" s="4"/>
      <c r="C40" s="52" t="s">
        <v>690</v>
      </c>
      <c r="D40" s="52"/>
      <c r="E40" s="52"/>
      <c r="F40" s="51" t="s">
        <v>102</v>
      </c>
      <c r="G40" s="16" t="s">
        <v>80</v>
      </c>
      <c r="H40" s="52"/>
      <c r="I40" s="52"/>
      <c r="J40" s="9"/>
      <c r="K40" s="1029"/>
      <c r="M40" s="4"/>
      <c r="N40" s="52" t="s">
        <v>690</v>
      </c>
      <c r="O40" s="52"/>
      <c r="P40" s="52"/>
      <c r="Q40" s="51" t="s">
        <v>105</v>
      </c>
      <c r="R40" s="16" t="s">
        <v>80</v>
      </c>
      <c r="S40" s="52"/>
      <c r="T40" s="52"/>
      <c r="U40" s="9"/>
      <c r="W40" s="2095">
        <f ca="1">TODAY()</f>
        <v>45590</v>
      </c>
      <c r="X40" s="2095"/>
      <c r="Y40" s="3"/>
      <c r="Z40" s="37"/>
      <c r="AA40" s="1"/>
      <c r="AB40" s="3"/>
      <c r="AC40" s="2"/>
      <c r="AD40" s="2"/>
      <c r="AE40" s="3"/>
      <c r="AF40" s="41"/>
      <c r="AG40" s="4"/>
      <c r="AH40" s="52" t="s">
        <v>690</v>
      </c>
      <c r="AI40" s="52"/>
      <c r="AJ40" s="52"/>
      <c r="AK40" s="51" t="s">
        <v>102</v>
      </c>
      <c r="AL40" s="16" t="s">
        <v>80</v>
      </c>
      <c r="AM40" s="52"/>
      <c r="AN40" s="52"/>
      <c r="AO40" s="9"/>
      <c r="AP40" s="41"/>
      <c r="AQ40" s="4"/>
      <c r="AR40" s="52" t="s">
        <v>690</v>
      </c>
      <c r="AS40" s="52"/>
      <c r="AT40" s="52"/>
      <c r="AU40" s="51" t="s">
        <v>102</v>
      </c>
      <c r="AV40" s="16" t="s">
        <v>80</v>
      </c>
      <c r="AW40" s="52"/>
      <c r="AX40" s="52"/>
      <c r="AY40" s="9"/>
      <c r="AZ40" s="41"/>
      <c r="BA40" s="4"/>
      <c r="BB40" s="52" t="s">
        <v>690</v>
      </c>
      <c r="BC40" s="52"/>
      <c r="BD40" s="52"/>
      <c r="BE40" s="51" t="s">
        <v>105</v>
      </c>
      <c r="BF40" s="16" t="s">
        <v>80</v>
      </c>
      <c r="BG40" s="52"/>
      <c r="BH40" s="52"/>
      <c r="BI40" s="9"/>
      <c r="BJ40" s="41"/>
      <c r="BK40" s="4"/>
      <c r="BL40" s="52" t="s">
        <v>690</v>
      </c>
      <c r="BM40" s="52"/>
      <c r="BN40" s="52"/>
      <c r="BO40" s="51" t="s">
        <v>102</v>
      </c>
      <c r="BP40" s="16" t="s">
        <v>80</v>
      </c>
      <c r="BQ40" s="52"/>
      <c r="BR40" s="52"/>
      <c r="BS40" s="9"/>
      <c r="BT40" s="41"/>
      <c r="BU40" s="4"/>
      <c r="BV40" s="52" t="s">
        <v>690</v>
      </c>
      <c r="BW40" s="52"/>
      <c r="BX40" s="52"/>
      <c r="BY40" s="51" t="s">
        <v>114</v>
      </c>
      <c r="BZ40" s="16" t="s">
        <v>80</v>
      </c>
      <c r="CA40" s="52"/>
      <c r="CB40" s="52"/>
      <c r="CC40" s="9"/>
      <c r="CE40" s="2032" t="s">
        <v>58</v>
      </c>
      <c r="CF40" s="2034"/>
      <c r="CG40" s="2033"/>
      <c r="CH40" s="35" t="s">
        <v>59</v>
      </c>
      <c r="CI40" s="2032" t="s">
        <v>58</v>
      </c>
      <c r="CJ40" s="2033"/>
      <c r="CK40" s="5" t="s">
        <v>60</v>
      </c>
      <c r="CL40" s="5"/>
      <c r="CM40" s="12"/>
      <c r="CN40" s="1029"/>
      <c r="CO40" s="4"/>
      <c r="CP40" s="52" t="s">
        <v>82</v>
      </c>
      <c r="CS40" t="s">
        <v>932</v>
      </c>
      <c r="CT40" s="869"/>
      <c r="CU40" s="984"/>
      <c r="CV40" s="52"/>
      <c r="CW40" s="9"/>
      <c r="CY40" s="2032" t="s">
        <v>58</v>
      </c>
      <c r="CZ40" s="2034"/>
      <c r="DA40" s="2033"/>
      <c r="DB40" s="35" t="s">
        <v>59</v>
      </c>
      <c r="DC40" s="2032" t="s">
        <v>58</v>
      </c>
      <c r="DD40" s="2033"/>
      <c r="DE40" s="5" t="s">
        <v>60</v>
      </c>
      <c r="DF40" s="5"/>
      <c r="DG40" s="12"/>
      <c r="DI40" s="4"/>
      <c r="DJ40" s="52" t="s">
        <v>690</v>
      </c>
      <c r="DK40" s="52"/>
      <c r="DL40" s="52"/>
      <c r="DM40" s="51" t="s">
        <v>102</v>
      </c>
      <c r="DN40" s="16" t="s">
        <v>80</v>
      </c>
      <c r="DO40" s="52"/>
      <c r="DP40" s="52"/>
      <c r="DQ40" s="9"/>
      <c r="DS40" s="4"/>
      <c r="DT40" s="52" t="s">
        <v>690</v>
      </c>
      <c r="DU40" s="52"/>
      <c r="DV40" s="52"/>
      <c r="DW40" s="51" t="s">
        <v>105</v>
      </c>
      <c r="DX40" s="16" t="s">
        <v>80</v>
      </c>
      <c r="DY40" s="52"/>
      <c r="DZ40" s="52"/>
      <c r="EA40" s="9"/>
    </row>
    <row r="41" spans="2:131" ht="16.2" thickBot="1" x14ac:dyDescent="0.35">
      <c r="B41" s="4"/>
      <c r="C41" s="52" t="s">
        <v>43</v>
      </c>
      <c r="D41" s="52"/>
      <c r="E41" s="52"/>
      <c r="F41" s="50" t="str">
        <f>VLOOKUP(F7,Марка_металла[],6,FALSE())</f>
        <v>25010.00173</v>
      </c>
      <c r="G41" s="52"/>
      <c r="H41" s="52"/>
      <c r="I41" s="52"/>
      <c r="J41" s="9"/>
      <c r="K41" s="1029"/>
      <c r="M41" s="4"/>
      <c r="N41" s="52" t="s">
        <v>43</v>
      </c>
      <c r="O41" s="52"/>
      <c r="P41" s="52"/>
      <c r="Q41" s="50" t="str">
        <f>VLOOKUP(Q7,Марка_металла[],6,FALSE())</f>
        <v>25010.00174</v>
      </c>
      <c r="R41" s="52"/>
      <c r="S41" s="52"/>
      <c r="T41" s="52"/>
      <c r="U41" s="9"/>
      <c r="W41" s="70"/>
      <c r="X41" s="19" t="s">
        <v>61</v>
      </c>
      <c r="Y41" s="3"/>
      <c r="Z41" s="20"/>
      <c r="AA41" s="19"/>
      <c r="AB41" s="19"/>
      <c r="AC41" s="19"/>
      <c r="AD41" s="19"/>
      <c r="AE41" s="38"/>
      <c r="AF41" s="41"/>
      <c r="AG41" s="4"/>
      <c r="AH41" s="52" t="s">
        <v>43</v>
      </c>
      <c r="AI41" s="52"/>
      <c r="AJ41" s="52"/>
      <c r="AK41" s="50" t="str">
        <f>VLOOKUP(AK7,Марка_металла[],6,FALSE())</f>
        <v>25010.00173</v>
      </c>
      <c r="AL41" s="52"/>
      <c r="AM41" s="52"/>
      <c r="AN41" s="52"/>
      <c r="AO41" s="9"/>
      <c r="AP41" s="41"/>
      <c r="AQ41" s="4"/>
      <c r="AR41" s="52" t="s">
        <v>43</v>
      </c>
      <c r="AS41" s="52"/>
      <c r="AT41" s="52"/>
      <c r="AU41" s="50" t="str">
        <f>VLOOKUP(AU7,Марка_металла[],6,FALSE())</f>
        <v>25010.00173</v>
      </c>
      <c r="AV41" s="52"/>
      <c r="AW41" s="52"/>
      <c r="AX41" s="52"/>
      <c r="AY41" s="9"/>
      <c r="AZ41" s="41"/>
      <c r="BA41" s="4"/>
      <c r="BB41" s="52" t="s">
        <v>43</v>
      </c>
      <c r="BC41" s="52"/>
      <c r="BD41" s="52"/>
      <c r="BE41" s="50" t="str">
        <f>VLOOKUP(BE7,Марка_металла[],6,FALSE())</f>
        <v>25010.00176</v>
      </c>
      <c r="BF41" s="52"/>
      <c r="BG41" s="52"/>
      <c r="BH41" s="52"/>
      <c r="BI41" s="9"/>
      <c r="BJ41" s="41"/>
      <c r="BK41" s="4"/>
      <c r="BL41" s="52" t="s">
        <v>43</v>
      </c>
      <c r="BM41" s="52"/>
      <c r="BN41" s="52"/>
      <c r="BO41" s="50" t="str">
        <f>VLOOKUP(BO7,Марка_металла[],6,FALSE())</f>
        <v>25010.00173</v>
      </c>
      <c r="BP41" s="52"/>
      <c r="BQ41" s="52"/>
      <c r="BR41" s="52"/>
      <c r="BS41" s="9"/>
      <c r="BU41" s="4"/>
      <c r="BV41" s="52" t="s">
        <v>43</v>
      </c>
      <c r="BW41" s="52"/>
      <c r="BX41" s="52"/>
      <c r="BY41" s="50" t="str">
        <f>VLOOKUP(BY7,Марка_металла[],6,FALSE())</f>
        <v>25010.00176</v>
      </c>
      <c r="BZ41" s="52"/>
      <c r="CA41" s="52"/>
      <c r="CB41" s="52"/>
      <c r="CC41" s="9"/>
      <c r="CE41" s="2035">
        <f ca="1">TODAY()</f>
        <v>45590</v>
      </c>
      <c r="CF41" s="2036"/>
      <c r="CG41" s="2037"/>
      <c r="CH41" s="849"/>
      <c r="CI41" s="1"/>
      <c r="CJ41" s="3"/>
      <c r="CK41" s="2"/>
      <c r="CL41" s="2"/>
      <c r="CM41" s="3"/>
      <c r="CN41" s="52"/>
      <c r="CO41" s="4"/>
      <c r="CP41" s="92" t="s">
        <v>930</v>
      </c>
      <c r="CQ41" s="52" t="s">
        <v>931</v>
      </c>
      <c r="CR41" s="16"/>
      <c r="CS41" s="16"/>
      <c r="CT41" s="869"/>
      <c r="CU41" s="984"/>
      <c r="CV41" s="52"/>
      <c r="CW41" s="9"/>
      <c r="CY41" s="2035">
        <f ca="1">TODAY()</f>
        <v>45590</v>
      </c>
      <c r="CZ41" s="2036"/>
      <c r="DA41" s="2037"/>
      <c r="DB41" s="952"/>
      <c r="DC41" s="1566"/>
      <c r="DD41" s="3"/>
      <c r="DE41" s="1567"/>
      <c r="DF41" s="1567"/>
      <c r="DG41" s="3"/>
      <c r="DI41" s="4"/>
      <c r="DJ41" s="52" t="s">
        <v>43</v>
      </c>
      <c r="DK41" s="52"/>
      <c r="DL41" s="52"/>
      <c r="DM41" s="50" t="str">
        <f>VLOOKUP(DM7,Марка_металла[],6,FALSE())</f>
        <v>25010.00173</v>
      </c>
      <c r="DN41" s="52"/>
      <c r="DO41" s="52"/>
      <c r="DP41" s="52"/>
      <c r="DQ41" s="9"/>
      <c r="DS41" s="4"/>
      <c r="DT41" s="52" t="s">
        <v>43</v>
      </c>
      <c r="DU41" s="52"/>
      <c r="DV41" s="52"/>
      <c r="DW41" s="50" t="str">
        <f>VLOOKUP(DW7,Марка_металла[],6,FALSE())</f>
        <v>25010.00174</v>
      </c>
      <c r="DX41" s="52"/>
      <c r="DY41" s="52"/>
      <c r="DZ41" s="52"/>
      <c r="EA41" s="9"/>
    </row>
    <row r="42" spans="2:131" ht="15" thickBot="1" x14ac:dyDescent="0.35">
      <c r="B42" s="4"/>
      <c r="C42" s="52" t="s">
        <v>44</v>
      </c>
      <c r="D42" s="52"/>
      <c r="E42" s="52"/>
      <c r="F42" s="50" t="s">
        <v>106</v>
      </c>
      <c r="G42" s="52"/>
      <c r="H42" s="52"/>
      <c r="I42" s="52"/>
      <c r="J42" s="9"/>
      <c r="K42" s="1029"/>
      <c r="M42" s="4"/>
      <c r="N42" s="52" t="s">
        <v>44</v>
      </c>
      <c r="O42" s="52"/>
      <c r="P42" s="52"/>
      <c r="Q42" s="50" t="s">
        <v>81</v>
      </c>
      <c r="R42" s="52"/>
      <c r="S42" s="52"/>
      <c r="T42" s="52"/>
      <c r="U42" s="9"/>
      <c r="W42" s="4"/>
      <c r="X42" s="56"/>
      <c r="Y42" s="56"/>
      <c r="Z42" s="56"/>
      <c r="AA42" s="56"/>
      <c r="AB42" s="56"/>
      <c r="AC42" s="56"/>
      <c r="AD42" s="56"/>
      <c r="AE42" s="9"/>
      <c r="AF42" s="41"/>
      <c r="AG42" s="4"/>
      <c r="AH42" s="52" t="s">
        <v>44</v>
      </c>
      <c r="AI42" s="52"/>
      <c r="AJ42" s="52"/>
      <c r="AK42" s="50" t="s">
        <v>81</v>
      </c>
      <c r="AL42" s="52"/>
      <c r="AM42" s="52"/>
      <c r="AN42" s="52"/>
      <c r="AO42" s="9"/>
      <c r="AP42" s="41"/>
      <c r="AQ42" s="4"/>
      <c r="AR42" s="52" t="s">
        <v>44</v>
      </c>
      <c r="AS42" s="52"/>
      <c r="AT42" s="52"/>
      <c r="AU42" s="50" t="s">
        <v>81</v>
      </c>
      <c r="AV42" s="52"/>
      <c r="AW42" s="52"/>
      <c r="AX42" s="52"/>
      <c r="AY42" s="9"/>
      <c r="AZ42" s="41"/>
      <c r="BA42" s="4"/>
      <c r="BB42" s="52" t="s">
        <v>44</v>
      </c>
      <c r="BC42" s="52"/>
      <c r="BD42" s="52"/>
      <c r="BE42" s="50" t="s">
        <v>81</v>
      </c>
      <c r="BF42" s="52"/>
      <c r="BG42" s="52"/>
      <c r="BH42" s="52"/>
      <c r="BI42" s="9"/>
      <c r="BJ42" s="41"/>
      <c r="BK42" s="4"/>
      <c r="BL42" s="52" t="s">
        <v>44</v>
      </c>
      <c r="BM42" s="52"/>
      <c r="BN42" s="52"/>
      <c r="BO42" s="50" t="s">
        <v>81</v>
      </c>
      <c r="BP42" s="52"/>
      <c r="BQ42" s="52"/>
      <c r="BR42" s="52"/>
      <c r="BS42" s="9"/>
      <c r="BU42" s="4"/>
      <c r="BV42" s="52" t="s">
        <v>44</v>
      </c>
      <c r="BW42" s="52"/>
      <c r="BX42" s="52"/>
      <c r="BY42" s="50" t="s">
        <v>81</v>
      </c>
      <c r="BZ42" s="52"/>
      <c r="CA42" s="52"/>
      <c r="CB42" s="52"/>
      <c r="CC42" s="9"/>
      <c r="CE42" s="2032" t="s">
        <v>61</v>
      </c>
      <c r="CF42" s="2034"/>
      <c r="CG42" s="2033"/>
      <c r="CH42" s="20"/>
      <c r="CI42" s="19"/>
      <c r="CJ42" s="19"/>
      <c r="CK42" s="19"/>
      <c r="CL42" s="19"/>
      <c r="CM42" s="38"/>
      <c r="CN42" s="1029"/>
      <c r="CO42" s="4"/>
      <c r="CP42" s="52" t="s">
        <v>56</v>
      </c>
      <c r="CQ42" s="52"/>
      <c r="CR42" s="16"/>
      <c r="CS42" s="16" t="s">
        <v>57</v>
      </c>
      <c r="CT42" s="52"/>
      <c r="CU42" s="52"/>
      <c r="CV42" s="52"/>
      <c r="CW42" s="9"/>
      <c r="CY42" s="2032" t="s">
        <v>61</v>
      </c>
      <c r="CZ42" s="2034"/>
      <c r="DA42" s="2033"/>
      <c r="DB42" s="20"/>
      <c r="DC42" s="19"/>
      <c r="DD42" s="19"/>
      <c r="DE42" s="19"/>
      <c r="DF42" s="19"/>
      <c r="DG42" s="38"/>
      <c r="DI42" s="4"/>
      <c r="DJ42" s="52" t="s">
        <v>44</v>
      </c>
      <c r="DK42" s="52"/>
      <c r="DL42" s="52"/>
      <c r="DM42" s="50" t="s">
        <v>106</v>
      </c>
      <c r="DN42" s="52"/>
      <c r="DO42" s="52"/>
      <c r="DP42" s="52"/>
      <c r="DQ42" s="9"/>
      <c r="DS42" s="4"/>
      <c r="DT42" s="52" t="s">
        <v>44</v>
      </c>
      <c r="DU42" s="52"/>
      <c r="DV42" s="52"/>
      <c r="DW42" s="50" t="s">
        <v>106</v>
      </c>
      <c r="DX42" s="52"/>
      <c r="DY42" s="52"/>
      <c r="DZ42" s="52"/>
      <c r="EA42" s="9"/>
    </row>
    <row r="43" spans="2:131" ht="15" thickBot="1" x14ac:dyDescent="0.35">
      <c r="B43" s="4"/>
      <c r="C43" s="52" t="s">
        <v>56</v>
      </c>
      <c r="D43" s="52"/>
      <c r="E43" s="16"/>
      <c r="F43" s="16" t="s">
        <v>799</v>
      </c>
      <c r="G43" s="52"/>
      <c r="H43" s="52"/>
      <c r="I43" s="52"/>
      <c r="J43" s="9"/>
      <c r="K43" s="1029"/>
      <c r="M43" s="4"/>
      <c r="N43" s="52" t="s">
        <v>56</v>
      </c>
      <c r="O43" s="52"/>
      <c r="P43" s="16"/>
      <c r="Q43" s="16" t="s">
        <v>57</v>
      </c>
      <c r="R43" s="52"/>
      <c r="S43" s="52"/>
      <c r="T43" s="52"/>
      <c r="U43" s="9"/>
      <c r="W43" s="81" t="s">
        <v>3</v>
      </c>
      <c r="X43" s="250"/>
      <c r="Y43" s="251"/>
      <c r="Z43" s="84" t="s">
        <v>250</v>
      </c>
      <c r="AA43" s="85" t="s">
        <v>251</v>
      </c>
      <c r="AB43" s="84" t="s">
        <v>251</v>
      </c>
      <c r="AC43" s="84" t="s">
        <v>252</v>
      </c>
      <c r="AD43" s="81" t="s">
        <v>253</v>
      </c>
      <c r="AE43" s="251"/>
      <c r="AF43" s="41"/>
      <c r="AG43" s="4"/>
      <c r="AH43" s="52" t="s">
        <v>56</v>
      </c>
      <c r="AI43" s="52"/>
      <c r="AJ43" s="16"/>
      <c r="AK43" s="16" t="s">
        <v>57</v>
      </c>
      <c r="AL43" s="52"/>
      <c r="AM43" s="52"/>
      <c r="AN43" s="52"/>
      <c r="AO43" s="9"/>
      <c r="AP43" s="41"/>
      <c r="AQ43" s="4"/>
      <c r="AR43" s="52" t="s">
        <v>56</v>
      </c>
      <c r="AS43" s="52"/>
      <c r="AT43" s="16"/>
      <c r="AU43" s="16" t="s">
        <v>57</v>
      </c>
      <c r="AV43" s="52"/>
      <c r="AW43" s="52"/>
      <c r="AX43" s="52"/>
      <c r="AY43" s="9"/>
      <c r="AZ43" s="41"/>
      <c r="BA43" s="4"/>
      <c r="BB43" s="52" t="s">
        <v>56</v>
      </c>
      <c r="BC43" s="52"/>
      <c r="BD43" s="16"/>
      <c r="BE43" s="16" t="s">
        <v>57</v>
      </c>
      <c r="BF43" s="52"/>
      <c r="BG43" s="52"/>
      <c r="BH43" s="52"/>
      <c r="BI43" s="9"/>
      <c r="BJ43" s="41"/>
      <c r="BK43" s="4"/>
      <c r="BL43" s="52" t="s">
        <v>56</v>
      </c>
      <c r="BM43" s="52"/>
      <c r="BN43" s="16"/>
      <c r="BO43" s="16" t="s">
        <v>57</v>
      </c>
      <c r="BP43" s="52"/>
      <c r="BQ43" s="52"/>
      <c r="BR43" s="52"/>
      <c r="BS43" s="9"/>
      <c r="BU43" s="4"/>
      <c r="BV43" s="52" t="s">
        <v>56</v>
      </c>
      <c r="BW43" s="52"/>
      <c r="BX43" s="16"/>
      <c r="BY43" s="16" t="s">
        <v>57</v>
      </c>
      <c r="BZ43" s="52"/>
      <c r="CA43" s="52"/>
      <c r="CB43" s="52"/>
      <c r="CC43" s="9"/>
      <c r="CE43" s="4"/>
      <c r="CF43" s="56"/>
      <c r="CG43" s="56"/>
      <c r="CH43" s="56"/>
      <c r="CI43" s="56"/>
      <c r="CJ43" s="56"/>
      <c r="CK43" s="56"/>
      <c r="CL43" s="56"/>
      <c r="CM43" s="9"/>
      <c r="CN43" s="1029"/>
      <c r="CO43" s="2032" t="s">
        <v>58</v>
      </c>
      <c r="CP43" s="2034"/>
      <c r="CQ43" s="2033"/>
      <c r="CR43" s="985" t="s">
        <v>59</v>
      </c>
      <c r="CS43" s="982" t="s">
        <v>58</v>
      </c>
      <c r="CT43" s="2032" t="s">
        <v>60</v>
      </c>
      <c r="CU43" s="2033"/>
      <c r="CV43" s="2032" t="s">
        <v>833</v>
      </c>
      <c r="CW43" s="2033"/>
      <c r="CY43" s="4"/>
      <c r="CZ43" s="1029"/>
      <c r="DA43" s="1029"/>
      <c r="DB43" s="1029"/>
      <c r="DC43" s="1029"/>
      <c r="DD43" s="1029"/>
      <c r="DE43" s="1029"/>
      <c r="DF43" s="1029"/>
      <c r="DG43" s="9"/>
      <c r="DI43" s="4"/>
      <c r="DJ43" s="52" t="s">
        <v>56</v>
      </c>
      <c r="DK43" s="52"/>
      <c r="DL43" s="16"/>
      <c r="DM43" s="16" t="s">
        <v>799</v>
      </c>
      <c r="DN43" s="52"/>
      <c r="DO43" s="52"/>
      <c r="DP43" s="52"/>
      <c r="DQ43" s="9"/>
      <c r="DS43" s="4"/>
      <c r="DT43" s="52" t="s">
        <v>56</v>
      </c>
      <c r="DU43" s="52"/>
      <c r="DV43" s="16"/>
      <c r="DW43" s="16" t="s">
        <v>799</v>
      </c>
      <c r="DX43" s="52"/>
      <c r="DY43" s="52"/>
      <c r="DZ43" s="52"/>
      <c r="EA43" s="9"/>
    </row>
    <row r="44" spans="2:131" ht="15" thickBot="1" x14ac:dyDescent="0.35">
      <c r="B44" s="4"/>
      <c r="C44" s="52" t="s">
        <v>82</v>
      </c>
      <c r="D44" s="52"/>
      <c r="E44" s="16"/>
      <c r="F44" s="16" t="s">
        <v>50</v>
      </c>
      <c r="G44" s="52"/>
      <c r="H44" s="52"/>
      <c r="I44" s="52"/>
      <c r="J44" s="9"/>
      <c r="K44" s="1029"/>
      <c r="M44" s="4"/>
      <c r="N44" s="52" t="s">
        <v>82</v>
      </c>
      <c r="O44" s="52"/>
      <c r="P44" s="16"/>
      <c r="Q44" s="16" t="s">
        <v>50</v>
      </c>
      <c r="R44" s="52"/>
      <c r="S44" s="52"/>
      <c r="T44" s="52"/>
      <c r="U44" s="9"/>
      <c r="W44" s="86"/>
      <c r="X44" s="252" t="s">
        <v>254</v>
      </c>
      <c r="Y44" s="253"/>
      <c r="Z44" s="88" t="s">
        <v>255</v>
      </c>
      <c r="AA44" s="88" t="s">
        <v>256</v>
      </c>
      <c r="AB44" s="88" t="s">
        <v>257</v>
      </c>
      <c r="AC44" s="88"/>
      <c r="AD44" s="89" t="s">
        <v>258</v>
      </c>
      <c r="AE44" s="253"/>
      <c r="AF44" s="41"/>
      <c r="AG44" s="4"/>
      <c r="AH44" s="52" t="s">
        <v>82</v>
      </c>
      <c r="AI44" s="52"/>
      <c r="AJ44" s="16"/>
      <c r="AK44" s="16" t="s">
        <v>50</v>
      </c>
      <c r="AL44" s="52"/>
      <c r="AM44" s="52"/>
      <c r="AN44" s="52"/>
      <c r="AO44" s="9"/>
      <c r="AP44" s="41"/>
      <c r="AQ44" s="4"/>
      <c r="AR44" s="52" t="s">
        <v>82</v>
      </c>
      <c r="AS44" s="52"/>
      <c r="AT44" s="16"/>
      <c r="AU44" s="124" t="s">
        <v>50</v>
      </c>
      <c r="AV44" s="52"/>
      <c r="AW44" s="52"/>
      <c r="AX44" s="52"/>
      <c r="AY44" s="9"/>
      <c r="AZ44" s="41"/>
      <c r="BA44" s="4"/>
      <c r="BB44" s="52" t="s">
        <v>82</v>
      </c>
      <c r="BC44" s="52"/>
      <c r="BD44" s="16"/>
      <c r="BE44" s="124" t="s">
        <v>50</v>
      </c>
      <c r="BF44" s="52"/>
      <c r="BG44" s="52"/>
      <c r="BH44" s="52"/>
      <c r="BI44" s="9"/>
      <c r="BJ44" s="41"/>
      <c r="BK44" s="4"/>
      <c r="BL44" s="52" t="s">
        <v>82</v>
      </c>
      <c r="BM44" s="52"/>
      <c r="BN44" s="16"/>
      <c r="BO44" s="16" t="s">
        <v>50</v>
      </c>
      <c r="BP44" s="52"/>
      <c r="BQ44" s="52"/>
      <c r="BR44" s="52"/>
      <c r="BS44" s="9"/>
      <c r="BU44" s="4"/>
      <c r="BV44" s="52" t="s">
        <v>82</v>
      </c>
      <c r="BW44" s="52"/>
      <c r="BX44" s="16"/>
      <c r="BY44" s="16" t="s">
        <v>50</v>
      </c>
      <c r="BZ44" s="52"/>
      <c r="CA44" s="52"/>
      <c r="CB44" s="52"/>
      <c r="CC44" s="9"/>
      <c r="CE44" s="2044" t="s">
        <v>3</v>
      </c>
      <c r="CF44" s="2045"/>
      <c r="CG44" s="2046"/>
      <c r="CH44" s="84" t="s">
        <v>250</v>
      </c>
      <c r="CI44" s="85" t="s">
        <v>251</v>
      </c>
      <c r="CJ44" s="84" t="s">
        <v>251</v>
      </c>
      <c r="CK44" s="84" t="s">
        <v>252</v>
      </c>
      <c r="CL44" s="81" t="s">
        <v>253</v>
      </c>
      <c r="CM44" s="851"/>
      <c r="CN44" s="741"/>
      <c r="CO44" s="2035">
        <f ca="1">TODAY()</f>
        <v>45590</v>
      </c>
      <c r="CP44" s="2036"/>
      <c r="CQ44" s="2037"/>
      <c r="CR44" s="952"/>
      <c r="CS44" s="1"/>
      <c r="CT44" s="764"/>
      <c r="CU44" s="77"/>
      <c r="CV44" s="2"/>
      <c r="CW44" s="3"/>
      <c r="CY44" s="2044" t="s">
        <v>3</v>
      </c>
      <c r="CZ44" s="2045"/>
      <c r="DA44" s="2046"/>
      <c r="DB44" s="84" t="s">
        <v>250</v>
      </c>
      <c r="DC44" s="85" t="s">
        <v>251</v>
      </c>
      <c r="DD44" s="84" t="s">
        <v>251</v>
      </c>
      <c r="DE44" s="84" t="s">
        <v>252</v>
      </c>
      <c r="DF44" s="81" t="s">
        <v>253</v>
      </c>
      <c r="DG44" s="1564"/>
      <c r="DI44" s="4"/>
      <c r="DJ44" s="52" t="s">
        <v>82</v>
      </c>
      <c r="DK44" s="52"/>
      <c r="DL44" s="16"/>
      <c r="DM44" s="16" t="s">
        <v>50</v>
      </c>
      <c r="DN44" s="52"/>
      <c r="DO44" s="52"/>
      <c r="DP44" s="52"/>
      <c r="DQ44" s="9"/>
      <c r="DS44" s="4"/>
      <c r="DT44" s="52" t="s">
        <v>82</v>
      </c>
      <c r="DU44" s="52"/>
      <c r="DV44" s="16"/>
      <c r="DW44" s="16" t="s">
        <v>50</v>
      </c>
      <c r="DX44" s="52"/>
      <c r="DY44" s="52"/>
      <c r="DZ44" s="52"/>
      <c r="EA44" s="9"/>
    </row>
    <row r="45" spans="2:131" ht="15" thickBot="1" x14ac:dyDescent="0.35">
      <c r="B45" s="11"/>
      <c r="C45" s="5" t="s">
        <v>58</v>
      </c>
      <c r="D45" s="12"/>
      <c r="E45" s="35" t="s">
        <v>59</v>
      </c>
      <c r="F45" s="36" t="s">
        <v>58</v>
      </c>
      <c r="G45" s="12"/>
      <c r="H45" s="5" t="s">
        <v>60</v>
      </c>
      <c r="I45" s="5"/>
      <c r="J45" s="12"/>
      <c r="K45" s="1029"/>
      <c r="M45" s="11"/>
      <c r="N45" s="5" t="s">
        <v>58</v>
      </c>
      <c r="O45" s="12"/>
      <c r="P45" s="35" t="s">
        <v>59</v>
      </c>
      <c r="Q45" s="213" t="s">
        <v>58</v>
      </c>
      <c r="R45" s="12"/>
      <c r="S45" s="5" t="s">
        <v>60</v>
      </c>
      <c r="T45" s="5"/>
      <c r="U45" s="12"/>
      <c r="W45" s="86"/>
      <c r="X45" s="252" t="s">
        <v>307</v>
      </c>
      <c r="Y45" s="252"/>
      <c r="Z45" s="141">
        <v>40</v>
      </c>
      <c r="AA45" s="142">
        <v>1</v>
      </c>
      <c r="AB45" s="141">
        <v>20</v>
      </c>
      <c r="AC45" s="88">
        <v>3</v>
      </c>
      <c r="AD45" s="2041">
        <f>ROUND(AA$10/AF51,3)</f>
        <v>1.621</v>
      </c>
      <c r="AE45" s="2042"/>
      <c r="AF45" s="41"/>
      <c r="AG45" s="11"/>
      <c r="AH45" s="5" t="s">
        <v>58</v>
      </c>
      <c r="AI45" s="12"/>
      <c r="AJ45" s="35" t="s">
        <v>59</v>
      </c>
      <c r="AK45" s="36" t="s">
        <v>58</v>
      </c>
      <c r="AL45" s="12"/>
      <c r="AM45" s="5" t="s">
        <v>60</v>
      </c>
      <c r="AN45" s="5"/>
      <c r="AO45" s="12"/>
      <c r="AP45" s="41"/>
      <c r="AQ45" s="11"/>
      <c r="AR45" s="5" t="s">
        <v>58</v>
      </c>
      <c r="AS45" s="12"/>
      <c r="AT45" s="35" t="s">
        <v>59</v>
      </c>
      <c r="AU45" s="36" t="s">
        <v>58</v>
      </c>
      <c r="AV45" s="12"/>
      <c r="AW45" s="5" t="s">
        <v>60</v>
      </c>
      <c r="AX45" s="5"/>
      <c r="AY45" s="12"/>
      <c r="AZ45" s="41"/>
      <c r="BA45" s="11"/>
      <c r="BB45" s="5" t="s">
        <v>58</v>
      </c>
      <c r="BC45" s="12"/>
      <c r="BD45" s="35" t="s">
        <v>59</v>
      </c>
      <c r="BE45" s="36" t="s">
        <v>58</v>
      </c>
      <c r="BF45" s="12"/>
      <c r="BG45" s="5" t="s">
        <v>60</v>
      </c>
      <c r="BH45" s="5"/>
      <c r="BI45" s="12"/>
      <c r="BJ45" s="41"/>
      <c r="BK45" s="11"/>
      <c r="BL45" s="5" t="s">
        <v>58</v>
      </c>
      <c r="BM45" s="12"/>
      <c r="BN45" s="1657" t="s">
        <v>59</v>
      </c>
      <c r="BO45" s="1658" t="s">
        <v>58</v>
      </c>
      <c r="BP45" s="1659"/>
      <c r="BQ45" s="1660" t="s">
        <v>60</v>
      </c>
      <c r="BR45" s="1660"/>
      <c r="BS45" s="1659"/>
      <c r="BU45" s="11"/>
      <c r="BV45" s="5" t="s">
        <v>58</v>
      </c>
      <c r="BW45" s="12"/>
      <c r="BX45" s="35" t="s">
        <v>59</v>
      </c>
      <c r="BY45" s="36" t="s">
        <v>58</v>
      </c>
      <c r="BZ45" s="12"/>
      <c r="CA45" s="5" t="s">
        <v>60</v>
      </c>
      <c r="CB45" s="5"/>
      <c r="CC45" s="12"/>
      <c r="CE45" s="2047" t="s">
        <v>254</v>
      </c>
      <c r="CF45" s="2048"/>
      <c r="CG45" s="2049"/>
      <c r="CH45" s="88" t="s">
        <v>255</v>
      </c>
      <c r="CI45" s="88" t="s">
        <v>256</v>
      </c>
      <c r="CJ45" s="88" t="s">
        <v>257</v>
      </c>
      <c r="CK45" s="88"/>
      <c r="CL45" s="89" t="s">
        <v>258</v>
      </c>
      <c r="CM45" s="848"/>
      <c r="CN45" s="741"/>
      <c r="CO45" s="2032" t="s">
        <v>61</v>
      </c>
      <c r="CP45" s="2034"/>
      <c r="CQ45" s="2033"/>
      <c r="CR45" s="20"/>
      <c r="CS45" s="19"/>
      <c r="CT45" s="19"/>
      <c r="CU45" s="19"/>
      <c r="CV45" s="19"/>
      <c r="CW45" s="38"/>
      <c r="CY45" s="2047" t="s">
        <v>254</v>
      </c>
      <c r="CZ45" s="2048"/>
      <c r="DA45" s="2049"/>
      <c r="DB45" s="88" t="s">
        <v>255</v>
      </c>
      <c r="DC45" s="88" t="s">
        <v>256</v>
      </c>
      <c r="DD45" s="88" t="s">
        <v>257</v>
      </c>
      <c r="DE45" s="88"/>
      <c r="DF45" s="89" t="s">
        <v>258</v>
      </c>
      <c r="DG45" s="1565"/>
      <c r="DI45" s="11"/>
      <c r="DJ45" s="5" t="s">
        <v>58</v>
      </c>
      <c r="DK45" s="12"/>
      <c r="DL45" s="35" t="s">
        <v>59</v>
      </c>
      <c r="DM45" s="36" t="s">
        <v>58</v>
      </c>
      <c r="DN45" s="12"/>
      <c r="DO45" s="5" t="s">
        <v>60</v>
      </c>
      <c r="DP45" s="5"/>
      <c r="DQ45" s="12"/>
      <c r="DS45" s="11"/>
      <c r="DT45" s="5" t="s">
        <v>58</v>
      </c>
      <c r="DU45" s="12"/>
      <c r="DV45" s="1707" t="s">
        <v>59</v>
      </c>
      <c r="DW45" s="1658" t="s">
        <v>58</v>
      </c>
      <c r="DX45" s="1659"/>
      <c r="DY45" s="1660" t="s">
        <v>60</v>
      </c>
      <c r="DZ45" s="1660"/>
      <c r="EA45" s="1659"/>
    </row>
    <row r="46" spans="2:131" ht="15" thickBot="1" x14ac:dyDescent="0.35">
      <c r="B46" s="2095">
        <f ca="1">TODAY()</f>
        <v>45590</v>
      </c>
      <c r="C46" s="2095"/>
      <c r="D46" s="3"/>
      <c r="E46" s="37"/>
      <c r="F46" s="1"/>
      <c r="G46" s="3"/>
      <c r="H46" s="2"/>
      <c r="I46" s="2"/>
      <c r="J46" s="3"/>
      <c r="K46" s="52"/>
      <c r="M46" s="2095">
        <f ca="1">TODAY()</f>
        <v>45590</v>
      </c>
      <c r="N46" s="2095"/>
      <c r="O46" s="3"/>
      <c r="P46" s="37"/>
      <c r="Q46" s="1"/>
      <c r="R46" s="3"/>
      <c r="S46" s="2"/>
      <c r="T46" s="2"/>
      <c r="U46" s="3"/>
      <c r="AF46" s="41"/>
      <c r="AG46" s="2095">
        <f ca="1">TODAY()</f>
        <v>45590</v>
      </c>
      <c r="AH46" s="2095"/>
      <c r="AI46" s="3"/>
      <c r="AJ46" s="37"/>
      <c r="AK46" s="1"/>
      <c r="AL46" s="3"/>
      <c r="AM46" s="2"/>
      <c r="AN46" s="2"/>
      <c r="AO46" s="3"/>
      <c r="AP46" s="41"/>
      <c r="AQ46" s="2095">
        <f ca="1">TODAY()</f>
        <v>45590</v>
      </c>
      <c r="AR46" s="2095"/>
      <c r="AS46" s="3"/>
      <c r="AT46" s="37"/>
      <c r="AU46" s="1"/>
      <c r="AV46" s="3"/>
      <c r="AW46" s="2"/>
      <c r="AX46" s="2"/>
      <c r="AY46" s="3"/>
      <c r="AZ46" s="41"/>
      <c r="BA46" s="2095">
        <f ca="1">TODAY()</f>
        <v>45590</v>
      </c>
      <c r="BB46" s="2095"/>
      <c r="BC46" s="3"/>
      <c r="BD46" s="37"/>
      <c r="BE46" s="1"/>
      <c r="BF46" s="3"/>
      <c r="BG46" s="2"/>
      <c r="BH46" s="2"/>
      <c r="BI46" s="3"/>
      <c r="BJ46" s="41"/>
      <c r="BK46" s="2095">
        <f ca="1">TODAY()</f>
        <v>45590</v>
      </c>
      <c r="BL46" s="2095"/>
      <c r="BM46" s="3"/>
      <c r="BN46" s="37"/>
      <c r="BO46" s="1"/>
      <c r="BP46" s="3"/>
      <c r="BQ46" s="2"/>
      <c r="BR46" s="2"/>
      <c r="BS46" s="3"/>
      <c r="BU46" s="2095">
        <f ca="1">TODAY()</f>
        <v>45590</v>
      </c>
      <c r="BV46" s="2095"/>
      <c r="BW46" s="3"/>
      <c r="BX46" s="37"/>
      <c r="BY46" s="1"/>
      <c r="BZ46" s="3"/>
      <c r="CA46" s="2"/>
      <c r="CB46" s="2"/>
      <c r="CC46" s="3"/>
      <c r="CE46" s="2041" t="s">
        <v>307</v>
      </c>
      <c r="CF46" s="2043"/>
      <c r="CG46" s="2042"/>
      <c r="CH46" s="141">
        <v>40</v>
      </c>
      <c r="CI46" s="850">
        <v>1</v>
      </c>
      <c r="CJ46" s="141">
        <v>20</v>
      </c>
      <c r="CK46" s="88">
        <v>3</v>
      </c>
      <c r="CL46" s="2041">
        <f>ROUND(CI$10/98.72,3)</f>
        <v>1.236</v>
      </c>
      <c r="CM46" s="2042"/>
      <c r="CN46" s="741"/>
      <c r="CO46" s="2096"/>
      <c r="CP46" s="2097"/>
      <c r="CQ46" s="2097"/>
      <c r="CR46" s="56"/>
      <c r="CS46" s="56"/>
      <c r="CT46" s="56"/>
      <c r="CU46" s="56"/>
      <c r="CV46" s="56"/>
      <c r="CW46" s="9"/>
      <c r="CY46" s="2041" t="s">
        <v>307</v>
      </c>
      <c r="CZ46" s="2043"/>
      <c r="DA46" s="2042"/>
      <c r="DB46" s="141">
        <v>40</v>
      </c>
      <c r="DC46" s="1563">
        <v>1</v>
      </c>
      <c r="DD46" s="141">
        <v>20</v>
      </c>
      <c r="DE46" s="88">
        <v>3</v>
      </c>
      <c r="DF46" s="2041">
        <f>ROUND(DC$10/98.72,3)</f>
        <v>1.327</v>
      </c>
      <c r="DG46" s="2042"/>
      <c r="DI46" s="2095">
        <f ca="1">TODAY()</f>
        <v>45590</v>
      </c>
      <c r="DJ46" s="2095"/>
      <c r="DK46" s="3"/>
      <c r="DL46" s="952"/>
      <c r="DM46" s="1686"/>
      <c r="DN46" s="3"/>
      <c r="DO46" s="1687"/>
      <c r="DP46" s="1687"/>
      <c r="DQ46" s="3"/>
      <c r="DS46" s="2095">
        <f ca="1">TODAY()</f>
        <v>45590</v>
      </c>
      <c r="DT46" s="2095"/>
      <c r="DU46" s="3"/>
      <c r="DV46" s="952"/>
      <c r="DW46" s="1705"/>
      <c r="DX46" s="3"/>
      <c r="DY46" s="1706"/>
      <c r="DZ46" s="1706"/>
      <c r="EA46" s="3"/>
    </row>
    <row r="47" spans="2:131" ht="15" thickBot="1" x14ac:dyDescent="0.35">
      <c r="B47" s="70"/>
      <c r="C47" s="19" t="s">
        <v>61</v>
      </c>
      <c r="D47" s="3"/>
      <c r="E47" s="20"/>
      <c r="F47" s="19"/>
      <c r="G47" s="19"/>
      <c r="H47" s="19"/>
      <c r="I47" s="19"/>
      <c r="J47" s="38"/>
      <c r="K47" s="1029"/>
      <c r="M47" s="70"/>
      <c r="N47" s="19" t="s">
        <v>61</v>
      </c>
      <c r="O47" s="3"/>
      <c r="P47" s="20"/>
      <c r="Q47" s="19"/>
      <c r="R47" s="19"/>
      <c r="S47" s="19"/>
      <c r="T47" s="19"/>
      <c r="U47" s="38"/>
      <c r="AF47" s="41"/>
      <c r="AG47" s="70"/>
      <c r="AH47" s="19" t="s">
        <v>61</v>
      </c>
      <c r="AI47" s="3"/>
      <c r="AJ47" s="20"/>
      <c r="AK47" s="19"/>
      <c r="AL47" s="19"/>
      <c r="AM47" s="19"/>
      <c r="AN47" s="19"/>
      <c r="AO47" s="38"/>
      <c r="AP47" s="41"/>
      <c r="AQ47" s="70"/>
      <c r="AR47" s="19" t="s">
        <v>61</v>
      </c>
      <c r="AS47" s="3"/>
      <c r="AT47" s="20"/>
      <c r="AU47" s="19"/>
      <c r="AV47" s="19"/>
      <c r="AW47" s="19"/>
      <c r="AX47" s="19"/>
      <c r="AY47" s="38"/>
      <c r="AZ47" s="41"/>
      <c r="BA47" s="70"/>
      <c r="BB47" s="19" t="s">
        <v>61</v>
      </c>
      <c r="BC47" s="3"/>
      <c r="BD47" s="20"/>
      <c r="BE47" s="19"/>
      <c r="BF47" s="19"/>
      <c r="BG47" s="19"/>
      <c r="BH47" s="19"/>
      <c r="BI47" s="38"/>
      <c r="BJ47" s="41"/>
      <c r="BK47" s="70"/>
      <c r="BL47" s="19" t="s">
        <v>61</v>
      </c>
      <c r="BM47" s="3"/>
      <c r="BN47" s="20"/>
      <c r="BO47" s="19"/>
      <c r="BP47" s="19"/>
      <c r="BQ47" s="19"/>
      <c r="BR47" s="19"/>
      <c r="BS47" s="38"/>
      <c r="BU47" s="70"/>
      <c r="BV47" s="19" t="s">
        <v>61</v>
      </c>
      <c r="BW47" s="3"/>
      <c r="BX47" s="20"/>
      <c r="BY47" s="19"/>
      <c r="BZ47" s="19"/>
      <c r="CA47" s="19"/>
      <c r="CB47" s="19"/>
      <c r="CC47" s="38"/>
      <c r="CO47" s="2044" t="s">
        <v>3</v>
      </c>
      <c r="CP47" s="2045"/>
      <c r="CQ47" s="2046"/>
      <c r="CR47" s="84" t="s">
        <v>250</v>
      </c>
      <c r="CS47" s="85" t="s">
        <v>251</v>
      </c>
      <c r="CT47" s="84" t="s">
        <v>251</v>
      </c>
      <c r="CU47" s="84" t="s">
        <v>252</v>
      </c>
      <c r="CV47" s="81" t="s">
        <v>253</v>
      </c>
      <c r="CW47" s="980"/>
      <c r="DI47" s="70"/>
      <c r="DJ47" s="19" t="s">
        <v>61</v>
      </c>
      <c r="DK47" s="3"/>
      <c r="DL47" s="20"/>
      <c r="DM47" s="19"/>
      <c r="DN47" s="19"/>
      <c r="DO47" s="19"/>
      <c r="DP47" s="19"/>
      <c r="DQ47" s="38"/>
      <c r="DS47" s="70"/>
      <c r="DT47" s="19" t="s">
        <v>61</v>
      </c>
      <c r="DU47" s="3"/>
      <c r="DV47" s="20"/>
      <c r="DW47" s="764"/>
      <c r="DX47" s="3"/>
      <c r="DY47" s="19"/>
      <c r="DZ47" s="19"/>
      <c r="EA47" s="38"/>
    </row>
    <row r="48" spans="2:131" ht="15" thickBot="1" x14ac:dyDescent="0.35">
      <c r="B48" s="4"/>
      <c r="C48" s="56"/>
      <c r="D48" s="56"/>
      <c r="E48" s="56"/>
      <c r="F48" s="56"/>
      <c r="G48" s="56"/>
      <c r="H48" s="56"/>
      <c r="I48" s="56"/>
      <c r="J48" s="9"/>
      <c r="K48" s="1029"/>
      <c r="M48" s="4"/>
      <c r="N48" s="56"/>
      <c r="O48" s="56"/>
      <c r="P48" s="56"/>
      <c r="Q48" s="56"/>
      <c r="R48" s="56"/>
      <c r="S48" s="56"/>
      <c r="T48" s="56"/>
      <c r="U48" s="9"/>
      <c r="AF48" s="41"/>
      <c r="AG48" s="4"/>
      <c r="AH48" s="56"/>
      <c r="AI48" s="56"/>
      <c r="AJ48" s="56"/>
      <c r="AK48" s="56"/>
      <c r="AL48" s="56"/>
      <c r="AM48" s="56"/>
      <c r="AN48" s="56"/>
      <c r="AO48" s="9"/>
      <c r="AP48" s="41"/>
      <c r="AQ48" s="4"/>
      <c r="AR48" s="56"/>
      <c r="AS48" s="56"/>
      <c r="AT48" s="56"/>
      <c r="AU48" s="56"/>
      <c r="AV48" s="56"/>
      <c r="AW48" s="56"/>
      <c r="AX48" s="56"/>
      <c r="AY48" s="9"/>
      <c r="AZ48" s="41"/>
      <c r="BA48" s="4"/>
      <c r="BB48" s="56"/>
      <c r="BC48" s="56"/>
      <c r="BD48" s="56"/>
      <c r="BE48" s="56"/>
      <c r="BF48" s="56"/>
      <c r="BG48" s="56"/>
      <c r="BH48" s="56"/>
      <c r="BI48" s="9"/>
      <c r="BJ48" s="41"/>
      <c r="BK48" s="4"/>
      <c r="BL48" s="56"/>
      <c r="BM48" s="56"/>
      <c r="BN48" s="56"/>
      <c r="BO48" s="56"/>
      <c r="BP48" s="56"/>
      <c r="BQ48" s="56"/>
      <c r="BR48" s="56"/>
      <c r="BS48" s="9"/>
      <c r="BU48" s="4"/>
      <c r="BV48" s="56"/>
      <c r="BW48" s="56"/>
      <c r="BX48" s="56"/>
      <c r="BY48" s="56"/>
      <c r="BZ48" s="56"/>
      <c r="CA48" s="56"/>
      <c r="CB48" s="56"/>
      <c r="CC48" s="9"/>
      <c r="CO48" s="2047" t="s">
        <v>254</v>
      </c>
      <c r="CP48" s="2048"/>
      <c r="CQ48" s="2049"/>
      <c r="CR48" s="88" t="s">
        <v>255</v>
      </c>
      <c r="CS48" s="88" t="s">
        <v>256</v>
      </c>
      <c r="CT48" s="88" t="s">
        <v>257</v>
      </c>
      <c r="CU48" s="88"/>
      <c r="CV48" s="89" t="s">
        <v>258</v>
      </c>
      <c r="CW48" s="981"/>
      <c r="DI48" s="4"/>
      <c r="DJ48" s="1029"/>
      <c r="DK48" s="1029"/>
      <c r="DL48" s="1029"/>
      <c r="DM48" s="1029"/>
      <c r="DN48" s="1029"/>
      <c r="DO48" s="1029"/>
      <c r="DP48" s="1029"/>
      <c r="DQ48" s="9"/>
      <c r="DS48" s="4"/>
      <c r="DT48" s="1029"/>
      <c r="DU48" s="1029"/>
      <c r="DV48" s="1029"/>
      <c r="DW48" s="1029"/>
      <c r="DX48" s="1029"/>
      <c r="DY48" s="1029"/>
      <c r="DZ48" s="1029"/>
      <c r="EA48" s="9"/>
    </row>
    <row r="49" spans="2:132" ht="15" thickBot="1" x14ac:dyDescent="0.35">
      <c r="B49" s="81" t="s">
        <v>3</v>
      </c>
      <c r="C49" s="146"/>
      <c r="D49" s="144"/>
      <c r="E49" s="84" t="s">
        <v>250</v>
      </c>
      <c r="F49" s="85" t="s">
        <v>251</v>
      </c>
      <c r="G49" s="84" t="s">
        <v>251</v>
      </c>
      <c r="H49" s="84" t="s">
        <v>252</v>
      </c>
      <c r="I49" s="81" t="s">
        <v>253</v>
      </c>
      <c r="J49" s="144"/>
      <c r="K49" s="741"/>
      <c r="M49" s="81" t="s">
        <v>3</v>
      </c>
      <c r="N49" s="207"/>
      <c r="O49" s="208"/>
      <c r="P49" s="84" t="s">
        <v>250</v>
      </c>
      <c r="Q49" s="85" t="s">
        <v>251</v>
      </c>
      <c r="R49" s="84" t="s">
        <v>251</v>
      </c>
      <c r="S49" s="84" t="s">
        <v>252</v>
      </c>
      <c r="T49" s="81" t="s">
        <v>253</v>
      </c>
      <c r="U49" s="208"/>
      <c r="AF49" s="41"/>
      <c r="AG49" s="81" t="s">
        <v>3</v>
      </c>
      <c r="AH49" s="255"/>
      <c r="AI49" s="256"/>
      <c r="AJ49" s="84" t="s">
        <v>250</v>
      </c>
      <c r="AK49" s="85" t="s">
        <v>251</v>
      </c>
      <c r="AL49" s="84" t="s">
        <v>251</v>
      </c>
      <c r="AM49" s="84" t="s">
        <v>252</v>
      </c>
      <c r="AN49" s="81" t="s">
        <v>253</v>
      </c>
      <c r="AO49" s="256"/>
      <c r="AP49" s="41"/>
      <c r="AQ49" s="81" t="s">
        <v>3</v>
      </c>
      <c r="AR49" s="306"/>
      <c r="AS49" s="307"/>
      <c r="AT49" s="84" t="s">
        <v>250</v>
      </c>
      <c r="AU49" s="85" t="s">
        <v>251</v>
      </c>
      <c r="AV49" s="84" t="s">
        <v>251</v>
      </c>
      <c r="AW49" s="84" t="s">
        <v>252</v>
      </c>
      <c r="AX49" s="81" t="s">
        <v>253</v>
      </c>
      <c r="AY49" s="307"/>
      <c r="AZ49" s="41"/>
      <c r="BA49" s="81" t="s">
        <v>3</v>
      </c>
      <c r="BB49" s="646"/>
      <c r="BC49" s="647"/>
      <c r="BD49" s="84" t="s">
        <v>250</v>
      </c>
      <c r="BE49" s="85" t="s">
        <v>251</v>
      </c>
      <c r="BF49" s="84" t="s">
        <v>251</v>
      </c>
      <c r="BG49" s="84" t="s">
        <v>252</v>
      </c>
      <c r="BH49" s="81" t="s">
        <v>253</v>
      </c>
      <c r="BI49" s="647"/>
      <c r="BJ49" s="41"/>
      <c r="BK49" s="1661" t="s">
        <v>3</v>
      </c>
      <c r="BL49" s="1665"/>
      <c r="BM49" s="1662"/>
      <c r="BN49" s="84" t="s">
        <v>250</v>
      </c>
      <c r="BO49" s="85" t="s">
        <v>251</v>
      </c>
      <c r="BP49" s="84" t="s">
        <v>251</v>
      </c>
      <c r="BQ49" s="84" t="s">
        <v>252</v>
      </c>
      <c r="BR49" s="1661" t="s">
        <v>253</v>
      </c>
      <c r="BS49" s="1662"/>
      <c r="BU49" s="81" t="s">
        <v>3</v>
      </c>
      <c r="BV49" s="82"/>
      <c r="BW49" s="83"/>
      <c r="BX49" s="84" t="s">
        <v>250</v>
      </c>
      <c r="BY49" s="85" t="s">
        <v>251</v>
      </c>
      <c r="BZ49" s="84" t="s">
        <v>251</v>
      </c>
      <c r="CA49" s="84" t="s">
        <v>252</v>
      </c>
      <c r="CB49" s="81" t="s">
        <v>253</v>
      </c>
      <c r="CC49" s="83"/>
      <c r="CO49" s="2041" t="s">
        <v>307</v>
      </c>
      <c r="CP49" s="2043"/>
      <c r="CQ49" s="2042"/>
      <c r="CR49" s="141">
        <v>40</v>
      </c>
      <c r="CS49" s="979">
        <v>1</v>
      </c>
      <c r="CT49" s="141">
        <v>20</v>
      </c>
      <c r="CU49" s="88">
        <v>3</v>
      </c>
      <c r="CV49" s="2041">
        <f>ROUND(1400*2000*320/1000000*2.045*2.3/1000,3)</f>
        <v>4.2140000000000004</v>
      </c>
      <c r="CW49" s="2042"/>
      <c r="DI49" s="1661" t="s">
        <v>3</v>
      </c>
      <c r="DJ49" s="1665"/>
      <c r="DK49" s="1662"/>
      <c r="DL49" s="84" t="s">
        <v>250</v>
      </c>
      <c r="DM49" s="85" t="s">
        <v>251</v>
      </c>
      <c r="DN49" s="84" t="s">
        <v>251</v>
      </c>
      <c r="DO49" s="84" t="s">
        <v>252</v>
      </c>
      <c r="DP49" s="81" t="s">
        <v>253</v>
      </c>
      <c r="DQ49" s="1683"/>
      <c r="DS49" s="1661" t="s">
        <v>3</v>
      </c>
      <c r="DT49" s="1665"/>
      <c r="DU49" s="1662"/>
      <c r="DV49" s="84" t="s">
        <v>250</v>
      </c>
      <c r="DW49" s="85" t="s">
        <v>251</v>
      </c>
      <c r="DX49" s="84" t="s">
        <v>251</v>
      </c>
      <c r="DY49" s="84" t="s">
        <v>252</v>
      </c>
      <c r="DZ49" s="81" t="s">
        <v>253</v>
      </c>
      <c r="EA49" s="1702"/>
    </row>
    <row r="50" spans="2:132" ht="15" thickBot="1" x14ac:dyDescent="0.35">
      <c r="B50" s="86"/>
      <c r="C50" s="87" t="s">
        <v>254</v>
      </c>
      <c r="D50" s="145"/>
      <c r="E50" s="88" t="s">
        <v>255</v>
      </c>
      <c r="F50" s="88" t="s">
        <v>256</v>
      </c>
      <c r="G50" s="88" t="s">
        <v>257</v>
      </c>
      <c r="H50" s="88"/>
      <c r="I50" s="89" t="s">
        <v>258</v>
      </c>
      <c r="J50" s="145"/>
      <c r="K50" s="741"/>
      <c r="M50" s="86"/>
      <c r="N50" s="209" t="s">
        <v>254</v>
      </c>
      <c r="O50" s="210"/>
      <c r="P50" s="88" t="s">
        <v>255</v>
      </c>
      <c r="Q50" s="88" t="s">
        <v>256</v>
      </c>
      <c r="R50" s="88" t="s">
        <v>257</v>
      </c>
      <c r="S50" s="88"/>
      <c r="T50" s="89" t="s">
        <v>258</v>
      </c>
      <c r="U50" s="210"/>
      <c r="AF50" s="41"/>
      <c r="AG50" s="86"/>
      <c r="AH50" s="257" t="s">
        <v>254</v>
      </c>
      <c r="AI50" s="258"/>
      <c r="AJ50" s="88" t="s">
        <v>255</v>
      </c>
      <c r="AK50" s="88" t="s">
        <v>256</v>
      </c>
      <c r="AL50" s="88" t="s">
        <v>257</v>
      </c>
      <c r="AM50" s="88"/>
      <c r="AN50" s="89" t="s">
        <v>258</v>
      </c>
      <c r="AO50" s="258"/>
      <c r="AP50" s="41"/>
      <c r="AQ50" s="86"/>
      <c r="AR50" s="308" t="s">
        <v>254</v>
      </c>
      <c r="AS50" s="309"/>
      <c r="AT50" s="88" t="s">
        <v>255</v>
      </c>
      <c r="AU50" s="88" t="s">
        <v>256</v>
      </c>
      <c r="AV50" s="88" t="s">
        <v>257</v>
      </c>
      <c r="AW50" s="88"/>
      <c r="AX50" s="89" t="s">
        <v>258</v>
      </c>
      <c r="AY50" s="309"/>
      <c r="AZ50" s="41"/>
      <c r="BA50" s="86"/>
      <c r="BB50" s="648" t="s">
        <v>254</v>
      </c>
      <c r="BC50" s="644"/>
      <c r="BD50" s="88" t="s">
        <v>255</v>
      </c>
      <c r="BE50" s="88" t="s">
        <v>256</v>
      </c>
      <c r="BF50" s="88" t="s">
        <v>257</v>
      </c>
      <c r="BG50" s="88"/>
      <c r="BH50" s="89" t="s">
        <v>258</v>
      </c>
      <c r="BI50" s="644"/>
      <c r="BJ50" s="41"/>
      <c r="BK50" s="1666" t="s">
        <v>254</v>
      </c>
      <c r="BL50" s="1667"/>
      <c r="BM50" s="1664"/>
      <c r="BN50" s="88" t="s">
        <v>255</v>
      </c>
      <c r="BO50" s="88" t="s">
        <v>256</v>
      </c>
      <c r="BP50" s="88" t="s">
        <v>257</v>
      </c>
      <c r="BQ50" s="88"/>
      <c r="BR50" s="1663" t="s">
        <v>258</v>
      </c>
      <c r="BS50" s="1664"/>
      <c r="BU50" s="86"/>
      <c r="BV50" s="87" t="s">
        <v>254</v>
      </c>
      <c r="BW50" s="140"/>
      <c r="BX50" s="88" t="s">
        <v>255</v>
      </c>
      <c r="BY50" s="88" t="s">
        <v>256</v>
      </c>
      <c r="BZ50" s="88" t="s">
        <v>257</v>
      </c>
      <c r="CA50" s="88"/>
      <c r="CB50" s="89" t="s">
        <v>258</v>
      </c>
      <c r="CC50" s="140"/>
      <c r="DI50" s="86"/>
      <c r="DJ50" s="1684" t="s">
        <v>254</v>
      </c>
      <c r="DK50" s="1685"/>
      <c r="DL50" s="88" t="s">
        <v>255</v>
      </c>
      <c r="DM50" s="88" t="s">
        <v>256</v>
      </c>
      <c r="DN50" s="88" t="s">
        <v>257</v>
      </c>
      <c r="DO50" s="88"/>
      <c r="DP50" s="89" t="s">
        <v>258</v>
      </c>
      <c r="DQ50" s="1685"/>
      <c r="DS50" s="86"/>
      <c r="DT50" s="1703" t="s">
        <v>254</v>
      </c>
      <c r="DU50" s="1704"/>
      <c r="DV50" s="88" t="s">
        <v>255</v>
      </c>
      <c r="DW50" s="88" t="s">
        <v>256</v>
      </c>
      <c r="DX50" s="88" t="s">
        <v>257</v>
      </c>
      <c r="DY50" s="88"/>
      <c r="DZ50" s="89" t="s">
        <v>258</v>
      </c>
      <c r="EA50" s="1704"/>
    </row>
    <row r="51" spans="2:132" ht="15" thickBot="1" x14ac:dyDescent="0.35">
      <c r="B51" s="86"/>
      <c r="C51" s="87" t="s">
        <v>307</v>
      </c>
      <c r="D51" s="87"/>
      <c r="E51" s="141">
        <v>40</v>
      </c>
      <c r="F51" s="142">
        <v>1</v>
      </c>
      <c r="G51" s="141">
        <v>20</v>
      </c>
      <c r="H51" s="88">
        <v>3</v>
      </c>
      <c r="I51" s="2041">
        <f>ROUND(F$12/K51,3)</f>
        <v>31.553999999999998</v>
      </c>
      <c r="J51" s="2042"/>
      <c r="K51" s="741">
        <v>98.72</v>
      </c>
      <c r="L51" s="366"/>
      <c r="M51" s="86"/>
      <c r="N51" s="209" t="s">
        <v>307</v>
      </c>
      <c r="O51" s="209"/>
      <c r="P51" s="141">
        <v>40</v>
      </c>
      <c r="Q51" s="142">
        <v>1</v>
      </c>
      <c r="R51" s="141">
        <v>20</v>
      </c>
      <c r="S51" s="88">
        <v>3</v>
      </c>
      <c r="T51" s="2041">
        <f>ROUND(Q$12/V51,3)</f>
        <v>8.4079999999999995</v>
      </c>
      <c r="U51" s="2042"/>
      <c r="V51" s="147">
        <v>98.72</v>
      </c>
      <c r="AE51" s="56"/>
      <c r="AF51" s="366">
        <v>98.72</v>
      </c>
      <c r="AG51" s="86"/>
      <c r="AH51" s="257" t="s">
        <v>307</v>
      </c>
      <c r="AI51" s="257"/>
      <c r="AJ51" s="141">
        <v>40</v>
      </c>
      <c r="AK51" s="259">
        <v>1</v>
      </c>
      <c r="AL51" s="141">
        <v>20</v>
      </c>
      <c r="AM51" s="88">
        <v>3</v>
      </c>
      <c r="AN51" s="2041">
        <f>ROUND(AK$12/AP51,3)</f>
        <v>9.5730000000000004</v>
      </c>
      <c r="AO51" s="2042"/>
      <c r="AP51" s="147">
        <v>98.72</v>
      </c>
      <c r="AQ51" s="86"/>
      <c r="AR51" s="308" t="s">
        <v>307</v>
      </c>
      <c r="AS51" s="308"/>
      <c r="AT51" s="141">
        <v>40</v>
      </c>
      <c r="AU51" s="311">
        <v>1</v>
      </c>
      <c r="AV51" s="141">
        <v>20</v>
      </c>
      <c r="AW51" s="88">
        <v>3</v>
      </c>
      <c r="AX51" s="2041">
        <f>ROUND(1500*1500*600*3.1415926/4000000*2.045*3.5/1000,3)</f>
        <v>7.5890000000000004</v>
      </c>
      <c r="AY51" s="2042"/>
      <c r="AZ51" s="147"/>
      <c r="BA51" s="86"/>
      <c r="BB51" s="648" t="s">
        <v>307</v>
      </c>
      <c r="BC51" s="648"/>
      <c r="BD51" s="141">
        <v>40</v>
      </c>
      <c r="BE51" s="645">
        <v>1</v>
      </c>
      <c r="BF51" s="141">
        <v>20</v>
      </c>
      <c r="BG51" s="88">
        <v>3</v>
      </c>
      <c r="BH51" s="2041">
        <f>ROUND(BE$12/BJ51,3)</f>
        <v>10.265000000000001</v>
      </c>
      <c r="BI51" s="2042"/>
      <c r="BJ51" s="147">
        <v>170</v>
      </c>
      <c r="BK51" s="86"/>
      <c r="BL51" s="87" t="s">
        <v>307</v>
      </c>
      <c r="BM51" s="87"/>
      <c r="BN51" s="141">
        <v>40</v>
      </c>
      <c r="BO51" s="142">
        <v>1</v>
      </c>
      <c r="BP51" s="141">
        <v>20</v>
      </c>
      <c r="BQ51" s="88">
        <v>3</v>
      </c>
      <c r="BR51" s="2041">
        <f>ROUND($BO$12/BT52,3)</f>
        <v>2.7839999999999998</v>
      </c>
      <c r="BS51" s="2042"/>
      <c r="BU51" s="86"/>
      <c r="BV51" s="87" t="s">
        <v>307</v>
      </c>
      <c r="BW51" s="87"/>
      <c r="BX51" s="141">
        <v>40</v>
      </c>
      <c r="BY51" s="142">
        <v>1</v>
      </c>
      <c r="BZ51" s="141">
        <v>20</v>
      </c>
      <c r="CA51" s="88">
        <v>3</v>
      </c>
      <c r="CB51" s="2041">
        <f>ROUND(BY$12/CD51,3)</f>
        <v>6.9390000000000001</v>
      </c>
      <c r="CC51" s="2042"/>
      <c r="CD51" s="147">
        <v>98.72</v>
      </c>
      <c r="DI51" s="86"/>
      <c r="DJ51" s="1684" t="s">
        <v>307</v>
      </c>
      <c r="DK51" s="1684"/>
      <c r="DL51" s="141">
        <v>40</v>
      </c>
      <c r="DM51" s="1682">
        <v>1</v>
      </c>
      <c r="DN51" s="141">
        <v>20</v>
      </c>
      <c r="DO51" s="88">
        <v>3</v>
      </c>
      <c r="DP51" s="2041">
        <f>ROUND(DM$12/98.72,3)</f>
        <v>13.118</v>
      </c>
      <c r="DQ51" s="2042"/>
      <c r="DS51" s="86"/>
      <c r="DT51" s="1703" t="s">
        <v>307</v>
      </c>
      <c r="DU51" s="1703"/>
      <c r="DV51" s="141">
        <v>40</v>
      </c>
      <c r="DW51" s="1701">
        <v>1</v>
      </c>
      <c r="DX51" s="141">
        <v>20</v>
      </c>
      <c r="DY51" s="88">
        <v>3</v>
      </c>
      <c r="DZ51" s="2041">
        <f>ROUND(1500*1500*600*3.1415926/4000000*2.045*3.5/1000,3)</f>
        <v>7.5890000000000004</v>
      </c>
      <c r="EA51" s="2042"/>
      <c r="EB51" s="147"/>
    </row>
    <row r="52" spans="2:132" x14ac:dyDescent="0.3">
      <c r="I52">
        <f>ROUND(2500*2500*1080/1000000*2.045*2.3/1000,3)</f>
        <v>31.748999999999999</v>
      </c>
      <c r="BT52" s="366">
        <v>98.72</v>
      </c>
      <c r="DP52" s="1312"/>
    </row>
    <row r="53" spans="2:132" x14ac:dyDescent="0.3">
      <c r="AX53" s="1312"/>
      <c r="DP53" s="1312">
        <f>ROUND(1800*1800*600*3.1415926/4000000*2.045*3.5/1000,3)</f>
        <v>10.928000000000001</v>
      </c>
      <c r="DZ53" s="1312"/>
    </row>
    <row r="55" spans="2:132" x14ac:dyDescent="0.3">
      <c r="C55" s="41"/>
      <c r="D55" s="41"/>
      <c r="E55" s="41"/>
    </row>
    <row r="56" spans="2:132" x14ac:dyDescent="0.3">
      <c r="C56" s="41"/>
      <c r="D56" s="41"/>
      <c r="E56" s="41"/>
    </row>
    <row r="57" spans="2:132" x14ac:dyDescent="0.3">
      <c r="C57" s="41"/>
      <c r="D57" s="44"/>
      <c r="E57" s="458"/>
    </row>
    <row r="58" spans="2:132" x14ac:dyDescent="0.3">
      <c r="C58" s="41"/>
      <c r="D58" s="41"/>
      <c r="E58" s="41"/>
    </row>
    <row r="59" spans="2:132" x14ac:dyDescent="0.3">
      <c r="C59" s="41"/>
      <c r="D59" s="41"/>
      <c r="E59" s="458"/>
    </row>
    <row r="60" spans="2:132" x14ac:dyDescent="0.3">
      <c r="C60" s="41"/>
      <c r="D60" s="458"/>
      <c r="E60" s="458"/>
    </row>
    <row r="61" spans="2:132" x14ac:dyDescent="0.3">
      <c r="C61" s="41"/>
      <c r="D61" s="458"/>
      <c r="E61" s="458"/>
    </row>
    <row r="62" spans="2:132" x14ac:dyDescent="0.3">
      <c r="C62" s="41"/>
      <c r="D62" s="458"/>
      <c r="E62" s="41"/>
    </row>
    <row r="63" spans="2:132" x14ac:dyDescent="0.3">
      <c r="C63" s="41"/>
      <c r="D63" s="458"/>
      <c r="E63" s="458"/>
    </row>
    <row r="64" spans="2:132" x14ac:dyDescent="0.3">
      <c r="C64" s="41"/>
      <c r="D64" s="458"/>
      <c r="E64" s="41"/>
    </row>
    <row r="65" spans="3:5" x14ac:dyDescent="0.3">
      <c r="C65" s="41"/>
      <c r="D65" s="514"/>
      <c r="E65" s="41"/>
    </row>
    <row r="66" spans="3:5" x14ac:dyDescent="0.3">
      <c r="C66" s="41"/>
      <c r="D66" s="41"/>
      <c r="E66" s="41"/>
    </row>
  </sheetData>
  <mergeCells count="46">
    <mergeCell ref="AQ46:AR46"/>
    <mergeCell ref="AX51:AY51"/>
    <mergeCell ref="BA46:BB46"/>
    <mergeCell ref="BH51:BI51"/>
    <mergeCell ref="DI46:DJ46"/>
    <mergeCell ref="BK46:BL46"/>
    <mergeCell ref="BU46:BV46"/>
    <mergeCell ref="BR51:BS51"/>
    <mergeCell ref="CL46:CM46"/>
    <mergeCell ref="CB51:CC51"/>
    <mergeCell ref="CO48:CQ48"/>
    <mergeCell ref="CO49:CQ49"/>
    <mergeCell ref="CV49:CW49"/>
    <mergeCell ref="CO47:CQ47"/>
    <mergeCell ref="W40:X40"/>
    <mergeCell ref="B46:C46"/>
    <mergeCell ref="I51:J51"/>
    <mergeCell ref="AN51:AO51"/>
    <mergeCell ref="AD45:AE45"/>
    <mergeCell ref="AG46:AH46"/>
    <mergeCell ref="M46:N46"/>
    <mergeCell ref="T51:U51"/>
    <mergeCell ref="CE44:CG44"/>
    <mergeCell ref="CE45:CG45"/>
    <mergeCell ref="CE46:CG46"/>
    <mergeCell ref="CI40:CJ40"/>
    <mergeCell ref="CE40:CG40"/>
    <mergeCell ref="CE41:CG41"/>
    <mergeCell ref="CE42:CG42"/>
    <mergeCell ref="CT43:CU43"/>
    <mergeCell ref="CV43:CW43"/>
    <mergeCell ref="CO46:CQ46"/>
    <mergeCell ref="CO43:CQ43"/>
    <mergeCell ref="CO44:CQ44"/>
    <mergeCell ref="CO45:CQ45"/>
    <mergeCell ref="CY40:DA40"/>
    <mergeCell ref="DC40:DD40"/>
    <mergeCell ref="CY41:DA41"/>
    <mergeCell ref="CY42:DA42"/>
    <mergeCell ref="CY44:DA44"/>
    <mergeCell ref="DS46:DT46"/>
    <mergeCell ref="DZ51:EA51"/>
    <mergeCell ref="CY45:DA45"/>
    <mergeCell ref="CY46:DA46"/>
    <mergeCell ref="DF46:DG46"/>
    <mergeCell ref="DP51:DQ51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 DM7 DW7</xm:sqref>
        </x14:dataValidation>
        <x14:dataValidation type="list" allowBlank="1" showInputMessage="1" showErrorMessage="1" xr:uid="{A437B3E2-5A0E-4864-B394-1E2D0CD0A6FC}">
          <x14:formula1>
            <xm:f>Данные!$X$28:$AA$28</xm:f>
          </x14:formula1>
          <xm:sqref>BO39 BY39 F39 Q39 AK39 AU39 BE39 DM39 DW39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70" zoomScaleNormal="70" workbookViewId="0">
      <selection activeCell="I3" sqref="I3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1" customWidth="1"/>
    <col min="8" max="8" width="3.77734375" customWidth="1"/>
    <col min="9" max="9" width="7.77734375" style="41" customWidth="1"/>
    <col min="10" max="10" width="13.88671875" customWidth="1"/>
    <col min="11" max="11" width="9.44140625" style="41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312" customWidth="1"/>
    <col min="18" max="18" width="8.88671875" style="1312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1748</v>
      </c>
      <c r="S1" s="1312"/>
      <c r="T1" s="1312"/>
      <c r="U1" s="1312"/>
      <c r="V1" s="1312"/>
      <c r="W1" s="1312"/>
      <c r="X1" s="1312"/>
      <c r="Y1" s="1312"/>
    </row>
    <row r="2" spans="2:25" ht="15" thickBot="1" x14ac:dyDescent="0.35">
      <c r="B2" s="11"/>
      <c r="C2" s="68"/>
      <c r="D2" s="68"/>
      <c r="E2" s="78" t="s">
        <v>0</v>
      </c>
      <c r="F2" s="68"/>
      <c r="G2" s="68"/>
      <c r="H2" s="68"/>
      <c r="I2" s="68"/>
      <c r="J2" s="68"/>
      <c r="K2" s="68"/>
      <c r="L2" s="68"/>
      <c r="M2" s="747" t="s">
        <v>790</v>
      </c>
      <c r="O2" s="1593" t="s">
        <v>74</v>
      </c>
      <c r="P2" s="1594"/>
      <c r="Q2" s="1029"/>
    </row>
    <row r="3" spans="2:25" x14ac:dyDescent="0.3">
      <c r="B3" s="11"/>
      <c r="C3" s="68" t="s">
        <v>1</v>
      </c>
      <c r="D3" s="5"/>
      <c r="E3" s="5"/>
      <c r="F3" s="68"/>
      <c r="G3" s="68"/>
      <c r="H3" s="68"/>
      <c r="I3" s="685"/>
      <c r="J3" s="68"/>
      <c r="K3" s="68" t="s">
        <v>327</v>
      </c>
      <c r="L3" s="2098"/>
      <c r="M3" s="2099"/>
      <c r="O3" s="580" t="s">
        <v>1741</v>
      </c>
      <c r="P3" s="58"/>
      <c r="Q3" s="1029"/>
      <c r="R3" s="1452" t="s">
        <v>1718</v>
      </c>
      <c r="S3" s="1453" t="s">
        <v>2</v>
      </c>
      <c r="T3" s="1454" t="s">
        <v>1041</v>
      </c>
      <c r="U3" s="1454" t="s">
        <v>1051</v>
      </c>
      <c r="V3" s="1454" t="s">
        <v>1042</v>
      </c>
      <c r="W3" s="1454" t="s">
        <v>1052</v>
      </c>
      <c r="X3" s="1454" t="s">
        <v>1043</v>
      </c>
      <c r="Y3" s="1455" t="s">
        <v>1044</v>
      </c>
    </row>
    <row r="4" spans="2:25" x14ac:dyDescent="0.3">
      <c r="B4" s="4"/>
      <c r="C4" s="56" t="s">
        <v>2</v>
      </c>
      <c r="D4" s="52"/>
      <c r="E4" s="52"/>
      <c r="F4" s="56"/>
      <c r="G4" s="56"/>
      <c r="H4" s="56"/>
      <c r="I4" s="687"/>
      <c r="J4" s="52"/>
      <c r="K4" s="52" t="s">
        <v>560</v>
      </c>
      <c r="L4" s="56"/>
      <c r="M4" s="9"/>
      <c r="O4" s="580" t="s">
        <v>222</v>
      </c>
      <c r="P4" s="58"/>
      <c r="Q4" s="1029"/>
      <c r="R4" s="459" t="str">
        <f>IFERROR(INDEX(Бандажи4[],MATCH($P$19,Бандажи4[Диам. нар.],0)-2,1),"")</f>
        <v/>
      </c>
      <c r="S4" s="460" t="str">
        <f>IFERROR(INDEX(Бандажи4[],MATCH($P$19,Бандажи4[Диам. нар.],0)-2,2),"")</f>
        <v/>
      </c>
      <c r="T4" s="460" t="str">
        <f>IFERROR(INDEX(Бандажи4[],MATCH($P$19,Бандажи4[Диам. нар.],0)-2,3),"")</f>
        <v/>
      </c>
      <c r="U4" s="460" t="str">
        <f>IFERROR(INDEX(Бандажи4[],MATCH($P$19,Бандажи4[Диам. нар.],0)-2,4),"")</f>
        <v/>
      </c>
      <c r="V4" s="460" t="str">
        <f>IFERROR(INDEX(Бандажи4[],MATCH($P$19,Бандажи4[Диам. нар.],0)-2,5),"")</f>
        <v/>
      </c>
      <c r="W4" s="460" t="str">
        <f>IFERROR(INDEX(Бандажи4[],MATCH($P$19,Бандажи4[Диам. нар.],0)-2,6),"")</f>
        <v/>
      </c>
      <c r="X4" s="460" t="str">
        <f>IFERROR(INDEX(Бандажи4[],MATCH($P$19,Бандажи4[Диам. нар.],0)-2,7),"")</f>
        <v/>
      </c>
      <c r="Y4" s="461" t="str">
        <f>IFERROR(INDEX(Бандажи4[],MATCH($P$19,Бандажи4[Диам. нар.],0)-2,8),"")</f>
        <v/>
      </c>
    </row>
    <row r="5" spans="2:25" ht="15" thickBot="1" x14ac:dyDescent="0.35">
      <c r="B5" s="4"/>
      <c r="C5" s="56" t="s">
        <v>3</v>
      </c>
      <c r="D5" s="52"/>
      <c r="E5" s="52"/>
      <c r="F5" s="56"/>
      <c r="G5" s="56"/>
      <c r="H5" s="56"/>
      <c r="I5" s="268"/>
      <c r="J5" s="52"/>
      <c r="K5" s="52" t="str">
        <f>P15&amp;"х"&amp;P16&amp;"х"&amp;P17</f>
        <v>41х-40х86</v>
      </c>
      <c r="L5" s="52"/>
      <c r="M5" s="9"/>
      <c r="O5" s="581" t="s">
        <v>5</v>
      </c>
      <c r="P5" s="67"/>
      <c r="R5" s="462" t="str">
        <f>IFERROR(INDEX(Бандажи4[],MATCH($P$19,Бандажи4[Диам. нар.],0)-1,1),"")</f>
        <v/>
      </c>
      <c r="S5" s="1029" t="str">
        <f>IFERROR(INDEX(Бандажи4[],MATCH($P$19,Бандажи4[Диам. нар.],0)-1,2),"")</f>
        <v/>
      </c>
      <c r="T5" s="1029" t="str">
        <f>IFERROR(INDEX(Бандажи4[],MATCH($P$19,Бандажи4[Диам. нар.],0)-1,3),"")</f>
        <v/>
      </c>
      <c r="U5" s="1029" t="str">
        <f>IFERROR(INDEX(Бандажи4[],MATCH($P$19,Бандажи4[Диам. нар.],0)-1,4),"")</f>
        <v/>
      </c>
      <c r="V5" s="1029" t="str">
        <f>IFERROR(INDEX(Бандажи4[],MATCH($P$19,Бандажи4[Диам. нар.],0)-1,5),"")</f>
        <v/>
      </c>
      <c r="W5" s="1029" t="str">
        <f>IFERROR(INDEX(Бандажи4[],MATCH($P$19,Бандажи4[Диам. нар.],0)-1,6),"")</f>
        <v/>
      </c>
      <c r="X5" s="1029" t="str">
        <f>IFERROR(INDEX(Бандажи4[],MATCH($P$19,Бандажи4[Диам. нар.],0)-1,7),"")</f>
        <v/>
      </c>
      <c r="Y5" s="463" t="str">
        <f>IFERROR(INDEX(Бандажи4[],MATCH($P$19,Бандажи4[Диам. нар.],0)-1,8),"")</f>
        <v/>
      </c>
    </row>
    <row r="6" spans="2:25" ht="15" thickBot="1" x14ac:dyDescent="0.35">
      <c r="B6" s="18"/>
      <c r="C6" s="62" t="s">
        <v>7</v>
      </c>
      <c r="D6" s="19"/>
      <c r="E6" s="19"/>
      <c r="F6" s="62"/>
      <c r="G6" s="62"/>
      <c r="H6" s="62"/>
      <c r="I6" s="688"/>
      <c r="J6" s="19"/>
      <c r="K6" s="19"/>
      <c r="L6" s="19"/>
      <c r="M6" s="38"/>
      <c r="O6" s="578" t="s">
        <v>15</v>
      </c>
      <c r="P6" s="1556">
        <f>ROUNDUP((P3*P3-P4*P4)*3.1415296*P5*P8/4000000,0)</f>
        <v>0</v>
      </c>
      <c r="R6" s="1456">
        <f>IFERROR(INDEX(Бандажи4[],MATCH($P$19,Бандажи4[Диам. нар.],0),1),"")</f>
        <v>5</v>
      </c>
      <c r="S6" s="382">
        <f>IFERROR(INDEX(Бандажи4[],MATCH($P$19,Бандажи4[Диам. нар.],0),2),"")</f>
        <v>0</v>
      </c>
      <c r="T6" s="382">
        <f>IFERROR(INDEX(Бандажи4[],MATCH($P$19,Бандажи4[Диам. нар.],0),3),"")</f>
        <v>575</v>
      </c>
      <c r="U6" s="382">
        <f>IFERROR(INDEX(Бандажи4[],MATCH($P$19,Бандажи4[Диам. нар.],0),4),"")</f>
        <v>2.5</v>
      </c>
      <c r="V6" s="382">
        <f>IFERROR(INDEX(Бандажи4[],MATCH($P$19,Бандажи4[Диам. нар.],0),5),"")</f>
        <v>125</v>
      </c>
      <c r="W6" s="382">
        <f>IFERROR(INDEX(Бандажи4[],MATCH($P$19,Бандажи4[Диам. нар.],0),6),"")</f>
        <v>2.5</v>
      </c>
      <c r="X6" s="382">
        <f>IFERROR(INDEX(Бандажи4[],MATCH($P$19,Бандажи4[Диам. нар.],0),7),"")</f>
        <v>125</v>
      </c>
      <c r="Y6" s="1457" t="str">
        <f>IFERROR(INDEX(Бандажи4[],MATCH($P$19,Бандажи4[Диам. нар.],0),8),"")</f>
        <v>Выемка Д=410 Н=35</v>
      </c>
    </row>
    <row r="7" spans="2:25" ht="15" thickBot="1" x14ac:dyDescent="0.35">
      <c r="B7" s="4"/>
      <c r="C7" s="56" t="s">
        <v>12</v>
      </c>
      <c r="D7" s="52"/>
      <c r="E7" s="52"/>
      <c r="F7" s="56"/>
      <c r="G7" s="56"/>
      <c r="I7" s="753" t="s">
        <v>26</v>
      </c>
      <c r="J7" s="56"/>
      <c r="K7" s="56"/>
      <c r="L7" s="52" t="s">
        <v>13</v>
      </c>
      <c r="M7" s="14">
        <f>I8/I9</f>
        <v>0</v>
      </c>
      <c r="O7" s="275"/>
      <c r="P7" s="577"/>
      <c r="R7" s="462">
        <f>IFERROR(INDEX(Бандажи4[],MATCH($P$19,Бандажи4[Диам. нар.],0)+1,1),"")</f>
        <v>6</v>
      </c>
      <c r="S7" s="1029">
        <f>IFERROR(INDEX(Бандажи4[],MATCH($P$19,Бандажи4[Диам. нар.],0)+1,2),"")</f>
        <v>0</v>
      </c>
      <c r="T7" s="1029">
        <f>IFERROR(INDEX(Бандажи4[],MATCH($P$19,Бандажи4[Диам. нар.],0)+1,3),"")</f>
        <v>580</v>
      </c>
      <c r="U7" s="1029">
        <f>IFERROR(INDEX(Бандажи4[],MATCH($P$19,Бандажи4[Диам. нар.],0)+1,4),"")</f>
        <v>1</v>
      </c>
      <c r="V7" s="1029">
        <f>IFERROR(INDEX(Бандажи4[],MATCH($P$19,Бандажи4[Диам. нар.],0)+1,5),"")</f>
        <v>220</v>
      </c>
      <c r="W7" s="1029">
        <f>IFERROR(INDEX(Бандажи4[],MATCH($P$19,Бандажи4[Диам. нар.],0)+1,6),"")</f>
        <v>1</v>
      </c>
      <c r="X7" s="1029">
        <f>IFERROR(INDEX(Бандажи4[],MATCH($P$19,Бандажи4[Диам. нар.],0)+1,7),"")</f>
        <v>125</v>
      </c>
      <c r="Y7" s="463" t="str">
        <f>IFERROR(INDEX(Бандажи4[],MATCH($P$19,Бандажи4[Диам. нар.],0)+1,8),"")</f>
        <v>Выемка Д=415 Н=55</v>
      </c>
    </row>
    <row r="8" spans="2:25" ht="15" thickBot="1" x14ac:dyDescent="0.35">
      <c r="B8" s="4"/>
      <c r="C8" s="56" t="s">
        <v>15</v>
      </c>
      <c r="D8" s="52"/>
      <c r="E8" s="52"/>
      <c r="F8" s="56"/>
      <c r="G8" s="56"/>
      <c r="I8" s="396">
        <f>IF(P7=0,P6,P7)</f>
        <v>0</v>
      </c>
      <c r="J8" s="56"/>
      <c r="K8" s="56"/>
      <c r="L8" s="52" t="s">
        <v>1749</v>
      </c>
      <c r="M8" s="14">
        <f>I8/I13</f>
        <v>0</v>
      </c>
      <c r="O8" s="583" t="s">
        <v>8</v>
      </c>
      <c r="P8" s="584">
        <f>VLOOKUP(I7,Марка_металла[],9,FALSE)</f>
        <v>7.8</v>
      </c>
      <c r="R8" s="500">
        <f>IFERROR(INDEX(Бандажи4[],MATCH($P$19,Бандажи4[Диам. нар.],0)+2,1),"")</f>
        <v>4</v>
      </c>
      <c r="S8" s="501" t="str">
        <f>IFERROR(INDEX(Бандажи4[],MATCH($P$19,Бандажи4[Диам. нар.],0)+2,2),"")</f>
        <v>1573.10.58</v>
      </c>
      <c r="T8" s="501">
        <f>IFERROR(INDEX(Бандажи4[],MATCH($P$19,Бандажи4[Диам. нар.],0)+2,3),"")</f>
        <v>720</v>
      </c>
      <c r="U8" s="501">
        <f>IFERROR(INDEX(Бандажи4[],MATCH($P$19,Бандажи4[Диам. нар.],0)+2,4),"")</f>
        <v>2.5</v>
      </c>
      <c r="V8" s="501">
        <f>IFERROR(INDEX(Бандажи4[],MATCH($P$19,Бандажи4[Диам. нар.],0)+2,5),"")</f>
        <v>510</v>
      </c>
      <c r="W8" s="501">
        <f>IFERROR(INDEX(Бандажи4[],MATCH($P$19,Бандажи4[Диам. нар.],0)+2,6),"")</f>
        <v>7.5</v>
      </c>
      <c r="X8" s="501">
        <f>IFERROR(INDEX(Бандажи4[],MATCH($P$19,Бандажи4[Диам. нар.],0)+2,7),"")</f>
        <v>150</v>
      </c>
      <c r="Y8" s="502">
        <f>IFERROR(INDEX(Бандажи4[],MATCH($P$19,Бандажи4[Диам. нар.],0)+2,8),"")</f>
        <v>0</v>
      </c>
    </row>
    <row r="9" spans="2:25" ht="15" thickBot="1" x14ac:dyDescent="0.35">
      <c r="B9" s="4"/>
      <c r="C9" s="56" t="s">
        <v>17</v>
      </c>
      <c r="D9" s="52"/>
      <c r="E9" s="52"/>
      <c r="F9" s="56"/>
      <c r="G9" s="56"/>
      <c r="I9" s="396">
        <f>P25</f>
        <v>1</v>
      </c>
      <c r="J9" s="52"/>
      <c r="K9" s="52"/>
      <c r="L9" s="52"/>
      <c r="M9" s="17"/>
      <c r="O9" s="1581" t="s">
        <v>742</v>
      </c>
      <c r="P9" s="1582"/>
      <c r="R9" s="1029"/>
      <c r="S9" s="1029"/>
      <c r="T9" s="1029"/>
      <c r="U9" s="1029"/>
      <c r="V9" s="1029"/>
      <c r="W9" s="1029"/>
      <c r="X9" s="1029"/>
      <c r="Y9" s="1029"/>
    </row>
    <row r="10" spans="2:25" x14ac:dyDescent="0.3">
      <c r="B10" s="4"/>
      <c r="C10" s="56" t="s">
        <v>19</v>
      </c>
      <c r="D10" s="52"/>
      <c r="E10" s="52"/>
      <c r="F10" s="56"/>
      <c r="G10" s="56"/>
      <c r="I10" s="396">
        <f>P28</f>
        <v>1</v>
      </c>
      <c r="J10" s="52"/>
      <c r="K10" s="52"/>
      <c r="L10" s="52"/>
      <c r="M10" s="17"/>
      <c r="O10" s="1583" t="s">
        <v>1728</v>
      </c>
      <c r="P10" s="1959">
        <f>Данные!AB77</f>
        <v>20</v>
      </c>
    </row>
    <row r="11" spans="2:25" x14ac:dyDescent="0.3">
      <c r="B11" s="4"/>
      <c r="C11" s="56" t="s">
        <v>275</v>
      </c>
      <c r="D11" s="52"/>
      <c r="E11" s="52"/>
      <c r="F11" s="56"/>
      <c r="G11" s="56"/>
      <c r="I11" s="1235">
        <f>ROUNDUP(P29,0)</f>
        <v>29</v>
      </c>
      <c r="J11" s="52"/>
      <c r="K11" s="52"/>
      <c r="L11" s="52"/>
      <c r="M11" s="17"/>
      <c r="O11" s="1584" t="s">
        <v>1751</v>
      </c>
      <c r="P11" s="1960">
        <f>Данные!AC77</f>
        <v>20</v>
      </c>
    </row>
    <row r="12" spans="2:25" x14ac:dyDescent="0.3">
      <c r="B12" s="4"/>
      <c r="C12" s="56" t="s">
        <v>22</v>
      </c>
      <c r="D12" s="52"/>
      <c r="E12" s="52"/>
      <c r="F12" s="56"/>
      <c r="G12" s="56"/>
      <c r="I12" s="400">
        <f>SUM(I9:I11)</f>
        <v>31</v>
      </c>
      <c r="J12" s="52"/>
      <c r="K12" s="52"/>
      <c r="L12" s="52"/>
      <c r="M12" s="17"/>
      <c r="O12" s="1961" t="s">
        <v>1727</v>
      </c>
      <c r="P12" s="1958">
        <f>Данные!AB77</f>
        <v>20</v>
      </c>
    </row>
    <row r="13" spans="2:25" ht="15" thickBot="1" x14ac:dyDescent="0.35">
      <c r="B13" s="18"/>
      <c r="C13" s="62" t="s">
        <v>27</v>
      </c>
      <c r="D13" s="19"/>
      <c r="E13" s="19"/>
      <c r="F13" s="62"/>
      <c r="G13" s="62"/>
      <c r="I13" s="401">
        <f>ROUNDUP(I12*1.04,0)</f>
        <v>33</v>
      </c>
      <c r="J13" s="19"/>
      <c r="K13" s="19"/>
      <c r="L13" s="19"/>
      <c r="M13" s="737"/>
      <c r="O13" s="1585" t="s">
        <v>899</v>
      </c>
      <c r="P13" s="1962">
        <v>45</v>
      </c>
    </row>
    <row r="14" spans="2:25" x14ac:dyDescent="0.3">
      <c r="B14" s="11"/>
      <c r="C14" s="749" t="s">
        <v>186</v>
      </c>
      <c r="D14" s="116"/>
      <c r="E14" s="43"/>
      <c r="F14" s="117"/>
      <c r="G14" s="117"/>
      <c r="H14" s="5"/>
      <c r="I14" s="5" t="s">
        <v>1740</v>
      </c>
      <c r="J14" s="5"/>
      <c r="K14" s="1734">
        <f>IF(P20=0,Данные!Y77,Данные!Z77)</f>
        <v>1</v>
      </c>
      <c r="L14" s="763"/>
      <c r="M14" s="119"/>
      <c r="O14" s="1595" t="s">
        <v>1603</v>
      </c>
      <c r="P14" s="1596"/>
    </row>
    <row r="15" spans="2:25" x14ac:dyDescent="0.3">
      <c r="B15" s="4"/>
      <c r="C15" s="92"/>
      <c r="D15" s="94"/>
      <c r="E15" s="44"/>
      <c r="F15" s="34"/>
      <c r="G15" s="34"/>
      <c r="H15" s="52"/>
      <c r="I15" s="52"/>
      <c r="J15" s="52"/>
      <c r="K15" s="52"/>
      <c r="L15" s="22"/>
      <c r="M15" s="23"/>
      <c r="O15" s="580" t="s">
        <v>1741</v>
      </c>
      <c r="P15" s="891">
        <f>IF(P20=0,ROUND(((P3+P10*2)/0.985),0),VLOOKUP(P20,Бандажи4[],3,0))</f>
        <v>41</v>
      </c>
      <c r="R15"/>
    </row>
    <row r="16" spans="2:25" x14ac:dyDescent="0.3">
      <c r="B16" s="4"/>
      <c r="C16" s="92"/>
      <c r="D16" s="1588">
        <f>P27</f>
        <v>85</v>
      </c>
      <c r="E16" s="44"/>
      <c r="F16" s="34"/>
      <c r="G16" s="34"/>
      <c r="H16" s="52"/>
      <c r="I16" s="52"/>
      <c r="J16" s="52"/>
      <c r="K16" s="52"/>
      <c r="L16" s="22"/>
      <c r="M16" s="23"/>
      <c r="O16" s="580" t="s">
        <v>222</v>
      </c>
      <c r="P16" s="891">
        <f>IF(P20=0,ROUND(((P4-P11*2)/0.994),0),VLOOKUP(P20,Бандажи4[],5,0))</f>
        <v>-40</v>
      </c>
      <c r="R16"/>
    </row>
    <row r="17" spans="2:26" ht="15" thickBot="1" x14ac:dyDescent="0.35">
      <c r="B17" s="4"/>
      <c r="C17" s="750" t="s">
        <v>945</v>
      </c>
      <c r="D17" s="56"/>
      <c r="E17" s="56"/>
      <c r="F17" s="52"/>
      <c r="G17" s="52"/>
      <c r="H17" s="52"/>
      <c r="I17" s="52"/>
      <c r="J17" s="52"/>
      <c r="K17" s="52"/>
      <c r="L17" s="22"/>
      <c r="M17" s="23"/>
      <c r="O17" s="581" t="s">
        <v>5</v>
      </c>
      <c r="P17" s="1555">
        <f>IF(P20=0,ROUND(((P5+P12*2+P13)/0.985),0),VLOOKUP(P20,Бандажи4[],7,0))</f>
        <v>86</v>
      </c>
      <c r="R17"/>
      <c r="U17" s="1312"/>
    </row>
    <row r="18" spans="2:26" x14ac:dyDescent="0.3">
      <c r="B18" s="4"/>
      <c r="C18" s="56"/>
      <c r="D18" s="52"/>
      <c r="E18" s="52"/>
      <c r="F18" s="52"/>
      <c r="G18" s="52"/>
      <c r="H18" s="52"/>
      <c r="I18" s="52"/>
      <c r="J18" s="44"/>
      <c r="K18" s="44"/>
      <c r="L18" s="22"/>
      <c r="M18" s="218"/>
      <c r="O18" s="1560" t="s">
        <v>1729</v>
      </c>
      <c r="P18" s="1561"/>
      <c r="R18" s="984"/>
      <c r="U18" s="1312"/>
    </row>
    <row r="19" spans="2:26" ht="15" thickBot="1" x14ac:dyDescent="0.35">
      <c r="B19" s="4"/>
      <c r="C19" s="56"/>
      <c r="D19" s="52"/>
      <c r="E19" s="52"/>
      <c r="F19" s="52"/>
      <c r="G19" s="52"/>
      <c r="H19" s="52"/>
      <c r="I19" s="52"/>
      <c r="J19" s="52"/>
      <c r="K19" s="52"/>
      <c r="L19" s="26"/>
      <c r="M19" s="218"/>
      <c r="O19" s="581" t="s">
        <v>1741</v>
      </c>
      <c r="P19" s="67">
        <f t="array" ref="P19">MIN(IF(Бандажи4[Диам. нар.]:Бандажи4[Диам. нар.]&gt;=P15,Бандажи4[Диам. нар.]))</f>
        <v>575</v>
      </c>
    </row>
    <row r="20" spans="2:26" ht="15" thickBot="1" x14ac:dyDescent="0.35">
      <c r="B20" s="4"/>
      <c r="C20" s="56"/>
      <c r="D20" s="52"/>
      <c r="E20" s="52"/>
      <c r="F20" s="52"/>
      <c r="G20" s="52"/>
      <c r="H20" s="52"/>
      <c r="I20" s="52"/>
      <c r="J20" s="52"/>
      <c r="K20" s="52"/>
      <c r="L20" s="24"/>
      <c r="M20" s="115"/>
      <c r="O20" s="1586" t="s">
        <v>1715</v>
      </c>
      <c r="P20" s="1587"/>
    </row>
    <row r="21" spans="2:26" ht="15" thickBot="1" x14ac:dyDescent="0.35">
      <c r="B21" s="4"/>
      <c r="C21" s="56"/>
      <c r="D21" s="52"/>
      <c r="E21" s="52"/>
      <c r="F21" s="52"/>
      <c r="G21" s="52"/>
      <c r="H21" s="52"/>
      <c r="I21" s="52"/>
      <c r="J21" s="1591">
        <f>ROUND(P4/1.94/10,0)*10</f>
        <v>0</v>
      </c>
      <c r="K21" s="1591"/>
      <c r="L21" s="1591"/>
      <c r="M21" s="249"/>
      <c r="O21" s="1553" t="s">
        <v>1752</v>
      </c>
      <c r="P21" s="1554"/>
      <c r="U21" s="1312"/>
      <c r="V21" s="1312"/>
    </row>
    <row r="22" spans="2:26" x14ac:dyDescent="0.3">
      <c r="B22" s="4"/>
      <c r="C22" s="56"/>
      <c r="D22" s="52"/>
      <c r="E22" s="52"/>
      <c r="F22" s="52"/>
      <c r="G22" s="52"/>
      <c r="H22" s="52"/>
      <c r="I22" s="52"/>
      <c r="J22" s="767"/>
      <c r="K22" s="767"/>
      <c r="L22" s="767"/>
      <c r="M22" s="249"/>
      <c r="O22" s="1931" t="s">
        <v>1741</v>
      </c>
      <c r="P22" s="1932">
        <f>ROUND(P15*0.985,0)</f>
        <v>40</v>
      </c>
      <c r="U22" s="1312"/>
      <c r="V22" s="1312"/>
    </row>
    <row r="23" spans="2:26" x14ac:dyDescent="0.3">
      <c r="B23" s="4"/>
      <c r="C23" s="750" t="s">
        <v>944</v>
      </c>
      <c r="D23" s="56"/>
      <c r="E23" s="52"/>
      <c r="F23" s="52"/>
      <c r="G23" s="52"/>
      <c r="H23" s="52"/>
      <c r="I23" s="52"/>
      <c r="J23" s="113"/>
      <c r="K23" s="113"/>
      <c r="L23" s="27"/>
      <c r="M23" s="115"/>
      <c r="O23" s="580" t="s">
        <v>222</v>
      </c>
      <c r="P23" s="891">
        <f>ROUNDDOWN(P16*0.994,0)</f>
        <v>-39</v>
      </c>
      <c r="U23" s="1312"/>
      <c r="V23" s="1312"/>
    </row>
    <row r="24" spans="2:26" ht="15" thickBot="1" x14ac:dyDescent="0.35">
      <c r="B24" s="4"/>
      <c r="C24" s="56"/>
      <c r="D24" s="748">
        <v>20</v>
      </c>
      <c r="E24" s="2101">
        <f>P23</f>
        <v>-39</v>
      </c>
      <c r="F24" s="2100">
        <f>P4</f>
        <v>0</v>
      </c>
      <c r="G24" s="2102">
        <f>P22</f>
        <v>40</v>
      </c>
      <c r="H24" s="2103">
        <f>P3</f>
        <v>0</v>
      </c>
      <c r="I24" s="52"/>
      <c r="J24" s="52"/>
      <c r="K24" s="52"/>
      <c r="L24" s="27"/>
      <c r="M24" s="25"/>
      <c r="O24" s="581" t="s">
        <v>5</v>
      </c>
      <c r="P24" s="892">
        <f>ROUNDUP(P17*0.985,0)</f>
        <v>85</v>
      </c>
      <c r="U24" s="1312"/>
      <c r="V24" s="1312"/>
    </row>
    <row r="25" spans="2:26" ht="14.4" customHeight="1" thickBot="1" x14ac:dyDescent="0.35">
      <c r="B25" s="4"/>
      <c r="C25" s="56"/>
      <c r="D25" s="52"/>
      <c r="E25" s="2101"/>
      <c r="F25" s="2100"/>
      <c r="G25" s="2102"/>
      <c r="H25" s="2103"/>
      <c r="I25" s="752"/>
      <c r="J25" s="52"/>
      <c r="K25" s="52"/>
      <c r="L25" s="27"/>
      <c r="M25" s="25"/>
      <c r="O25" s="742" t="s">
        <v>17</v>
      </c>
      <c r="P25" s="1557">
        <f>ROUNDUP(((P22+K14*0.985)*(P22+K14*0.985)-(P23-Данные!T197*0.994)*(P23-Данные!T197*0.994))*P24*3.1415926*P8/4000000,0)</f>
        <v>1</v>
      </c>
    </row>
    <row r="26" spans="2:26" ht="14.4" customHeight="1" thickBot="1" x14ac:dyDescent="0.35">
      <c r="B26" s="4"/>
      <c r="C26" s="56"/>
      <c r="D26" s="52"/>
      <c r="E26" s="2101"/>
      <c r="F26" s="2100"/>
      <c r="G26" s="2102"/>
      <c r="H26" s="2103"/>
      <c r="I26" s="752"/>
      <c r="J26" s="52"/>
      <c r="K26" s="52"/>
      <c r="L26" s="27"/>
      <c r="M26" s="25"/>
      <c r="O26" s="1553" t="s">
        <v>975</v>
      </c>
      <c r="P26" s="1554"/>
    </row>
    <row r="27" spans="2:26" x14ac:dyDescent="0.3">
      <c r="B27" s="4"/>
      <c r="C27" s="56"/>
      <c r="D27" s="31"/>
      <c r="E27" s="755"/>
      <c r="F27" s="756"/>
      <c r="G27" s="2102"/>
      <c r="H27" s="2103"/>
      <c r="I27" s="752"/>
      <c r="J27" s="52"/>
      <c r="K27" s="52"/>
      <c r="L27" s="27"/>
      <c r="M27" s="25"/>
      <c r="O27" s="746" t="s">
        <v>5</v>
      </c>
      <c r="P27" s="1558">
        <f>P24</f>
        <v>85</v>
      </c>
      <c r="Q27" s="1029"/>
      <c r="R27" s="1029"/>
      <c r="S27" s="1029"/>
      <c r="T27" s="1029"/>
      <c r="U27" s="1029"/>
      <c r="V27" s="1029"/>
      <c r="W27" s="1029"/>
      <c r="X27" s="1029"/>
      <c r="Y27" s="1029"/>
      <c r="Z27" s="1029"/>
    </row>
    <row r="28" spans="2:26" ht="15" thickBot="1" x14ac:dyDescent="0.35">
      <c r="B28" s="4"/>
      <c r="C28" s="56"/>
      <c r="D28" s="56"/>
      <c r="E28" s="1590">
        <f>P24</f>
        <v>85</v>
      </c>
      <c r="F28" s="114"/>
      <c r="G28" s="114"/>
      <c r="H28" s="52"/>
      <c r="I28" s="52"/>
      <c r="J28" s="52"/>
      <c r="K28" s="52"/>
      <c r="L28" s="27"/>
      <c r="M28" s="25"/>
      <c r="O28" s="578" t="s">
        <v>1753</v>
      </c>
      <c r="P28" s="892">
        <f>ROUNDUP(P25/4*1.19,0)</f>
        <v>1</v>
      </c>
      <c r="Q28" s="1029"/>
      <c r="R28" s="1029"/>
      <c r="S28" s="585"/>
      <c r="T28" s="585"/>
      <c r="U28" s="585"/>
      <c r="V28" s="585"/>
      <c r="W28" s="585"/>
      <c r="X28" s="585"/>
      <c r="Y28" s="585"/>
      <c r="Z28" s="1029"/>
    </row>
    <row r="29" spans="2:26" ht="15" thickBot="1" x14ac:dyDescent="0.35">
      <c r="B29" s="4"/>
      <c r="C29" s="56"/>
      <c r="D29" s="56"/>
      <c r="E29" s="1325">
        <f>P5</f>
        <v>0</v>
      </c>
      <c r="F29" s="582"/>
      <c r="G29" s="582"/>
      <c r="H29" s="52"/>
      <c r="I29" s="52"/>
      <c r="J29" s="52"/>
      <c r="K29" s="52"/>
      <c r="L29" s="27"/>
      <c r="M29" s="25"/>
      <c r="O29" s="1559" t="s">
        <v>1754</v>
      </c>
      <c r="P29" s="1237">
        <f>Данные!U81</f>
        <v>28.543971157346675</v>
      </c>
      <c r="Q29" s="1029"/>
      <c r="R29" s="1029"/>
      <c r="S29" s="585"/>
      <c r="T29" s="585"/>
      <c r="U29" s="585"/>
      <c r="V29" s="585"/>
      <c r="W29" s="585"/>
      <c r="X29" s="585"/>
      <c r="Y29" s="585"/>
      <c r="Z29" s="1029"/>
    </row>
    <row r="30" spans="2:26" x14ac:dyDescent="0.3">
      <c r="B30" s="4"/>
      <c r="C30" s="56"/>
      <c r="D30" s="52"/>
      <c r="E30" s="52"/>
      <c r="F30" s="52"/>
      <c r="G30" s="52"/>
      <c r="H30" s="52"/>
      <c r="I30" s="52"/>
      <c r="J30" s="52"/>
      <c r="K30" s="52"/>
      <c r="L30" s="24"/>
      <c r="M30" s="25"/>
      <c r="O30" s="1029"/>
      <c r="Q30" s="1029"/>
      <c r="R30" s="1029"/>
      <c r="S30" s="585"/>
      <c r="T30" s="585"/>
      <c r="U30" s="585"/>
      <c r="V30" s="585"/>
      <c r="W30" s="585"/>
      <c r="X30" s="585"/>
      <c r="Y30" s="585"/>
      <c r="Z30" s="1029"/>
    </row>
    <row r="31" spans="2:26" x14ac:dyDescent="0.3">
      <c r="B31" s="4"/>
      <c r="C31" s="56"/>
      <c r="D31" s="52"/>
      <c r="E31" s="52"/>
      <c r="F31" s="52"/>
      <c r="G31" s="52"/>
      <c r="H31" s="52"/>
      <c r="I31" s="52"/>
      <c r="J31" s="52"/>
      <c r="K31" s="52"/>
      <c r="L31" s="22"/>
      <c r="M31" s="23"/>
      <c r="O31" s="1029"/>
      <c r="Q31" s="1029"/>
      <c r="R31" s="1029"/>
      <c r="S31" s="585"/>
      <c r="T31" s="585"/>
      <c r="U31" s="585"/>
      <c r="V31" s="585"/>
      <c r="W31" s="585"/>
      <c r="X31" s="585"/>
      <c r="Y31" s="585"/>
      <c r="Z31" s="1029"/>
    </row>
    <row r="32" spans="2:26" x14ac:dyDescent="0.3">
      <c r="B32" s="4"/>
      <c r="C32" s="56"/>
      <c r="D32" s="52"/>
      <c r="E32" s="52"/>
      <c r="F32" s="52"/>
      <c r="G32" s="52"/>
      <c r="H32" s="52"/>
      <c r="I32" s="52"/>
      <c r="J32" s="92"/>
      <c r="K32" s="92"/>
      <c r="L32" s="22"/>
      <c r="M32" s="23"/>
      <c r="Q32" s="1029"/>
      <c r="R32" s="1029"/>
      <c r="S32" s="585"/>
      <c r="T32" s="585"/>
      <c r="U32" s="585"/>
      <c r="V32" s="585"/>
      <c r="W32" s="585"/>
      <c r="X32" s="585"/>
      <c r="Y32" s="585"/>
      <c r="Z32" s="1029"/>
    </row>
    <row r="33" spans="2:26" x14ac:dyDescent="0.3">
      <c r="B33" s="4"/>
      <c r="C33" s="56"/>
      <c r="D33" s="52"/>
      <c r="E33" s="52"/>
      <c r="F33" s="52"/>
      <c r="G33" s="52"/>
      <c r="H33" s="52"/>
      <c r="I33" s="52"/>
      <c r="J33" s="52"/>
      <c r="K33" s="52"/>
      <c r="L33" s="22"/>
      <c r="M33" s="23"/>
      <c r="Q33" s="1029"/>
      <c r="R33" s="1029"/>
      <c r="S33" s="585"/>
      <c r="T33" s="585"/>
      <c r="U33" s="585"/>
      <c r="V33" s="1589"/>
      <c r="W33" s="585"/>
      <c r="X33" s="585"/>
      <c r="Y33" s="585"/>
      <c r="Z33" s="1029"/>
    </row>
    <row r="34" spans="2:26" x14ac:dyDescent="0.3">
      <c r="B34" s="4"/>
      <c r="C34" s="52"/>
      <c r="D34" s="52"/>
      <c r="E34" s="52"/>
      <c r="F34" s="56"/>
      <c r="G34" s="56"/>
      <c r="H34" s="56"/>
      <c r="I34" s="56"/>
      <c r="J34" s="52"/>
      <c r="K34" s="52"/>
      <c r="L34" s="52"/>
      <c r="M34" s="23"/>
      <c r="Q34" s="1029"/>
      <c r="R34" s="1029"/>
      <c r="S34" s="585"/>
      <c r="T34" s="585"/>
      <c r="U34" s="585"/>
      <c r="V34" s="1589"/>
      <c r="W34" s="585"/>
      <c r="X34" s="585"/>
      <c r="Y34" s="585"/>
      <c r="Z34" s="1029"/>
    </row>
    <row r="35" spans="2:26" ht="16.2" thickBot="1" x14ac:dyDescent="0.35">
      <c r="B35" s="18"/>
      <c r="C35" s="62"/>
      <c r="D35" s="19"/>
      <c r="E35" s="97"/>
      <c r="F35" s="754" t="s">
        <v>229</v>
      </c>
      <c r="G35" s="19"/>
      <c r="H35" s="62"/>
      <c r="I35" s="62"/>
      <c r="J35" s="19"/>
      <c r="K35" s="19"/>
      <c r="L35" s="19"/>
      <c r="M35" s="69"/>
      <c r="Q35" s="1029"/>
      <c r="R35" s="1029"/>
      <c r="S35" s="585"/>
      <c r="T35" s="585"/>
      <c r="U35" s="585"/>
      <c r="V35" s="585"/>
      <c r="W35" s="585"/>
      <c r="X35" s="585"/>
      <c r="Y35" s="585"/>
      <c r="Z35" s="1029"/>
    </row>
    <row r="36" spans="2:26" x14ac:dyDescent="0.3">
      <c r="B36" s="4"/>
      <c r="C36" s="52" t="s">
        <v>226</v>
      </c>
      <c r="D36" s="52"/>
      <c r="E36" s="52"/>
      <c r="F36" s="44" t="s">
        <v>46</v>
      </c>
      <c r="G36" s="50"/>
      <c r="I36" s="52"/>
      <c r="J36" s="52"/>
      <c r="K36" s="52"/>
      <c r="L36" s="52"/>
      <c r="M36" s="9"/>
      <c r="Q36" s="57"/>
      <c r="R36" s="57"/>
      <c r="S36" s="585"/>
      <c r="T36" s="585"/>
      <c r="U36" s="585"/>
      <c r="V36" s="585"/>
      <c r="W36" s="585"/>
      <c r="X36" s="585"/>
      <c r="Y36" s="585"/>
      <c r="Z36" s="1029"/>
    </row>
    <row r="37" spans="2:26" ht="15.6" x14ac:dyDescent="0.3">
      <c r="B37" s="4"/>
      <c r="C37" s="52" t="s">
        <v>47</v>
      </c>
      <c r="D37" s="52"/>
      <c r="E37" s="52"/>
      <c r="F37" s="44" t="s">
        <v>48</v>
      </c>
      <c r="K37" s="52"/>
      <c r="L37" s="52"/>
      <c r="M37" s="9"/>
      <c r="P37" s="57"/>
      <c r="Q37" s="1245"/>
      <c r="R37" s="1245"/>
      <c r="S37" s="585"/>
      <c r="T37" s="585"/>
      <c r="U37" s="585"/>
      <c r="V37" s="585"/>
      <c r="W37" s="585"/>
      <c r="X37" s="585"/>
      <c r="Y37" s="585"/>
      <c r="Z37" s="1029"/>
    </row>
    <row r="38" spans="2:26" ht="15.6" x14ac:dyDescent="0.3">
      <c r="B38" s="4"/>
      <c r="C38" s="92" t="s">
        <v>54</v>
      </c>
      <c r="D38" s="52"/>
      <c r="E38" s="52"/>
      <c r="F38" s="121" t="s">
        <v>130</v>
      </c>
      <c r="G38" s="50"/>
      <c r="I38" s="44"/>
      <c r="J38" s="52"/>
      <c r="K38" s="52"/>
      <c r="L38" s="52"/>
      <c r="M38" s="9"/>
      <c r="P38" s="57"/>
      <c r="Q38" s="1245"/>
      <c r="R38" s="1245"/>
      <c r="S38" s="585"/>
      <c r="T38" s="585"/>
      <c r="U38" s="585"/>
      <c r="V38" s="585"/>
      <c r="W38" s="585"/>
      <c r="X38" s="585"/>
      <c r="Y38" s="585"/>
      <c r="Z38" s="1029"/>
    </row>
    <row r="39" spans="2:26" ht="15.6" x14ac:dyDescent="0.3">
      <c r="B39" s="4"/>
      <c r="C39" s="52" t="s">
        <v>686</v>
      </c>
      <c r="D39" s="52"/>
      <c r="E39" s="52"/>
      <c r="F39" s="13" t="s">
        <v>105</v>
      </c>
      <c r="G39" s="121"/>
      <c r="I39" s="870" t="s">
        <v>867</v>
      </c>
      <c r="J39" s="52"/>
      <c r="K39" s="52"/>
      <c r="L39" s="52"/>
      <c r="M39" s="9"/>
      <c r="P39" s="57"/>
      <c r="Q39" s="1244"/>
      <c r="R39" s="1244"/>
      <c r="S39" s="585"/>
      <c r="T39" s="585"/>
      <c r="U39" s="585"/>
      <c r="V39" s="585"/>
      <c r="W39" s="585"/>
      <c r="X39" s="585"/>
      <c r="Y39" s="585"/>
      <c r="Z39" s="1029"/>
    </row>
    <row r="40" spans="2:26" ht="15.6" x14ac:dyDescent="0.3">
      <c r="B40" s="4"/>
      <c r="C40" s="52" t="s">
        <v>43</v>
      </c>
      <c r="D40" s="52"/>
      <c r="E40" s="52"/>
      <c r="F40" s="44" t="str">
        <f>VLOOKUP(I7,Данные!A2:I26,6,FALSE())</f>
        <v>25010.00176</v>
      </c>
      <c r="G40" s="51"/>
      <c r="I40" s="16"/>
      <c r="J40" s="52"/>
      <c r="K40" s="52"/>
      <c r="L40" s="52"/>
      <c r="M40" s="9"/>
      <c r="P40" s="57"/>
      <c r="Q40" s="1245"/>
      <c r="R40" s="1245"/>
      <c r="S40" s="585"/>
      <c r="T40" s="585"/>
      <c r="U40" s="585"/>
      <c r="V40" s="585"/>
      <c r="W40" s="585"/>
      <c r="X40" s="585"/>
      <c r="Y40" s="585"/>
      <c r="Z40" s="1029"/>
    </row>
    <row r="41" spans="2:26" ht="15.6" x14ac:dyDescent="0.3">
      <c r="B41" s="4"/>
      <c r="C41" s="52" t="s">
        <v>44</v>
      </c>
      <c r="D41" s="52"/>
      <c r="E41" s="52"/>
      <c r="F41" s="44" t="str">
        <f>IF(I12&gt;1900,Данные!G4,Данные!G3)</f>
        <v>25011.00007</v>
      </c>
      <c r="G41" s="50"/>
      <c r="I41" s="52"/>
      <c r="J41" s="52"/>
      <c r="K41" s="52"/>
      <c r="L41" s="52"/>
      <c r="M41" s="9"/>
      <c r="P41" s="57"/>
      <c r="Q41" s="1247"/>
      <c r="R41" s="1247"/>
      <c r="S41" s="585"/>
      <c r="T41" s="585"/>
      <c r="U41" s="585"/>
      <c r="V41" s="585"/>
      <c r="W41" s="585"/>
      <c r="X41" s="585"/>
      <c r="Y41" s="585"/>
      <c r="Z41" s="1029"/>
    </row>
    <row r="42" spans="2:26" ht="15.6" x14ac:dyDescent="0.3">
      <c r="B42" s="4"/>
      <c r="C42" s="52" t="s">
        <v>82</v>
      </c>
      <c r="D42" s="52"/>
      <c r="E42" s="16"/>
      <c r="F42" s="16">
        <v>25010.001680000001</v>
      </c>
      <c r="G42" s="50"/>
      <c r="I42" s="52"/>
      <c r="J42" s="52"/>
      <c r="K42" s="52"/>
      <c r="L42" s="52"/>
      <c r="M42" s="9"/>
      <c r="P42" s="57"/>
      <c r="Q42" s="1245"/>
      <c r="R42" s="1245"/>
      <c r="S42" s="585"/>
      <c r="T42" s="585"/>
      <c r="U42" s="585"/>
      <c r="V42" s="585"/>
      <c r="W42" s="585"/>
      <c r="X42" s="585"/>
      <c r="Y42" s="585"/>
      <c r="Z42" s="1029"/>
    </row>
    <row r="43" spans="2:26" ht="15.6" x14ac:dyDescent="0.3">
      <c r="B43" s="4"/>
      <c r="G43" s="16"/>
      <c r="I43" s="52"/>
      <c r="L43" s="52"/>
      <c r="M43" s="9"/>
      <c r="P43" s="57"/>
      <c r="Q43" s="1247"/>
      <c r="R43" s="1247"/>
      <c r="S43" s="585"/>
      <c r="T43" s="585"/>
      <c r="U43" s="585"/>
      <c r="V43" s="585"/>
      <c r="W43" s="585"/>
      <c r="X43" s="585"/>
      <c r="Y43" s="585"/>
      <c r="Z43" s="1029"/>
    </row>
    <row r="44" spans="2:26" ht="15.6" x14ac:dyDescent="0.3">
      <c r="B44" s="4"/>
      <c r="C44" s="52" t="s">
        <v>52</v>
      </c>
      <c r="D44" s="52"/>
      <c r="E44" s="52"/>
      <c r="F44" s="1592" t="s">
        <v>936</v>
      </c>
      <c r="G44" s="49"/>
      <c r="H44" t="s">
        <v>832</v>
      </c>
      <c r="I44" s="52"/>
      <c r="J44" s="41"/>
      <c r="L44" s="52"/>
      <c r="M44" s="9"/>
      <c r="P44" s="57"/>
      <c r="Q44" s="1245"/>
      <c r="R44" s="1245"/>
      <c r="S44" s="585"/>
      <c r="T44" s="585"/>
      <c r="U44" s="585"/>
      <c r="V44" s="585"/>
      <c r="W44" s="585"/>
      <c r="X44" s="585"/>
      <c r="Y44" s="585"/>
      <c r="Z44" s="1029"/>
    </row>
    <row r="45" spans="2:26" ht="16.2" thickBot="1" x14ac:dyDescent="0.35">
      <c r="B45" s="4"/>
      <c r="C45" s="52" t="s">
        <v>1750</v>
      </c>
      <c r="D45" s="52"/>
      <c r="E45" s="16"/>
      <c r="G45" s="16"/>
      <c r="H45" s="16" t="s">
        <v>57</v>
      </c>
      <c r="J45" s="52"/>
      <c r="K45" s="52"/>
      <c r="L45" s="52"/>
      <c r="M45" s="9"/>
      <c r="P45" s="57"/>
      <c r="Q45" s="1247"/>
      <c r="R45" s="1247"/>
      <c r="S45" s="585"/>
      <c r="T45" s="585"/>
      <c r="U45" s="585"/>
      <c r="V45" s="585"/>
      <c r="W45" s="585"/>
      <c r="X45" s="585"/>
      <c r="Y45" s="585"/>
      <c r="Z45" s="1029"/>
    </row>
    <row r="46" spans="2:26" ht="16.2" thickBot="1" x14ac:dyDescent="0.35">
      <c r="B46" s="2032" t="s">
        <v>58</v>
      </c>
      <c r="C46" s="2034"/>
      <c r="D46" s="2033"/>
      <c r="E46" s="35" t="s">
        <v>59</v>
      </c>
      <c r="F46" s="2032" t="s">
        <v>58</v>
      </c>
      <c r="G46" s="2034"/>
      <c r="H46" s="2033"/>
      <c r="I46" s="2032" t="s">
        <v>60</v>
      </c>
      <c r="J46" s="2033"/>
      <c r="K46" s="2032" t="s">
        <v>833</v>
      </c>
      <c r="L46" s="2034"/>
      <c r="M46" s="2033"/>
      <c r="P46" s="57"/>
      <c r="Q46" s="1245"/>
      <c r="R46" s="1245"/>
      <c r="S46" s="585"/>
      <c r="T46" s="585"/>
      <c r="U46" s="585"/>
      <c r="V46" s="585"/>
      <c r="W46" s="585"/>
      <c r="X46" s="585"/>
      <c r="Y46" s="585"/>
      <c r="Z46" s="1029"/>
    </row>
    <row r="47" spans="2:26" ht="16.2" thickBot="1" x14ac:dyDescent="0.35">
      <c r="B47" s="2113">
        <f ca="1">TODAY()</f>
        <v>45590</v>
      </c>
      <c r="C47" s="2039"/>
      <c r="D47" s="2040"/>
      <c r="E47" s="37"/>
      <c r="F47" s="2038"/>
      <c r="G47" s="2039"/>
      <c r="H47" s="2040"/>
      <c r="I47" s="2038"/>
      <c r="J47" s="2040"/>
      <c r="K47" s="2038"/>
      <c r="L47" s="2039"/>
      <c r="M47" s="2040"/>
      <c r="P47" s="57"/>
      <c r="Q47" s="1247"/>
      <c r="R47" s="1247"/>
      <c r="S47" s="585"/>
      <c r="T47" s="585"/>
      <c r="U47" s="585"/>
      <c r="V47" s="585"/>
      <c r="W47" s="585"/>
      <c r="X47" s="585"/>
      <c r="Y47" s="585"/>
      <c r="Z47" s="1029"/>
    </row>
    <row r="48" spans="2:26" ht="15" customHeight="1" thickBot="1" x14ac:dyDescent="0.35">
      <c r="B48" s="2110" t="s">
        <v>61</v>
      </c>
      <c r="C48" s="2111"/>
      <c r="D48" s="2112"/>
      <c r="E48" s="71"/>
      <c r="F48" s="764"/>
      <c r="G48" s="765"/>
      <c r="H48" s="3"/>
      <c r="I48" s="764"/>
      <c r="J48" s="3"/>
      <c r="K48" s="52"/>
      <c r="L48" s="52"/>
      <c r="M48" s="9"/>
      <c r="P48" s="57"/>
      <c r="Q48" s="1254"/>
      <c r="R48" s="1254"/>
      <c r="S48" s="585"/>
      <c r="T48" s="585"/>
      <c r="U48" s="585"/>
      <c r="V48" s="585"/>
      <c r="W48" s="585"/>
      <c r="X48" s="585"/>
      <c r="Y48" s="585"/>
      <c r="Z48" s="1029"/>
    </row>
    <row r="49" spans="1:26" ht="14.4" customHeight="1" thickBot="1" x14ac:dyDescent="0.35">
      <c r="B49" s="1"/>
      <c r="C49" s="751"/>
      <c r="D49" s="751"/>
      <c r="E49" s="2"/>
      <c r="F49" s="68"/>
      <c r="G49" s="68"/>
      <c r="H49" s="2"/>
      <c r="I49" s="2"/>
      <c r="J49" s="2"/>
      <c r="K49" s="2"/>
      <c r="L49" s="2"/>
      <c r="M49" s="77"/>
      <c r="P49" s="57"/>
      <c r="Q49" s="1257"/>
      <c r="R49" s="1257"/>
      <c r="S49" s="585"/>
      <c r="T49" s="585"/>
      <c r="U49" s="585"/>
      <c r="V49" s="585"/>
      <c r="W49" s="585"/>
      <c r="X49" s="585"/>
      <c r="Y49" s="585"/>
      <c r="Z49" s="1029"/>
    </row>
    <row r="50" spans="1:26" ht="14.4" customHeight="1" x14ac:dyDescent="0.3">
      <c r="A50" s="60"/>
      <c r="B50" s="2104" t="s">
        <v>830</v>
      </c>
      <c r="C50" s="2105"/>
      <c r="D50" s="2106"/>
      <c r="E50" s="736" t="s">
        <v>250</v>
      </c>
      <c r="F50" s="2114" t="s">
        <v>831</v>
      </c>
      <c r="G50" s="2115"/>
      <c r="H50" s="2045" t="s">
        <v>251</v>
      </c>
      <c r="I50" s="2046"/>
      <c r="J50" s="84" t="s">
        <v>252</v>
      </c>
      <c r="K50" s="2044" t="s">
        <v>253</v>
      </c>
      <c r="L50" s="2045"/>
      <c r="M50" s="2046"/>
      <c r="P50" s="57"/>
      <c r="Q50" s="57"/>
      <c r="R50" s="57"/>
      <c r="S50" s="585"/>
      <c r="T50" s="585"/>
      <c r="U50" s="585"/>
      <c r="V50" s="585"/>
      <c r="W50" s="585"/>
      <c r="X50" s="585"/>
      <c r="Y50" s="585"/>
      <c r="Z50" s="1029"/>
    </row>
    <row r="51" spans="1:26" ht="15" thickBot="1" x14ac:dyDescent="0.35">
      <c r="B51" s="2107"/>
      <c r="C51" s="2108"/>
      <c r="D51" s="2109"/>
      <c r="E51" s="735" t="s">
        <v>255</v>
      </c>
      <c r="F51" s="2116"/>
      <c r="G51" s="2117"/>
      <c r="H51" s="2048" t="s">
        <v>257</v>
      </c>
      <c r="I51" s="2049"/>
      <c r="J51" s="88"/>
      <c r="K51" s="2047" t="s">
        <v>258</v>
      </c>
      <c r="L51" s="2048"/>
      <c r="M51" s="2049"/>
      <c r="P51" s="57"/>
    </row>
    <row r="52" spans="1:26" ht="15" thickBot="1" x14ac:dyDescent="0.35">
      <c r="B52" s="2041" t="s">
        <v>307</v>
      </c>
      <c r="C52" s="2043"/>
      <c r="D52" s="2042"/>
      <c r="E52" s="141">
        <v>40</v>
      </c>
      <c r="F52" s="2041">
        <v>1</v>
      </c>
      <c r="G52" s="2042"/>
      <c r="H52" s="2041">
        <v>20</v>
      </c>
      <c r="I52" s="2042"/>
      <c r="J52" s="141">
        <v>3</v>
      </c>
      <c r="K52" s="2041">
        <f>ROUND(Данные!Y81*Данные!Z81*(Данные!AA81+Данные!AA82)/1000000*2.045*2.3/1000,3)</f>
        <v>1.268</v>
      </c>
      <c r="L52" s="2043"/>
      <c r="M52" s="2042"/>
    </row>
    <row r="55" spans="1:26" x14ac:dyDescent="0.3">
      <c r="O55" s="41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dataValidations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ignoredErrors>
    <ignoredError sqref="P11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>
    <pageSetUpPr fitToPage="1"/>
  </sheetPr>
  <dimension ref="B1:AB56"/>
  <sheetViews>
    <sheetView showGridLines="0" zoomScale="70" zoomScaleNormal="70" workbookViewId="0">
      <selection activeCell="R31" sqref="R31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4.77734375" style="41" customWidth="1"/>
    <col min="12" max="12" width="13.44140625" customWidth="1"/>
    <col min="13" max="13" width="11.44140625" customWidth="1"/>
    <col min="14" max="14" width="2.33203125" style="132" customWidth="1"/>
    <col min="15" max="15" width="9.77734375" customWidth="1"/>
    <col min="16" max="16" width="2.218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835</v>
      </c>
      <c r="K1" s="56"/>
    </row>
    <row r="2" spans="2:26" ht="15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790</v>
      </c>
      <c r="K2" s="52"/>
      <c r="L2" s="2118" t="s">
        <v>74</v>
      </c>
      <c r="M2" s="2119"/>
      <c r="Q2" s="132"/>
      <c r="U2" s="1362" t="s">
        <v>744</v>
      </c>
      <c r="V2" s="2120" t="s">
        <v>289</v>
      </c>
      <c r="W2" s="2121"/>
      <c r="X2" s="2122"/>
      <c r="Y2" s="132"/>
      <c r="Z2" s="1029"/>
    </row>
    <row r="3" spans="2:26" x14ac:dyDescent="0.3">
      <c r="B3" s="11" t="s">
        <v>1</v>
      </c>
      <c r="C3" s="68"/>
      <c r="D3" s="5"/>
      <c r="E3" s="5"/>
      <c r="F3" s="397"/>
      <c r="G3" s="5"/>
      <c r="H3" s="68" t="s">
        <v>231</v>
      </c>
      <c r="I3" s="68"/>
      <c r="J3" s="1906" t="s">
        <v>2135</v>
      </c>
      <c r="K3" s="738"/>
      <c r="L3" s="580" t="s">
        <v>745</v>
      </c>
      <c r="M3" s="58">
        <v>750</v>
      </c>
      <c r="Q3" s="1029" t="s">
        <v>2</v>
      </c>
      <c r="R3" s="1029" t="s">
        <v>1041</v>
      </c>
      <c r="S3" s="1029" t="s">
        <v>1042</v>
      </c>
      <c r="T3" s="1029" t="s">
        <v>1043</v>
      </c>
      <c r="U3" s="1029" t="s">
        <v>623</v>
      </c>
      <c r="V3" s="1029" t="s">
        <v>748</v>
      </c>
      <c r="W3" s="1029" t="s">
        <v>749</v>
      </c>
      <c r="X3" s="1029" t="s">
        <v>750</v>
      </c>
      <c r="Y3" s="1029" t="s">
        <v>1044</v>
      </c>
    </row>
    <row r="4" spans="2:26" ht="15.6" customHeight="1" x14ac:dyDescent="0.3">
      <c r="B4" s="4" t="s">
        <v>2</v>
      </c>
      <c r="C4" s="1029"/>
      <c r="D4" s="52"/>
      <c r="E4" s="52"/>
      <c r="F4" s="403"/>
      <c r="G4" s="52"/>
      <c r="H4" s="52"/>
      <c r="I4" s="1029"/>
      <c r="J4" s="9"/>
      <c r="K4" s="56"/>
      <c r="L4" s="580" t="s">
        <v>746</v>
      </c>
      <c r="M4" s="58">
        <v>695</v>
      </c>
      <c r="Q4" s="1363" t="str">
        <f>Таблицы!AQ90</f>
        <v>б/н1</v>
      </c>
      <c r="R4" s="57">
        <f>Таблицы!AR90</f>
        <v>760</v>
      </c>
      <c r="S4" s="57">
        <f>Таблицы!AS90</f>
        <v>545</v>
      </c>
      <c r="T4" s="57">
        <f>Таблицы!AT90</f>
        <v>60</v>
      </c>
      <c r="U4" s="57">
        <f>Таблицы!AU90</f>
        <v>0</v>
      </c>
      <c r="V4" s="57">
        <f>Таблицы!AV90</f>
        <v>0</v>
      </c>
      <c r="W4" s="57">
        <f>Таблицы!AW90</f>
        <v>0</v>
      </c>
      <c r="X4" s="57">
        <f>Таблицы!AX90</f>
        <v>0</v>
      </c>
      <c r="Y4" s="1363">
        <f>Таблицы!AY90</f>
        <v>0</v>
      </c>
    </row>
    <row r="5" spans="2:26" ht="15" thickBot="1" x14ac:dyDescent="0.35">
      <c r="B5" s="4" t="s">
        <v>3</v>
      </c>
      <c r="C5" s="1029"/>
      <c r="D5" s="52"/>
      <c r="E5" s="52"/>
      <c r="F5" s="398"/>
      <c r="G5" s="52"/>
      <c r="H5" s="52"/>
      <c r="I5" s="52"/>
      <c r="J5" s="9"/>
      <c r="K5" s="56"/>
      <c r="L5" s="581" t="s">
        <v>5</v>
      </c>
      <c r="M5" s="67">
        <v>22</v>
      </c>
      <c r="Q5" s="1363" t="str">
        <f>Таблицы!AQ91</f>
        <v>б/н2</v>
      </c>
      <c r="R5" s="57">
        <f>Таблицы!AR91</f>
        <v>790</v>
      </c>
      <c r="S5" s="57">
        <f>Таблицы!AS91</f>
        <v>450</v>
      </c>
      <c r="T5" s="57">
        <f>Таблицы!AT91</f>
        <v>90</v>
      </c>
      <c r="U5" s="57">
        <f>Таблицы!AU91</f>
        <v>0</v>
      </c>
      <c r="V5" s="57">
        <f>Таблицы!AV91</f>
        <v>0</v>
      </c>
      <c r="W5" s="57">
        <f>Таблицы!AW91</f>
        <v>0</v>
      </c>
      <c r="X5" s="57">
        <f>Таблицы!AX91</f>
        <v>0</v>
      </c>
      <c r="Y5" s="1363" t="str">
        <f>Таблицы!AY91</f>
        <v>кольцо сферическое</v>
      </c>
    </row>
    <row r="6" spans="2:26" ht="15" thickBot="1" x14ac:dyDescent="0.35">
      <c r="B6" s="18" t="s">
        <v>7</v>
      </c>
      <c r="C6" s="62"/>
      <c r="D6" s="19"/>
      <c r="E6" s="19"/>
      <c r="F6" s="399"/>
      <c r="G6" s="19"/>
      <c r="H6" s="19"/>
      <c r="I6" s="19"/>
      <c r="J6" s="38"/>
      <c r="K6" s="56"/>
      <c r="L6" s="578" t="s">
        <v>15</v>
      </c>
      <c r="M6" s="579">
        <f>ROUNDUP((M3*M3-M4*M4)*3.1415296*M5*M8/4000000,0)</f>
        <v>13</v>
      </c>
      <c r="Q6" s="1363" t="str">
        <f>Таблицы!AQ92</f>
        <v>1060.60.206</v>
      </c>
      <c r="R6" s="57">
        <f>Таблицы!AR92</f>
        <v>800</v>
      </c>
      <c r="S6" s="57">
        <f>Таблицы!AS92</f>
        <v>535</v>
      </c>
      <c r="T6" s="57">
        <f>Таблицы!AT92</f>
        <v>65</v>
      </c>
      <c r="U6" s="57">
        <f>Таблицы!AU92</f>
        <v>0</v>
      </c>
      <c r="V6" s="57">
        <f>Таблицы!AV92</f>
        <v>0</v>
      </c>
      <c r="W6" s="57">
        <f>Таблицы!AW92</f>
        <v>0</v>
      </c>
      <c r="X6" s="57">
        <f>Таблицы!AX92</f>
        <v>0</v>
      </c>
      <c r="Y6" s="1363" t="str">
        <f>Таблицы!AY92</f>
        <v xml:space="preserve">Обшита резиной Д=815 </v>
      </c>
    </row>
    <row r="7" spans="2:26" ht="15" thickBot="1" x14ac:dyDescent="0.35">
      <c r="B7" s="11" t="s">
        <v>12</v>
      </c>
      <c r="C7" s="5"/>
      <c r="D7" s="5"/>
      <c r="E7" s="5"/>
      <c r="F7" s="1904" t="s">
        <v>6</v>
      </c>
      <c r="G7" s="5"/>
      <c r="H7" s="68"/>
      <c r="I7" s="5" t="s">
        <v>13</v>
      </c>
      <c r="J7" s="133">
        <f>F8/F9/F13</f>
        <v>7.1350164654226125E-2</v>
      </c>
      <c r="K7" s="127"/>
      <c r="L7" s="275"/>
      <c r="M7" s="577"/>
      <c r="Q7" s="1363" t="str">
        <f>Таблицы!AQ93</f>
        <v>б/н3</v>
      </c>
      <c r="R7" s="57">
        <f>Таблицы!AR93</f>
        <v>800</v>
      </c>
      <c r="S7" s="57">
        <f>Таблицы!AS93</f>
        <v>670</v>
      </c>
      <c r="T7" s="57">
        <f>Таблицы!AT93</f>
        <v>70</v>
      </c>
      <c r="U7" s="57">
        <f>Таблицы!AU93</f>
        <v>0</v>
      </c>
      <c r="V7" s="57">
        <f>Таблицы!AV93</f>
        <v>0</v>
      </c>
      <c r="W7" s="57">
        <f>Таблицы!AW93</f>
        <v>0</v>
      </c>
      <c r="X7" s="57">
        <f>Таблицы!AX93</f>
        <v>0</v>
      </c>
      <c r="Y7" s="1363" t="str">
        <f>Таблицы!AY93</f>
        <v>Обшита Д=880</v>
      </c>
    </row>
    <row r="8" spans="2:26" ht="15" thickBot="1" x14ac:dyDescent="0.35">
      <c r="B8" s="4" t="s">
        <v>15</v>
      </c>
      <c r="C8" s="52"/>
      <c r="D8" s="52"/>
      <c r="E8" s="52"/>
      <c r="F8" s="400">
        <f>IF(VLOOKUP(J3,Кольца[],5,FALSE)=0,IF(M7=0,M6,M7),VLOOKUP(J3,Кольца[],5,FALSE))</f>
        <v>13</v>
      </c>
      <c r="G8" s="52"/>
      <c r="H8" s="1029"/>
      <c r="I8" s="52" t="s">
        <v>18</v>
      </c>
      <c r="J8" s="14">
        <f>F8/F12/F13</f>
        <v>4.2345276872964167E-2</v>
      </c>
      <c r="K8" s="127"/>
      <c r="L8" s="583" t="s">
        <v>747</v>
      </c>
      <c r="M8" s="584">
        <f>VLOOKUP(F7,Марка_металла[],9,FALSE)</f>
        <v>9.1</v>
      </c>
      <c r="Q8" s="1363" t="str">
        <f>Таблицы!AQ94</f>
        <v>1268.01.623</v>
      </c>
      <c r="R8" s="57">
        <f>Таблицы!AR94</f>
        <v>1010</v>
      </c>
      <c r="S8" s="57">
        <f>Таблицы!AS94</f>
        <v>405</v>
      </c>
      <c r="T8" s="57">
        <f>Таблицы!AT94</f>
        <v>100</v>
      </c>
      <c r="U8" s="57">
        <f>Таблицы!AU94</f>
        <v>295</v>
      </c>
      <c r="V8" s="57">
        <f>Таблицы!AV94</f>
        <v>590</v>
      </c>
      <c r="W8" s="57">
        <f>Таблицы!AW94</f>
        <v>890</v>
      </c>
      <c r="X8" s="57">
        <f>Таблицы!AX94</f>
        <v>926</v>
      </c>
      <c r="Y8" s="1363">
        <f>Таблицы!AY94</f>
        <v>0</v>
      </c>
    </row>
    <row r="9" spans="2:26" ht="15" thickBot="1" x14ac:dyDescent="0.35">
      <c r="B9" s="4" t="s">
        <v>17</v>
      </c>
      <c r="C9" s="52"/>
      <c r="D9" s="52"/>
      <c r="E9" s="52"/>
      <c r="F9" s="400">
        <f>IF(M9&lt;100,ROUNDUP(M9,1),ROUNDUP(M9,0))</f>
        <v>91.1</v>
      </c>
      <c r="G9" s="8"/>
      <c r="H9" s="52"/>
      <c r="I9" s="52"/>
      <c r="J9" s="17"/>
      <c r="K9" s="310"/>
      <c r="L9" s="742" t="s">
        <v>218</v>
      </c>
      <c r="M9" s="38">
        <f>_xlfn.IFNA(IF(VLOOKUP(J3,Кольца[],6,FALSE)=0,ROUNDUP(((E25+I14)*(E25+I14)-(E22-I14)*(E22-I14))*J19*3.1415926*M8/4000000,2),VLOOKUP(J3,Кольца[],6,FALSE)),"")</f>
        <v>91.01</v>
      </c>
      <c r="Q9" s="1363" t="str">
        <f>Таблицы!AQ95</f>
        <v>1268.03.314</v>
      </c>
      <c r="R9" s="57">
        <f>Таблицы!AR95</f>
        <v>1040</v>
      </c>
      <c r="S9" s="57">
        <f>Таблицы!AS95</f>
        <v>775</v>
      </c>
      <c r="T9" s="57">
        <f>Таблицы!AT95</f>
        <v>95</v>
      </c>
      <c r="U9" s="57">
        <f>Таблицы!AU95</f>
        <v>124</v>
      </c>
      <c r="V9" s="57">
        <f>Таблицы!AV95</f>
        <v>315</v>
      </c>
      <c r="W9" s="57">
        <f>Таблицы!AW95</f>
        <v>515</v>
      </c>
      <c r="X9" s="57">
        <f>Таблицы!AX95</f>
        <v>540</v>
      </c>
      <c r="Y9" s="1363">
        <f>Таблицы!AY95</f>
        <v>0</v>
      </c>
    </row>
    <row r="10" spans="2:26" ht="15" thickBot="1" x14ac:dyDescent="0.35">
      <c r="B10" s="4" t="s">
        <v>275</v>
      </c>
      <c r="C10" s="52"/>
      <c r="D10" s="52"/>
      <c r="E10" s="52"/>
      <c r="F10" s="1930">
        <f>M11</f>
        <v>56.411182695660941</v>
      </c>
      <c r="G10" s="52"/>
      <c r="H10" s="52"/>
      <c r="I10" s="52"/>
      <c r="J10" s="17"/>
      <c r="K10" s="310"/>
      <c r="Q10" s="1363" t="str">
        <f>Таблицы!AQ96</f>
        <v>1065.02.06</v>
      </c>
      <c r="R10" s="57">
        <f>Таблицы!AR96</f>
        <v>1125</v>
      </c>
      <c r="S10" s="57">
        <f>Таблицы!AS96</f>
        <v>675</v>
      </c>
      <c r="T10" s="57">
        <f>Таблицы!AT96</f>
        <v>140</v>
      </c>
      <c r="U10" s="57">
        <f>Таблицы!AU96</f>
        <v>0</v>
      </c>
      <c r="V10" s="57">
        <f>Таблицы!AV96</f>
        <v>0</v>
      </c>
      <c r="W10" s="57">
        <f>Таблицы!AW96</f>
        <v>0</v>
      </c>
      <c r="X10" s="57">
        <f>Таблицы!AX96</f>
        <v>0</v>
      </c>
      <c r="Y10" s="1363" t="str">
        <f>Таблицы!AY96</f>
        <v>уклон по внутр. 27,5</v>
      </c>
    </row>
    <row r="11" spans="2:26" ht="15" thickBot="1" x14ac:dyDescent="0.35">
      <c r="B11" s="4" t="s">
        <v>22</v>
      </c>
      <c r="C11" s="52"/>
      <c r="D11" s="52"/>
      <c r="E11" s="52"/>
      <c r="F11" s="1903">
        <f>F9+F10</f>
        <v>147.51118269566092</v>
      </c>
      <c r="G11" s="52"/>
      <c r="H11" s="52"/>
      <c r="I11" s="52"/>
      <c r="J11" s="17"/>
      <c r="K11" s="310"/>
      <c r="L11" s="1577" t="s">
        <v>979</v>
      </c>
      <c r="M11" s="1578">
        <f>Данные!AB96</f>
        <v>56.411182695660941</v>
      </c>
      <c r="Q11" s="1363" t="str">
        <f>Таблицы!AQ97</f>
        <v>1269.01.03</v>
      </c>
      <c r="R11" s="57">
        <f>Таблицы!AR97</f>
        <v>1240</v>
      </c>
      <c r="S11" s="57">
        <f>Таблицы!AS97</f>
        <v>890</v>
      </c>
      <c r="T11" s="57">
        <f>Таблицы!AT97</f>
        <v>105</v>
      </c>
      <c r="U11" s="57">
        <f>Таблицы!AU97</f>
        <v>224</v>
      </c>
      <c r="V11" s="57">
        <f>Таблицы!AV97</f>
        <v>530</v>
      </c>
      <c r="W11" s="57">
        <f>Таблицы!AW97</f>
        <v>782</v>
      </c>
      <c r="X11" s="57">
        <f>Таблицы!AX97</f>
        <v>813.3</v>
      </c>
      <c r="Y11" s="1363">
        <f>Таблицы!AY97</f>
        <v>0</v>
      </c>
    </row>
    <row r="12" spans="2:26" x14ac:dyDescent="0.3">
      <c r="B12" s="4" t="s">
        <v>27</v>
      </c>
      <c r="C12" s="52"/>
      <c r="D12" s="52"/>
      <c r="E12" s="52"/>
      <c r="F12" s="400">
        <f>ROUNDUP(F11*1.04,1)</f>
        <v>153.5</v>
      </c>
      <c r="G12" s="52"/>
      <c r="H12" s="52"/>
      <c r="I12" s="52"/>
      <c r="J12" s="17"/>
      <c r="K12" s="310"/>
      <c r="Q12" s="1363" t="str">
        <f>Таблицы!AQ98</f>
        <v>1244.04.432-1</v>
      </c>
      <c r="R12" s="57">
        <f>Таблицы!AR98</f>
        <v>1365</v>
      </c>
      <c r="S12" s="57">
        <f>Таблицы!AS98</f>
        <v>1040</v>
      </c>
      <c r="T12" s="57">
        <f>Таблицы!AT98</f>
        <v>105</v>
      </c>
      <c r="U12" s="57">
        <f>Таблицы!AU98</f>
        <v>260</v>
      </c>
      <c r="V12" s="57">
        <f>Таблицы!AV98</f>
        <v>550</v>
      </c>
      <c r="W12" s="57">
        <f>Таблицы!AW98</f>
        <v>802</v>
      </c>
      <c r="X12" s="57">
        <f>Таблицы!AX98</f>
        <v>834</v>
      </c>
      <c r="Y12" s="1363">
        <f>Таблицы!AY98</f>
        <v>0</v>
      </c>
      <c r="Z12" s="41"/>
    </row>
    <row r="13" spans="2:26" ht="15" thickBot="1" x14ac:dyDescent="0.35">
      <c r="B13" s="18" t="s">
        <v>953</v>
      </c>
      <c r="C13" s="19"/>
      <c r="D13" s="19"/>
      <c r="E13" s="19"/>
      <c r="F13" s="1929">
        <v>2</v>
      </c>
      <c r="G13" s="19"/>
      <c r="H13" s="19"/>
      <c r="I13" s="19"/>
      <c r="J13" s="1172"/>
      <c r="K13" s="22"/>
      <c r="Q13" s="1363" t="str">
        <f>Таблицы!AQ99</f>
        <v>1255.01.341</v>
      </c>
      <c r="R13" s="57">
        <f>Таблицы!AR99</f>
        <v>1550</v>
      </c>
      <c r="S13" s="57">
        <f>Таблицы!AS99</f>
        <v>1180</v>
      </c>
      <c r="T13" s="57">
        <f>Таблицы!AT99</f>
        <v>105</v>
      </c>
      <c r="U13" s="57">
        <f>Таблицы!AU99</f>
        <v>340</v>
      </c>
      <c r="V13" s="57">
        <f>Таблицы!AV99</f>
        <v>730</v>
      </c>
      <c r="W13" s="57">
        <f>Таблицы!AW99</f>
        <v>1045.5</v>
      </c>
      <c r="X13" s="57">
        <f>Таблицы!AX99</f>
        <v>1087.4000000000001</v>
      </c>
      <c r="Y13" s="1363">
        <f>Таблицы!AY99</f>
        <v>0</v>
      </c>
      <c r="Z13" s="41"/>
    </row>
    <row r="14" spans="2:26" x14ac:dyDescent="0.3">
      <c r="B14" s="11"/>
      <c r="C14" s="749" t="s">
        <v>186</v>
      </c>
      <c r="D14" s="116"/>
      <c r="E14" s="43"/>
      <c r="F14" s="117"/>
      <c r="G14" s="5" t="str">
        <f>"Формовочный уклон:"</f>
        <v>Формовочный уклон:</v>
      </c>
      <c r="H14" s="5"/>
      <c r="I14" s="1327">
        <f>Данные!Y78</f>
        <v>2</v>
      </c>
      <c r="J14" s="769"/>
      <c r="K14" s="22"/>
      <c r="O14" s="56"/>
      <c r="P14" s="56"/>
      <c r="Q14" s="1363" t="str">
        <f>Таблицы!AQ100</f>
        <v>1289.01.17</v>
      </c>
      <c r="R14" s="57">
        <f>Таблицы!AR100</f>
        <v>1660</v>
      </c>
      <c r="S14" s="57">
        <f>Таблицы!AS100</f>
        <v>1230</v>
      </c>
      <c r="T14" s="57">
        <f>Таблицы!AT100</f>
        <v>105</v>
      </c>
      <c r="U14" s="57">
        <f>Таблицы!AU100</f>
        <v>340</v>
      </c>
      <c r="V14" s="57">
        <f>Таблицы!AV100</f>
        <v>740</v>
      </c>
      <c r="W14" s="57">
        <f>Таблицы!AW100</f>
        <v>1076</v>
      </c>
      <c r="X14" s="57">
        <f>Таблицы!AX100</f>
        <v>1120</v>
      </c>
      <c r="Y14" s="1363">
        <f>Таблицы!AY100</f>
        <v>0</v>
      </c>
    </row>
    <row r="15" spans="2:26" ht="15.6" customHeight="1" x14ac:dyDescent="0.3">
      <c r="B15" s="4"/>
      <c r="C15" s="52"/>
      <c r="D15" s="52"/>
      <c r="E15" s="52"/>
      <c r="F15" s="52"/>
      <c r="G15" s="52"/>
      <c r="H15" s="52"/>
      <c r="I15" s="22"/>
      <c r="J15" s="23"/>
      <c r="K15" s="22"/>
      <c r="O15" s="56"/>
      <c r="P15" s="394"/>
      <c r="Q15" s="1363" t="str">
        <f>Таблицы!AQ101</f>
        <v>2019.423-24.002</v>
      </c>
      <c r="R15" s="57">
        <f>Таблицы!AR101</f>
        <v>2580</v>
      </c>
      <c r="S15" s="57">
        <f>Таблицы!AS101</f>
        <v>2200</v>
      </c>
      <c r="T15" s="57">
        <f>Таблицы!AT101</f>
        <v>150</v>
      </c>
      <c r="U15" s="57">
        <f>Таблицы!AU101</f>
        <v>0</v>
      </c>
      <c r="V15" s="57">
        <f>Таблицы!AV101</f>
        <v>0</v>
      </c>
      <c r="W15" s="57">
        <f>Таблицы!AW101</f>
        <v>2502</v>
      </c>
      <c r="X15" s="57">
        <f>Таблицы!AX101</f>
        <v>2603</v>
      </c>
      <c r="Y15" s="1363" t="str">
        <f>Таблицы!AY101</f>
        <v>уклон 5</v>
      </c>
    </row>
    <row r="16" spans="2:26" ht="15.6" customHeight="1" x14ac:dyDescent="0.3">
      <c r="B16" s="4"/>
      <c r="C16" s="52"/>
      <c r="D16" s="52"/>
      <c r="E16" s="52"/>
      <c r="F16" s="52"/>
      <c r="G16" s="52"/>
      <c r="H16" s="44"/>
      <c r="I16" s="22"/>
      <c r="J16" s="23"/>
      <c r="K16" s="131"/>
      <c r="O16" s="56"/>
      <c r="P16" s="394"/>
      <c r="Q16" s="57"/>
      <c r="R16" s="57"/>
      <c r="S16" s="57"/>
      <c r="T16" s="57"/>
      <c r="U16" s="57"/>
      <c r="V16" s="57"/>
      <c r="W16" s="57"/>
      <c r="X16" s="57"/>
      <c r="Y16" s="57"/>
    </row>
    <row r="17" spans="2:28" ht="15" customHeight="1" x14ac:dyDescent="0.3">
      <c r="B17" s="4"/>
      <c r="C17" s="52"/>
      <c r="D17" s="52"/>
      <c r="E17" s="52"/>
      <c r="F17" s="52"/>
      <c r="G17" s="52"/>
      <c r="H17" s="52"/>
      <c r="I17" s="26"/>
      <c r="J17" s="25"/>
      <c r="K17" s="739"/>
      <c r="O17" s="56"/>
      <c r="P17" s="394"/>
      <c r="Q17" s="57" t="s">
        <v>2019</v>
      </c>
      <c r="R17" s="102"/>
      <c r="S17" s="102"/>
      <c r="T17" s="102"/>
      <c r="U17" s="102"/>
      <c r="V17" s="102"/>
      <c r="W17" s="102"/>
      <c r="X17" s="102"/>
      <c r="Y17" s="102"/>
    </row>
    <row r="18" spans="2:28" ht="15" customHeight="1" x14ac:dyDescent="0.3">
      <c r="B18" s="4"/>
      <c r="C18" s="52"/>
      <c r="D18" s="52"/>
      <c r="E18" s="52"/>
      <c r="F18" s="52"/>
      <c r="G18" s="52"/>
      <c r="H18" s="52"/>
      <c r="I18" s="24"/>
      <c r="J18" s="115"/>
      <c r="K18" s="740"/>
      <c r="M18" s="395"/>
      <c r="N18" s="585"/>
      <c r="O18" s="56"/>
      <c r="P18" s="394"/>
      <c r="Q18" s="56" t="s">
        <v>1737</v>
      </c>
    </row>
    <row r="19" spans="2:28" ht="15.6" customHeight="1" x14ac:dyDescent="0.3">
      <c r="B19" s="4"/>
      <c r="C19" s="52"/>
      <c r="D19" s="52"/>
      <c r="E19" s="52"/>
      <c r="F19" s="52"/>
      <c r="G19" s="52"/>
      <c r="H19" s="92" t="str">
        <f>IF(Данные!O50=TRUE,"ХХ","")</f>
        <v/>
      </c>
      <c r="I19" s="56"/>
      <c r="J19" s="1180">
        <f>ROUNDUP(VLOOKUP(J3,Кольца[],4,FALSE)*0.985,0)</f>
        <v>69</v>
      </c>
      <c r="K19" s="740"/>
      <c r="M19" s="395"/>
      <c r="N19" s="585"/>
      <c r="O19" s="585"/>
      <c r="P19" s="394"/>
      <c r="Q19" s="56" t="s">
        <v>2017</v>
      </c>
    </row>
    <row r="20" spans="2:28" ht="15.6" customHeight="1" x14ac:dyDescent="0.3">
      <c r="B20" s="4"/>
      <c r="C20" s="52"/>
      <c r="D20" s="52"/>
      <c r="E20" s="52"/>
      <c r="F20" s="52"/>
      <c r="G20" s="52"/>
      <c r="H20" s="92" t="str">
        <f>IF(Данные!O50=TRUE,"ХХ","")</f>
        <v/>
      </c>
      <c r="I20" s="27"/>
      <c r="J20" s="1326">
        <f>M5</f>
        <v>22</v>
      </c>
      <c r="K20" s="739"/>
      <c r="M20" s="395"/>
      <c r="N20" s="585"/>
      <c r="O20" s="585"/>
      <c r="P20" s="394"/>
      <c r="Q20" s="56" t="s">
        <v>2018</v>
      </c>
    </row>
    <row r="21" spans="2:28" x14ac:dyDescent="0.3">
      <c r="B21" s="4"/>
      <c r="C21" s="112"/>
      <c r="D21" s="52"/>
      <c r="E21" s="52"/>
      <c r="F21" s="52"/>
      <c r="G21" s="52"/>
      <c r="H21" s="113"/>
      <c r="I21" s="27"/>
      <c r="J21" s="115"/>
      <c r="K21" s="131"/>
    </row>
    <row r="22" spans="2:28" x14ac:dyDescent="0.3">
      <c r="B22" s="4"/>
      <c r="C22" s="52"/>
      <c r="D22" s="29"/>
      <c r="E22" s="1293">
        <f>ROUNDDOWN(VLOOKUP(J3,Кольца[],3,FALSE)*0.994,0)</f>
        <v>665</v>
      </c>
      <c r="F22" s="52"/>
      <c r="G22" s="52"/>
      <c r="H22" s="52"/>
      <c r="I22" s="27"/>
      <c r="J22" s="25"/>
      <c r="K22" s="131"/>
      <c r="L22" s="1312"/>
      <c r="O22" s="1149"/>
      <c r="P22" s="1149"/>
      <c r="Q22" s="1149"/>
      <c r="R22" s="1149"/>
      <c r="S22" s="1149"/>
      <c r="T22" s="1149"/>
      <c r="U22" s="1149"/>
      <c r="V22" s="1149"/>
      <c r="W22" s="1149"/>
      <c r="X22" s="1149"/>
      <c r="Y22" s="1149"/>
      <c r="Z22" s="1149"/>
      <c r="AA22" s="1149"/>
      <c r="AB22" s="1149"/>
    </row>
    <row r="23" spans="2:28" x14ac:dyDescent="0.3">
      <c r="B23" s="4"/>
      <c r="C23" s="52"/>
      <c r="D23" s="56"/>
      <c r="E23" s="1323">
        <f>M4</f>
        <v>695</v>
      </c>
      <c r="F23" s="52"/>
      <c r="G23" s="52"/>
      <c r="H23" s="52"/>
      <c r="I23" s="27"/>
      <c r="J23" s="25"/>
      <c r="K23" s="131"/>
      <c r="O23" s="1149"/>
      <c r="P23" s="1149"/>
      <c r="Q23" s="1149"/>
      <c r="R23" s="1149"/>
      <c r="S23" s="1149"/>
      <c r="T23" s="132"/>
      <c r="U23" s="1149"/>
      <c r="V23" s="1149"/>
      <c r="W23" s="1149"/>
      <c r="X23" s="1149"/>
      <c r="Y23" s="1149"/>
      <c r="Z23" s="1149"/>
      <c r="AA23" s="1149"/>
      <c r="AB23" s="1149"/>
    </row>
    <row r="24" spans="2:28" x14ac:dyDescent="0.3">
      <c r="B24" s="4"/>
      <c r="C24" s="31"/>
      <c r="D24" s="56"/>
      <c r="E24" s="32"/>
      <c r="F24" s="52"/>
      <c r="G24" s="52"/>
      <c r="H24" s="52"/>
      <c r="I24" s="27"/>
      <c r="J24" s="25"/>
      <c r="K24" s="131"/>
      <c r="O24" s="1149"/>
      <c r="P24" s="1149"/>
      <c r="Q24" s="1149"/>
      <c r="R24" s="1149"/>
      <c r="S24" s="1149"/>
      <c r="T24" s="1149"/>
      <c r="U24" s="1149"/>
      <c r="V24" s="1149"/>
      <c r="W24" s="1149"/>
      <c r="X24" s="1149"/>
      <c r="Y24" s="1149"/>
      <c r="Z24" s="1149"/>
      <c r="AA24" s="1149"/>
      <c r="AB24" s="1149"/>
    </row>
    <row r="25" spans="2:28" x14ac:dyDescent="0.3">
      <c r="B25" s="4"/>
      <c r="C25" s="56"/>
      <c r="D25" s="52"/>
      <c r="E25" s="1293">
        <f>ROUNDUP(VLOOKUP(J3,Кольца[],2,FALSE)*0.985,0)</f>
        <v>788</v>
      </c>
      <c r="F25" s="29"/>
      <c r="G25" s="52"/>
      <c r="H25" s="52"/>
      <c r="I25" s="27"/>
      <c r="J25" s="25"/>
      <c r="K25" s="131"/>
      <c r="O25" s="1149"/>
      <c r="P25" s="1149"/>
      <c r="Q25" s="1149"/>
      <c r="R25" s="1149"/>
      <c r="S25" s="1149"/>
      <c r="T25" s="1149"/>
      <c r="U25" s="1149"/>
      <c r="V25" s="1149"/>
      <c r="W25" s="1149"/>
      <c r="X25" s="1149"/>
      <c r="Y25" s="1149"/>
      <c r="Z25" s="1149"/>
      <c r="AA25" s="1149"/>
      <c r="AB25" s="1149"/>
    </row>
    <row r="26" spans="2:28" x14ac:dyDescent="0.3">
      <c r="B26" s="4"/>
      <c r="C26" s="56"/>
      <c r="D26" s="52"/>
      <c r="E26" s="1323">
        <f>M3</f>
        <v>750</v>
      </c>
      <c r="F26" s="29"/>
      <c r="G26" s="52"/>
      <c r="H26" s="52"/>
      <c r="I26" s="27"/>
      <c r="J26" s="25"/>
      <c r="K26" s="131"/>
      <c r="O26" s="1149"/>
      <c r="P26" s="1149"/>
      <c r="Q26" s="1149"/>
      <c r="R26" s="1149"/>
      <c r="S26" s="1149"/>
      <c r="T26" s="1149"/>
      <c r="U26" s="1149"/>
      <c r="V26" s="1149"/>
      <c r="W26" s="1149"/>
      <c r="X26" s="1149"/>
      <c r="Y26" s="1149"/>
      <c r="Z26" s="1149"/>
      <c r="AA26" s="1149"/>
      <c r="AB26" s="1149"/>
    </row>
    <row r="27" spans="2:28" x14ac:dyDescent="0.3">
      <c r="B27" s="4"/>
      <c r="C27" s="52"/>
      <c r="D27" s="52"/>
      <c r="E27" s="52"/>
      <c r="F27" s="52"/>
      <c r="G27" s="52"/>
      <c r="H27" s="52"/>
      <c r="I27" s="27"/>
      <c r="J27" s="25"/>
      <c r="K27" s="131"/>
      <c r="O27" s="1149"/>
      <c r="P27" s="1149"/>
      <c r="Q27" s="1149"/>
      <c r="R27" s="1149"/>
      <c r="S27" s="1149"/>
      <c r="T27" s="1149"/>
      <c r="U27" s="1149"/>
      <c r="V27" s="1149"/>
      <c r="W27" s="1149"/>
      <c r="X27" s="1149"/>
      <c r="Y27" s="1149"/>
      <c r="Z27" s="1149"/>
      <c r="AA27" s="1149"/>
      <c r="AB27" s="1149"/>
    </row>
    <row r="28" spans="2:28" ht="15.6" x14ac:dyDescent="0.3">
      <c r="B28" s="4"/>
      <c r="C28" s="52"/>
      <c r="D28" s="52"/>
      <c r="E28" s="52"/>
      <c r="F28" s="52"/>
      <c r="G28" s="52"/>
      <c r="H28" s="52"/>
      <c r="I28" s="24"/>
      <c r="J28" s="25"/>
      <c r="K28" s="22"/>
      <c r="O28" s="1149"/>
      <c r="P28" s="1149"/>
      <c r="Q28" s="1245"/>
      <c r="R28" s="1245"/>
      <c r="S28" s="1245"/>
      <c r="T28" s="1245"/>
      <c r="U28" s="1245"/>
      <c r="V28" s="1244"/>
      <c r="W28" s="1245"/>
      <c r="X28" s="1244"/>
      <c r="Y28" s="1149"/>
      <c r="Z28" s="1149"/>
      <c r="AA28" s="1149"/>
      <c r="AB28" s="1149"/>
    </row>
    <row r="29" spans="2:28" ht="15.6" x14ac:dyDescent="0.3">
      <c r="B29" s="4"/>
      <c r="C29" s="52"/>
      <c r="D29" s="52"/>
      <c r="E29" s="52"/>
      <c r="F29" s="52"/>
      <c r="G29" s="52"/>
      <c r="H29" s="92"/>
      <c r="I29" s="22"/>
      <c r="J29" s="23"/>
      <c r="K29" s="22"/>
      <c r="O29" s="1149"/>
      <c r="P29" s="1545"/>
      <c r="Q29" s="1546"/>
      <c r="R29" s="1252"/>
      <c r="S29" s="1547"/>
      <c r="T29" s="1547"/>
      <c r="U29" s="1547"/>
      <c r="V29" s="1548"/>
      <c r="W29" s="1547"/>
      <c r="X29" s="1548"/>
      <c r="Y29" s="1545"/>
      <c r="Z29" s="1545"/>
      <c r="AA29" s="1545"/>
      <c r="AB29" s="1149"/>
    </row>
    <row r="30" spans="2:28" ht="15.6" x14ac:dyDescent="0.3">
      <c r="B30" s="4"/>
      <c r="C30" s="52"/>
      <c r="D30" s="52"/>
      <c r="E30" s="56"/>
      <c r="F30" s="52"/>
      <c r="G30" s="52"/>
      <c r="H30" s="52"/>
      <c r="I30" s="22"/>
      <c r="J30" s="23"/>
      <c r="K30" s="22"/>
      <c r="O30" s="1149"/>
      <c r="P30" s="1545"/>
      <c r="Q30" s="1547"/>
      <c r="R30" s="1547"/>
      <c r="S30" s="1547"/>
      <c r="T30" s="1547"/>
      <c r="U30" s="1547"/>
      <c r="V30" s="1548"/>
      <c r="W30" s="1547"/>
      <c r="X30" s="1548"/>
      <c r="Y30" s="1548"/>
      <c r="Z30" s="1545"/>
      <c r="AA30" s="1545"/>
      <c r="AB30" s="1149"/>
    </row>
    <row r="31" spans="2:28" ht="15.6" x14ac:dyDescent="0.3">
      <c r="B31" s="4"/>
      <c r="C31" s="94"/>
      <c r="D31" s="52"/>
      <c r="E31" s="52"/>
      <c r="F31" s="52"/>
      <c r="G31" s="52"/>
      <c r="H31" s="52"/>
      <c r="I31" s="22"/>
      <c r="J31" s="23"/>
      <c r="K31" s="22"/>
      <c r="O31" s="1149"/>
      <c r="P31" s="1545"/>
      <c r="Q31" s="1546"/>
      <c r="R31" s="1252"/>
      <c r="S31" s="1547"/>
      <c r="T31" s="1547"/>
      <c r="U31" s="1547"/>
      <c r="V31" s="1548"/>
      <c r="W31" s="1547"/>
      <c r="X31" s="1547"/>
      <c r="Y31" s="203"/>
      <c r="Z31" s="1545"/>
      <c r="AA31" s="1545"/>
      <c r="AB31" s="1149"/>
    </row>
    <row r="32" spans="2:28" ht="15.6" x14ac:dyDescent="0.3">
      <c r="B32" s="4"/>
      <c r="C32" s="52" t="s">
        <v>285</v>
      </c>
      <c r="D32" s="52"/>
      <c r="E32" s="52"/>
      <c r="F32" s="52"/>
      <c r="G32" s="56"/>
      <c r="H32" s="52"/>
      <c r="I32" s="52"/>
      <c r="J32" s="23"/>
      <c r="K32" s="22"/>
      <c r="O32" s="1149"/>
      <c r="P32" s="1545"/>
      <c r="Q32" s="1547"/>
      <c r="R32" s="1252"/>
      <c r="S32" s="1547"/>
      <c r="T32" s="1548"/>
      <c r="U32" s="1547"/>
      <c r="V32" s="1548"/>
      <c r="W32" s="1547"/>
      <c r="X32" s="1547"/>
      <c r="Y32" s="203"/>
      <c r="Z32" s="1545"/>
      <c r="AA32" s="1545"/>
      <c r="AB32" s="1149"/>
    </row>
    <row r="33" spans="2:28" ht="16.2" thickBot="1" x14ac:dyDescent="0.35">
      <c r="B33" s="18"/>
      <c r="C33" s="93" t="str">
        <f>IF(OR(Данные!O48=TRUE,Данные!O50=TRUE),"Использовать холодильники","")</f>
        <v/>
      </c>
      <c r="D33" s="19"/>
      <c r="E33" s="97"/>
      <c r="F33" s="19"/>
      <c r="G33" s="62"/>
      <c r="H33" s="19"/>
      <c r="I33" s="19"/>
      <c r="J33" s="69"/>
      <c r="K33" s="22"/>
      <c r="O33" s="1149"/>
      <c r="P33" s="1545"/>
      <c r="Q33" s="1548"/>
      <c r="R33" s="1252"/>
      <c r="S33" s="1547"/>
      <c r="T33" s="1547"/>
      <c r="U33" s="1547"/>
      <c r="V33" s="1548"/>
      <c r="W33" s="1547"/>
      <c r="X33" s="1547"/>
      <c r="Y33" s="203"/>
      <c r="Z33" s="1545"/>
      <c r="AA33" s="1545"/>
      <c r="AB33" s="1149"/>
    </row>
    <row r="34" spans="2:28" ht="15.6" x14ac:dyDescent="0.3">
      <c r="B34" s="4"/>
      <c r="C34" s="52" t="s">
        <v>226</v>
      </c>
      <c r="D34" s="52"/>
      <c r="E34" s="52"/>
      <c r="F34" s="211" t="s">
        <v>46</v>
      </c>
      <c r="G34" s="52"/>
      <c r="H34" s="52"/>
      <c r="I34" s="52"/>
      <c r="J34" s="9"/>
      <c r="K34" s="56"/>
      <c r="O34" s="1149"/>
      <c r="P34" s="1545"/>
      <c r="Q34" s="1546"/>
      <c r="R34" s="1252"/>
      <c r="S34" s="1547"/>
      <c r="T34" s="1547"/>
      <c r="U34" s="1547"/>
      <c r="V34" s="1547"/>
      <c r="W34" s="1548"/>
      <c r="X34" s="1547"/>
      <c r="Y34" s="203"/>
      <c r="Z34" s="1545"/>
      <c r="AA34" s="1545"/>
      <c r="AB34" s="1149"/>
    </row>
    <row r="35" spans="2:28" ht="15.6" x14ac:dyDescent="0.3">
      <c r="B35" s="4"/>
      <c r="C35" s="52" t="s">
        <v>52</v>
      </c>
      <c r="D35" s="52"/>
      <c r="E35" s="52"/>
      <c r="F35" s="858" t="s">
        <v>79</v>
      </c>
      <c r="G35" s="52"/>
      <c r="H35" s="52"/>
      <c r="I35" s="52"/>
      <c r="J35" s="9"/>
      <c r="K35" s="56"/>
      <c r="O35" s="1149"/>
      <c r="P35" s="1545"/>
      <c r="Q35" s="1547"/>
      <c r="R35" s="1252"/>
      <c r="S35" s="1547"/>
      <c r="T35" s="1547"/>
      <c r="U35" s="1547"/>
      <c r="V35" s="1547"/>
      <c r="W35" s="1548"/>
      <c r="X35" s="1549"/>
      <c r="Y35" s="203"/>
      <c r="Z35" s="1545"/>
      <c r="AA35" s="1545"/>
      <c r="AB35" s="1149"/>
    </row>
    <row r="36" spans="2:28" ht="15.6" x14ac:dyDescent="0.3">
      <c r="B36" s="4"/>
      <c r="C36" s="52" t="s">
        <v>47</v>
      </c>
      <c r="D36" s="52"/>
      <c r="E36" s="52"/>
      <c r="F36" s="211" t="s">
        <v>48</v>
      </c>
      <c r="G36" s="52"/>
      <c r="H36" s="52"/>
      <c r="I36" s="52"/>
      <c r="J36" s="9"/>
      <c r="K36" s="56"/>
      <c r="O36" s="1149"/>
      <c r="P36" s="1545"/>
      <c r="Q36" s="1548"/>
      <c r="R36" s="1551"/>
      <c r="S36" s="1547"/>
      <c r="T36" s="1547"/>
      <c r="U36" s="1547"/>
      <c r="V36" s="1547"/>
      <c r="W36" s="1548"/>
      <c r="X36" s="1548"/>
      <c r="Y36" s="203"/>
      <c r="Z36" s="1545"/>
      <c r="AA36" s="1545"/>
      <c r="AB36" s="1149"/>
    </row>
    <row r="37" spans="2:28" ht="15.6" x14ac:dyDescent="0.3">
      <c r="B37" s="4"/>
      <c r="C37" s="92" t="s">
        <v>54</v>
      </c>
      <c r="D37" s="52"/>
      <c r="E37" s="52"/>
      <c r="F37" s="1601"/>
      <c r="G37" s="120"/>
      <c r="H37" s="52"/>
      <c r="I37" s="1905">
        <v>6</v>
      </c>
      <c r="J37" s="9"/>
      <c r="K37" s="56"/>
      <c r="O37" s="1149"/>
      <c r="P37" s="1545"/>
      <c r="Q37" s="1548"/>
      <c r="R37" s="1550"/>
      <c r="S37" s="1546"/>
      <c r="T37" s="1547"/>
      <c r="U37" s="1546"/>
      <c r="V37" s="1547"/>
      <c r="W37" s="1548"/>
      <c r="X37" s="1548"/>
      <c r="Y37" s="203"/>
      <c r="Z37" s="1545"/>
      <c r="AA37" s="1545"/>
      <c r="AB37" s="1149"/>
    </row>
    <row r="38" spans="2:28" ht="15.6" x14ac:dyDescent="0.3">
      <c r="B38" s="4"/>
      <c r="C38" s="52" t="s">
        <v>686</v>
      </c>
      <c r="D38" s="52"/>
      <c r="E38" s="52"/>
      <c r="F38" s="1602" t="str">
        <f>Данные!U82</f>
        <v>1050-1090</v>
      </c>
      <c r="G38" s="16" t="s">
        <v>80</v>
      </c>
      <c r="H38" s="52"/>
      <c r="I38" s="52"/>
      <c r="J38" s="9"/>
      <c r="K38" s="56"/>
      <c r="O38" s="1149"/>
      <c r="P38" s="1545"/>
      <c r="Q38" s="1548"/>
      <c r="R38" s="1547"/>
      <c r="S38" s="1547"/>
      <c r="T38" s="1547"/>
      <c r="U38" s="1547"/>
      <c r="V38" s="1550"/>
      <c r="W38" s="1548"/>
      <c r="X38" s="1548"/>
      <c r="Y38" s="203"/>
      <c r="Z38" s="1545"/>
      <c r="AA38" s="1545"/>
      <c r="AB38" s="1149"/>
    </row>
    <row r="39" spans="2:28" ht="15.6" x14ac:dyDescent="0.3">
      <c r="B39" s="4"/>
      <c r="C39" s="52" t="s">
        <v>43</v>
      </c>
      <c r="D39" s="52"/>
      <c r="E39" s="52"/>
      <c r="F39" s="211" t="str">
        <f>VLOOKUP(F7,Данные!A3:I27,6,FALSE())</f>
        <v>25010.00173</v>
      </c>
      <c r="G39" s="52"/>
      <c r="H39" s="52"/>
      <c r="I39" s="52"/>
      <c r="J39" s="9"/>
      <c r="K39" s="56"/>
      <c r="O39" s="1149"/>
      <c r="P39" s="1545"/>
      <c r="Q39" s="1548"/>
      <c r="R39" s="1548"/>
      <c r="S39" s="1546"/>
      <c r="T39" s="1547"/>
      <c r="U39" s="1546"/>
      <c r="V39" s="1547"/>
      <c r="W39" s="1546"/>
      <c r="X39" s="1548"/>
      <c r="Y39" s="203"/>
      <c r="Z39" s="1545"/>
      <c r="AA39" s="1545"/>
      <c r="AB39" s="1149"/>
    </row>
    <row r="40" spans="2:28" ht="15.6" x14ac:dyDescent="0.3">
      <c r="B40" s="4"/>
      <c r="C40" s="52" t="s">
        <v>44</v>
      </c>
      <c r="D40" s="52"/>
      <c r="E40" s="52"/>
      <c r="F40" s="211" t="s">
        <v>81</v>
      </c>
      <c r="G40" s="52"/>
      <c r="H40" s="52"/>
      <c r="I40" s="52"/>
      <c r="J40" s="9"/>
      <c r="K40" s="56"/>
      <c r="O40" s="1149"/>
      <c r="P40" s="1545"/>
      <c r="Q40" s="1548"/>
      <c r="R40" s="1548"/>
      <c r="S40" s="1547"/>
      <c r="T40" s="1547"/>
      <c r="U40" s="1546"/>
      <c r="V40" s="1547"/>
      <c r="W40" s="1547"/>
      <c r="X40" s="1548"/>
      <c r="Y40" s="203"/>
      <c r="Z40" s="1545"/>
      <c r="AA40" s="1545"/>
      <c r="AB40" s="1149"/>
    </row>
    <row r="41" spans="2:28" ht="15.6" x14ac:dyDescent="0.3">
      <c r="B41" s="4"/>
      <c r="C41" s="52" t="s">
        <v>82</v>
      </c>
      <c r="D41" s="52"/>
      <c r="E41" s="16"/>
      <c r="F41" s="585" t="s">
        <v>50</v>
      </c>
      <c r="G41" s="52"/>
      <c r="I41" s="52"/>
      <c r="J41" s="9"/>
      <c r="K41" s="56"/>
      <c r="O41" s="1149"/>
      <c r="P41" s="1545"/>
      <c r="Q41" s="1548"/>
      <c r="R41" s="1548"/>
      <c r="S41" s="1548"/>
      <c r="T41" s="1551"/>
      <c r="U41" s="1547"/>
      <c r="V41" s="1551"/>
      <c r="W41" s="1547"/>
      <c r="X41" s="1548"/>
      <c r="Y41" s="203"/>
      <c r="Z41" s="1545"/>
      <c r="AA41" s="1545"/>
      <c r="AB41" s="1149"/>
    </row>
    <row r="42" spans="2:28" ht="16.2" thickBot="1" x14ac:dyDescent="0.35">
      <c r="B42" s="4"/>
      <c r="C42" s="52" t="s">
        <v>56</v>
      </c>
      <c r="D42" s="52"/>
      <c r="E42" s="16"/>
      <c r="F42" s="585" t="s">
        <v>57</v>
      </c>
      <c r="G42" s="52"/>
      <c r="H42" s="52"/>
      <c r="I42" s="52"/>
      <c r="J42" s="9"/>
      <c r="K42" s="56"/>
      <c r="R42" s="1548"/>
      <c r="S42" s="1548"/>
      <c r="T42" s="1550"/>
      <c r="U42" s="1548"/>
      <c r="V42" s="1550"/>
      <c r="W42" s="1550"/>
      <c r="X42" s="1552"/>
      <c r="Y42" s="1552"/>
      <c r="Z42" s="1545"/>
      <c r="AA42" s="1545"/>
      <c r="AB42" s="1149"/>
    </row>
    <row r="43" spans="2:28" ht="15" thickBot="1" x14ac:dyDescent="0.35">
      <c r="B43" s="2032" t="s">
        <v>58</v>
      </c>
      <c r="C43" s="2034"/>
      <c r="D43" s="12"/>
      <c r="E43" s="1169" t="s">
        <v>59</v>
      </c>
      <c r="F43" s="1168" t="s">
        <v>58</v>
      </c>
      <c r="G43" s="2038" t="s">
        <v>60</v>
      </c>
      <c r="H43" s="2040"/>
      <c r="I43" s="2032" t="s">
        <v>833</v>
      </c>
      <c r="J43" s="2033"/>
      <c r="K43" s="56"/>
      <c r="O43" s="1149"/>
      <c r="P43" s="1545"/>
      <c r="Q43" s="1545"/>
      <c r="R43" s="1545"/>
      <c r="S43" s="1545"/>
      <c r="T43" s="1545"/>
      <c r="U43" s="1545"/>
      <c r="V43" s="1545"/>
      <c r="W43" s="1545"/>
      <c r="X43" s="1545"/>
      <c r="Y43" s="1545"/>
      <c r="Z43" s="1545"/>
      <c r="AA43" s="1545"/>
      <c r="AB43" s="1149"/>
    </row>
    <row r="44" spans="2:28" ht="15" thickBot="1" x14ac:dyDescent="0.35">
      <c r="B44" s="2035">
        <f ca="1">TODAY()</f>
        <v>45590</v>
      </c>
      <c r="C44" s="2036"/>
      <c r="D44" s="3"/>
      <c r="E44" s="37"/>
      <c r="F44" s="1"/>
      <c r="G44" s="2032"/>
      <c r="H44" s="2033"/>
      <c r="I44" s="2096"/>
      <c r="J44" s="2123"/>
      <c r="K44" s="52"/>
      <c r="O44" s="1149"/>
      <c r="P44" s="1545"/>
      <c r="Q44" s="1545"/>
      <c r="R44" s="1545"/>
      <c r="S44" s="1545"/>
      <c r="T44" s="1545"/>
      <c r="U44" s="1545"/>
      <c r="V44" s="1545"/>
      <c r="W44" s="1545"/>
      <c r="X44" s="1545"/>
      <c r="Y44" s="1545"/>
      <c r="Z44" s="1545"/>
      <c r="AA44" s="1545"/>
      <c r="AB44" s="1149"/>
    </row>
    <row r="45" spans="2:28" ht="15" thickBot="1" x14ac:dyDescent="0.35">
      <c r="B45" s="2032" t="s">
        <v>61</v>
      </c>
      <c r="C45" s="2034"/>
      <c r="D45" s="3"/>
      <c r="E45" s="20"/>
      <c r="F45" s="19"/>
      <c r="G45" s="19"/>
      <c r="H45" s="19"/>
      <c r="I45" s="19"/>
      <c r="J45" s="38"/>
      <c r="K45" s="56"/>
      <c r="O45" s="1149"/>
      <c r="P45" s="1545"/>
      <c r="Q45" s="1545"/>
      <c r="R45" s="1545"/>
      <c r="S45" s="1545"/>
      <c r="T45" s="1545"/>
      <c r="U45" s="1545"/>
      <c r="V45" s="1545"/>
      <c r="W45" s="1545"/>
      <c r="X45" s="1545"/>
      <c r="Y45" s="1545"/>
      <c r="Z45" s="1545"/>
      <c r="AA45" s="1545"/>
      <c r="AB45" s="1149"/>
    </row>
    <row r="46" spans="2:28" ht="15" thickBot="1" x14ac:dyDescent="0.35">
      <c r="B46" s="4"/>
      <c r="C46" s="56"/>
      <c r="D46" s="56"/>
      <c r="E46" s="56"/>
      <c r="F46" s="56"/>
      <c r="G46" s="56"/>
      <c r="H46" s="56"/>
      <c r="I46" s="56"/>
      <c r="J46" s="9"/>
      <c r="K46" s="56"/>
      <c r="O46" s="1149"/>
      <c r="P46" s="1545"/>
      <c r="Q46" s="1545"/>
      <c r="R46" s="1545"/>
      <c r="S46" s="1545"/>
      <c r="T46" s="1545"/>
      <c r="U46" s="1545"/>
      <c r="V46" s="1545"/>
      <c r="W46" s="1545"/>
      <c r="X46" s="1545"/>
      <c r="Y46" s="1545"/>
      <c r="Z46" s="1545"/>
      <c r="AA46" s="1545"/>
      <c r="AB46" s="1149"/>
    </row>
    <row r="47" spans="2:28" x14ac:dyDescent="0.3">
      <c r="B47" s="2044" t="s">
        <v>3</v>
      </c>
      <c r="C47" s="2045"/>
      <c r="D47" s="2046"/>
      <c r="E47" s="84" t="s">
        <v>250</v>
      </c>
      <c r="F47" s="85" t="s">
        <v>251</v>
      </c>
      <c r="G47" s="84" t="s">
        <v>251</v>
      </c>
      <c r="H47" s="84" t="s">
        <v>252</v>
      </c>
      <c r="I47" s="81" t="s">
        <v>253</v>
      </c>
      <c r="J47" s="83"/>
      <c r="K47" s="741"/>
      <c r="O47" s="1149"/>
      <c r="P47" s="1149"/>
      <c r="Q47" s="1149"/>
      <c r="R47" s="1149"/>
      <c r="S47" s="1149"/>
      <c r="T47" s="1149"/>
      <c r="U47" s="1149"/>
      <c r="V47" s="1149"/>
      <c r="W47" s="1149"/>
      <c r="X47" s="1149"/>
      <c r="Y47" s="1149"/>
      <c r="Z47" s="1149"/>
      <c r="AA47" s="1149"/>
      <c r="AB47" s="1149"/>
    </row>
    <row r="48" spans="2:28" ht="15" thickBot="1" x14ac:dyDescent="0.35">
      <c r="B48" s="2047" t="s">
        <v>254</v>
      </c>
      <c r="C48" s="2048"/>
      <c r="D48" s="2049"/>
      <c r="E48" s="88" t="s">
        <v>255</v>
      </c>
      <c r="F48" s="88" t="s">
        <v>256</v>
      </c>
      <c r="G48" s="88" t="s">
        <v>257</v>
      </c>
      <c r="H48" s="88"/>
      <c r="I48" s="89" t="s">
        <v>258</v>
      </c>
      <c r="J48" s="140"/>
      <c r="K48" s="741"/>
      <c r="L48" s="220"/>
      <c r="O48" s="1149"/>
      <c r="P48" s="1149"/>
      <c r="Q48" s="1149"/>
      <c r="R48" s="1149"/>
      <c r="S48" s="1149"/>
      <c r="T48" s="1149"/>
      <c r="U48" s="1149"/>
      <c r="V48" s="1149"/>
      <c r="W48" s="1149"/>
      <c r="X48" s="1149"/>
      <c r="Y48" s="1149"/>
      <c r="Z48" s="1149"/>
      <c r="AA48" s="1149"/>
      <c r="AB48" s="1149"/>
    </row>
    <row r="49" spans="2:13" ht="15" thickBot="1" x14ac:dyDescent="0.35">
      <c r="B49" s="2041" t="s">
        <v>307</v>
      </c>
      <c r="C49" s="2043"/>
      <c r="D49" s="2042"/>
      <c r="E49" s="141">
        <v>40</v>
      </c>
      <c r="F49" s="142">
        <v>1</v>
      </c>
      <c r="G49" s="141">
        <v>20</v>
      </c>
      <c r="H49" s="141">
        <v>3</v>
      </c>
      <c r="I49" s="2041">
        <f>ROUND(1000*1000*400/1000000*2.045*2.3/1000/F13,3)</f>
        <v>0.94099999999999995</v>
      </c>
      <c r="J49" s="2042"/>
      <c r="K49" s="741"/>
      <c r="L49" s="220"/>
      <c r="M49" s="41"/>
    </row>
    <row r="55" spans="2:13" x14ac:dyDescent="0.3">
      <c r="L55" s="41"/>
    </row>
    <row r="56" spans="2:13" x14ac:dyDescent="0.3">
      <c r="B56" s="132"/>
      <c r="C56" s="41"/>
      <c r="D56" s="41"/>
      <c r="E56" s="41"/>
      <c r="F56" s="41"/>
      <c r="G56" s="41"/>
      <c r="H56" s="41"/>
      <c r="I56" s="41"/>
      <c r="J56" s="41"/>
    </row>
  </sheetData>
  <mergeCells count="13">
    <mergeCell ref="B44:C44"/>
    <mergeCell ref="I49:J49"/>
    <mergeCell ref="L2:M2"/>
    <mergeCell ref="V2:X2"/>
    <mergeCell ref="B47:D47"/>
    <mergeCell ref="B48:D48"/>
    <mergeCell ref="B49:D49"/>
    <mergeCell ref="G43:H43"/>
    <mergeCell ref="G44:H44"/>
    <mergeCell ref="I43:J43"/>
    <mergeCell ref="I44:J44"/>
    <mergeCell ref="B43:C43"/>
    <mergeCell ref="B45:C45"/>
  </mergeCells>
  <dataValidations disablePrompts="1" count="1">
    <dataValidation type="list" allowBlank="1" showInputMessage="1" showErrorMessage="1" sqref="J3" xr:uid="{EAF6A628-56B8-4B8D-9587-1A51E6962B8D}">
      <formula1>$Q$4:$Q$15</formula1>
    </dataValidation>
  </dataValidations>
  <pageMargins left="0.7" right="0.7" top="0.75" bottom="0.75" header="0.3" footer="0.3"/>
  <pageSetup paperSize="9" scale="35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showGridLines="0" zoomScale="70" zoomScaleNormal="70" workbookViewId="0">
      <selection activeCell="W33" sqref="W33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1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837</v>
      </c>
      <c r="N1" s="57"/>
      <c r="O1" s="57"/>
      <c r="P1" s="2136" t="s">
        <v>545</v>
      </c>
      <c r="Q1" s="2136" t="s">
        <v>92</v>
      </c>
      <c r="R1" s="2130" t="s">
        <v>93</v>
      </c>
      <c r="S1" s="2134" t="s">
        <v>94</v>
      </c>
      <c r="T1" s="2134" t="s">
        <v>95</v>
      </c>
      <c r="U1" s="2134" t="s">
        <v>96</v>
      </c>
      <c r="V1" s="2130" t="s">
        <v>97</v>
      </c>
      <c r="W1" s="2130" t="s">
        <v>98</v>
      </c>
      <c r="X1" s="2134" t="s">
        <v>99</v>
      </c>
      <c r="Y1" s="2134" t="s">
        <v>100</v>
      </c>
      <c r="Z1" s="2130" t="s">
        <v>1024</v>
      </c>
      <c r="AA1" s="2130" t="s">
        <v>1025</v>
      </c>
      <c r="AB1" s="2132" t="s">
        <v>1026</v>
      </c>
      <c r="AC1" s="2130" t="s">
        <v>1027</v>
      </c>
      <c r="AD1" s="2130" t="s">
        <v>1028</v>
      </c>
      <c r="AE1" s="2140" t="s">
        <v>1029</v>
      </c>
      <c r="AF1" s="2142" t="s">
        <v>1030</v>
      </c>
      <c r="AG1" s="2142" t="s">
        <v>1031</v>
      </c>
      <c r="AH1" s="2142" t="s">
        <v>294</v>
      </c>
      <c r="AI1" s="2142" t="s">
        <v>1032</v>
      </c>
      <c r="AJ1" s="2138" t="s">
        <v>1033</v>
      </c>
    </row>
    <row r="2" spans="2:36" ht="16.2" customHeight="1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790</v>
      </c>
      <c r="K2" s="41"/>
      <c r="L2" s="125" t="s">
        <v>544</v>
      </c>
      <c r="M2" s="125"/>
      <c r="N2" s="229"/>
      <c r="O2" s="57"/>
      <c r="P2" s="2137"/>
      <c r="Q2" s="2137"/>
      <c r="R2" s="2131"/>
      <c r="S2" s="2135"/>
      <c r="T2" s="2135"/>
      <c r="U2" s="2135"/>
      <c r="V2" s="2131"/>
      <c r="W2" s="2131"/>
      <c r="X2" s="2135"/>
      <c r="Y2" s="2135"/>
      <c r="Z2" s="2131"/>
      <c r="AA2" s="2131"/>
      <c r="AB2" s="2133"/>
      <c r="AC2" s="2131"/>
      <c r="AD2" s="2131"/>
      <c r="AE2" s="2141"/>
      <c r="AF2" s="2143"/>
      <c r="AG2" s="2143"/>
      <c r="AH2" s="2143"/>
      <c r="AI2" s="2143"/>
      <c r="AJ2" s="2139"/>
    </row>
    <row r="3" spans="2:36" ht="15.6" x14ac:dyDescent="0.3">
      <c r="B3" s="11" t="s">
        <v>1</v>
      </c>
      <c r="C3" s="56"/>
      <c r="D3" s="5"/>
      <c r="E3" s="5"/>
      <c r="F3" s="670"/>
      <c r="G3" s="671"/>
      <c r="H3" s="672"/>
      <c r="I3" s="673" t="s">
        <v>543</v>
      </c>
      <c r="J3" s="674">
        <v>126</v>
      </c>
      <c r="K3" s="41"/>
      <c r="L3" s="40" t="s">
        <v>66</v>
      </c>
      <c r="M3" s="1975">
        <f>VLOOKUP(J3,P3:AI15,5)</f>
        <v>245</v>
      </c>
      <c r="N3" s="57"/>
      <c r="O3" s="57"/>
      <c r="P3" s="1963">
        <v>125</v>
      </c>
      <c r="Q3" s="1274">
        <v>890</v>
      </c>
      <c r="R3" s="1274">
        <v>255</v>
      </c>
      <c r="S3" s="1275">
        <f t="shared" ref="S3:S15" si="0">Q3-R3</f>
        <v>635</v>
      </c>
      <c r="T3" s="1275">
        <v>243</v>
      </c>
      <c r="U3" s="1275">
        <v>260</v>
      </c>
      <c r="V3" s="1274">
        <v>310</v>
      </c>
      <c r="W3" s="1274">
        <v>30</v>
      </c>
      <c r="X3" s="1275">
        <v>55</v>
      </c>
      <c r="Y3" s="1275">
        <v>63</v>
      </c>
      <c r="Z3" s="1274">
        <v>100</v>
      </c>
      <c r="AA3" s="1274">
        <v>160</v>
      </c>
      <c r="AB3" s="1276">
        <v>90</v>
      </c>
      <c r="AC3" s="1277">
        <v>220</v>
      </c>
      <c r="AD3" s="1277">
        <v>180</v>
      </c>
      <c r="AE3" s="1646">
        <v>106</v>
      </c>
      <c r="AF3" s="1277" t="s">
        <v>23</v>
      </c>
      <c r="AG3" s="1278">
        <v>110</v>
      </c>
      <c r="AH3" s="1278">
        <v>65.650000000000006</v>
      </c>
      <c r="AI3" s="1278">
        <f t="shared" ref="AI3:AI15" si="1">AG3+AH3</f>
        <v>175.65</v>
      </c>
      <c r="AJ3" s="1964">
        <f t="shared" ref="AJ3:AJ15" si="2">AI3*1.04</f>
        <v>182.67600000000002</v>
      </c>
    </row>
    <row r="4" spans="2:36" ht="15.6" x14ac:dyDescent="0.3">
      <c r="B4" s="4" t="s">
        <v>2</v>
      </c>
      <c r="C4" s="56"/>
      <c r="D4" s="52"/>
      <c r="E4" s="52"/>
      <c r="F4" s="675"/>
      <c r="G4" s="672"/>
      <c r="H4" s="672"/>
      <c r="I4" s="672"/>
      <c r="J4" s="676"/>
      <c r="K4" s="41"/>
      <c r="L4" s="45" t="s">
        <v>67</v>
      </c>
      <c r="M4" s="1975">
        <f>VLOOKUP(J3,P3:AI15,6)</f>
        <v>260</v>
      </c>
      <c r="N4" s="57"/>
      <c r="O4" s="57"/>
      <c r="P4" s="1963">
        <v>126</v>
      </c>
      <c r="Q4" s="1274">
        <v>895</v>
      </c>
      <c r="R4" s="1274">
        <v>250</v>
      </c>
      <c r="S4" s="1275">
        <f t="shared" si="0"/>
        <v>645</v>
      </c>
      <c r="T4" s="1275">
        <v>245</v>
      </c>
      <c r="U4" s="1275">
        <v>260</v>
      </c>
      <c r="V4" s="1274">
        <v>310</v>
      </c>
      <c r="W4" s="1274">
        <v>30</v>
      </c>
      <c r="X4" s="1275">
        <v>60</v>
      </c>
      <c r="Y4" s="1275">
        <v>65</v>
      </c>
      <c r="Z4" s="1274">
        <v>100</v>
      </c>
      <c r="AA4" s="1274">
        <v>170</v>
      </c>
      <c r="AB4" s="1276">
        <v>90</v>
      </c>
      <c r="AC4" s="1277">
        <v>220</v>
      </c>
      <c r="AD4" s="1277">
        <v>180</v>
      </c>
      <c r="AE4" s="1646">
        <v>110</v>
      </c>
      <c r="AF4" s="1277" t="s">
        <v>23</v>
      </c>
      <c r="AG4" s="1278">
        <f>AG3</f>
        <v>110</v>
      </c>
      <c r="AH4" s="1278">
        <f>AH3</f>
        <v>65.650000000000006</v>
      </c>
      <c r="AI4" s="1278">
        <f t="shared" si="1"/>
        <v>175.65</v>
      </c>
      <c r="AJ4" s="1965">
        <f t="shared" si="2"/>
        <v>182.67600000000002</v>
      </c>
    </row>
    <row r="5" spans="2:36" ht="15.6" x14ac:dyDescent="0.3">
      <c r="B5" s="4" t="s">
        <v>3</v>
      </c>
      <c r="C5" s="56"/>
      <c r="D5" s="52"/>
      <c r="E5" s="52"/>
      <c r="F5" s="677"/>
      <c r="G5" s="672"/>
      <c r="H5" s="672"/>
      <c r="I5" s="672"/>
      <c r="J5" s="676"/>
      <c r="K5" s="41"/>
      <c r="L5" s="40" t="s">
        <v>64</v>
      </c>
      <c r="M5" s="1975">
        <f>VLOOKUP(J3,P3:AJ15,8)</f>
        <v>30</v>
      </c>
      <c r="N5" s="57"/>
      <c r="O5" s="57"/>
      <c r="P5" s="1966">
        <v>127</v>
      </c>
      <c r="Q5" s="1277">
        <v>1840</v>
      </c>
      <c r="R5" s="1277">
        <v>510</v>
      </c>
      <c r="S5" s="1275">
        <f t="shared" si="0"/>
        <v>1330</v>
      </c>
      <c r="T5" s="1275">
        <v>440</v>
      </c>
      <c r="U5" s="1275">
        <v>455</v>
      </c>
      <c r="V5" s="1277">
        <v>555</v>
      </c>
      <c r="W5" s="1277">
        <v>80</v>
      </c>
      <c r="X5" s="1275">
        <v>155</v>
      </c>
      <c r="Y5" s="1275">
        <v>165</v>
      </c>
      <c r="Z5" s="1277">
        <v>240</v>
      </c>
      <c r="AA5" s="1277">
        <v>340</v>
      </c>
      <c r="AB5" s="1276">
        <v>170</v>
      </c>
      <c r="AC5" s="1277">
        <v>540</v>
      </c>
      <c r="AD5" s="1277">
        <v>500</v>
      </c>
      <c r="AE5" s="1646">
        <v>234</v>
      </c>
      <c r="AF5" s="1277" t="s">
        <v>32</v>
      </c>
      <c r="AG5" s="1278">
        <v>874.6</v>
      </c>
      <c r="AH5" s="1278">
        <v>507.1</v>
      </c>
      <c r="AI5" s="1279">
        <f t="shared" si="1"/>
        <v>1381.7</v>
      </c>
      <c r="AJ5" s="1964">
        <f t="shared" si="2"/>
        <v>1436.9680000000001</v>
      </c>
    </row>
    <row r="6" spans="2:36" ht="16.2" thickBot="1" x14ac:dyDescent="0.35">
      <c r="B6" s="18" t="s">
        <v>7</v>
      </c>
      <c r="C6" s="62"/>
      <c r="D6" s="19"/>
      <c r="E6" s="19"/>
      <c r="F6" s="678"/>
      <c r="G6" s="215"/>
      <c r="H6" s="215"/>
      <c r="I6" s="215"/>
      <c r="J6" s="679"/>
      <c r="K6" s="41"/>
      <c r="L6" s="45" t="s">
        <v>65</v>
      </c>
      <c r="M6" s="1975">
        <f>VLOOKUP(J3,P3:AJ15,9)</f>
        <v>60</v>
      </c>
      <c r="N6" s="57"/>
      <c r="O6" s="57"/>
      <c r="P6" s="1963">
        <v>128</v>
      </c>
      <c r="Q6" s="1274">
        <v>1670</v>
      </c>
      <c r="R6" s="1274">
        <v>420</v>
      </c>
      <c r="S6" s="1275">
        <f t="shared" si="0"/>
        <v>1250</v>
      </c>
      <c r="T6" s="1275">
        <v>425</v>
      </c>
      <c r="U6" s="1275">
        <v>440</v>
      </c>
      <c r="V6" s="1274">
        <v>520</v>
      </c>
      <c r="W6" s="1274">
        <v>45</v>
      </c>
      <c r="X6" s="1275">
        <v>90</v>
      </c>
      <c r="Y6" s="1275">
        <v>95</v>
      </c>
      <c r="Z6" s="1274">
        <v>155</v>
      </c>
      <c r="AA6" s="1274">
        <v>260</v>
      </c>
      <c r="AB6" s="1276">
        <v>145</v>
      </c>
      <c r="AC6" s="1277">
        <v>420</v>
      </c>
      <c r="AD6" s="1277">
        <v>420</v>
      </c>
      <c r="AE6" s="1646">
        <v>240</v>
      </c>
      <c r="AF6" s="1277" t="s">
        <v>23</v>
      </c>
      <c r="AG6" s="1278">
        <v>690</v>
      </c>
      <c r="AH6" s="1278">
        <v>489</v>
      </c>
      <c r="AI6" s="1278">
        <f t="shared" si="1"/>
        <v>1179</v>
      </c>
      <c r="AJ6" s="1964">
        <f t="shared" si="2"/>
        <v>1226.1600000000001</v>
      </c>
    </row>
    <row r="7" spans="2:36" ht="15.6" x14ac:dyDescent="0.3">
      <c r="B7" s="11" t="s">
        <v>12</v>
      </c>
      <c r="C7" s="5"/>
      <c r="D7" s="5"/>
      <c r="E7" s="5"/>
      <c r="F7" s="232" t="s">
        <v>23</v>
      </c>
      <c r="G7" s="5"/>
      <c r="H7" s="68"/>
      <c r="I7" s="5" t="s">
        <v>13</v>
      </c>
      <c r="J7" s="133">
        <f>F8/F9</f>
        <v>1.1000000000000001</v>
      </c>
      <c r="K7" s="41"/>
      <c r="L7" s="40" t="s">
        <v>71</v>
      </c>
      <c r="M7" s="1975">
        <f>VLOOKUP(J3,P3:AI15,10)</f>
        <v>65</v>
      </c>
      <c r="N7" s="57"/>
      <c r="O7" s="57"/>
      <c r="P7" s="1966">
        <v>129</v>
      </c>
      <c r="Q7" s="1277">
        <v>1170</v>
      </c>
      <c r="R7" s="1277">
        <v>320</v>
      </c>
      <c r="S7" s="1275">
        <f t="shared" si="0"/>
        <v>850</v>
      </c>
      <c r="T7" s="1275">
        <v>315</v>
      </c>
      <c r="U7" s="1275">
        <v>330</v>
      </c>
      <c r="V7" s="1277">
        <v>390</v>
      </c>
      <c r="W7" s="1277">
        <v>60</v>
      </c>
      <c r="X7" s="1275">
        <v>90</v>
      </c>
      <c r="Y7" s="1275">
        <v>100</v>
      </c>
      <c r="Z7" s="1277">
        <v>140</v>
      </c>
      <c r="AA7" s="1277">
        <v>220</v>
      </c>
      <c r="AB7" s="1276">
        <v>120</v>
      </c>
      <c r="AC7" s="1277">
        <v>290</v>
      </c>
      <c r="AD7" s="1277">
        <v>280</v>
      </c>
      <c r="AE7" s="1646">
        <v>164</v>
      </c>
      <c r="AF7" s="1277"/>
      <c r="AG7" s="1279">
        <v>1</v>
      </c>
      <c r="AH7" s="1279">
        <v>1</v>
      </c>
      <c r="AI7" s="1279">
        <f t="shared" si="1"/>
        <v>2</v>
      </c>
      <c r="AJ7" s="1964">
        <f t="shared" si="2"/>
        <v>2.08</v>
      </c>
    </row>
    <row r="8" spans="2:36" ht="15.6" x14ac:dyDescent="0.3">
      <c r="B8" s="4" t="s">
        <v>15</v>
      </c>
      <c r="C8" s="52"/>
      <c r="D8" s="52"/>
      <c r="E8" s="52"/>
      <c r="F8" s="1978">
        <f>M17</f>
        <v>121</v>
      </c>
      <c r="G8" s="52"/>
      <c r="H8" s="56"/>
      <c r="I8" s="52" t="s">
        <v>18</v>
      </c>
      <c r="J8" s="14">
        <f>F8/F12</f>
        <v>0.66120218579234968</v>
      </c>
      <c r="K8" s="41"/>
      <c r="L8" s="40" t="s">
        <v>786</v>
      </c>
      <c r="M8" s="1976">
        <f>VLOOKUP(J3,P3:AI15,16)</f>
        <v>110</v>
      </c>
      <c r="N8" s="57"/>
      <c r="O8" s="57"/>
      <c r="P8" s="1966">
        <v>130</v>
      </c>
      <c r="Q8" s="1277">
        <v>1150</v>
      </c>
      <c r="R8" s="1277">
        <v>350</v>
      </c>
      <c r="S8" s="1275">
        <f t="shared" si="0"/>
        <v>800</v>
      </c>
      <c r="T8" s="1275">
        <v>300</v>
      </c>
      <c r="U8" s="1275">
        <v>310</v>
      </c>
      <c r="V8" s="1277">
        <v>390</v>
      </c>
      <c r="W8" s="1277">
        <v>15</v>
      </c>
      <c r="X8" s="1275">
        <v>95</v>
      </c>
      <c r="Y8" s="1275">
        <v>100</v>
      </c>
      <c r="Z8" s="1277">
        <v>115</v>
      </c>
      <c r="AA8" s="1277">
        <v>190</v>
      </c>
      <c r="AB8" s="1276">
        <v>120</v>
      </c>
      <c r="AC8" s="1277">
        <v>260</v>
      </c>
      <c r="AD8" s="1277">
        <v>255</v>
      </c>
      <c r="AE8" s="1646">
        <v>152.5</v>
      </c>
      <c r="AF8" s="1277" t="s">
        <v>23</v>
      </c>
      <c r="AG8" s="1278">
        <v>228</v>
      </c>
      <c r="AH8" s="1278">
        <v>160</v>
      </c>
      <c r="AI8" s="1279">
        <f t="shared" si="1"/>
        <v>388</v>
      </c>
      <c r="AJ8" s="1964">
        <f t="shared" si="2"/>
        <v>403.52000000000004</v>
      </c>
    </row>
    <row r="9" spans="2:36" ht="15.6" x14ac:dyDescent="0.3">
      <c r="B9" s="4" t="s">
        <v>17</v>
      </c>
      <c r="C9" s="52"/>
      <c r="D9" s="52"/>
      <c r="E9" s="52"/>
      <c r="F9" s="72">
        <f>ROUND(VLOOKUP(J3,P3:AI15,18,0)/7.5*M15,1)</f>
        <v>110</v>
      </c>
      <c r="G9" s="52"/>
      <c r="H9" s="52"/>
      <c r="I9" s="52"/>
      <c r="J9" s="17"/>
      <c r="K9" s="41"/>
      <c r="L9" s="40" t="s">
        <v>557</v>
      </c>
      <c r="M9" s="1975">
        <f>VLOOKUP(J3,P3:AI15,4)</f>
        <v>645</v>
      </c>
      <c r="N9" s="57"/>
      <c r="O9" s="57"/>
      <c r="P9" s="1966">
        <v>131</v>
      </c>
      <c r="Q9" s="1277">
        <v>1075</v>
      </c>
      <c r="R9" s="1277">
        <v>330</v>
      </c>
      <c r="S9" s="1275">
        <f t="shared" si="0"/>
        <v>745</v>
      </c>
      <c r="T9" s="1275">
        <v>260</v>
      </c>
      <c r="U9" s="1275">
        <v>270</v>
      </c>
      <c r="V9" s="1277">
        <v>335</v>
      </c>
      <c r="W9" s="1277">
        <v>55</v>
      </c>
      <c r="X9" s="1275">
        <v>75</v>
      </c>
      <c r="Y9" s="1275">
        <v>85</v>
      </c>
      <c r="Z9" s="1277">
        <v>150</v>
      </c>
      <c r="AA9" s="1277">
        <v>220</v>
      </c>
      <c r="AB9" s="1276">
        <v>100</v>
      </c>
      <c r="AC9" s="1277">
        <v>260</v>
      </c>
      <c r="AD9" s="1277">
        <v>230</v>
      </c>
      <c r="AE9" s="1646">
        <v>129</v>
      </c>
      <c r="AF9" s="1277" t="s">
        <v>23</v>
      </c>
      <c r="AG9" s="1278">
        <v>170</v>
      </c>
      <c r="AH9" s="1278">
        <v>121.22</v>
      </c>
      <c r="AI9" s="1279">
        <f t="shared" si="1"/>
        <v>291.22000000000003</v>
      </c>
      <c r="AJ9" s="1964">
        <f t="shared" si="2"/>
        <v>302.86880000000002</v>
      </c>
    </row>
    <row r="10" spans="2:36" ht="15.6" x14ac:dyDescent="0.3">
      <c r="B10" s="4" t="s">
        <v>19</v>
      </c>
      <c r="C10" s="52"/>
      <c r="D10" s="52"/>
      <c r="E10" s="52"/>
      <c r="F10" s="72">
        <f>ROUND(VLOOKUP(J3,P3:AI15,19,0)/7.5*M15,1)</f>
        <v>65.7</v>
      </c>
      <c r="G10" s="52"/>
      <c r="H10" s="52"/>
      <c r="I10" s="52"/>
      <c r="J10" s="17"/>
      <c r="K10" s="41"/>
      <c r="L10" s="125" t="s">
        <v>69</v>
      </c>
      <c r="M10" s="1975"/>
      <c r="N10" s="57"/>
      <c r="O10" s="57"/>
      <c r="P10" s="1966">
        <v>132</v>
      </c>
      <c r="Q10" s="1277">
        <v>1045</v>
      </c>
      <c r="R10" s="1277">
        <v>330</v>
      </c>
      <c r="S10" s="1275">
        <f t="shared" si="0"/>
        <v>715</v>
      </c>
      <c r="T10" s="1275">
        <v>325</v>
      </c>
      <c r="U10" s="1275">
        <v>340</v>
      </c>
      <c r="V10" s="1277">
        <v>410</v>
      </c>
      <c r="W10" s="1277">
        <v>75</v>
      </c>
      <c r="X10" s="1275">
        <v>105</v>
      </c>
      <c r="Y10" s="1275">
        <v>105</v>
      </c>
      <c r="Z10" s="1277">
        <v>180</v>
      </c>
      <c r="AA10" s="1277">
        <v>240</v>
      </c>
      <c r="AB10" s="1276">
        <v>125</v>
      </c>
      <c r="AC10" s="1277">
        <v>175</v>
      </c>
      <c r="AD10" s="1277">
        <v>160</v>
      </c>
      <c r="AE10" s="1646"/>
      <c r="AF10" s="1277"/>
      <c r="AG10" s="1279">
        <v>1</v>
      </c>
      <c r="AH10" s="1279">
        <v>1</v>
      </c>
      <c r="AI10" s="1279">
        <f t="shared" si="1"/>
        <v>2</v>
      </c>
      <c r="AJ10" s="1964">
        <f t="shared" si="2"/>
        <v>2.08</v>
      </c>
    </row>
    <row r="11" spans="2:36" ht="15.6" x14ac:dyDescent="0.3">
      <c r="B11" s="4" t="s">
        <v>22</v>
      </c>
      <c r="C11" s="52"/>
      <c r="D11" s="52"/>
      <c r="E11" s="52"/>
      <c r="F11" s="72">
        <f>ROUND(VLOOKUP(J3,P3:AI15,20,0)/7.5*M15,1)</f>
        <v>175.7</v>
      </c>
      <c r="G11" s="52"/>
      <c r="H11" s="52"/>
      <c r="I11" s="52"/>
      <c r="J11" s="17"/>
      <c r="K11" s="41"/>
      <c r="L11" s="40" t="s">
        <v>558</v>
      </c>
      <c r="M11" s="1975">
        <f>VLOOKUP(J3,P3:AJ15,11)</f>
        <v>100</v>
      </c>
      <c r="N11" s="57"/>
      <c r="O11" s="57"/>
      <c r="P11" s="1966">
        <v>133</v>
      </c>
      <c r="Q11" s="1277">
        <v>1350</v>
      </c>
      <c r="R11" s="1277">
        <v>370</v>
      </c>
      <c r="S11" s="1275">
        <f t="shared" si="0"/>
        <v>980</v>
      </c>
      <c r="T11" s="1275">
        <v>340</v>
      </c>
      <c r="U11" s="1275">
        <v>355</v>
      </c>
      <c r="V11" s="1277">
        <v>420</v>
      </c>
      <c r="W11" s="1277">
        <v>65</v>
      </c>
      <c r="X11" s="1275">
        <v>110</v>
      </c>
      <c r="Y11" s="1275">
        <v>115</v>
      </c>
      <c r="Z11" s="1277">
        <v>160</v>
      </c>
      <c r="AA11" s="1277">
        <v>250</v>
      </c>
      <c r="AB11" s="1276">
        <v>140</v>
      </c>
      <c r="AC11" s="1277">
        <v>350</v>
      </c>
      <c r="AD11" s="1277">
        <v>300</v>
      </c>
      <c r="AE11" s="1646">
        <v>197.5</v>
      </c>
      <c r="AF11" s="1277" t="s">
        <v>23</v>
      </c>
      <c r="AG11" s="1279">
        <v>385.9</v>
      </c>
      <c r="AH11" s="1279">
        <v>214.2</v>
      </c>
      <c r="AI11" s="1279">
        <f t="shared" si="1"/>
        <v>600.09999999999991</v>
      </c>
      <c r="AJ11" s="1964">
        <f t="shared" si="2"/>
        <v>624.10399999999993</v>
      </c>
    </row>
    <row r="12" spans="2:36" ht="15.6" x14ac:dyDescent="0.3">
      <c r="B12" s="4" t="s">
        <v>27</v>
      </c>
      <c r="C12" s="52"/>
      <c r="D12" s="52"/>
      <c r="E12" s="52"/>
      <c r="F12" s="72">
        <f>ROUND(F11*1.04,0)</f>
        <v>183</v>
      </c>
      <c r="G12" s="52"/>
      <c r="H12" s="52"/>
      <c r="I12" s="52"/>
      <c r="J12" s="17"/>
      <c r="K12" s="41"/>
      <c r="L12" s="40" t="s">
        <v>559</v>
      </c>
      <c r="M12" s="1975">
        <f>VLOOKUP(J3,P3:AI15,12)</f>
        <v>170</v>
      </c>
      <c r="N12" s="57"/>
      <c r="O12" s="57"/>
      <c r="P12" s="1966">
        <v>134</v>
      </c>
      <c r="Q12" s="1277">
        <v>1450</v>
      </c>
      <c r="R12" s="1277">
        <v>390</v>
      </c>
      <c r="S12" s="1275">
        <f t="shared" si="0"/>
        <v>1060</v>
      </c>
      <c r="T12" s="1275">
        <v>355</v>
      </c>
      <c r="U12" s="1275">
        <v>380</v>
      </c>
      <c r="V12" s="1277">
        <v>450</v>
      </c>
      <c r="W12" s="1277">
        <v>83</v>
      </c>
      <c r="X12" s="1275">
        <v>170</v>
      </c>
      <c r="Y12" s="1275">
        <v>190</v>
      </c>
      <c r="Z12" s="1277">
        <v>180</v>
      </c>
      <c r="AA12" s="1277">
        <v>260</v>
      </c>
      <c r="AB12" s="1276">
        <v>150</v>
      </c>
      <c r="AC12" s="1277">
        <v>350</v>
      </c>
      <c r="AD12" s="1277">
        <v>320</v>
      </c>
      <c r="AE12" s="1646">
        <v>202.5</v>
      </c>
      <c r="AF12" s="1277" t="s">
        <v>23</v>
      </c>
      <c r="AG12" s="1278">
        <v>438.3</v>
      </c>
      <c r="AH12" s="1278">
        <v>246.3</v>
      </c>
      <c r="AI12" s="1278">
        <f t="shared" si="1"/>
        <v>684.6</v>
      </c>
      <c r="AJ12" s="1964">
        <f t="shared" si="2"/>
        <v>711.98400000000004</v>
      </c>
    </row>
    <row r="13" spans="2:36" ht="16.2" thickBot="1" x14ac:dyDescent="0.35">
      <c r="B13" s="18"/>
      <c r="C13" s="19"/>
      <c r="D13" s="233"/>
      <c r="E13" s="234"/>
      <c r="F13" s="235"/>
      <c r="G13" s="19"/>
      <c r="H13" s="19"/>
      <c r="I13" s="123"/>
      <c r="J13" s="69"/>
      <c r="K13" s="41"/>
      <c r="L13" s="40" t="s">
        <v>72</v>
      </c>
      <c r="M13" s="1975">
        <f>VLOOKUP(J3,P3:AI15,7)</f>
        <v>310</v>
      </c>
      <c r="N13" s="57"/>
      <c r="O13" s="57"/>
      <c r="P13" s="1966">
        <v>135</v>
      </c>
      <c r="Q13" s="1277">
        <v>1350</v>
      </c>
      <c r="R13" s="1277">
        <v>380</v>
      </c>
      <c r="S13" s="1275">
        <f t="shared" si="0"/>
        <v>970</v>
      </c>
      <c r="T13" s="1275">
        <v>340</v>
      </c>
      <c r="U13" s="1275">
        <v>360</v>
      </c>
      <c r="V13" s="1277">
        <v>430</v>
      </c>
      <c r="W13" s="1277">
        <v>63</v>
      </c>
      <c r="X13" s="1275">
        <v>108</v>
      </c>
      <c r="Y13" s="1275">
        <v>118</v>
      </c>
      <c r="Z13" s="1277">
        <v>158</v>
      </c>
      <c r="AA13" s="1277">
        <v>248</v>
      </c>
      <c r="AB13" s="1276">
        <v>130</v>
      </c>
      <c r="AC13" s="1277">
        <v>350</v>
      </c>
      <c r="AD13" s="1277">
        <v>320</v>
      </c>
      <c r="AE13" s="1646">
        <v>168</v>
      </c>
      <c r="AF13" s="1277" t="s">
        <v>23</v>
      </c>
      <c r="AG13" s="1279">
        <v>349</v>
      </c>
      <c r="AH13" s="1279">
        <v>209.7</v>
      </c>
      <c r="AI13" s="1279">
        <f t="shared" si="1"/>
        <v>558.70000000000005</v>
      </c>
      <c r="AJ13" s="1964">
        <f t="shared" si="2"/>
        <v>581.04800000000012</v>
      </c>
    </row>
    <row r="14" spans="2:36" ht="15.6" x14ac:dyDescent="0.3">
      <c r="B14" s="11"/>
      <c r="C14" s="5"/>
      <c r="D14" s="5"/>
      <c r="E14" s="5"/>
      <c r="F14" s="5"/>
      <c r="G14" s="5"/>
      <c r="H14" s="68"/>
      <c r="I14" s="68"/>
      <c r="J14" s="12"/>
      <c r="K14" s="41"/>
      <c r="L14" s="40" t="s">
        <v>73</v>
      </c>
      <c r="M14" s="1975">
        <f>VLOOKUP(J3,P3:AI15,3)</f>
        <v>250</v>
      </c>
      <c r="N14" s="57"/>
      <c r="O14" s="57"/>
      <c r="P14" s="1966">
        <v>136</v>
      </c>
      <c r="Q14" s="1277">
        <v>1280</v>
      </c>
      <c r="R14" s="1277">
        <v>380</v>
      </c>
      <c r="S14" s="1275">
        <f t="shared" si="0"/>
        <v>900</v>
      </c>
      <c r="T14" s="1275">
        <v>405</v>
      </c>
      <c r="U14" s="1275">
        <v>420</v>
      </c>
      <c r="V14" s="1277">
        <v>500</v>
      </c>
      <c r="W14" s="1277">
        <v>35</v>
      </c>
      <c r="X14" s="1275">
        <v>65</v>
      </c>
      <c r="Y14" s="1275">
        <v>75</v>
      </c>
      <c r="Z14" s="1277">
        <v>130</v>
      </c>
      <c r="AA14" s="1277">
        <v>200</v>
      </c>
      <c r="AB14" s="1276">
        <v>130</v>
      </c>
      <c r="AC14" s="1277">
        <v>310</v>
      </c>
      <c r="AD14" s="1277">
        <v>250</v>
      </c>
      <c r="AE14" s="1646">
        <v>164</v>
      </c>
      <c r="AF14" s="1277" t="s">
        <v>23</v>
      </c>
      <c r="AG14" s="1278">
        <v>329</v>
      </c>
      <c r="AH14" s="1278">
        <v>213</v>
      </c>
      <c r="AI14" s="1279">
        <f t="shared" si="1"/>
        <v>542</v>
      </c>
      <c r="AJ14" s="1964">
        <f t="shared" si="2"/>
        <v>563.68000000000006</v>
      </c>
    </row>
    <row r="15" spans="2:36" ht="15.6" x14ac:dyDescent="0.3">
      <c r="B15" s="4"/>
      <c r="C15" s="52"/>
      <c r="D15" s="52"/>
      <c r="E15" s="52"/>
      <c r="F15" s="52"/>
      <c r="G15" s="52"/>
      <c r="H15" s="2125" t="s">
        <v>560</v>
      </c>
      <c r="I15" s="2125"/>
      <c r="J15" s="2126"/>
      <c r="K15" s="41"/>
      <c r="L15" s="126" t="s">
        <v>8</v>
      </c>
      <c r="M15" s="1977">
        <f>VLOOKUP(F7,Данные!A3:I27,9,FALSE())</f>
        <v>7.5</v>
      </c>
      <c r="N15" s="57"/>
      <c r="O15" s="57"/>
      <c r="P15" s="1967">
        <v>137</v>
      </c>
      <c r="Q15" s="1968">
        <v>1770</v>
      </c>
      <c r="R15" s="1968">
        <v>470</v>
      </c>
      <c r="S15" s="1969">
        <f t="shared" si="0"/>
        <v>1300</v>
      </c>
      <c r="T15" s="1969">
        <v>480</v>
      </c>
      <c r="U15" s="1969">
        <v>500</v>
      </c>
      <c r="V15" s="1968">
        <v>555</v>
      </c>
      <c r="W15" s="1968">
        <v>100</v>
      </c>
      <c r="X15" s="1969">
        <v>160</v>
      </c>
      <c r="Y15" s="1969">
        <v>170</v>
      </c>
      <c r="Z15" s="1968">
        <v>310</v>
      </c>
      <c r="AA15" s="1968">
        <v>430</v>
      </c>
      <c r="AB15" s="1970">
        <v>160</v>
      </c>
      <c r="AC15" s="1968">
        <v>400</v>
      </c>
      <c r="AD15" s="1968">
        <v>400</v>
      </c>
      <c r="AE15" s="1971">
        <v>177.5</v>
      </c>
      <c r="AF15" s="1968" t="s">
        <v>23</v>
      </c>
      <c r="AG15" s="1972">
        <v>937.6</v>
      </c>
      <c r="AH15" s="1972">
        <v>563.4</v>
      </c>
      <c r="AI15" s="1973">
        <f t="shared" si="1"/>
        <v>1501</v>
      </c>
      <c r="AJ15" s="1974">
        <f t="shared" si="2"/>
        <v>1561.04</v>
      </c>
    </row>
    <row r="16" spans="2:36" ht="15.6" x14ac:dyDescent="0.3">
      <c r="B16" s="4"/>
      <c r="C16" s="52"/>
      <c r="D16" s="52"/>
      <c r="E16" s="52"/>
      <c r="F16" s="52"/>
      <c r="G16" s="52"/>
      <c r="H16" s="269"/>
      <c r="I16" s="270" t="s">
        <v>561</v>
      </c>
      <c r="J16" s="271" t="s">
        <v>562</v>
      </c>
      <c r="K16" s="41"/>
      <c r="L16" s="47"/>
      <c r="M16" s="4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</row>
    <row r="17" spans="2:35" ht="15.6" x14ac:dyDescent="0.3">
      <c r="B17" s="4"/>
      <c r="C17" s="52"/>
      <c r="D17" s="52"/>
      <c r="E17" s="52"/>
      <c r="F17" s="52"/>
      <c r="G17" s="52"/>
      <c r="H17" s="55" t="s">
        <v>355</v>
      </c>
      <c r="I17" s="236">
        <f>M3</f>
        <v>245</v>
      </c>
      <c r="J17" s="237">
        <f>ROUND(I17*0.985,0)</f>
        <v>241</v>
      </c>
      <c r="K17" s="41"/>
      <c r="L17" s="99" t="s">
        <v>259</v>
      </c>
      <c r="M17" s="48">
        <v>121</v>
      </c>
      <c r="N17" s="56"/>
      <c r="O17" s="57" t="b">
        <v>1</v>
      </c>
      <c r="P17" s="57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</row>
    <row r="18" spans="2:35" ht="15.6" x14ac:dyDescent="0.3">
      <c r="B18" s="4"/>
      <c r="C18" s="52"/>
      <c r="D18" s="52"/>
      <c r="E18" s="52"/>
      <c r="F18" s="52"/>
      <c r="G18" s="52"/>
      <c r="H18" s="55" t="s">
        <v>550</v>
      </c>
      <c r="I18" s="236">
        <f>M5</f>
        <v>30</v>
      </c>
      <c r="J18" s="237">
        <f>ROUND(I18*0.985,0)</f>
        <v>30</v>
      </c>
      <c r="K18" s="41"/>
      <c r="L18" s="228"/>
      <c r="M18" s="228"/>
      <c r="N18" s="41"/>
      <c r="O18" s="41"/>
      <c r="P18" s="41"/>
    </row>
    <row r="19" spans="2:35" ht="15.6" x14ac:dyDescent="0.3">
      <c r="B19" s="4"/>
      <c r="C19" s="52"/>
      <c r="D19" s="52"/>
      <c r="E19" s="52"/>
      <c r="F19" s="52"/>
      <c r="G19" s="52"/>
      <c r="H19" s="55" t="s">
        <v>785</v>
      </c>
      <c r="I19" s="683">
        <f>M8</f>
        <v>110</v>
      </c>
      <c r="J19" s="237">
        <f>ROUND(I19*0.985,0)</f>
        <v>108</v>
      </c>
      <c r="K19" s="41"/>
      <c r="L19" s="75" t="s">
        <v>235</v>
      </c>
      <c r="M19" s="59"/>
      <c r="N19" s="41"/>
      <c r="O19" s="41"/>
      <c r="P19" s="41"/>
    </row>
    <row r="20" spans="2:35" ht="15.6" x14ac:dyDescent="0.3">
      <c r="B20" s="4"/>
      <c r="C20" s="52"/>
      <c r="D20" s="52"/>
      <c r="E20" s="52"/>
      <c r="F20" s="52"/>
      <c r="G20" s="52"/>
      <c r="H20" s="55" t="s">
        <v>136</v>
      </c>
      <c r="I20" s="236">
        <f>M9</f>
        <v>645</v>
      </c>
      <c r="J20" s="237">
        <f>ROUND(I20*0.985,0)</f>
        <v>635</v>
      </c>
      <c r="K20" s="41"/>
      <c r="L20" s="230"/>
      <c r="M20" s="231"/>
      <c r="N20" s="41"/>
      <c r="O20" s="41"/>
      <c r="P20" s="41"/>
    </row>
    <row r="21" spans="2:35" ht="15.6" x14ac:dyDescent="0.3">
      <c r="B21" s="4"/>
      <c r="C21" s="52"/>
      <c r="D21" s="29"/>
      <c r="E21" s="30"/>
      <c r="F21" s="52"/>
      <c r="G21" s="52"/>
      <c r="H21" s="270" t="s">
        <v>563</v>
      </c>
      <c r="I21" s="270"/>
      <c r="J21" s="272"/>
      <c r="K21" s="41"/>
      <c r="L21" s="231"/>
      <c r="M21" s="231"/>
      <c r="N21" s="41"/>
      <c r="O21" s="41"/>
      <c r="P21" s="41"/>
    </row>
    <row r="22" spans="2:35" ht="15.6" x14ac:dyDescent="0.3">
      <c r="B22" s="4"/>
      <c r="C22" s="52"/>
      <c r="D22" s="56"/>
      <c r="E22" s="52"/>
      <c r="F22" s="52"/>
      <c r="G22" s="52"/>
      <c r="H22" s="55" t="s">
        <v>553</v>
      </c>
      <c r="I22" s="236">
        <f>M12</f>
        <v>170</v>
      </c>
      <c r="J22" s="237">
        <f>ROUND(I22*0.985,0)</f>
        <v>167</v>
      </c>
      <c r="K22" s="41"/>
      <c r="L22" s="2127" t="s">
        <v>277</v>
      </c>
      <c r="M22" s="2127"/>
      <c r="N22" s="2127"/>
      <c r="O22" s="2127"/>
      <c r="P22" s="2127"/>
      <c r="Q22" s="680"/>
    </row>
    <row r="23" spans="2:35" ht="15.6" x14ac:dyDescent="0.3">
      <c r="B23" s="4"/>
      <c r="C23" s="31"/>
      <c r="D23" s="56"/>
      <c r="E23" s="32"/>
      <c r="F23" s="52"/>
      <c r="G23" s="52"/>
      <c r="H23" s="55" t="s">
        <v>549</v>
      </c>
      <c r="I23" s="236">
        <f>M13</f>
        <v>310</v>
      </c>
      <c r="J23" s="237">
        <f>ROUND(I23*0.985,0)</f>
        <v>305</v>
      </c>
      <c r="K23" s="41"/>
      <c r="L23" s="2128" t="s">
        <v>1736</v>
      </c>
      <c r="M23" s="2128"/>
      <c r="N23" s="2128"/>
      <c r="O23" s="2128"/>
      <c r="P23" s="2128"/>
      <c r="Q23" s="681"/>
    </row>
    <row r="24" spans="2:35" ht="15.6" x14ac:dyDescent="0.3">
      <c r="B24" s="4"/>
      <c r="C24" s="56"/>
      <c r="D24" s="52"/>
      <c r="E24" s="24"/>
      <c r="F24" s="29"/>
      <c r="G24" s="52"/>
      <c r="H24" s="55" t="s">
        <v>548</v>
      </c>
      <c r="I24" s="236">
        <f>M14</f>
        <v>250</v>
      </c>
      <c r="J24" s="237">
        <f>ROUND(I24*0.985,0)</f>
        <v>246</v>
      </c>
      <c r="K24" s="41"/>
      <c r="L24" s="2129" t="s">
        <v>283</v>
      </c>
      <c r="M24" s="2129"/>
      <c r="N24" s="2129"/>
      <c r="O24" s="2129"/>
      <c r="P24" s="2129"/>
      <c r="Q24" s="682"/>
    </row>
    <row r="25" spans="2:35" x14ac:dyDescent="0.3">
      <c r="B25" s="4"/>
      <c r="C25" s="56"/>
      <c r="D25" s="52"/>
      <c r="E25" s="24"/>
      <c r="F25" s="29"/>
      <c r="G25" s="52"/>
      <c r="H25" s="56"/>
      <c r="I25" s="56"/>
      <c r="J25" s="9"/>
      <c r="K25" s="41"/>
      <c r="N25" s="41"/>
      <c r="O25" s="41"/>
      <c r="P25" s="41"/>
    </row>
    <row r="26" spans="2:35" x14ac:dyDescent="0.3">
      <c r="B26" s="4"/>
      <c r="C26" s="52"/>
      <c r="D26" s="52"/>
      <c r="E26" s="52"/>
      <c r="F26" s="52"/>
      <c r="G26" s="52"/>
      <c r="H26" s="56"/>
      <c r="I26" s="56"/>
      <c r="J26" s="9"/>
      <c r="K26" s="41"/>
      <c r="N26" s="102"/>
      <c r="O26" s="102"/>
      <c r="P26" s="102"/>
      <c r="Q26" s="102"/>
    </row>
    <row r="27" spans="2:35" x14ac:dyDescent="0.3">
      <c r="B27" s="4"/>
      <c r="C27" s="52"/>
      <c r="D27" s="52"/>
      <c r="E27" s="52"/>
      <c r="F27" s="52"/>
      <c r="G27" s="52"/>
      <c r="H27" s="56"/>
      <c r="I27" s="56"/>
      <c r="J27" s="9"/>
      <c r="K27" s="41"/>
      <c r="N27" s="41"/>
      <c r="O27" s="41"/>
      <c r="P27" s="41"/>
    </row>
    <row r="28" spans="2:35" x14ac:dyDescent="0.3">
      <c r="B28" s="4"/>
      <c r="C28" s="52"/>
      <c r="D28" s="52"/>
      <c r="E28" s="52"/>
      <c r="F28" s="52"/>
      <c r="G28" s="52"/>
      <c r="H28" s="52"/>
      <c r="I28" s="24"/>
      <c r="J28" s="25"/>
      <c r="K28" s="41"/>
      <c r="L28" s="41"/>
      <c r="M28" s="41"/>
      <c r="N28" s="41"/>
      <c r="O28" s="41"/>
      <c r="P28" s="41"/>
    </row>
    <row r="29" spans="2:35" x14ac:dyDescent="0.3">
      <c r="B29" s="4"/>
      <c r="C29" s="52"/>
      <c r="D29" s="52"/>
      <c r="E29" s="52"/>
      <c r="F29" s="52"/>
      <c r="G29" s="52"/>
      <c r="H29" s="52"/>
      <c r="I29" s="22"/>
      <c r="J29" s="23"/>
      <c r="K29" s="41"/>
    </row>
    <row r="30" spans="2:35" x14ac:dyDescent="0.3">
      <c r="B30" s="4"/>
      <c r="C30" s="52"/>
      <c r="D30" s="52"/>
      <c r="E30" s="52"/>
      <c r="F30" s="52"/>
      <c r="G30" s="52"/>
      <c r="H30" s="92"/>
      <c r="I30" s="22"/>
      <c r="J30" s="23"/>
      <c r="K30" s="41"/>
    </row>
    <row r="31" spans="2:35" x14ac:dyDescent="0.3">
      <c r="B31" s="4"/>
      <c r="C31" s="52"/>
      <c r="D31" s="52"/>
      <c r="E31" s="56"/>
      <c r="F31" s="52"/>
      <c r="G31" s="52"/>
      <c r="H31" s="52"/>
      <c r="I31" s="22"/>
      <c r="J31" s="23"/>
      <c r="K31" s="41"/>
    </row>
    <row r="32" spans="2:35" x14ac:dyDescent="0.3">
      <c r="B32" s="4"/>
      <c r="C32" s="214"/>
      <c r="D32" s="52"/>
      <c r="E32" s="52"/>
      <c r="F32" s="52"/>
      <c r="G32" s="52"/>
      <c r="H32" s="52"/>
      <c r="I32" s="22"/>
      <c r="J32" s="23"/>
      <c r="K32" s="41"/>
      <c r="L32" s="41"/>
      <c r="M32" s="41"/>
      <c r="N32" s="41"/>
      <c r="O32" s="41"/>
      <c r="P32" s="41"/>
    </row>
    <row r="33" spans="2:16" ht="15.6" x14ac:dyDescent="0.3">
      <c r="B33" s="4"/>
      <c r="C33" s="74" t="str">
        <f>IF(O17=TRUE,"* Использовать холодильники","")</f>
        <v>* Использовать холодильники</v>
      </c>
      <c r="D33" s="52"/>
      <c r="E33" s="52"/>
      <c r="F33" s="52"/>
      <c r="G33" s="56"/>
      <c r="H33" s="52"/>
      <c r="I33" s="52"/>
      <c r="J33" s="23"/>
      <c r="K33" s="41"/>
      <c r="L33" s="230"/>
      <c r="M33" s="231"/>
      <c r="O33" s="41"/>
      <c r="P33" s="41"/>
    </row>
    <row r="34" spans="2:16" ht="16.2" thickBot="1" x14ac:dyDescent="0.35">
      <c r="B34" s="18"/>
      <c r="C34" s="62"/>
      <c r="D34" s="19"/>
      <c r="E34" s="215"/>
      <c r="F34" s="19"/>
      <c r="G34" s="62"/>
      <c r="H34" s="19"/>
      <c r="I34" s="19"/>
      <c r="J34" s="69"/>
      <c r="K34" s="41"/>
      <c r="L34" s="41"/>
      <c r="M34" s="41"/>
      <c r="N34" s="57"/>
      <c r="O34" s="41"/>
      <c r="P34" s="41"/>
    </row>
    <row r="35" spans="2:16" x14ac:dyDescent="0.3">
      <c r="B35" s="4"/>
      <c r="C35" s="52" t="s">
        <v>226</v>
      </c>
      <c r="D35" s="52"/>
      <c r="E35" s="52"/>
      <c r="F35" s="50" t="s">
        <v>46</v>
      </c>
      <c r="G35" s="52"/>
      <c r="H35" s="52"/>
      <c r="I35" s="52"/>
      <c r="J35" s="9"/>
      <c r="K35" s="41"/>
      <c r="L35" s="41"/>
      <c r="M35" s="41"/>
      <c r="N35" s="41"/>
      <c r="O35" s="41"/>
      <c r="P35" s="41"/>
    </row>
    <row r="36" spans="2:16" x14ac:dyDescent="0.3">
      <c r="B36" s="4"/>
      <c r="C36" s="52" t="s">
        <v>52</v>
      </c>
      <c r="D36" s="52"/>
      <c r="E36" s="52"/>
      <c r="F36" s="49" t="s">
        <v>79</v>
      </c>
      <c r="G36" s="52"/>
      <c r="H36" s="52"/>
      <c r="I36" s="52"/>
      <c r="J36" s="9"/>
      <c r="K36" s="41"/>
      <c r="L36" s="41"/>
      <c r="M36" s="41"/>
      <c r="N36" s="41"/>
      <c r="O36" s="41"/>
      <c r="P36" s="41"/>
    </row>
    <row r="37" spans="2:16" x14ac:dyDescent="0.3">
      <c r="B37" s="4"/>
      <c r="C37" s="52" t="s">
        <v>47</v>
      </c>
      <c r="D37" s="52"/>
      <c r="E37" s="52"/>
      <c r="F37" s="50" t="s">
        <v>48</v>
      </c>
      <c r="G37" s="52"/>
      <c r="H37" s="52"/>
      <c r="I37" s="52"/>
      <c r="J37" s="9"/>
      <c r="K37" s="41"/>
      <c r="L37" s="41"/>
      <c r="M37" s="41"/>
      <c r="N37" s="41"/>
      <c r="O37" s="41"/>
      <c r="P37" s="41"/>
    </row>
    <row r="38" spans="2:16" x14ac:dyDescent="0.3">
      <c r="B38" s="4"/>
      <c r="C38" s="52" t="s">
        <v>686</v>
      </c>
      <c r="D38" s="52"/>
      <c r="E38" s="52"/>
      <c r="F38" s="268" t="str">
        <f>P17</f>
        <v>1080-1100</v>
      </c>
      <c r="G38" s="16" t="s">
        <v>80</v>
      </c>
      <c r="H38" s="52"/>
      <c r="I38" s="52"/>
      <c r="J38" s="9"/>
      <c r="K38" s="41"/>
      <c r="L38" s="41"/>
      <c r="M38" s="41"/>
      <c r="N38" s="41"/>
      <c r="O38" s="41"/>
      <c r="P38" s="41"/>
    </row>
    <row r="39" spans="2:16" x14ac:dyDescent="0.3">
      <c r="B39" s="4"/>
      <c r="C39" s="41" t="s">
        <v>328</v>
      </c>
      <c r="D39" s="41"/>
      <c r="E39" s="41"/>
      <c r="F39" s="42" t="s">
        <v>329</v>
      </c>
      <c r="G39" s="52"/>
      <c r="H39" s="52"/>
      <c r="I39" s="41"/>
      <c r="J39" s="9"/>
      <c r="K39" s="41"/>
      <c r="L39" s="41"/>
      <c r="M39" s="41"/>
      <c r="N39" s="41"/>
      <c r="O39" s="41"/>
      <c r="P39" s="41"/>
    </row>
    <row r="40" spans="2:16" x14ac:dyDescent="0.3">
      <c r="B40" s="4"/>
      <c r="C40" s="52" t="s">
        <v>43</v>
      </c>
      <c r="D40" s="52"/>
      <c r="E40" s="52"/>
      <c r="F40" s="50" t="str">
        <f>VLOOKUP(F7,Данные!A3:I27,6,FALSE())</f>
        <v>25010.00176</v>
      </c>
      <c r="G40" s="52"/>
      <c r="H40" s="52"/>
      <c r="I40" s="52"/>
      <c r="J40" s="9"/>
      <c r="K40" s="41"/>
      <c r="L40" s="41"/>
      <c r="M40" s="41"/>
      <c r="N40" s="41"/>
      <c r="O40" s="41"/>
      <c r="P40" s="41"/>
    </row>
    <row r="41" spans="2:16" x14ac:dyDescent="0.3">
      <c r="B41" s="4"/>
      <c r="C41" s="52" t="s">
        <v>44</v>
      </c>
      <c r="D41" s="52"/>
      <c r="E41" s="52"/>
      <c r="F41" s="50" t="s">
        <v>81</v>
      </c>
      <c r="G41" s="52"/>
      <c r="H41" s="52"/>
      <c r="I41" s="52"/>
      <c r="J41" s="9"/>
      <c r="K41" s="41"/>
      <c r="L41" s="41"/>
      <c r="M41" s="41"/>
      <c r="N41" s="41"/>
      <c r="O41" s="41"/>
      <c r="P41" s="41"/>
    </row>
    <row r="42" spans="2:16" x14ac:dyDescent="0.3">
      <c r="B42" s="4"/>
      <c r="C42" s="52" t="s">
        <v>82</v>
      </c>
      <c r="D42" s="52"/>
      <c r="E42" s="16"/>
      <c r="F42" s="42" t="s">
        <v>50</v>
      </c>
      <c r="G42" s="52"/>
      <c r="H42" s="52"/>
      <c r="I42" s="52"/>
      <c r="J42" s="9"/>
      <c r="K42" s="41"/>
      <c r="L42" s="41"/>
      <c r="M42" s="41"/>
      <c r="N42" s="41"/>
      <c r="O42" s="41"/>
      <c r="P42" s="41"/>
    </row>
    <row r="43" spans="2:16" ht="15" thickBot="1" x14ac:dyDescent="0.35">
      <c r="B43" s="4"/>
      <c r="C43" s="52" t="s">
        <v>56</v>
      </c>
      <c r="D43" s="52"/>
      <c r="E43" s="16"/>
      <c r="F43" s="16" t="s">
        <v>57</v>
      </c>
      <c r="G43" s="52"/>
      <c r="H43" s="52"/>
      <c r="I43" s="52"/>
      <c r="J43" s="9"/>
      <c r="K43" s="41"/>
      <c r="L43" s="41"/>
      <c r="M43" s="41"/>
      <c r="N43" s="41"/>
      <c r="O43" s="41"/>
      <c r="P43" s="41"/>
    </row>
    <row r="44" spans="2:16" ht="15" thickBot="1" x14ac:dyDescent="0.35">
      <c r="B44" s="1181"/>
      <c r="C44" s="1182" t="s">
        <v>58</v>
      </c>
      <c r="D44" s="1183"/>
      <c r="E44" s="1066" t="s">
        <v>59</v>
      </c>
      <c r="F44" s="1066" t="s">
        <v>58</v>
      </c>
      <c r="G44" s="2038" t="s">
        <v>60</v>
      </c>
      <c r="H44" s="2040"/>
      <c r="I44" s="2032" t="s">
        <v>833</v>
      </c>
      <c r="J44" s="2033"/>
      <c r="K44" s="41"/>
      <c r="L44" s="41"/>
      <c r="M44" s="41"/>
      <c r="N44" s="41"/>
      <c r="O44" s="41"/>
      <c r="P44" s="41"/>
    </row>
    <row r="45" spans="2:16" ht="15" thickBot="1" x14ac:dyDescent="0.35">
      <c r="B45" s="2124">
        <f ca="1">TODAY()</f>
        <v>45590</v>
      </c>
      <c r="C45" s="2124"/>
      <c r="D45" s="1184"/>
      <c r="E45" s="1187" t="s">
        <v>946</v>
      </c>
      <c r="F45" s="1187"/>
      <c r="G45" s="2032" t="s">
        <v>946</v>
      </c>
      <c r="H45" s="2033"/>
      <c r="I45" s="2038" t="s">
        <v>946</v>
      </c>
      <c r="J45" s="2040"/>
      <c r="K45" s="41"/>
      <c r="L45" s="41"/>
      <c r="M45" s="41"/>
      <c r="N45" s="41"/>
      <c r="O45" s="41"/>
      <c r="P45" s="41"/>
    </row>
    <row r="46" spans="2:16" ht="15" thickBot="1" x14ac:dyDescent="0.35">
      <c r="B46" s="1185"/>
      <c r="C46" s="1186" t="s">
        <v>61</v>
      </c>
      <c r="D46" s="1184"/>
      <c r="E46" s="1188"/>
      <c r="F46" s="1189"/>
      <c r="G46" s="1190"/>
      <c r="H46" s="1191"/>
      <c r="I46" s="1190"/>
      <c r="J46" s="1172"/>
      <c r="K46" s="41"/>
      <c r="L46" s="41"/>
      <c r="M46" s="41"/>
      <c r="N46" s="41"/>
      <c r="O46" s="41"/>
      <c r="P46" s="41"/>
    </row>
    <row r="47" spans="2:16" ht="15" thickBot="1" x14ac:dyDescent="0.35">
      <c r="B47" s="4"/>
      <c r="C47" s="56"/>
      <c r="D47" s="56"/>
      <c r="E47" s="56"/>
      <c r="F47" s="56"/>
      <c r="G47" s="56"/>
      <c r="H47" s="56"/>
      <c r="I47" s="56"/>
      <c r="J47" s="9"/>
      <c r="K47" s="41"/>
      <c r="L47" s="41"/>
      <c r="M47" s="41"/>
      <c r="N47" s="41"/>
      <c r="O47" s="41"/>
      <c r="P47" s="41"/>
    </row>
    <row r="48" spans="2:16" x14ac:dyDescent="0.3">
      <c r="B48" s="81" t="s">
        <v>3</v>
      </c>
      <c r="C48" s="224"/>
      <c r="D48" s="225"/>
      <c r="E48" s="84" t="s">
        <v>250</v>
      </c>
      <c r="F48" s="85" t="s">
        <v>251</v>
      </c>
      <c r="G48" s="84" t="s">
        <v>251</v>
      </c>
      <c r="H48" s="84" t="s">
        <v>252</v>
      </c>
      <c r="I48" s="81" t="s">
        <v>253</v>
      </c>
      <c r="J48" s="225"/>
      <c r="K48" s="41"/>
      <c r="L48" s="41"/>
      <c r="M48" s="41"/>
      <c r="N48" s="41"/>
      <c r="O48" s="41"/>
      <c r="P48" s="41"/>
    </row>
    <row r="49" spans="1:23" ht="15" thickBot="1" x14ac:dyDescent="0.35">
      <c r="B49" s="86"/>
      <c r="C49" s="226" t="s">
        <v>254</v>
      </c>
      <c r="D49" s="227"/>
      <c r="E49" s="88" t="s">
        <v>255</v>
      </c>
      <c r="F49" s="88" t="s">
        <v>256</v>
      </c>
      <c r="G49" s="88" t="s">
        <v>257</v>
      </c>
      <c r="H49" s="88"/>
      <c r="I49" s="89" t="s">
        <v>258</v>
      </c>
      <c r="J49" s="227"/>
      <c r="K49" s="41"/>
      <c r="L49" s="102"/>
      <c r="M49" s="41"/>
      <c r="N49" s="41"/>
      <c r="O49" s="41"/>
      <c r="P49" s="41"/>
    </row>
    <row r="50" spans="1:23" ht="15" thickBot="1" x14ac:dyDescent="0.35">
      <c r="B50" s="86"/>
      <c r="C50" s="226" t="s">
        <v>307</v>
      </c>
      <c r="D50" s="226"/>
      <c r="E50" s="141">
        <v>40</v>
      </c>
      <c r="F50" s="142">
        <v>1</v>
      </c>
      <c r="G50" s="141">
        <v>20</v>
      </c>
      <c r="H50" s="141">
        <v>3</v>
      </c>
      <c r="I50" s="2041">
        <f>ROUND(700*700*(I24+I20)/1000000*2.045*2.3/1000,3)</f>
        <v>2.0630000000000002</v>
      </c>
      <c r="J50" s="2042"/>
      <c r="K50" s="41"/>
      <c r="L50" s="102"/>
      <c r="M50" s="41"/>
      <c r="N50" s="41"/>
      <c r="O50" s="41"/>
      <c r="P50" s="41"/>
    </row>
    <row r="51" spans="1:23" x14ac:dyDescent="0.3">
      <c r="K51" s="41"/>
      <c r="L51" s="102"/>
      <c r="M51" s="41"/>
      <c r="N51" s="41"/>
      <c r="O51" s="41"/>
      <c r="P51" s="41"/>
    </row>
    <row r="52" spans="1:23" x14ac:dyDescent="0.3">
      <c r="K52" s="41"/>
      <c r="L52" s="57"/>
      <c r="M52" s="102"/>
      <c r="N52" s="102"/>
      <c r="O52" s="41"/>
      <c r="P52" s="41"/>
    </row>
    <row r="53" spans="1:23" s="41" customFormat="1" x14ac:dyDescent="0.3">
      <c r="A53" s="102"/>
      <c r="B53" s="102"/>
      <c r="C53" s="102"/>
      <c r="D53" s="102"/>
      <c r="E53" s="102"/>
      <c r="F53" s="102"/>
      <c r="G53" s="102"/>
      <c r="H53" s="102"/>
      <c r="I53" s="102"/>
      <c r="J53" s="102"/>
      <c r="K53" s="102"/>
      <c r="L53" s="57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</row>
    <row r="54" spans="1:23" s="41" customFormat="1" x14ac:dyDescent="0.3">
      <c r="A54" s="102"/>
      <c r="B54" s="102"/>
      <c r="C54" s="102"/>
      <c r="D54" s="102"/>
      <c r="E54" s="102"/>
      <c r="F54" s="102"/>
      <c r="G54" s="102"/>
      <c r="H54" s="102"/>
      <c r="I54" s="102"/>
      <c r="J54" s="102"/>
      <c r="K54" s="102"/>
      <c r="L54" s="57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</row>
    <row r="55" spans="1:23" x14ac:dyDescent="0.3">
      <c r="A55" s="102"/>
      <c r="B55" s="102"/>
      <c r="C55" s="102"/>
      <c r="D55" s="102"/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</row>
    <row r="56" spans="1:23" hidden="1" x14ac:dyDescent="0.3">
      <c r="A56" s="102"/>
      <c r="B56" s="102"/>
      <c r="C56" s="102"/>
      <c r="D56" s="102"/>
      <c r="E56" s="102"/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</row>
    <row r="57" spans="1:23" ht="15.6" hidden="1" customHeight="1" x14ac:dyDescent="0.3">
      <c r="A57" s="102"/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</row>
    <row r="58" spans="1:23" hidden="1" x14ac:dyDescent="0.3">
      <c r="A58" s="102"/>
      <c r="B58" s="102" t="s">
        <v>545</v>
      </c>
      <c r="C58" s="102" t="s">
        <v>547</v>
      </c>
      <c r="D58" s="102" t="s">
        <v>548</v>
      </c>
      <c r="E58" s="102" t="s">
        <v>163</v>
      </c>
      <c r="F58" s="102" t="s">
        <v>355</v>
      </c>
      <c r="G58" s="102" t="s">
        <v>546</v>
      </c>
      <c r="H58" s="102" t="s">
        <v>549</v>
      </c>
      <c r="I58" s="102" t="s">
        <v>550</v>
      </c>
      <c r="J58" s="102" t="s">
        <v>281</v>
      </c>
      <c r="K58" s="102" t="s">
        <v>551</v>
      </c>
      <c r="L58" s="102" t="s">
        <v>552</v>
      </c>
      <c r="M58" s="102" t="s">
        <v>553</v>
      </c>
      <c r="N58" s="102" t="s">
        <v>554</v>
      </c>
      <c r="O58" s="102" t="s">
        <v>555</v>
      </c>
      <c r="P58" s="102" t="s">
        <v>556</v>
      </c>
      <c r="Q58" s="102"/>
      <c r="R58" s="102" t="s">
        <v>2</v>
      </c>
      <c r="S58" s="102"/>
      <c r="T58" s="102"/>
      <c r="U58" s="102"/>
      <c r="V58" s="102"/>
      <c r="W58" s="102"/>
    </row>
    <row r="59" spans="1:23" hidden="1" x14ac:dyDescent="0.3">
      <c r="A59" s="102"/>
      <c r="B59" s="102">
        <v>1</v>
      </c>
      <c r="C59" s="102">
        <v>2</v>
      </c>
      <c r="D59" s="102">
        <v>3</v>
      </c>
      <c r="E59" s="102">
        <v>4</v>
      </c>
      <c r="F59" s="102">
        <v>5</v>
      </c>
      <c r="G59" s="102">
        <v>6</v>
      </c>
      <c r="H59" s="102">
        <v>7</v>
      </c>
      <c r="I59" s="102">
        <v>8</v>
      </c>
      <c r="J59" s="102">
        <v>9</v>
      </c>
      <c r="K59" s="102">
        <v>10</v>
      </c>
      <c r="L59" s="102">
        <v>11</v>
      </c>
      <c r="M59" s="102">
        <v>12</v>
      </c>
      <c r="N59" s="102">
        <v>13</v>
      </c>
      <c r="O59" s="102">
        <v>14</v>
      </c>
      <c r="P59" s="102">
        <v>15</v>
      </c>
      <c r="Q59" s="102"/>
      <c r="R59" s="102">
        <v>16</v>
      </c>
      <c r="S59" s="102"/>
      <c r="T59" s="102"/>
      <c r="U59" s="102"/>
      <c r="V59" s="102"/>
      <c r="W59" s="102"/>
    </row>
    <row r="60" spans="1:23" x14ac:dyDescent="0.3">
      <c r="W60" s="102"/>
    </row>
    <row r="61" spans="1:23" x14ac:dyDescent="0.3">
      <c r="W61" s="102"/>
    </row>
    <row r="62" spans="1:23" x14ac:dyDescent="0.3">
      <c r="W62" s="102"/>
    </row>
    <row r="63" spans="1:23" x14ac:dyDescent="0.3">
      <c r="W63" s="102"/>
    </row>
    <row r="64" spans="1:23" x14ac:dyDescent="0.3">
      <c r="W64" s="102"/>
    </row>
    <row r="65" spans="1:23" x14ac:dyDescent="0.3">
      <c r="W65" s="102"/>
    </row>
    <row r="66" spans="1:23" x14ac:dyDescent="0.3">
      <c r="W66" s="102"/>
    </row>
    <row r="67" spans="1:23" x14ac:dyDescent="0.3">
      <c r="W67" s="102"/>
    </row>
    <row r="68" spans="1:23" x14ac:dyDescent="0.3">
      <c r="W68" s="102"/>
    </row>
    <row r="69" spans="1:23" x14ac:dyDescent="0.3">
      <c r="W69" s="102"/>
    </row>
    <row r="70" spans="1:23" x14ac:dyDescent="0.3">
      <c r="W70" s="102"/>
    </row>
    <row r="71" spans="1:23" x14ac:dyDescent="0.3">
      <c r="W71" s="102"/>
    </row>
    <row r="72" spans="1:23" x14ac:dyDescent="0.3">
      <c r="W72" s="102"/>
    </row>
    <row r="73" spans="1:23" x14ac:dyDescent="0.3">
      <c r="W73" s="102"/>
    </row>
    <row r="74" spans="1:23" x14ac:dyDescent="0.3">
      <c r="W74" s="102"/>
    </row>
    <row r="75" spans="1:23" x14ac:dyDescent="0.3">
      <c r="W75" s="102"/>
    </row>
    <row r="76" spans="1:23" x14ac:dyDescent="0.3">
      <c r="W76" s="102"/>
    </row>
    <row r="77" spans="1:23" x14ac:dyDescent="0.3">
      <c r="A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</row>
    <row r="78" spans="1:23" x14ac:dyDescent="0.3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</row>
    <row r="79" spans="1:23" x14ac:dyDescent="0.3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</row>
    <row r="80" spans="1:23" x14ac:dyDescent="0.3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</row>
    <row r="81" spans="1:23" x14ac:dyDescent="0.3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</row>
    <row r="82" spans="1:23" x14ac:dyDescent="0.3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disablePrompts="1"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1"/>
  <sheetViews>
    <sheetView showGridLines="0" topLeftCell="Y1" zoomScale="75" zoomScaleNormal="75" workbookViewId="0">
      <selection activeCell="AE49" sqref="AE49"/>
    </sheetView>
  </sheetViews>
  <sheetFormatPr defaultRowHeight="14.4" x14ac:dyDescent="0.3"/>
  <cols>
    <col min="1" max="1" width="1.5546875" customWidth="1"/>
    <col min="2" max="2" width="2.5546875" style="41" customWidth="1"/>
    <col min="3" max="3" width="5" style="41" customWidth="1"/>
    <col min="4" max="4" width="6.33203125" style="41" customWidth="1"/>
    <col min="5" max="5" width="10" style="41" customWidth="1"/>
    <col min="6" max="6" width="9.33203125" style="41" customWidth="1"/>
    <col min="7" max="7" width="13.33203125" style="41" customWidth="1"/>
    <col min="8" max="8" width="9.77734375" style="41" customWidth="1"/>
    <col min="9" max="9" width="15.6640625" style="41" customWidth="1"/>
    <col min="10" max="10" width="9.88671875" style="41" customWidth="1"/>
    <col min="11" max="11" width="2.21875" style="41" customWidth="1"/>
    <col min="12" max="12" width="10" style="797" customWidth="1"/>
    <col min="13" max="13" width="4" style="797" customWidth="1"/>
    <col min="14" max="14" width="11.44140625" style="797" customWidth="1"/>
    <col min="15" max="15" width="3.21875" style="41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1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1"/>
      <c r="Q1" s="41"/>
      <c r="R1" s="41"/>
      <c r="S1" s="41"/>
      <c r="T1" s="41"/>
      <c r="U1" s="41"/>
      <c r="W1" s="41"/>
      <c r="X1" s="41"/>
      <c r="Y1" s="41"/>
      <c r="AA1" s="458" t="s">
        <v>237</v>
      </c>
      <c r="AC1" s="627" t="s">
        <v>289</v>
      </c>
    </row>
    <row r="2" spans="1:57" ht="15.6" x14ac:dyDescent="0.3">
      <c r="C2" s="830" t="s">
        <v>855</v>
      </c>
      <c r="E2" s="831" t="s">
        <v>856</v>
      </c>
      <c r="Q2" s="317" t="s">
        <v>610</v>
      </c>
      <c r="Z2" s="276"/>
      <c r="AA2" s="2186"/>
      <c r="AB2" s="2186"/>
      <c r="AC2" s="2186"/>
      <c r="AE2" s="317" t="s">
        <v>606</v>
      </c>
      <c r="AF2" s="316"/>
      <c r="AG2" s="316"/>
      <c r="AI2" s="41"/>
      <c r="AJ2" s="41"/>
      <c r="AK2" s="317"/>
      <c r="AL2" s="316"/>
      <c r="AM2" s="316"/>
      <c r="AN2" s="316"/>
      <c r="AP2" s="316"/>
      <c r="AQ2" s="621"/>
      <c r="AS2" s="317" t="s">
        <v>608</v>
      </c>
      <c r="AT2" s="316"/>
      <c r="AU2" s="316"/>
      <c r="AV2" s="41"/>
      <c r="AW2" s="41"/>
      <c r="AX2" s="41"/>
      <c r="AY2" s="317"/>
      <c r="AZ2" s="316"/>
      <c r="BA2" s="316"/>
      <c r="BB2" s="316"/>
      <c r="BC2" s="41"/>
      <c r="BD2" s="316"/>
      <c r="BE2" s="316"/>
    </row>
    <row r="3" spans="1:57" ht="15" thickBot="1" x14ac:dyDescent="0.35">
      <c r="H3" s="220"/>
      <c r="J3" s="277" t="s">
        <v>588</v>
      </c>
      <c r="P3" s="276"/>
      <c r="Q3" s="276"/>
      <c r="R3" s="276"/>
      <c r="S3" s="276"/>
      <c r="T3" s="276"/>
      <c r="U3" s="276"/>
      <c r="V3" s="276"/>
      <c r="W3" s="276"/>
      <c r="X3" s="41"/>
      <c r="Y3" s="277" t="s">
        <v>588</v>
      </c>
      <c r="Z3" s="56"/>
      <c r="AA3" s="41"/>
      <c r="AB3" s="41"/>
      <c r="AC3" s="41"/>
      <c r="AE3" s="276"/>
      <c r="AF3" s="276"/>
      <c r="AG3" s="276"/>
      <c r="AH3" s="276"/>
      <c r="AI3" s="276"/>
      <c r="AJ3" s="276"/>
      <c r="AK3" s="276"/>
      <c r="AL3" s="41"/>
      <c r="AM3" s="277" t="s">
        <v>588</v>
      </c>
      <c r="AN3" s="276"/>
      <c r="AO3" s="276"/>
      <c r="AP3" s="276"/>
      <c r="AQ3" s="41"/>
      <c r="AS3" s="276"/>
      <c r="AT3" s="276"/>
      <c r="AU3" s="276"/>
      <c r="AV3" s="276"/>
      <c r="AW3" s="276"/>
      <c r="AX3" s="276"/>
      <c r="AY3" s="276"/>
      <c r="AZ3" s="41"/>
      <c r="BA3" s="277" t="s">
        <v>588</v>
      </c>
      <c r="BB3" s="276"/>
      <c r="BC3" s="276"/>
      <c r="BD3" s="276"/>
      <c r="BE3" s="41"/>
    </row>
    <row r="4" spans="1:57" ht="15" thickBot="1" x14ac:dyDescent="0.35">
      <c r="B4" s="1"/>
      <c r="C4" s="2144" t="s">
        <v>0</v>
      </c>
      <c r="D4" s="2144"/>
      <c r="E4" s="2144"/>
      <c r="F4" s="2144"/>
      <c r="G4" s="2144"/>
      <c r="H4" s="2"/>
      <c r="I4" s="2"/>
      <c r="J4" s="778" t="s">
        <v>790</v>
      </c>
      <c r="K4" s="56"/>
      <c r="L4" s="806" t="s">
        <v>589</v>
      </c>
      <c r="M4" s="818"/>
      <c r="N4" s="807" t="s">
        <v>589</v>
      </c>
      <c r="P4" s="1"/>
      <c r="Q4" s="2144" t="s">
        <v>0</v>
      </c>
      <c r="R4" s="2144"/>
      <c r="S4" s="2144"/>
      <c r="T4" s="2144"/>
      <c r="U4" s="2144"/>
      <c r="V4" s="779"/>
      <c r="W4" s="2"/>
      <c r="X4" s="2"/>
      <c r="Y4" s="778" t="s">
        <v>790</v>
      </c>
      <c r="Z4" s="241"/>
      <c r="AA4" s="795" t="s">
        <v>589</v>
      </c>
      <c r="AB4" s="334"/>
      <c r="AC4" s="776" t="s">
        <v>589</v>
      </c>
      <c r="AE4" s="1"/>
      <c r="AF4" s="2144" t="s">
        <v>0</v>
      </c>
      <c r="AG4" s="2144"/>
      <c r="AH4" s="2144"/>
      <c r="AI4" s="2144"/>
      <c r="AJ4" s="2144"/>
      <c r="AK4" s="2"/>
      <c r="AL4" s="2"/>
      <c r="AM4" s="77" t="s">
        <v>790</v>
      </c>
      <c r="AN4" s="56"/>
      <c r="AO4" s="340" t="s">
        <v>589</v>
      </c>
      <c r="AP4" s="341"/>
      <c r="AQ4" s="369" t="s">
        <v>589</v>
      </c>
      <c r="AS4" s="1"/>
      <c r="AT4" s="2144" t="s">
        <v>0</v>
      </c>
      <c r="AU4" s="2144"/>
      <c r="AV4" s="2144"/>
      <c r="AW4" s="2144"/>
      <c r="AX4" s="2144"/>
      <c r="AY4" s="2"/>
      <c r="AZ4" s="2"/>
      <c r="BA4" s="77" t="s">
        <v>790</v>
      </c>
      <c r="BB4" s="56"/>
      <c r="BC4" s="340" t="s">
        <v>589</v>
      </c>
      <c r="BD4" s="341"/>
      <c r="BE4" s="342" t="s">
        <v>589</v>
      </c>
    </row>
    <row r="5" spans="1:57" ht="16.2" thickBot="1" x14ac:dyDescent="0.35">
      <c r="B5" s="4"/>
      <c r="C5" s="68" t="s">
        <v>1</v>
      </c>
      <c r="D5" s="68"/>
      <c r="E5" s="68"/>
      <c r="G5" s="324" t="s">
        <v>860</v>
      </c>
      <c r="H5" s="278"/>
      <c r="I5" s="278"/>
      <c r="J5" s="7"/>
      <c r="K5" s="241"/>
      <c r="L5" s="808" t="s">
        <v>590</v>
      </c>
      <c r="M5" s="819"/>
      <c r="N5" s="809" t="s">
        <v>591</v>
      </c>
      <c r="P5" s="4"/>
      <c r="Q5" s="68" t="s">
        <v>1</v>
      </c>
      <c r="R5" s="68"/>
      <c r="S5" s="68"/>
      <c r="T5" s="41"/>
      <c r="U5" s="1654" t="s">
        <v>2043</v>
      </c>
      <c r="V5" s="671"/>
      <c r="W5" s="278"/>
      <c r="X5" s="278"/>
      <c r="Y5" s="7"/>
      <c r="Z5" s="4"/>
      <c r="AA5" s="796" t="s">
        <v>590</v>
      </c>
      <c r="AB5" s="335"/>
      <c r="AC5" s="777" t="s">
        <v>591</v>
      </c>
      <c r="AE5" s="4"/>
      <c r="AF5" s="68" t="s">
        <v>1</v>
      </c>
      <c r="AG5" s="68"/>
      <c r="AH5" s="68"/>
      <c r="AI5" s="41"/>
      <c r="AJ5" s="1651" t="s">
        <v>2001</v>
      </c>
      <c r="AK5" s="1652"/>
      <c r="AL5" s="278"/>
      <c r="AM5" s="7"/>
      <c r="AN5" s="241"/>
      <c r="AO5" s="343" t="s">
        <v>590</v>
      </c>
      <c r="AP5" s="344"/>
      <c r="AQ5" s="370" t="s">
        <v>602</v>
      </c>
      <c r="AS5" s="4"/>
      <c r="AT5" s="68" t="s">
        <v>1</v>
      </c>
      <c r="AU5" s="68"/>
      <c r="AV5" s="68"/>
      <c r="AW5" s="41"/>
      <c r="AX5" s="324" t="s">
        <v>2045</v>
      </c>
      <c r="AY5" s="278"/>
      <c r="AZ5" s="278"/>
      <c r="BA5" s="7"/>
      <c r="BB5" s="241"/>
      <c r="BC5" s="343" t="s">
        <v>590</v>
      </c>
      <c r="BD5" s="344"/>
      <c r="BE5" s="345" t="s">
        <v>602</v>
      </c>
    </row>
    <row r="6" spans="1:57" ht="15.6" x14ac:dyDescent="0.3">
      <c r="B6" s="4"/>
      <c r="C6" s="56" t="s">
        <v>2</v>
      </c>
      <c r="D6" s="56"/>
      <c r="F6" s="279"/>
      <c r="G6" s="838" t="s">
        <v>862</v>
      </c>
      <c r="H6" s="56"/>
      <c r="I6" s="56"/>
      <c r="J6" s="9"/>
      <c r="K6" s="4"/>
      <c r="L6" s="810">
        <v>0</v>
      </c>
      <c r="M6" s="815"/>
      <c r="N6" s="863">
        <v>0</v>
      </c>
      <c r="P6" s="4"/>
      <c r="Q6" s="56" t="s">
        <v>2</v>
      </c>
      <c r="R6" s="56"/>
      <c r="S6" s="41"/>
      <c r="T6" s="279"/>
      <c r="U6" s="1088" t="s">
        <v>2044</v>
      </c>
      <c r="V6" s="1095"/>
      <c r="W6" s="74"/>
      <c r="X6" s="56"/>
      <c r="Y6" s="9"/>
      <c r="Z6" s="4"/>
      <c r="AA6" s="1460"/>
      <c r="AB6" s="336"/>
      <c r="AC6" s="367">
        <v>0</v>
      </c>
      <c r="AE6" s="4"/>
      <c r="AF6" s="56" t="s">
        <v>2</v>
      </c>
      <c r="AG6" s="56"/>
      <c r="AH6" s="41"/>
      <c r="AI6" s="279"/>
      <c r="AJ6" s="402" t="s">
        <v>2004</v>
      </c>
      <c r="AK6" s="654" t="s">
        <v>2005</v>
      </c>
      <c r="AL6" s="74"/>
      <c r="AM6" s="9"/>
      <c r="AN6" s="4"/>
      <c r="AO6" s="346">
        <v>0</v>
      </c>
      <c r="AP6" s="347"/>
      <c r="AQ6" s="371">
        <v>0</v>
      </c>
      <c r="AS6" s="4"/>
      <c r="AT6" s="56" t="s">
        <v>2</v>
      </c>
      <c r="AU6" s="56"/>
      <c r="AV6" s="41"/>
      <c r="AW6" s="279"/>
      <c r="AX6" s="325" t="s">
        <v>2046</v>
      </c>
      <c r="AY6" s="56"/>
      <c r="AZ6" s="56"/>
      <c r="BA6" s="9"/>
      <c r="BB6" s="4"/>
      <c r="BC6" s="346"/>
      <c r="BD6" s="347"/>
      <c r="BE6" s="348">
        <v>0</v>
      </c>
    </row>
    <row r="7" spans="1:57" ht="15.6" x14ac:dyDescent="0.3">
      <c r="B7" s="4"/>
      <c r="C7" s="56" t="s">
        <v>3</v>
      </c>
      <c r="D7" s="56"/>
      <c r="E7" s="56"/>
      <c r="G7" s="326" t="s">
        <v>863</v>
      </c>
      <c r="H7" s="56"/>
      <c r="I7" s="56"/>
      <c r="J7" s="9"/>
      <c r="K7" s="4"/>
      <c r="L7" s="810">
        <v>185</v>
      </c>
      <c r="M7" s="815"/>
      <c r="N7" s="864">
        <f>_xlfn.CEILING.MATH(L7+N19*2/0.985,5)</f>
        <v>195</v>
      </c>
      <c r="P7" s="4"/>
      <c r="Q7" s="56" t="s">
        <v>3</v>
      </c>
      <c r="R7" s="56"/>
      <c r="S7" s="56"/>
      <c r="T7" s="41"/>
      <c r="U7" s="1088" t="s">
        <v>822</v>
      </c>
      <c r="V7" s="1095"/>
      <c r="W7" s="74"/>
      <c r="X7" s="56"/>
      <c r="Y7" s="9"/>
      <c r="Z7" s="4"/>
      <c r="AA7" s="1460">
        <v>82</v>
      </c>
      <c r="AB7" s="336"/>
      <c r="AC7" s="367">
        <f>AA18</f>
        <v>115</v>
      </c>
      <c r="AE7" s="4"/>
      <c r="AF7" s="56" t="s">
        <v>3</v>
      </c>
      <c r="AG7" s="56"/>
      <c r="AH7" s="56"/>
      <c r="AI7" s="41"/>
      <c r="AJ7" s="402" t="s">
        <v>2002</v>
      </c>
      <c r="AK7" s="654"/>
      <c r="AL7" s="74"/>
      <c r="AM7" s="9"/>
      <c r="AN7" s="4"/>
      <c r="AO7" s="346">
        <v>172</v>
      </c>
      <c r="AP7" s="347"/>
      <c r="AQ7" s="372">
        <f>AO18</f>
        <v>206.5</v>
      </c>
      <c r="AS7" s="4"/>
      <c r="AT7" s="56" t="s">
        <v>3</v>
      </c>
      <c r="AU7" s="56"/>
      <c r="AV7" s="56"/>
      <c r="AW7" s="41"/>
      <c r="AX7" s="326" t="s">
        <v>1257</v>
      </c>
      <c r="AY7" s="56"/>
      <c r="AZ7" s="56"/>
      <c r="BA7" s="9"/>
      <c r="BB7" s="4"/>
      <c r="BC7" s="346">
        <v>150</v>
      </c>
      <c r="BD7" s="347"/>
      <c r="BE7" s="349">
        <f>BC18</f>
        <v>174.33333333333331</v>
      </c>
    </row>
    <row r="8" spans="1:57" ht="16.2" thickBot="1" x14ac:dyDescent="0.35">
      <c r="B8" s="4"/>
      <c r="C8" s="56" t="s">
        <v>7</v>
      </c>
      <c r="D8" s="56"/>
      <c r="E8" s="56"/>
      <c r="G8" s="327" t="s">
        <v>864</v>
      </c>
      <c r="H8" s="56"/>
      <c r="I8" s="56"/>
      <c r="J8" s="9"/>
      <c r="K8" s="4"/>
      <c r="L8" s="810">
        <v>0</v>
      </c>
      <c r="M8" s="815"/>
      <c r="N8" s="863">
        <v>0</v>
      </c>
      <c r="P8" s="4"/>
      <c r="Q8" s="56" t="s">
        <v>7</v>
      </c>
      <c r="R8" s="56"/>
      <c r="S8" s="56"/>
      <c r="T8" s="41"/>
      <c r="U8" s="1089">
        <v>8</v>
      </c>
      <c r="V8" s="1650"/>
      <c r="W8" s="632"/>
      <c r="X8" s="56"/>
      <c r="Y8" s="9"/>
      <c r="Z8" s="56"/>
      <c r="AA8" s="1460">
        <v>33</v>
      </c>
      <c r="AB8" s="336"/>
      <c r="AC8" s="367">
        <v>0</v>
      </c>
      <c r="AE8" s="4"/>
      <c r="AF8" s="56" t="s">
        <v>7</v>
      </c>
      <c r="AG8" s="56"/>
      <c r="AH8" s="56"/>
      <c r="AI8" s="41"/>
      <c r="AJ8" s="511">
        <v>2</v>
      </c>
      <c r="AK8" s="1653" t="s">
        <v>2003</v>
      </c>
      <c r="AL8" s="632"/>
      <c r="AM8" s="9"/>
      <c r="AN8" s="4"/>
      <c r="AO8" s="346">
        <v>80</v>
      </c>
      <c r="AP8" s="347"/>
      <c r="AQ8" s="371">
        <v>0</v>
      </c>
      <c r="AS8" s="4"/>
      <c r="AT8" s="56" t="s">
        <v>7</v>
      </c>
      <c r="AU8" s="56"/>
      <c r="AV8" s="56"/>
      <c r="AW8" s="41"/>
      <c r="AX8" s="1725">
        <v>1</v>
      </c>
      <c r="AY8" s="56"/>
      <c r="AZ8" s="56"/>
      <c r="BA8" s="9"/>
      <c r="BB8" s="4"/>
      <c r="BC8" s="346"/>
      <c r="BD8" s="347"/>
      <c r="BE8" s="348">
        <v>0</v>
      </c>
    </row>
    <row r="9" spans="1:57" ht="15.6" x14ac:dyDescent="0.3">
      <c r="B9" s="11"/>
      <c r="C9" s="68" t="s">
        <v>12</v>
      </c>
      <c r="D9" s="68"/>
      <c r="E9" s="68"/>
      <c r="F9" s="68"/>
      <c r="G9" s="333" t="s">
        <v>36</v>
      </c>
      <c r="H9" s="68"/>
      <c r="I9" s="68" t="s">
        <v>13</v>
      </c>
      <c r="J9" s="280">
        <f>G10/G12</f>
        <v>0.69577714809186064</v>
      </c>
      <c r="K9" s="637"/>
      <c r="L9" s="810"/>
      <c r="M9" s="815"/>
      <c r="N9" s="863">
        <v>0</v>
      </c>
      <c r="P9" s="11"/>
      <c r="Q9" s="68" t="s">
        <v>12</v>
      </c>
      <c r="R9" s="68"/>
      <c r="S9" s="68"/>
      <c r="T9" s="68"/>
      <c r="U9" s="1655" t="s">
        <v>121</v>
      </c>
      <c r="V9" s="328"/>
      <c r="W9" s="68"/>
      <c r="X9" s="216" t="s">
        <v>13</v>
      </c>
      <c r="Y9" s="280">
        <f>U10/U12</f>
        <v>0.16455696202531647</v>
      </c>
      <c r="Z9" s="127"/>
      <c r="AA9" s="1460"/>
      <c r="AB9" s="336"/>
      <c r="AC9" s="367">
        <v>0</v>
      </c>
      <c r="AE9" s="11"/>
      <c r="AF9" s="68" t="s">
        <v>12</v>
      </c>
      <c r="AG9" s="68"/>
      <c r="AH9" s="68"/>
      <c r="AI9" s="68"/>
      <c r="AJ9" s="328" t="s">
        <v>23</v>
      </c>
      <c r="AK9" s="68"/>
      <c r="AL9" s="68" t="s">
        <v>13</v>
      </c>
      <c r="AM9" s="280">
        <f>AJ10/AJ12</f>
        <v>0.48397790055248624</v>
      </c>
      <c r="AN9" s="56"/>
      <c r="AO9" s="346"/>
      <c r="AP9" s="347"/>
      <c r="AQ9" s="371">
        <v>0</v>
      </c>
      <c r="AS9" s="11"/>
      <c r="AT9" s="68" t="s">
        <v>12</v>
      </c>
      <c r="AU9" s="68"/>
      <c r="AV9" s="68"/>
      <c r="AW9" s="68"/>
      <c r="AX9" s="328" t="s">
        <v>23</v>
      </c>
      <c r="AY9" s="68"/>
      <c r="AZ9" s="68" t="s">
        <v>13</v>
      </c>
      <c r="BA9" s="280">
        <f>AX10/AX12</f>
        <v>0.16718266253869971</v>
      </c>
      <c r="BB9" s="56"/>
      <c r="BC9" s="346"/>
      <c r="BD9" s="347"/>
      <c r="BE9" s="348">
        <v>0</v>
      </c>
    </row>
    <row r="10" spans="1:57" x14ac:dyDescent="0.3">
      <c r="B10" s="4"/>
      <c r="C10" s="56" t="s">
        <v>15</v>
      </c>
      <c r="D10" s="56"/>
      <c r="E10" s="56"/>
      <c r="F10" s="56"/>
      <c r="G10" s="770">
        <f>ROUNDUP(L12,1)</f>
        <v>12.799999999999999</v>
      </c>
      <c r="H10" s="282"/>
      <c r="I10" s="56" t="s">
        <v>18</v>
      </c>
      <c r="J10" s="283">
        <f>G10/G16</f>
        <v>0.51978343440465036</v>
      </c>
      <c r="K10" s="781"/>
      <c r="L10" s="810">
        <v>68</v>
      </c>
      <c r="M10" s="815"/>
      <c r="N10" s="811">
        <v>440</v>
      </c>
      <c r="P10" s="4"/>
      <c r="Q10" s="56" t="s">
        <v>15</v>
      </c>
      <c r="R10" s="56"/>
      <c r="S10" s="56"/>
      <c r="T10" s="56"/>
      <c r="U10" s="628">
        <f>IF(AA13=0,IF(AA12&gt;=100,ROUNDUP(AA12,0),IF(AA12&lt;1,ROUNDUP(AA12,2),ROUNDUP(AA12,1))),AA13)</f>
        <v>1.3</v>
      </c>
      <c r="V10" s="630"/>
      <c r="W10" s="282"/>
      <c r="X10" s="124" t="s">
        <v>18</v>
      </c>
      <c r="Y10" s="283">
        <f>U10/U16</f>
        <v>0.14130434782608697</v>
      </c>
      <c r="Z10" s="127"/>
      <c r="AA10" s="1460">
        <v>148</v>
      </c>
      <c r="AB10" s="336"/>
      <c r="AC10" s="367">
        <f>X19</f>
        <v>356</v>
      </c>
      <c r="AE10" s="4"/>
      <c r="AF10" s="56" t="s">
        <v>15</v>
      </c>
      <c r="AG10" s="56"/>
      <c r="AH10" s="56"/>
      <c r="AI10" s="56"/>
      <c r="AJ10" s="281">
        <f>IF(AO13=0,IF(AO12&gt;=100,ROUNDUP(AO12,0),ROUNDUP(AO12,1)),AO13)</f>
        <v>21.900000000000002</v>
      </c>
      <c r="AK10" s="282"/>
      <c r="AL10" s="56" t="s">
        <v>18</v>
      </c>
      <c r="AM10" s="283">
        <f>AJ10/AJ16</f>
        <v>0.3208791208791209</v>
      </c>
      <c r="AN10" s="127"/>
      <c r="AO10" s="346">
        <v>160</v>
      </c>
      <c r="AP10" s="347"/>
      <c r="AQ10" s="371">
        <f>AL19</f>
        <v>720</v>
      </c>
      <c r="AS10" s="4"/>
      <c r="AT10" s="56" t="s">
        <v>15</v>
      </c>
      <c r="AU10" s="56"/>
      <c r="AV10" s="56"/>
      <c r="AW10" s="56"/>
      <c r="AX10" s="281">
        <f>IF(BC13=0,IF(BC12&gt;=100,ROUNDUP(BC12,0),ROUNDUP(BC12,1)),BC13)</f>
        <v>5.4</v>
      </c>
      <c r="AY10" s="282"/>
      <c r="AZ10" s="56" t="s">
        <v>18</v>
      </c>
      <c r="BA10" s="283">
        <f>AX10/AX16</f>
        <v>0.11134020618556702</v>
      </c>
      <c r="BB10" s="127"/>
      <c r="BC10" s="346">
        <v>145</v>
      </c>
      <c r="BD10" s="347"/>
      <c r="BE10" s="348">
        <f>AZ19</f>
        <v>180</v>
      </c>
    </row>
    <row r="11" spans="1:57" x14ac:dyDescent="0.3">
      <c r="B11" s="4"/>
      <c r="C11" s="56" t="s">
        <v>17</v>
      </c>
      <c r="D11" s="56"/>
      <c r="E11" s="56"/>
      <c r="F11" s="56"/>
      <c r="G11" s="770">
        <f>N12</f>
        <v>91.983475133550002</v>
      </c>
      <c r="H11" s="56"/>
      <c r="I11" s="56"/>
      <c r="J11" s="17"/>
      <c r="K11" s="127"/>
      <c r="L11" s="823">
        <f>VLOOKUP(G9,Данные!A3:I27,9,FALSE())</f>
        <v>7</v>
      </c>
      <c r="M11" s="815"/>
      <c r="N11" s="824">
        <f>L11</f>
        <v>7</v>
      </c>
      <c r="P11" s="4"/>
      <c r="Q11" s="56" t="s">
        <v>17</v>
      </c>
      <c r="R11" s="56"/>
      <c r="S11" s="56"/>
      <c r="T11" s="56"/>
      <c r="U11" s="628">
        <f>IF(AC12&lt;100,ROUNDUP(AC12,1),ROUNDUP(AC12,0))</f>
        <v>31.5</v>
      </c>
      <c r="V11" s="630"/>
      <c r="W11" s="16"/>
      <c r="X11" s="56"/>
      <c r="Y11" s="17"/>
      <c r="Z11" s="310"/>
      <c r="AA11" s="1461">
        <f>VLOOKUP(U9,Данные!A3:I27,9,FALSE())</f>
        <v>8.5</v>
      </c>
      <c r="AB11" s="336"/>
      <c r="AC11" s="367">
        <f>AA11</f>
        <v>8.5</v>
      </c>
      <c r="AE11" s="4"/>
      <c r="AF11" s="56" t="s">
        <v>17</v>
      </c>
      <c r="AG11" s="56"/>
      <c r="AH11" s="56"/>
      <c r="AI11" s="56"/>
      <c r="AJ11" s="281">
        <f>IF(AQ12&lt;100,ROUNDUP(AQ12,1),ROUNDUP(AQ12,0))</f>
        <v>181</v>
      </c>
      <c r="AK11" s="56"/>
      <c r="AL11" s="56"/>
      <c r="AM11" s="17"/>
      <c r="AN11" s="127"/>
      <c r="AO11" s="350">
        <f>VLOOKUP(AJ9,Данные!A3:I27,9,FALSE())</f>
        <v>7.5</v>
      </c>
      <c r="AP11" s="347"/>
      <c r="AQ11" s="373">
        <f>AO11</f>
        <v>7.5</v>
      </c>
      <c r="AS11" s="4"/>
      <c r="AT11" s="56" t="s">
        <v>17</v>
      </c>
      <c r="AU11" s="56"/>
      <c r="AV11" s="56"/>
      <c r="AW11" s="56"/>
      <c r="AX11" s="281">
        <f>ROUNDUP(BE12,1)</f>
        <v>32.300000000000004</v>
      </c>
      <c r="AY11" s="56"/>
      <c r="AZ11" s="56"/>
      <c r="BA11" s="17"/>
      <c r="BB11" s="127"/>
      <c r="BC11" s="350">
        <f>VLOOKUP(AX9,Данные!A3:I27,9,FALSE())</f>
        <v>7.5</v>
      </c>
      <c r="BD11" s="347"/>
      <c r="BE11" s="351">
        <f>BC11</f>
        <v>7.5</v>
      </c>
    </row>
    <row r="12" spans="1:57" ht="15" thickBot="1" x14ac:dyDescent="0.35">
      <c r="B12" s="4"/>
      <c r="C12" s="56" t="s">
        <v>70</v>
      </c>
      <c r="D12" s="56"/>
      <c r="E12" s="56"/>
      <c r="F12" s="56"/>
      <c r="G12" s="770">
        <f>G11/G17</f>
        <v>18.396695026709999</v>
      </c>
      <c r="H12" s="56"/>
      <c r="I12" s="56"/>
      <c r="J12" s="17"/>
      <c r="K12" s="310"/>
      <c r="L12" s="825">
        <f>((L7*L7-L8*L8)*3.1415926*L10*L11+(L6*L6-L7*L7)*L9*L11*3.14)/4000000</f>
        <v>12.794999801465002</v>
      </c>
      <c r="M12" s="820"/>
      <c r="N12" s="826">
        <f>((N7*N7-N8*N8)*3.1415926*N10*N11+(N6*N6-N8*N8)*N9*N11*3.1415926)/4000000</f>
        <v>91.983475133550002</v>
      </c>
      <c r="P12" s="4"/>
      <c r="Q12" s="56" t="s">
        <v>70</v>
      </c>
      <c r="R12" s="56"/>
      <c r="S12" s="56"/>
      <c r="T12" s="56"/>
      <c r="U12" s="1156">
        <f>IF(U11/U17&lt;1,ROUNDUP(U11/U17,2),ROUNDUP(U11/U17,1))</f>
        <v>7.8999999999999995</v>
      </c>
      <c r="V12" s="631"/>
      <c r="W12" s="632"/>
      <c r="X12" s="56"/>
      <c r="Y12" s="17"/>
      <c r="Z12" s="310"/>
      <c r="AA12" s="1462">
        <f>((AA7*AA7-AA8*AA8)*3.1415926*AA10*AA11+(AA6*AA6-AA7*AA7)*AA9*AA11*3.14)/4000000</f>
        <v>5.5675539676645007</v>
      </c>
      <c r="AB12" s="338"/>
      <c r="AC12" s="368">
        <f>((AC7*AC7-AC8*AC8)*3.1415926*AC10*AC11+(AC6*AC6-AC7*AC7)*AC9*AC11*3.14)/4000000</f>
        <v>31.430730755127502</v>
      </c>
      <c r="AE12" s="4"/>
      <c r="AF12" s="56" t="s">
        <v>70</v>
      </c>
      <c r="AG12" s="56"/>
      <c r="AH12" s="56"/>
      <c r="AI12" s="56"/>
      <c r="AJ12" s="281">
        <f>AJ11/AJ17</f>
        <v>45.25</v>
      </c>
      <c r="AK12" s="56"/>
      <c r="AL12" s="56"/>
      <c r="AM12" s="17"/>
      <c r="AN12" s="310"/>
      <c r="AO12" s="352">
        <f>((AO7*AO7-AO8*AO8)*3.1415926*AO10*AO11+(AO6*AO6-AO7*AO7)*AO9*AO11*3.14)/4000000</f>
        <v>21.850404851519997</v>
      </c>
      <c r="AP12" s="353"/>
      <c r="AQ12" s="374">
        <f>((AQ7*AQ7-AQ8*AQ8)*3.1415926*AQ10*AQ11+(AQ6*AQ6-AQ7*AQ7)*AQ9*AQ11*3.14)/4000000</f>
        <v>180.85217901392252</v>
      </c>
      <c r="AS12" s="4"/>
      <c r="AT12" s="56" t="s">
        <v>70</v>
      </c>
      <c r="AU12" s="56"/>
      <c r="AV12" s="56"/>
      <c r="AW12" s="56"/>
      <c r="AX12" s="770">
        <f>ROUNDUP(AX11/AX17,1)</f>
        <v>32.299999999999997</v>
      </c>
      <c r="AY12" s="56"/>
      <c r="AZ12" s="56"/>
      <c r="BA12" s="17"/>
      <c r="BB12" s="310"/>
      <c r="BC12" s="1723">
        <f>((BC7*BC7-BC8*BC8)*3.1415926*BC10*BC11+(BC6*BC6-BC7*BC7)*BC9*BC11*3.14)/4000000</f>
        <v>19.217710982812502</v>
      </c>
      <c r="BD12" s="353"/>
      <c r="BE12" s="354">
        <f>((BE7*BE7-BE8*BE8)*3.1415926*BE10*BE11+(BE6*BE6-BE7*BE7)*BE9*BE11*3.14)/4000000</f>
        <v>32.224375585702496</v>
      </c>
    </row>
    <row r="13" spans="1:57" ht="15" thickBot="1" x14ac:dyDescent="0.35">
      <c r="B13" s="4"/>
      <c r="C13" s="56" t="s">
        <v>22</v>
      </c>
      <c r="D13" s="56"/>
      <c r="E13" s="56"/>
      <c r="F13" s="56"/>
      <c r="G13" s="770">
        <f>N25+N34</f>
        <v>118.39250246392801</v>
      </c>
      <c r="H13" s="56"/>
      <c r="I13" s="56"/>
      <c r="J13" s="17"/>
      <c r="K13" s="16"/>
      <c r="L13" s="798"/>
      <c r="M13" s="798"/>
      <c r="N13" s="798"/>
      <c r="P13" s="4"/>
      <c r="Q13" s="56" t="s">
        <v>22</v>
      </c>
      <c r="R13" s="56"/>
      <c r="S13" s="56"/>
      <c r="T13" s="56"/>
      <c r="U13" s="1649">
        <f>IF(AC36&lt;100,ROUNDUP(AC36,1),ROUNDUP(AC36,0))</f>
        <v>35.4</v>
      </c>
      <c r="V13" s="631"/>
      <c r="W13" s="632"/>
      <c r="X13" s="56"/>
      <c r="Y13" s="17"/>
      <c r="Z13" s="310"/>
      <c r="AA13" s="1460">
        <v>1.3</v>
      </c>
      <c r="AB13" s="336"/>
      <c r="AC13" s="337"/>
      <c r="AE13" s="4"/>
      <c r="AF13" s="56" t="s">
        <v>22</v>
      </c>
      <c r="AG13" s="56"/>
      <c r="AH13" s="56"/>
      <c r="AI13" s="56"/>
      <c r="AJ13" s="281">
        <f>IF(AQ34&lt;100,ROUNDUP(AQ34,1),ROUNDUP(AQ34,0))</f>
        <v>262</v>
      </c>
      <c r="AK13" s="56"/>
      <c r="AL13" s="56"/>
      <c r="AM13" s="17"/>
      <c r="AN13" s="310"/>
      <c r="AO13" s="346"/>
      <c r="AP13" s="347"/>
      <c r="AQ13" s="351"/>
      <c r="AS13" s="4"/>
      <c r="AT13" s="56" t="s">
        <v>22</v>
      </c>
      <c r="AU13" s="56"/>
      <c r="AV13" s="56"/>
      <c r="AW13" s="56"/>
      <c r="AX13" s="281">
        <f>IF(BE34&lt;100,ROUNDUP(BE34,1),ROUNDUP(BE34,0))</f>
        <v>46.6</v>
      </c>
      <c r="AY13" s="56"/>
      <c r="AZ13" s="56"/>
      <c r="BA13" s="17"/>
      <c r="BB13" s="310"/>
      <c r="BC13" s="346">
        <v>5.4</v>
      </c>
      <c r="BD13" s="347"/>
      <c r="BE13" s="351"/>
    </row>
    <row r="14" spans="1:57" ht="15" thickBot="1" x14ac:dyDescent="0.35">
      <c r="B14" s="4"/>
      <c r="C14" s="56" t="s">
        <v>24</v>
      </c>
      <c r="D14" s="56"/>
      <c r="E14" s="56"/>
      <c r="F14" s="56"/>
      <c r="G14" s="770">
        <f>G13/G17</f>
        <v>23.678500492785602</v>
      </c>
      <c r="H14" s="56"/>
      <c r="I14" s="56"/>
      <c r="J14" s="17"/>
      <c r="K14" s="310"/>
      <c r="L14" s="812"/>
      <c r="M14" s="813"/>
      <c r="N14" s="801" t="s">
        <v>589</v>
      </c>
      <c r="P14" s="4"/>
      <c r="Q14" s="56" t="s">
        <v>24</v>
      </c>
      <c r="R14" s="56"/>
      <c r="S14" s="56"/>
      <c r="T14" s="56"/>
      <c r="U14" s="628">
        <f>IF(U13/U17&lt;1,ROUNDUP(U13/U17,2),ROUNDUP(U13/U17,1))</f>
        <v>8.9</v>
      </c>
      <c r="V14" s="631"/>
      <c r="W14" s="632"/>
      <c r="X14" s="56"/>
      <c r="Y14" s="17"/>
      <c r="Z14" s="310"/>
      <c r="AA14" s="1463"/>
      <c r="AB14" s="336"/>
      <c r="AC14" s="776" t="s">
        <v>589</v>
      </c>
      <c r="AE14" s="4"/>
      <c r="AF14" s="56" t="s">
        <v>24</v>
      </c>
      <c r="AG14" s="56"/>
      <c r="AH14" s="56"/>
      <c r="AI14" s="56"/>
      <c r="AJ14" s="281">
        <f>AJ13/AJ17</f>
        <v>65.5</v>
      </c>
      <c r="AK14" s="56"/>
      <c r="AL14" s="56"/>
      <c r="AM14" s="17"/>
      <c r="AN14" s="310"/>
      <c r="AO14" s="623"/>
      <c r="AP14" s="356"/>
      <c r="AQ14" s="357"/>
      <c r="AS14" s="4"/>
      <c r="AT14" s="56" t="s">
        <v>24</v>
      </c>
      <c r="AU14" s="56"/>
      <c r="AV14" s="56"/>
      <c r="AW14" s="56"/>
      <c r="AX14" s="770">
        <f>ROUNDUP(AX13/AX17,2)</f>
        <v>46.6</v>
      </c>
      <c r="AY14" s="56"/>
      <c r="AZ14" s="56"/>
      <c r="BA14" s="17"/>
      <c r="BB14" s="310"/>
      <c r="BC14" s="355"/>
      <c r="BD14" s="356"/>
      <c r="BE14" s="357"/>
    </row>
    <row r="15" spans="1:57" ht="15" thickBot="1" x14ac:dyDescent="0.35">
      <c r="B15" s="4"/>
      <c r="C15" s="56" t="s">
        <v>27</v>
      </c>
      <c r="D15" s="56"/>
      <c r="E15" s="56"/>
      <c r="F15" s="56"/>
      <c r="G15" s="770">
        <f>G13*1.04</f>
        <v>123.12820256248513</v>
      </c>
      <c r="H15" s="56"/>
      <c r="I15" s="56"/>
      <c r="J15" s="17"/>
      <c r="K15" s="310"/>
      <c r="L15" s="814"/>
      <c r="M15" s="815"/>
      <c r="N15" s="802" t="s">
        <v>562</v>
      </c>
      <c r="P15" s="4"/>
      <c r="Q15" s="56" t="s">
        <v>27</v>
      </c>
      <c r="R15" s="56"/>
      <c r="S15" s="56"/>
      <c r="T15" s="56"/>
      <c r="U15" s="628">
        <f>IF(U13&lt;96,ROUNDUP(AC36*1.04,1),ROUNDUP(AC36*1.04,0))</f>
        <v>36.800000000000004</v>
      </c>
      <c r="V15" s="630"/>
      <c r="W15" s="632"/>
      <c r="X15" s="56"/>
      <c r="Y15" s="17"/>
      <c r="Z15" s="310"/>
      <c r="AA15" s="1459">
        <f>S32</f>
        <v>115</v>
      </c>
      <c r="AB15" s="336"/>
      <c r="AC15" s="777" t="s">
        <v>592</v>
      </c>
      <c r="AE15" s="4"/>
      <c r="AF15" s="56" t="s">
        <v>27</v>
      </c>
      <c r="AG15" s="56"/>
      <c r="AH15" s="56"/>
      <c r="AI15" s="56"/>
      <c r="AJ15" s="281">
        <f>IF(AQ34&lt;96,ROUNDUP(AJ13*1.04,1),ROUNDUP(AJ13*1.04,0))</f>
        <v>273</v>
      </c>
      <c r="AK15" s="56"/>
      <c r="AL15" s="56"/>
      <c r="AM15" s="17"/>
      <c r="AN15" s="310"/>
      <c r="AO15" s="622">
        <f>AH32</f>
        <v>200</v>
      </c>
      <c r="AP15" s="351"/>
      <c r="AQ15" s="369" t="s">
        <v>589</v>
      </c>
      <c r="AS15" s="4"/>
      <c r="AT15" s="56" t="s">
        <v>27</v>
      </c>
      <c r="AU15" s="56"/>
      <c r="AV15" s="56"/>
      <c r="AW15" s="56"/>
      <c r="AX15" s="281">
        <f>IF(BE34&lt;96,ROUNDUP(AX13*1.04,1),ROUNDUP(AX13*1.04,0))</f>
        <v>48.5</v>
      </c>
      <c r="AY15" s="56"/>
      <c r="AZ15" s="56"/>
      <c r="BA15" s="17"/>
      <c r="BB15" s="310"/>
      <c r="BC15" s="358"/>
      <c r="BD15" s="347"/>
      <c r="BE15" s="357" t="s">
        <v>589</v>
      </c>
    </row>
    <row r="16" spans="1:57" x14ac:dyDescent="0.3">
      <c r="B16" s="4"/>
      <c r="C16" s="56" t="s">
        <v>29</v>
      </c>
      <c r="D16" s="56"/>
      <c r="E16" s="56"/>
      <c r="F16" s="56"/>
      <c r="G16" s="770">
        <f>G15/G17</f>
        <v>24.625640512497025</v>
      </c>
      <c r="H16" s="56"/>
      <c r="I16" s="56"/>
      <c r="J16" s="17"/>
      <c r="K16" s="310"/>
      <c r="L16" s="814" t="s">
        <v>843</v>
      </c>
      <c r="M16" s="815"/>
      <c r="N16" s="821">
        <f>(N7+(N7+N18*2))/2</f>
        <v>198</v>
      </c>
      <c r="P16" s="4"/>
      <c r="Q16" s="56" t="s">
        <v>29</v>
      </c>
      <c r="R16" s="56"/>
      <c r="S16" s="56"/>
      <c r="T16" s="56"/>
      <c r="U16" s="628">
        <f>IF(U15/U17&lt;1,ROUNDUP(U15/U17,2),ROUNDUP(U15/U17,1))</f>
        <v>9.1999999999999993</v>
      </c>
      <c r="V16" s="631"/>
      <c r="W16" s="632"/>
      <c r="X16" s="56"/>
      <c r="Y16" s="17"/>
      <c r="Z16" s="310"/>
      <c r="AA16" s="1464"/>
      <c r="AB16" s="336"/>
      <c r="AC16" s="367">
        <v>0</v>
      </c>
      <c r="AE16" s="4"/>
      <c r="AF16" s="56" t="s">
        <v>29</v>
      </c>
      <c r="AG16" s="56"/>
      <c r="AH16" s="56"/>
      <c r="AI16" s="56"/>
      <c r="AJ16" s="281">
        <f>AJ15/AJ17</f>
        <v>68.25</v>
      </c>
      <c r="AK16" s="56"/>
      <c r="AL16" s="56"/>
      <c r="AM16" s="17"/>
      <c r="AN16" s="310"/>
      <c r="AO16" s="839"/>
      <c r="AP16" s="351"/>
      <c r="AQ16" s="370" t="s">
        <v>603</v>
      </c>
      <c r="AS16" s="4"/>
      <c r="AT16" s="56" t="s">
        <v>29</v>
      </c>
      <c r="AU16" s="56"/>
      <c r="AV16" s="56"/>
      <c r="AW16" s="56"/>
      <c r="AX16" s="770">
        <f>AX15/AX17</f>
        <v>48.5</v>
      </c>
      <c r="AY16" s="56"/>
      <c r="AZ16" s="56"/>
      <c r="BA16" s="17"/>
      <c r="BB16" s="310"/>
      <c r="BC16" s="359">
        <f>AV32</f>
        <v>170</v>
      </c>
      <c r="BD16" s="347"/>
      <c r="BE16" s="345" t="s">
        <v>603</v>
      </c>
    </row>
    <row r="17" spans="2:57" ht="15" thickBot="1" x14ac:dyDescent="0.35">
      <c r="B17" s="18"/>
      <c r="C17" s="62" t="s">
        <v>31</v>
      </c>
      <c r="D17" s="62"/>
      <c r="E17" s="62"/>
      <c r="F17" s="62"/>
      <c r="G17" s="329">
        <v>5</v>
      </c>
      <c r="H17" s="62"/>
      <c r="I17" s="62"/>
      <c r="J17" s="780"/>
      <c r="K17" s="310"/>
      <c r="L17" s="814" t="s">
        <v>585</v>
      </c>
      <c r="M17" s="815"/>
      <c r="N17" s="822">
        <f>N10</f>
        <v>440</v>
      </c>
      <c r="P17" s="18"/>
      <c r="Q17" s="62" t="s">
        <v>31</v>
      </c>
      <c r="R17" s="62"/>
      <c r="S17" s="62"/>
      <c r="T17" s="62"/>
      <c r="U17" s="629">
        <v>4</v>
      </c>
      <c r="V17" s="329"/>
      <c r="W17" s="62"/>
      <c r="X17" s="62"/>
      <c r="Y17" s="780"/>
      <c r="Z17" s="22"/>
      <c r="AA17" s="1458">
        <f>VLOOKUP(AA15,Изложницы[],2,0)</f>
        <v>115</v>
      </c>
      <c r="AB17" s="336"/>
      <c r="AC17" s="367">
        <f>AA18</f>
        <v>115</v>
      </c>
      <c r="AE17" s="18"/>
      <c r="AF17" s="62" t="s">
        <v>31</v>
      </c>
      <c r="AG17" s="62"/>
      <c r="AH17" s="62"/>
      <c r="AI17" s="62"/>
      <c r="AJ17" s="329">
        <v>4</v>
      </c>
      <c r="AK17" s="62"/>
      <c r="AL17" s="62"/>
      <c r="AM17" s="21"/>
      <c r="AN17" s="310"/>
      <c r="AO17" s="622">
        <f>VLOOKUP(AH32,Изложницы[],2,FALSE)</f>
        <v>213</v>
      </c>
      <c r="AP17" s="347"/>
      <c r="AQ17" s="371">
        <v>0</v>
      </c>
      <c r="AS17" s="18"/>
      <c r="AT17" s="62" t="s">
        <v>31</v>
      </c>
      <c r="AU17" s="62"/>
      <c r="AV17" s="62"/>
      <c r="AW17" s="62"/>
      <c r="AX17" s="329">
        <v>1</v>
      </c>
      <c r="AY17" s="62"/>
      <c r="AZ17" s="62"/>
      <c r="BA17" s="21"/>
      <c r="BB17" s="310"/>
      <c r="BC17" s="359">
        <f>BC21/30+BC16</f>
        <v>178.66666666666666</v>
      </c>
      <c r="BD17" s="347"/>
      <c r="BE17" s="348">
        <v>0</v>
      </c>
    </row>
    <row r="18" spans="2:57" x14ac:dyDescent="0.3">
      <c r="B18" s="11"/>
      <c r="C18" s="57" t="s">
        <v>186</v>
      </c>
      <c r="D18" s="56"/>
      <c r="E18" s="56"/>
      <c r="F18" s="56"/>
      <c r="G18" s="56"/>
      <c r="H18" s="56"/>
      <c r="I18" s="22"/>
      <c r="J18" s="23"/>
      <c r="K18" s="22"/>
      <c r="L18" s="386" t="s">
        <v>844</v>
      </c>
      <c r="M18" s="815"/>
      <c r="N18" s="822">
        <f>Данные!Y79</f>
        <v>3</v>
      </c>
      <c r="P18" s="11"/>
      <c r="Q18" s="57" t="s">
        <v>186</v>
      </c>
      <c r="R18" s="56"/>
      <c r="S18" s="56"/>
      <c r="T18" s="56"/>
      <c r="U18" s="56"/>
      <c r="V18" s="56"/>
      <c r="W18" s="56"/>
      <c r="X18" s="22"/>
      <c r="Y18" s="23"/>
      <c r="Z18" s="22"/>
      <c r="AA18" s="1465">
        <f>IF(AA16=0,(AA15+AA17)/2,(AA15+AA16)/2)</f>
        <v>115</v>
      </c>
      <c r="AB18" s="336"/>
      <c r="AC18" s="367">
        <v>0</v>
      </c>
      <c r="AE18" s="11"/>
      <c r="AF18" s="57" t="s">
        <v>186</v>
      </c>
      <c r="AG18" s="56"/>
      <c r="AH18" s="56"/>
      <c r="AI18" s="56"/>
      <c r="AJ18" s="56"/>
      <c r="AK18" s="56"/>
      <c r="AL18" s="22"/>
      <c r="AM18" s="23"/>
      <c r="AN18" s="22"/>
      <c r="AO18" s="625">
        <f>(AO15+IF(AO16=0,AO17,AO16))/2</f>
        <v>206.5</v>
      </c>
      <c r="AP18" s="347"/>
      <c r="AQ18" s="372">
        <f>AO18</f>
        <v>206.5</v>
      </c>
      <c r="AS18" s="11"/>
      <c r="AT18" s="57" t="s">
        <v>186</v>
      </c>
      <c r="AU18" s="56"/>
      <c r="AV18" s="56"/>
      <c r="AW18" s="56"/>
      <c r="AX18" s="56"/>
      <c r="AY18" s="56"/>
      <c r="AZ18" s="22"/>
      <c r="BA18" s="23"/>
      <c r="BB18" s="22"/>
      <c r="BC18" s="358">
        <f>(BC16+BC17)/2</f>
        <v>174.33333333333331</v>
      </c>
      <c r="BD18" s="347"/>
      <c r="BE18" s="349">
        <f>BC18</f>
        <v>174.33333333333331</v>
      </c>
    </row>
    <row r="19" spans="2:57" ht="15" thickBot="1" x14ac:dyDescent="0.35">
      <c r="B19" s="4"/>
      <c r="C19" s="57" t="str">
        <f>"Максимальное количество деталей в отливке:   "&amp;G17&amp;",   L="</f>
        <v>Максимальное количество деталей в отливке:   5,   L=</v>
      </c>
      <c r="D19" s="56"/>
      <c r="E19" s="56"/>
      <c r="F19" s="56"/>
      <c r="G19" s="56"/>
      <c r="H19" s="794">
        <f>N32</f>
        <v>430</v>
      </c>
      <c r="I19" s="284"/>
      <c r="J19" s="23"/>
      <c r="K19" s="22"/>
      <c r="L19" s="816" t="s">
        <v>845</v>
      </c>
      <c r="M19" s="815"/>
      <c r="N19" s="804">
        <v>3.5</v>
      </c>
      <c r="P19" s="4"/>
      <c r="Q19" s="57" t="str">
        <f>"Максимальное количество деталей в отливке по длине:   "&amp;2&amp;",   L="</f>
        <v>Максимальное количество деталей в отливке по длине:   2,   L=</v>
      </c>
      <c r="R19" s="56"/>
      <c r="S19" s="56"/>
      <c r="T19" s="56"/>
      <c r="U19" s="56"/>
      <c r="V19" s="56"/>
      <c r="W19" s="41"/>
      <c r="X19" s="323">
        <f>IF(AC44=0,AC43,AC44)</f>
        <v>356</v>
      </c>
      <c r="Y19" s="23"/>
      <c r="Z19" s="22"/>
      <c r="AA19" s="1466"/>
      <c r="AB19" s="336"/>
      <c r="AC19" s="367">
        <v>0</v>
      </c>
      <c r="AE19" s="4"/>
      <c r="AF19" s="57" t="str">
        <f>"Максимальное количество деталей в отливке:   "&amp;AJ17&amp;",   L="</f>
        <v>Максимальное количество деталей в отливке:   4,   L=</v>
      </c>
      <c r="AG19" s="56"/>
      <c r="AH19" s="56"/>
      <c r="AI19" s="56"/>
      <c r="AJ19" s="56"/>
      <c r="AK19" s="41"/>
      <c r="AL19" s="323">
        <f>AQ43</f>
        <v>720</v>
      </c>
      <c r="AM19" s="23"/>
      <c r="AN19" s="22"/>
      <c r="AO19" s="624"/>
      <c r="AP19" s="347"/>
      <c r="AQ19" s="371">
        <v>0</v>
      </c>
      <c r="AS19" s="4"/>
      <c r="AT19" s="57" t="str">
        <f>"Максимальное количество деталей в отливке:   "&amp;AX17&amp;",   L="</f>
        <v>Максимальное количество деталей в отливке:   1,   L=</v>
      </c>
      <c r="AU19" s="56"/>
      <c r="AV19" s="56"/>
      <c r="AW19" s="56"/>
      <c r="AX19" s="56"/>
      <c r="AY19" s="41"/>
      <c r="AZ19" s="323">
        <f>IF(AX17=1,AZ28,BE43)</f>
        <v>180</v>
      </c>
      <c r="BA19" s="23"/>
      <c r="BB19" s="22"/>
      <c r="BC19" s="358"/>
      <c r="BD19" s="347"/>
      <c r="BE19" s="348">
        <v>0</v>
      </c>
    </row>
    <row r="20" spans="2:57" ht="15" customHeight="1" thickBot="1" x14ac:dyDescent="0.35">
      <c r="B20" s="4"/>
      <c r="C20" s="56"/>
      <c r="D20" s="56"/>
      <c r="E20" s="56"/>
      <c r="F20" s="56"/>
      <c r="G20" s="56"/>
      <c r="H20" s="56"/>
      <c r="I20" s="56"/>
      <c r="J20" s="9"/>
      <c r="K20" s="22"/>
      <c r="L20" s="386"/>
      <c r="M20" s="815"/>
      <c r="N20" s="803" t="s">
        <v>294</v>
      </c>
      <c r="P20" s="4"/>
      <c r="Q20" s="56"/>
      <c r="R20" s="56"/>
      <c r="S20" s="56"/>
      <c r="T20" s="56"/>
      <c r="U20" s="56"/>
      <c r="V20" s="56"/>
      <c r="W20" s="56"/>
      <c r="X20" s="56"/>
      <c r="Y20" s="9"/>
      <c r="Z20" s="22"/>
      <c r="AA20" s="1466">
        <f>T32</f>
        <v>400</v>
      </c>
      <c r="AB20" s="336"/>
      <c r="AC20" s="367">
        <f>IF(OR(AA22=0,A1=TRUE),AA20,AA22)</f>
        <v>400</v>
      </c>
      <c r="AE20" s="4"/>
      <c r="AF20" s="56"/>
      <c r="AG20" s="56"/>
      <c r="AH20" s="56"/>
      <c r="AI20" s="56"/>
      <c r="AJ20" s="56"/>
      <c r="AK20" s="56"/>
      <c r="AL20" s="56"/>
      <c r="AM20" s="9"/>
      <c r="AN20" s="22"/>
      <c r="AO20" s="624"/>
      <c r="AP20" s="347"/>
      <c r="AQ20" s="371">
        <v>0</v>
      </c>
      <c r="AS20" s="4"/>
      <c r="AT20" s="56"/>
      <c r="AU20" s="56"/>
      <c r="AV20" s="56"/>
      <c r="AW20" s="56"/>
      <c r="AX20" s="56"/>
      <c r="AY20" s="56"/>
      <c r="AZ20" s="56"/>
      <c r="BA20" s="9"/>
      <c r="BB20" s="22"/>
      <c r="BC20" s="358"/>
      <c r="BD20" s="347"/>
      <c r="BE20" s="348">
        <v>0</v>
      </c>
    </row>
    <row r="21" spans="2:57" ht="15" thickBot="1" x14ac:dyDescent="0.35">
      <c r="B21" s="4"/>
      <c r="C21" s="56"/>
      <c r="D21" s="56"/>
      <c r="E21" s="56"/>
      <c r="F21" s="56"/>
      <c r="G21" s="56"/>
      <c r="H21" s="56"/>
      <c r="I21" s="22"/>
      <c r="J21" s="23"/>
      <c r="K21" s="22"/>
      <c r="L21" s="386" t="s">
        <v>847</v>
      </c>
      <c r="M21" s="817"/>
      <c r="N21" s="822">
        <f>N18*2</f>
        <v>6</v>
      </c>
      <c r="P21" s="4"/>
      <c r="Q21" s="56"/>
      <c r="R21" s="56"/>
      <c r="S21" s="56"/>
      <c r="T21" s="56"/>
      <c r="U21" s="56"/>
      <c r="V21" s="56"/>
      <c r="W21" s="56"/>
      <c r="X21" s="22"/>
      <c r="Y21" s="23"/>
      <c r="Z21" s="131"/>
      <c r="AA21" s="1467" t="s">
        <v>826</v>
      </c>
      <c r="AB21" s="336"/>
      <c r="AC21" s="367">
        <f>AA11</f>
        <v>8.5</v>
      </c>
      <c r="AE21" s="4"/>
      <c r="AF21" s="56"/>
      <c r="AG21" s="56"/>
      <c r="AH21" s="56"/>
      <c r="AI21" s="56"/>
      <c r="AJ21" s="56"/>
      <c r="AK21" s="56"/>
      <c r="AL21" s="22"/>
      <c r="AM21" s="23"/>
      <c r="AN21" s="22"/>
      <c r="AO21" s="624">
        <f>AI32</f>
        <v>780</v>
      </c>
      <c r="AP21" s="347"/>
      <c r="AQ21" s="371">
        <f>AI32</f>
        <v>780</v>
      </c>
      <c r="AS21" s="4"/>
      <c r="AT21" s="56"/>
      <c r="AU21" s="56"/>
      <c r="AV21" s="56"/>
      <c r="AW21" s="56"/>
      <c r="AX21" s="56"/>
      <c r="AY21" s="56"/>
      <c r="AZ21" s="22"/>
      <c r="BA21" s="23"/>
      <c r="BB21" s="22"/>
      <c r="BC21" s="358">
        <f>AW32</f>
        <v>260</v>
      </c>
      <c r="BD21" s="347"/>
      <c r="BE21" s="348">
        <f>AW32</f>
        <v>260</v>
      </c>
    </row>
    <row r="22" spans="2:57" ht="15" thickBot="1" x14ac:dyDescent="0.35">
      <c r="B22" s="4"/>
      <c r="C22" s="56"/>
      <c r="D22" s="56"/>
      <c r="E22" s="56"/>
      <c r="F22" s="56"/>
      <c r="G22" s="56"/>
      <c r="H22" s="56"/>
      <c r="I22" s="26"/>
      <c r="J22" s="25"/>
      <c r="K22" s="131"/>
      <c r="L22" s="814" t="s">
        <v>846</v>
      </c>
      <c r="M22" s="815"/>
      <c r="N22" s="827">
        <f>((N7+N18*2)+((N7+N18*2)+N21*2))/2</f>
        <v>207</v>
      </c>
      <c r="P22" s="4"/>
      <c r="Q22" s="56"/>
      <c r="R22" s="56"/>
      <c r="S22" s="56"/>
      <c r="T22" s="56"/>
      <c r="U22" s="56"/>
      <c r="V22" s="56"/>
      <c r="W22" s="56"/>
      <c r="X22" s="26"/>
      <c r="Y22" s="25"/>
      <c r="Z22" s="131"/>
      <c r="AA22" s="1468"/>
      <c r="AB22" s="339"/>
      <c r="AC22" s="368">
        <f>((AC17*AC17-AC18*AC18)*3.1415926*AC20*AC21+(AC16*AC16-AC17*AC17)*AC19*AC21*3.14)/4000000</f>
        <v>35.315427814750002</v>
      </c>
      <c r="AE22" s="4"/>
      <c r="AF22" s="56"/>
      <c r="AG22" s="56"/>
      <c r="AH22" s="56"/>
      <c r="AI22" s="56"/>
      <c r="AJ22" s="56"/>
      <c r="AK22" s="56"/>
      <c r="AL22" s="26"/>
      <c r="AM22" s="25"/>
      <c r="AN22" s="131"/>
      <c r="AO22" s="624"/>
      <c r="AP22" s="347"/>
      <c r="AQ22" s="373">
        <f>AO11</f>
        <v>7.5</v>
      </c>
      <c r="AS22" s="4"/>
      <c r="AT22" s="56"/>
      <c r="AU22" s="56"/>
      <c r="AV22" s="56"/>
      <c r="AW22" s="56"/>
      <c r="AX22" s="56"/>
      <c r="AY22" s="56"/>
      <c r="AZ22" s="26"/>
      <c r="BA22" s="25"/>
      <c r="BB22" s="131"/>
      <c r="BC22" s="358"/>
      <c r="BD22" s="347"/>
      <c r="BE22" s="351">
        <f>BC11</f>
        <v>7.5</v>
      </c>
    </row>
    <row r="23" spans="2:57" ht="15" thickBot="1" x14ac:dyDescent="0.35">
      <c r="B23" s="4"/>
      <c r="C23" s="285"/>
      <c r="D23" s="1294">
        <f>ROUND(N7*0.985,0)</f>
        <v>192</v>
      </c>
      <c r="E23" s="56"/>
      <c r="F23" s="56"/>
      <c r="G23" s="56"/>
      <c r="H23" s="56"/>
      <c r="I23" s="27"/>
      <c r="J23" s="25"/>
      <c r="K23" s="131"/>
      <c r="L23" s="814" t="s">
        <v>5</v>
      </c>
      <c r="M23" s="815"/>
      <c r="N23" s="805">
        <v>100</v>
      </c>
      <c r="P23" s="4"/>
      <c r="Q23" s="285"/>
      <c r="R23" s="1294">
        <f>S32-S32/100*1.5</f>
        <v>113.27500000000001</v>
      </c>
      <c r="S23" s="56"/>
      <c r="T23" s="56"/>
      <c r="U23" s="56"/>
      <c r="V23" s="56"/>
      <c r="W23" s="56"/>
      <c r="X23" s="27"/>
      <c r="Y23" s="726"/>
      <c r="Z23" s="131"/>
      <c r="AA23" s="41"/>
      <c r="AB23" s="41"/>
      <c r="AC23" s="41"/>
      <c r="AE23" s="4"/>
      <c r="AF23" s="285"/>
      <c r="AG23" s="1294">
        <f>AH32-AH32/100*1.5</f>
        <v>197</v>
      </c>
      <c r="AH23" s="56"/>
      <c r="AI23" s="56"/>
      <c r="AJ23" s="56"/>
      <c r="AK23" s="56"/>
      <c r="AL23" s="27"/>
      <c r="AM23" s="726"/>
      <c r="AN23" s="131"/>
      <c r="AO23" s="624"/>
      <c r="AP23" s="347"/>
      <c r="AQ23" s="374">
        <f>((AQ18*AQ18-AQ19*AQ19)*3.1415926*AQ21*AQ22+(AQ17*AQ17-AQ18*AQ18)*AQ20*AQ22*3.1415926)/4000000</f>
        <v>195.92319393174941</v>
      </c>
      <c r="AS23" s="4"/>
      <c r="AT23" s="285"/>
      <c r="AU23" s="1294">
        <f>AV32-AV32/100*1.5</f>
        <v>167.45</v>
      </c>
      <c r="AV23" s="56"/>
      <c r="AW23" s="56"/>
      <c r="AX23" s="56"/>
      <c r="AY23" s="56"/>
      <c r="AZ23" s="27"/>
      <c r="BA23" s="25"/>
      <c r="BB23" s="131"/>
      <c r="BC23" s="358"/>
      <c r="BD23" s="347"/>
      <c r="BE23" s="354">
        <f>((BE18*BE18-BE19*BE19)*3.1415926*BE21*BE22+(BE17*BE17-BE18*BE18)*BE20*BE22*3.1415926)/4000000</f>
        <v>46.546320290459157</v>
      </c>
    </row>
    <row r="24" spans="2:57" ht="15" customHeight="1" thickBot="1" x14ac:dyDescent="0.35">
      <c r="B24" s="4"/>
      <c r="C24" s="56"/>
      <c r="D24" s="331" t="str">
        <f>"( "&amp;L7&amp;" )"</f>
        <v>( 185 )</v>
      </c>
      <c r="E24" s="286"/>
      <c r="F24" s="56"/>
      <c r="G24" s="56"/>
      <c r="H24" s="56"/>
      <c r="I24" s="27"/>
      <c r="J24" s="25"/>
      <c r="K24" s="131"/>
      <c r="L24" s="814"/>
      <c r="M24" s="815"/>
      <c r="N24" s="828">
        <f>L11</f>
        <v>7</v>
      </c>
      <c r="P24" s="4"/>
      <c r="Q24" s="56"/>
      <c r="R24" s="331" t="str">
        <f>"( "&amp;IF(AA6=0,AA7,AA6)&amp;" )"</f>
        <v>( 82 )</v>
      </c>
      <c r="S24" s="286"/>
      <c r="T24" s="56"/>
      <c r="U24" s="56"/>
      <c r="V24" s="56"/>
      <c r="W24" s="56"/>
      <c r="X24" s="27"/>
      <c r="Y24" s="25"/>
      <c r="Z24" s="131"/>
      <c r="AA24" s="649" t="s">
        <v>611</v>
      </c>
      <c r="AB24" s="639" t="b">
        <v>0</v>
      </c>
      <c r="AC24" s="841" t="s">
        <v>616</v>
      </c>
      <c r="AE24" s="4"/>
      <c r="AF24" s="56"/>
      <c r="AG24" s="331" t="str">
        <f>"( "&amp;AO7&amp;" )"</f>
        <v>( 172 )</v>
      </c>
      <c r="AH24" s="286"/>
      <c r="AI24" s="56"/>
      <c r="AJ24" s="56"/>
      <c r="AK24" s="56"/>
      <c r="AL24" s="27"/>
      <c r="AM24" s="25"/>
      <c r="AN24" s="131"/>
      <c r="AO24" s="623"/>
      <c r="AP24" s="356"/>
      <c r="AQ24" s="360"/>
      <c r="AS24" s="4"/>
      <c r="AT24" s="56"/>
      <c r="AU24" s="331" t="str">
        <f>"( "&amp;BC7&amp;" )"</f>
        <v>( 150 )</v>
      </c>
      <c r="AV24" s="286"/>
      <c r="AW24" s="56"/>
      <c r="AX24" s="56"/>
      <c r="AY24" s="56"/>
      <c r="AZ24" s="27"/>
      <c r="BA24" s="25"/>
      <c r="BB24" s="131"/>
      <c r="BC24" s="355"/>
      <c r="BD24" s="356"/>
      <c r="BE24" s="360"/>
    </row>
    <row r="25" spans="2:57" ht="15" thickBot="1" x14ac:dyDescent="0.35">
      <c r="B25" s="4"/>
      <c r="C25" s="56"/>
      <c r="D25" s="124"/>
      <c r="E25" s="56"/>
      <c r="F25" s="56"/>
      <c r="G25" s="56"/>
      <c r="H25" s="56"/>
      <c r="I25" s="27"/>
      <c r="J25" s="25"/>
      <c r="K25" s="131"/>
      <c r="L25" s="2155"/>
      <c r="M25" s="2156"/>
      <c r="N25" s="829">
        <f>((N16*N16)*3.1415926*N17*N24+(N22*N22)*N23*N24*3.1415296)/4000000</f>
        <v>118.39250246392801</v>
      </c>
      <c r="P25" s="4"/>
      <c r="Q25" s="56"/>
      <c r="R25" s="206"/>
      <c r="S25" s="56"/>
      <c r="T25" s="56"/>
      <c r="U25" s="56"/>
      <c r="V25" s="56"/>
      <c r="W25" s="56"/>
      <c r="X25" s="27"/>
      <c r="Y25" s="25"/>
      <c r="Z25" s="131"/>
      <c r="AA25" s="389" t="s">
        <v>859</v>
      </c>
      <c r="AB25" s="390" t="b">
        <v>0</v>
      </c>
      <c r="AC25" s="391"/>
      <c r="AE25" s="4"/>
      <c r="AF25" s="56"/>
      <c r="AG25" s="124"/>
      <c r="AH25" s="56"/>
      <c r="AI25" s="56"/>
      <c r="AJ25" s="56"/>
      <c r="AK25" s="56"/>
      <c r="AL25" s="27"/>
      <c r="AM25" s="25"/>
      <c r="AN25" s="131"/>
      <c r="AO25" s="375"/>
      <c r="AP25" s="356"/>
      <c r="AQ25" s="369" t="s">
        <v>589</v>
      </c>
      <c r="AS25" s="4"/>
      <c r="AT25" s="56"/>
      <c r="AU25" s="124"/>
      <c r="AV25" s="56"/>
      <c r="AW25" s="56"/>
      <c r="AX25" s="56"/>
      <c r="AY25" s="56"/>
      <c r="AZ25" s="27"/>
      <c r="BA25" s="25"/>
      <c r="BB25" s="131"/>
      <c r="BC25" s="355"/>
      <c r="BD25" s="356"/>
      <c r="BE25" s="357" t="s">
        <v>589</v>
      </c>
    </row>
    <row r="26" spans="2:57" ht="15" customHeight="1" x14ac:dyDescent="0.3">
      <c r="B26" s="4"/>
      <c r="C26" s="56"/>
      <c r="D26" s="56"/>
      <c r="E26" s="56"/>
      <c r="F26" s="56"/>
      <c r="G26" s="288">
        <f>N10*0.985</f>
        <v>433.4</v>
      </c>
      <c r="H26" s="56"/>
      <c r="I26" s="782" t="str">
        <f>"         "&amp;ROUND(N23*0.985,0)</f>
        <v xml:space="preserve">         99</v>
      </c>
      <c r="J26" s="25"/>
      <c r="K26" s="131"/>
      <c r="P26" s="4"/>
      <c r="Q26" s="56"/>
      <c r="R26" s="56"/>
      <c r="S26" s="56"/>
      <c r="T26" s="56"/>
      <c r="U26" s="288">
        <f>T35*0.985</f>
        <v>394</v>
      </c>
      <c r="V26" s="288"/>
      <c r="W26" s="56"/>
      <c r="X26" s="27"/>
      <c r="Y26" s="25"/>
      <c r="Z26" s="131"/>
      <c r="AA26" s="379"/>
      <c r="AB26" s="380"/>
      <c r="AC26" s="776" t="s">
        <v>589</v>
      </c>
      <c r="AE26" s="4"/>
      <c r="AF26" s="56"/>
      <c r="AG26" s="56"/>
      <c r="AH26" s="56"/>
      <c r="AI26" s="56"/>
      <c r="AJ26" s="288">
        <f>AI34*0.985</f>
        <v>1024.4000000000001</v>
      </c>
      <c r="AK26" s="56"/>
      <c r="AL26" s="27"/>
      <c r="AM26" s="25"/>
      <c r="AN26" s="131"/>
      <c r="AO26" s="376">
        <f>AH33</f>
        <v>205</v>
      </c>
      <c r="AP26" s="356"/>
      <c r="AQ26" s="370" t="s">
        <v>605</v>
      </c>
      <c r="AS26" s="4"/>
      <c r="AT26" s="56"/>
      <c r="AU26" s="56"/>
      <c r="AV26" s="56"/>
      <c r="AW26" s="56"/>
      <c r="AX26" s="288">
        <f>AW34*0.985</f>
        <v>256.10000000000002</v>
      </c>
      <c r="AY26" s="56"/>
      <c r="AZ26" s="27"/>
      <c r="BA26" s="25"/>
      <c r="BB26" s="131"/>
      <c r="BC26" s="361">
        <f>AV33</f>
        <v>0</v>
      </c>
      <c r="BD26" s="356"/>
      <c r="BE26" s="345" t="s">
        <v>605</v>
      </c>
    </row>
    <row r="27" spans="2:57" ht="15" thickBot="1" x14ac:dyDescent="0.35">
      <c r="B27" s="4"/>
      <c r="C27" s="56"/>
      <c r="D27" s="29"/>
      <c r="E27" s="30"/>
      <c r="G27" s="331" t="str">
        <f>"( "&amp;L10&amp;" )"</f>
        <v>( 68 )</v>
      </c>
      <c r="H27" s="56"/>
      <c r="I27" s="28"/>
      <c r="J27" s="25"/>
      <c r="K27" s="131"/>
      <c r="L27" s="2150" t="s">
        <v>270</v>
      </c>
      <c r="M27" s="2151"/>
      <c r="N27" s="2152"/>
      <c r="P27" s="4"/>
      <c r="Q27" s="56"/>
      <c r="R27" s="29"/>
      <c r="S27" s="30"/>
      <c r="T27" s="41"/>
      <c r="U27" s="332" t="str">
        <f>"( "&amp;AA10&amp;" )"</f>
        <v>( 148 )</v>
      </c>
      <c r="V27" s="332"/>
      <c r="W27" s="122"/>
      <c r="X27" s="28"/>
      <c r="Y27" s="25"/>
      <c r="Z27" s="131"/>
      <c r="AA27" s="381">
        <f>IF(AC24="-------------",S34,VLOOKUP(AC24,Прибыльные_надставки[],4,FALSE()))</f>
        <v>300</v>
      </c>
      <c r="AB27" s="382"/>
      <c r="AC27" s="777" t="s">
        <v>620</v>
      </c>
      <c r="AE27" s="4"/>
      <c r="AF27" s="56"/>
      <c r="AG27" s="29"/>
      <c r="AH27" s="30"/>
      <c r="AI27" s="41"/>
      <c r="AJ27" s="332" t="str">
        <f>"( "&amp;AO10&amp;" )"</f>
        <v>( 160 )</v>
      </c>
      <c r="AK27" s="56"/>
      <c r="AL27" s="28"/>
      <c r="AM27" s="25"/>
      <c r="AN27" s="131"/>
      <c r="AO27" s="376">
        <f>AO31/60+AO26</f>
        <v>209.33333333333334</v>
      </c>
      <c r="AP27" s="356"/>
      <c r="AQ27" s="371">
        <v>0</v>
      </c>
      <c r="AS27" s="4"/>
      <c r="AT27" s="56"/>
      <c r="AU27" s="29"/>
      <c r="AV27" s="30"/>
      <c r="AW27" s="41"/>
      <c r="AX27" s="332" t="str">
        <f>"( "&amp;BC10&amp;" )"</f>
        <v>( 145 )</v>
      </c>
      <c r="AY27" s="56"/>
      <c r="AZ27" s="28"/>
      <c r="BA27" s="25"/>
      <c r="BB27" s="131"/>
      <c r="BC27" s="361">
        <f>BC31/30+BC26</f>
        <v>8.6666666666666661</v>
      </c>
      <c r="BD27" s="356"/>
      <c r="BE27" s="348">
        <v>0</v>
      </c>
    </row>
    <row r="28" spans="2:57" x14ac:dyDescent="0.3">
      <c r="B28" s="4"/>
      <c r="C28" s="56"/>
      <c r="E28" s="56"/>
      <c r="F28" s="124"/>
      <c r="J28" s="25"/>
      <c r="K28" s="131"/>
      <c r="L28" s="2153" t="s">
        <v>787</v>
      </c>
      <c r="M28" s="2154"/>
      <c r="N28" s="689">
        <f>L10</f>
        <v>68</v>
      </c>
      <c r="P28" s="4"/>
      <c r="Q28" s="56"/>
      <c r="R28" s="41"/>
      <c r="S28" s="56"/>
      <c r="T28" s="124"/>
      <c r="U28" s="41" t="s">
        <v>593</v>
      </c>
      <c r="W28" s="56"/>
      <c r="X28" s="284">
        <f>AC39+AC42</f>
        <v>188</v>
      </c>
      <c r="Y28" s="25"/>
      <c r="Z28" s="131"/>
      <c r="AA28" s="381">
        <f>IF(AC24="-------------",S34,VLOOKUP(AC24,Прибыльные_надставки[],3,FALSE()))</f>
        <v>350</v>
      </c>
      <c r="AB28" s="382"/>
      <c r="AC28" s="384">
        <v>0</v>
      </c>
      <c r="AE28" s="4"/>
      <c r="AF28" s="56"/>
      <c r="AG28" s="41"/>
      <c r="AH28" s="56"/>
      <c r="AI28" s="124"/>
      <c r="AJ28" s="41" t="s">
        <v>593</v>
      </c>
      <c r="AK28" s="56"/>
      <c r="AL28" s="284">
        <f>AQ39+AQ42</f>
        <v>200</v>
      </c>
      <c r="AM28" s="25"/>
      <c r="AN28" s="131"/>
      <c r="AO28" s="373">
        <f>(AO26+AO27)/2</f>
        <v>207.16666666666669</v>
      </c>
      <c r="AP28" s="356"/>
      <c r="AQ28" s="372">
        <f>AO28</f>
        <v>207.16666666666669</v>
      </c>
      <c r="AS28" s="4"/>
      <c r="AT28" s="56"/>
      <c r="AU28" s="41"/>
      <c r="AV28" s="56"/>
      <c r="AW28" s="124"/>
      <c r="AX28" s="41" t="s">
        <v>593</v>
      </c>
      <c r="AY28" s="56"/>
      <c r="AZ28" s="284">
        <f>BE39+BE42</f>
        <v>180</v>
      </c>
      <c r="BA28" s="25"/>
      <c r="BB28" s="131"/>
      <c r="BC28" s="358">
        <f>(BC26+BC27)/2</f>
        <v>4.333333333333333</v>
      </c>
      <c r="BD28" s="356"/>
      <c r="BE28" s="349">
        <f>BC28</f>
        <v>4.333333333333333</v>
      </c>
    </row>
    <row r="29" spans="2:57" ht="15" thickBot="1" x14ac:dyDescent="0.35">
      <c r="B29" s="4"/>
      <c r="C29" s="56"/>
      <c r="D29" s="287"/>
      <c r="G29" s="865" t="s">
        <v>593</v>
      </c>
      <c r="H29" s="132"/>
      <c r="I29" s="866">
        <f>L10+N31</f>
        <v>108</v>
      </c>
      <c r="J29" s="9"/>
      <c r="K29" s="131"/>
      <c r="L29" s="2153" t="s">
        <v>788</v>
      </c>
      <c r="M29" s="2154"/>
      <c r="N29" s="689">
        <f>G17</f>
        <v>5</v>
      </c>
      <c r="P29" s="4"/>
      <c r="Q29" s="74" t="str">
        <f>IF(AB25=TRUE,"Заливка прибыли на 1/2","")</f>
        <v/>
      </c>
      <c r="R29" s="287"/>
      <c r="S29" s="41"/>
      <c r="T29" s="41"/>
      <c r="U29" s="41"/>
      <c r="W29" s="41"/>
      <c r="X29" s="41"/>
      <c r="Y29" s="9"/>
      <c r="Z29" s="131"/>
      <c r="AA29" s="385">
        <f>(AA27+AA28)/2</f>
        <v>325</v>
      </c>
      <c r="AB29" s="382"/>
      <c r="AC29" s="384">
        <f>AA29</f>
        <v>325</v>
      </c>
      <c r="AE29" s="4"/>
      <c r="AF29" s="56"/>
      <c r="AG29" s="287"/>
      <c r="AH29" s="41"/>
      <c r="AI29" s="41"/>
      <c r="AJ29" s="41"/>
      <c r="AK29" s="41"/>
      <c r="AL29" s="41"/>
      <c r="AM29" s="9"/>
      <c r="AN29" s="131"/>
      <c r="AO29" s="373"/>
      <c r="AP29" s="356"/>
      <c r="AQ29" s="371">
        <v>0</v>
      </c>
      <c r="AS29" s="4"/>
      <c r="AT29" s="56"/>
      <c r="AU29" s="287"/>
      <c r="AV29" s="41"/>
      <c r="AW29" s="41"/>
      <c r="AX29" s="41"/>
      <c r="AY29" s="41"/>
      <c r="AZ29" s="41"/>
      <c r="BA29" s="9"/>
      <c r="BB29" s="131"/>
      <c r="BC29" s="358"/>
      <c r="BD29" s="356"/>
      <c r="BE29" s="348">
        <v>0</v>
      </c>
    </row>
    <row r="30" spans="2:57" ht="15" thickBot="1" x14ac:dyDescent="0.35">
      <c r="B30" s="4"/>
      <c r="C30" s="74" t="s">
        <v>865</v>
      </c>
      <c r="D30" s="287"/>
      <c r="G30" s="287"/>
      <c r="H30" s="56"/>
      <c r="I30" s="284"/>
      <c r="J30" s="9"/>
      <c r="K30" s="131"/>
      <c r="L30" s="2153" t="s">
        <v>789</v>
      </c>
      <c r="M30" s="2154"/>
      <c r="N30" s="689">
        <f>IF(D23&lt;100,8,IF(AND(D23&gt;=100,D23&lt;200),10,20))</f>
        <v>10</v>
      </c>
      <c r="P30" s="1222" t="s">
        <v>594</v>
      </c>
      <c r="Q30" s="1223"/>
      <c r="R30" s="1223"/>
      <c r="S30" s="1223"/>
      <c r="T30" s="1223"/>
      <c r="U30" s="1223"/>
      <c r="V30" s="1223"/>
      <c r="W30" s="1223"/>
      <c r="X30" s="1223"/>
      <c r="Y30" s="1224"/>
      <c r="Z30" s="131"/>
      <c r="AA30" s="386"/>
      <c r="AB30" s="382"/>
      <c r="AC30" s="384">
        <v>0</v>
      </c>
      <c r="AE30" s="2038" t="s">
        <v>594</v>
      </c>
      <c r="AF30" s="2039"/>
      <c r="AG30" s="2039"/>
      <c r="AH30" s="2039"/>
      <c r="AI30" s="2039"/>
      <c r="AJ30" s="2039"/>
      <c r="AK30" s="2039"/>
      <c r="AL30" s="2039"/>
      <c r="AM30" s="2040"/>
      <c r="AN30" s="131"/>
      <c r="AO30" s="373"/>
      <c r="AP30" s="356"/>
      <c r="AQ30" s="371">
        <v>0</v>
      </c>
      <c r="AS30" s="2038" t="s">
        <v>594</v>
      </c>
      <c r="AT30" s="2039"/>
      <c r="AU30" s="2039"/>
      <c r="AV30" s="2039"/>
      <c r="AW30" s="2039"/>
      <c r="AX30" s="2039"/>
      <c r="AY30" s="2039"/>
      <c r="AZ30" s="2039"/>
      <c r="BA30" s="2040"/>
      <c r="BB30" s="131"/>
      <c r="BC30" s="358"/>
      <c r="BD30" s="356"/>
      <c r="BE30" s="348">
        <v>0</v>
      </c>
    </row>
    <row r="31" spans="2:57" ht="15" thickBot="1" x14ac:dyDescent="0.35">
      <c r="B31" s="2038" t="s">
        <v>594</v>
      </c>
      <c r="C31" s="2039"/>
      <c r="D31" s="2039"/>
      <c r="E31" s="2039"/>
      <c r="F31" s="2039"/>
      <c r="G31" s="2039"/>
      <c r="H31" s="2039"/>
      <c r="I31" s="2039"/>
      <c r="J31" s="2040"/>
      <c r="K31" s="131"/>
      <c r="L31" s="2153" t="s">
        <v>752</v>
      </c>
      <c r="M31" s="2154"/>
      <c r="N31" s="689">
        <f>IF(D23&lt;100,35,IF(AND(D23&gt;=100,D23&lt;200),40,50))</f>
        <v>40</v>
      </c>
      <c r="P31" s="322"/>
      <c r="Q31" s="52" t="s">
        <v>237</v>
      </c>
      <c r="R31" s="52"/>
      <c r="S31" s="84" t="s">
        <v>177</v>
      </c>
      <c r="T31" s="1695" t="s">
        <v>77</v>
      </c>
      <c r="U31" s="1699" t="s">
        <v>2</v>
      </c>
      <c r="V31" s="1700"/>
      <c r="W31" s="1224"/>
      <c r="X31" s="1698" t="s">
        <v>595</v>
      </c>
      <c r="Y31" s="321" t="s">
        <v>238</v>
      </c>
      <c r="Z31" s="131"/>
      <c r="AA31" s="386"/>
      <c r="AB31" s="382"/>
      <c r="AC31" s="384">
        <v>0</v>
      </c>
      <c r="AE31" s="322"/>
      <c r="AF31" s="52" t="s">
        <v>237</v>
      </c>
      <c r="AG31" s="52"/>
      <c r="AH31" s="289" t="s">
        <v>177</v>
      </c>
      <c r="AI31" s="290" t="s">
        <v>77</v>
      </c>
      <c r="AJ31" s="2176" t="s">
        <v>607</v>
      </c>
      <c r="AK31" s="2177"/>
      <c r="AL31" s="2178"/>
      <c r="AM31" s="321" t="s">
        <v>238</v>
      </c>
      <c r="AN31" s="131"/>
      <c r="AO31" s="373">
        <f>AI33</f>
        <v>260</v>
      </c>
      <c r="AP31" s="356"/>
      <c r="AQ31" s="371">
        <f>AO31</f>
        <v>260</v>
      </c>
      <c r="AS31" s="322"/>
      <c r="AT31" s="52" t="s">
        <v>237</v>
      </c>
      <c r="AU31" s="52"/>
      <c r="AV31" s="289" t="s">
        <v>177</v>
      </c>
      <c r="AW31" s="290" t="s">
        <v>77</v>
      </c>
      <c r="AX31" s="2176" t="s">
        <v>607</v>
      </c>
      <c r="AY31" s="2177"/>
      <c r="AZ31" s="2178"/>
      <c r="BA31" s="321" t="s">
        <v>238</v>
      </c>
      <c r="BB31" s="131"/>
      <c r="BC31" s="358">
        <f>AW34-AW33</f>
        <v>260</v>
      </c>
      <c r="BD31" s="356"/>
      <c r="BE31" s="348">
        <f>BC31</f>
        <v>260</v>
      </c>
    </row>
    <row r="32" spans="2:57" x14ac:dyDescent="0.3">
      <c r="B32" s="322"/>
      <c r="C32" s="783" t="s">
        <v>43</v>
      </c>
      <c r="D32" s="52"/>
      <c r="E32" s="565"/>
      <c r="F32" s="784"/>
      <c r="G32" s="586" t="str">
        <f>VLOOKUP(G9,Данные!A3:I27,6,FALSE())</f>
        <v>250010.00001</v>
      </c>
      <c r="H32" s="56"/>
      <c r="I32" s="52"/>
      <c r="J32" s="785"/>
      <c r="K32" s="131"/>
      <c r="L32" s="41"/>
      <c r="M32" s="41"/>
      <c r="N32" s="690">
        <f>IF(N29=1,N28+N31,N28*N29+N30*N29+N31)</f>
        <v>430</v>
      </c>
      <c r="P32" s="291"/>
      <c r="Q32" s="363" t="s">
        <v>596</v>
      </c>
      <c r="R32" s="247"/>
      <c r="S32" s="330">
        <v>115</v>
      </c>
      <c r="T32" s="1469">
        <v>400</v>
      </c>
      <c r="U32" s="2159" t="str">
        <f>IF(VLOOKUP(S32,Изложницы[],6,FALSE)=0,"-------------",VLOOKUP(S32,Изложницы[],6,FALSE))</f>
        <v>-------------</v>
      </c>
      <c r="V32" s="2160"/>
      <c r="W32" s="2161"/>
      <c r="X32" s="60"/>
      <c r="Y32" s="292"/>
      <c r="Z32" s="131"/>
      <c r="AA32" s="386">
        <f>IF(AC24="-------------",T34,VLOOKUP(AC24,Прибыльные_надставки[],6,FALSE()))</f>
        <v>350</v>
      </c>
      <c r="AB32" s="382"/>
      <c r="AC32" s="384">
        <f>AA32</f>
        <v>350</v>
      </c>
      <c r="AE32" s="291"/>
      <c r="AF32" s="79" t="s">
        <v>596</v>
      </c>
      <c r="AG32" s="247"/>
      <c r="AH32" s="330">
        <v>200</v>
      </c>
      <c r="AI32" s="330">
        <v>780</v>
      </c>
      <c r="AJ32" s="2179" t="str">
        <f>IF(VLOOKUP(S32,Изложницы[],6,FALSE)=0,"-------------",VLOOKUP(S32,Изложницы[],6,FALSE))</f>
        <v>-------------</v>
      </c>
      <c r="AK32" s="2180"/>
      <c r="AL32" s="2181"/>
      <c r="AM32" s="292"/>
      <c r="AN32" s="131"/>
      <c r="AO32" s="377"/>
      <c r="AP32" s="356"/>
      <c r="AQ32" s="373">
        <f>AO11</f>
        <v>7.5</v>
      </c>
      <c r="AS32" s="291"/>
      <c r="AT32" s="68" t="s">
        <v>604</v>
      </c>
      <c r="AU32" s="247"/>
      <c r="AV32" s="330">
        <v>170</v>
      </c>
      <c r="AW32" s="318">
        <v>260</v>
      </c>
      <c r="AX32" s="2179">
        <f>VLOOKUP(AV32,Изложницы_без_бурта[],4,FALSE)</f>
        <v>320</v>
      </c>
      <c r="AY32" s="2180"/>
      <c r="AZ32" s="2181"/>
      <c r="BA32" s="292"/>
      <c r="BB32" s="131"/>
      <c r="BC32" s="355"/>
      <c r="BD32" s="356"/>
      <c r="BE32" s="351">
        <f>BC11</f>
        <v>7.5</v>
      </c>
    </row>
    <row r="33" spans="2:58" ht="15" thickBot="1" x14ac:dyDescent="0.35">
      <c r="B33" s="786"/>
      <c r="C33" s="783" t="s">
        <v>44</v>
      </c>
      <c r="D33" s="44"/>
      <c r="E33" s="787"/>
      <c r="F33" s="788"/>
      <c r="G33" s="124" t="s">
        <v>597</v>
      </c>
      <c r="H33" s="789"/>
      <c r="I33" s="28"/>
      <c r="J33" s="785"/>
      <c r="K33" s="131"/>
      <c r="P33" s="4"/>
      <c r="Q33" s="279"/>
      <c r="R33" s="9"/>
      <c r="S33" s="1640"/>
      <c r="T33" s="1738"/>
      <c r="U33" s="1735"/>
      <c r="V33" s="1736"/>
      <c r="W33" s="1737"/>
      <c r="X33" s="28"/>
      <c r="Y33" s="320"/>
      <c r="Z33" s="131"/>
      <c r="AA33" s="386"/>
      <c r="AB33" s="382"/>
      <c r="AC33" s="383">
        <f>AA11</f>
        <v>8.5</v>
      </c>
      <c r="AE33" s="18"/>
      <c r="AF33" s="62" t="s">
        <v>604</v>
      </c>
      <c r="AG33" s="38"/>
      <c r="AH33" s="1640">
        <v>205</v>
      </c>
      <c r="AI33" s="1640">
        <v>260</v>
      </c>
      <c r="AJ33" s="2182">
        <f>VLOOKUP(AH33,Изложницы_без_бурта[],4,FALSE)</f>
        <v>320</v>
      </c>
      <c r="AK33" s="2183"/>
      <c r="AL33" s="2184"/>
      <c r="AM33" s="320"/>
      <c r="AN33" s="131"/>
      <c r="AO33" s="378"/>
      <c r="AP33" s="362"/>
      <c r="AQ33" s="374">
        <f>((AQ28*AQ28-AQ29*AQ29)*3.1415926*AQ31*AQ32+(AQ27*AQ27-AQ28*AQ28)*AQ30*AQ32*3.14)/4000000</f>
        <v>65.730092255714823</v>
      </c>
      <c r="AS33" s="18"/>
      <c r="AT33" s="62"/>
      <c r="AU33" s="38"/>
      <c r="AV33" s="319"/>
      <c r="AW33" s="319"/>
      <c r="AX33" s="2182"/>
      <c r="AY33" s="2183"/>
      <c r="AZ33" s="2184"/>
      <c r="BA33" s="320"/>
      <c r="BB33" s="131"/>
      <c r="BC33" s="355"/>
      <c r="BD33" s="356"/>
      <c r="BE33" s="354">
        <f>((BE28*BE28-BE29*BE29)*3.1415926*BE31*BE32+(BE27*BE27-BE28*BE28)*BE30*BE32*3.14)/4000000</f>
        <v>2.8758662259166665E-2</v>
      </c>
    </row>
    <row r="34" spans="2:58" ht="15" thickBot="1" x14ac:dyDescent="0.35">
      <c r="B34" s="4"/>
      <c r="C34" s="783" t="s">
        <v>848</v>
      </c>
      <c r="D34" s="52"/>
      <c r="E34" s="790"/>
      <c r="F34" s="788"/>
      <c r="G34" s="862" t="str">
        <f>_xlfn.IFS(D23&lt;16,VLOOKUP(G9,Данные!A3:E27,2,FALSE),OR(D23&gt;=16,D23&lt;40),VLOOKUP(G9,Данные!A3:E27,3,FALSE),D23&gt;=40,VLOOKUP(G9,Данные!A3:E27,4,FALSE))</f>
        <v>1320-1340</v>
      </c>
      <c r="H34" s="52" t="s">
        <v>849</v>
      </c>
      <c r="I34" s="28"/>
      <c r="J34" s="115"/>
      <c r="K34" s="131"/>
      <c r="N34" s="800"/>
      <c r="P34" s="18"/>
      <c r="Q34" s="293" t="str">
        <f>IF(AB24=FALSE,"Без приб.надставки","Прибыль ")</f>
        <v>Без приб.надставки</v>
      </c>
      <c r="R34" s="38"/>
      <c r="S34" s="1470"/>
      <c r="T34" s="1471"/>
      <c r="U34" s="2173" t="str">
        <f>IF(AB24=TRUE,AC24,"")</f>
        <v/>
      </c>
      <c r="V34" s="2174"/>
      <c r="W34" s="2175"/>
      <c r="X34" s="294"/>
      <c r="Y34" s="295"/>
      <c r="Z34" s="131"/>
      <c r="AA34" s="387"/>
      <c r="AB34" s="382"/>
      <c r="AC34" s="388">
        <f>((AC29*AC29-AC30*AC30)*3.1415926*AC32*AC33+(AC28*AC28-AC29*AC29)*AC31*AC33*3.14)/4000000</f>
        <v>246.79909679140627</v>
      </c>
      <c r="AE34" s="1"/>
      <c r="AF34" s="2" t="s">
        <v>241</v>
      </c>
      <c r="AG34" s="2"/>
      <c r="AH34" s="2"/>
      <c r="AI34" s="296">
        <f>AI32+AI33</f>
        <v>1040</v>
      </c>
      <c r="AJ34" s="2"/>
      <c r="AK34" s="2"/>
      <c r="AL34" s="297"/>
      <c r="AM34" s="298"/>
      <c r="AN34" s="131"/>
      <c r="AO34" s="618" t="s">
        <v>765</v>
      </c>
      <c r="AP34" s="619"/>
      <c r="AQ34" s="1639">
        <f>AQ23+AQ33</f>
        <v>261.65328618746423</v>
      </c>
      <c r="AS34" s="1"/>
      <c r="AT34" s="2" t="s">
        <v>241</v>
      </c>
      <c r="AU34" s="2"/>
      <c r="AV34" s="2"/>
      <c r="AW34" s="1722">
        <v>260</v>
      </c>
      <c r="AX34" s="2"/>
      <c r="AY34" s="2"/>
      <c r="AZ34" s="297"/>
      <c r="BA34" s="298"/>
      <c r="BB34" s="131"/>
      <c r="BC34" s="618" t="s">
        <v>765</v>
      </c>
      <c r="BD34" s="619"/>
      <c r="BE34" s="620">
        <f>BE23+BE33</f>
        <v>46.575078952718322</v>
      </c>
      <c r="BF34" s="56"/>
    </row>
    <row r="35" spans="2:58" ht="15" thickBot="1" x14ac:dyDescent="0.35">
      <c r="B35" s="4"/>
      <c r="C35" s="783" t="s">
        <v>49</v>
      </c>
      <c r="D35" s="52"/>
      <c r="E35" s="52"/>
      <c r="F35" s="279"/>
      <c r="G35" s="508" t="str">
        <f>IF(G32="250010.00001","Засыпать сухим песком толщиной 40 мм.","25010.00168")</f>
        <v>Засыпать сухим песком толщиной 40 мм.</v>
      </c>
      <c r="H35" s="56"/>
      <c r="I35" s="27"/>
      <c r="J35" s="25"/>
      <c r="K35" s="131"/>
      <c r="P35" s="1"/>
      <c r="Q35" s="2" t="s">
        <v>241</v>
      </c>
      <c r="R35" s="2"/>
      <c r="S35" s="2"/>
      <c r="T35" s="1696">
        <f>AC20</f>
        <v>400</v>
      </c>
      <c r="U35" s="2"/>
      <c r="V35" s="2"/>
      <c r="W35" s="2"/>
      <c r="X35" s="297"/>
      <c r="Y35" s="298"/>
      <c r="Z35" s="22"/>
      <c r="AA35" s="389" t="s">
        <v>858</v>
      </c>
      <c r="AB35" s="390"/>
      <c r="AC35" s="840">
        <f>AC34/2</f>
        <v>123.39954839570314</v>
      </c>
      <c r="AE35" s="11"/>
      <c r="AF35" s="299" t="s">
        <v>43</v>
      </c>
      <c r="AG35" s="68"/>
      <c r="AH35" s="68"/>
      <c r="AI35" s="68"/>
      <c r="AJ35" s="299" t="str">
        <f>VLOOKUP(AJ9,Данные!A3:I27,6,FALSE())</f>
        <v>25010.00176</v>
      </c>
      <c r="AK35" s="68"/>
      <c r="AL35" s="300"/>
      <c r="AM35" s="301"/>
      <c r="AN35" s="131"/>
      <c r="AO35" s="57"/>
      <c r="AP35" s="57"/>
      <c r="AQ35" s="709"/>
      <c r="AS35" s="11"/>
      <c r="AT35" s="299" t="s">
        <v>43</v>
      </c>
      <c r="AU35" s="68"/>
      <c r="AV35" s="68"/>
      <c r="AW35" s="68"/>
      <c r="AX35" s="299" t="str">
        <f>VLOOKUP(AX9,Данные!A3:I27,6,FALSE())</f>
        <v>25010.00176</v>
      </c>
      <c r="AY35" s="68"/>
      <c r="AZ35" s="300"/>
      <c r="BA35" s="301"/>
      <c r="BB35" s="131"/>
      <c r="BC35" s="41"/>
      <c r="BD35" s="41"/>
      <c r="BE35" s="56"/>
    </row>
    <row r="36" spans="2:58" ht="15" thickBot="1" x14ac:dyDescent="0.35">
      <c r="B36" s="4"/>
      <c r="C36" s="783" t="s">
        <v>52</v>
      </c>
      <c r="D36" s="52"/>
      <c r="E36" s="52"/>
      <c r="F36" s="56"/>
      <c r="G36" s="867">
        <v>1.4999999999999999E-2</v>
      </c>
      <c r="H36" s="56"/>
      <c r="I36" s="26"/>
      <c r="J36" s="25"/>
      <c r="K36" s="22"/>
      <c r="P36" s="11"/>
      <c r="Q36" s="299" t="s">
        <v>43</v>
      </c>
      <c r="R36" s="68"/>
      <c r="S36" s="68"/>
      <c r="T36" s="68"/>
      <c r="U36" s="299" t="str">
        <f>VLOOKUP(U9,Данные!A3:I27,6,FALSE())</f>
        <v>25010.00178</v>
      </c>
      <c r="V36" s="299"/>
      <c r="W36" s="68"/>
      <c r="X36" s="300"/>
      <c r="Y36" s="301"/>
      <c r="Z36" s="22"/>
      <c r="AA36" s="41" t="s">
        <v>176</v>
      </c>
      <c r="AB36" s="41"/>
      <c r="AC36" s="847">
        <f>IF(AB24=TRUE,AC22+IF(AB25=TRUE,AC35,AC34),AC22)</f>
        <v>35.315427814750002</v>
      </c>
      <c r="AE36" s="18"/>
      <c r="AF36" s="302" t="s">
        <v>44</v>
      </c>
      <c r="AG36" s="62"/>
      <c r="AH36" s="62"/>
      <c r="AI36" s="62"/>
      <c r="AJ36" s="62" t="s">
        <v>597</v>
      </c>
      <c r="AK36" s="62"/>
      <c r="AL36" s="303"/>
      <c r="AM36" s="143"/>
      <c r="AN36" s="131"/>
      <c r="AO36" s="57"/>
      <c r="AP36" s="57"/>
      <c r="AQ36" s="709"/>
      <c r="AS36" s="18"/>
      <c r="AT36" s="302" t="s">
        <v>44</v>
      </c>
      <c r="AU36" s="62"/>
      <c r="AV36" s="62"/>
      <c r="AW36" s="62"/>
      <c r="AX36" s="62" t="s">
        <v>597</v>
      </c>
      <c r="AY36" s="62"/>
      <c r="AZ36" s="303"/>
      <c r="BA36" s="143"/>
      <c r="BB36" s="131"/>
      <c r="BC36" s="41"/>
      <c r="BD36" s="41"/>
      <c r="BE36" s="41"/>
    </row>
    <row r="37" spans="2:58" ht="15" thickBot="1" x14ac:dyDescent="0.35">
      <c r="B37" s="4"/>
      <c r="C37" s="52" t="s">
        <v>45</v>
      </c>
      <c r="D37" s="52"/>
      <c r="E37" s="52"/>
      <c r="F37" s="56"/>
      <c r="G37" s="586" t="s">
        <v>46</v>
      </c>
      <c r="H37" s="56"/>
      <c r="I37" s="26"/>
      <c r="J37" s="25"/>
      <c r="K37" s="22"/>
      <c r="P37" s="18"/>
      <c r="Q37" s="302" t="s">
        <v>44</v>
      </c>
      <c r="R37" s="62"/>
      <c r="S37" s="62"/>
      <c r="T37" s="62"/>
      <c r="U37" s="62" t="s">
        <v>597</v>
      </c>
      <c r="V37" s="62"/>
      <c r="W37" s="62"/>
      <c r="X37" s="303"/>
      <c r="Y37" s="143"/>
      <c r="Z37" s="22"/>
      <c r="AA37" s="41"/>
      <c r="AB37" s="41"/>
      <c r="AC37" s="41"/>
      <c r="AE37" s="4"/>
      <c r="AF37" s="57" t="s">
        <v>243</v>
      </c>
      <c r="AG37" s="56"/>
      <c r="AH37" s="56"/>
      <c r="AI37" s="56"/>
      <c r="AJ37" s="56"/>
      <c r="AK37" s="56"/>
      <c r="AL37" s="22"/>
      <c r="AM37" s="23"/>
      <c r="AN37" s="22"/>
      <c r="AS37" s="4"/>
      <c r="AT37" s="57" t="s">
        <v>243</v>
      </c>
      <c r="AU37" s="56"/>
      <c r="AV37" s="56"/>
      <c r="AW37" s="56"/>
      <c r="AX37" s="56"/>
      <c r="AY37" s="56"/>
      <c r="AZ37" s="22"/>
      <c r="BA37" s="23"/>
      <c r="BB37" s="22"/>
      <c r="BC37" s="41"/>
      <c r="BD37" s="41"/>
      <c r="BE37" s="41"/>
    </row>
    <row r="38" spans="2:58" ht="15" thickBot="1" x14ac:dyDescent="0.35">
      <c r="B38" s="4"/>
      <c r="C38" s="783" t="s">
        <v>47</v>
      </c>
      <c r="D38" s="52"/>
      <c r="E38" s="52"/>
      <c r="F38" s="56"/>
      <c r="G38" s="586" t="s">
        <v>48</v>
      </c>
      <c r="H38" s="56"/>
      <c r="I38" s="27"/>
      <c r="J38" s="25"/>
      <c r="K38" s="22"/>
      <c r="P38" s="4"/>
      <c r="Q38" s="57" t="s">
        <v>243</v>
      </c>
      <c r="R38" s="56"/>
      <c r="S38" s="56"/>
      <c r="T38" s="56"/>
      <c r="U38" s="56"/>
      <c r="V38" s="56"/>
      <c r="W38" s="56"/>
      <c r="X38" s="22"/>
      <c r="Y38" s="23"/>
      <c r="Z38" s="56"/>
      <c r="AA38" s="2188" t="s">
        <v>270</v>
      </c>
      <c r="AB38" s="2189"/>
      <c r="AC38" s="2190"/>
      <c r="AE38" s="4"/>
      <c r="AF38" s="57" t="s">
        <v>244</v>
      </c>
      <c r="AG38" s="56"/>
      <c r="AH38" s="56"/>
      <c r="AI38" s="56"/>
      <c r="AJ38" s="56"/>
      <c r="AK38" s="56"/>
      <c r="AL38" s="22"/>
      <c r="AM38" s="23"/>
      <c r="AN38" s="22"/>
      <c r="AO38" s="2187" t="s">
        <v>270</v>
      </c>
      <c r="AP38" s="2187"/>
      <c r="AQ38" s="2187"/>
      <c r="AS38" s="4"/>
      <c r="AT38" s="57" t="s">
        <v>244</v>
      </c>
      <c r="AU38" s="56"/>
      <c r="AV38" s="56"/>
      <c r="AW38" s="56"/>
      <c r="AX38" s="56"/>
      <c r="AY38" s="56"/>
      <c r="AZ38" s="22"/>
      <c r="BA38" s="23"/>
      <c r="BB38" s="22"/>
      <c r="BC38" s="2187" t="s">
        <v>270</v>
      </c>
      <c r="BD38" s="2187"/>
      <c r="BE38" s="2187"/>
    </row>
    <row r="39" spans="2:58" ht="15" thickBot="1" x14ac:dyDescent="0.35">
      <c r="B39" s="11"/>
      <c r="C39" s="299" t="s">
        <v>243</v>
      </c>
      <c r="D39" s="68"/>
      <c r="E39" s="68"/>
      <c r="F39" s="68"/>
      <c r="G39" s="68"/>
      <c r="H39" s="68"/>
      <c r="I39" s="118"/>
      <c r="J39" s="119"/>
      <c r="K39" s="56"/>
      <c r="P39" s="4"/>
      <c r="Q39" s="57" t="s">
        <v>244</v>
      </c>
      <c r="R39" s="56"/>
      <c r="S39" s="56"/>
      <c r="T39" s="56"/>
      <c r="U39" s="56"/>
      <c r="V39" s="56"/>
      <c r="W39" s="56"/>
      <c r="X39" s="22"/>
      <c r="Y39" s="23"/>
      <c r="Z39" s="56"/>
      <c r="AA39" s="2162" t="s">
        <v>787</v>
      </c>
      <c r="AB39" s="2154"/>
      <c r="AC39" s="842">
        <f>AA10</f>
        <v>148</v>
      </c>
      <c r="AE39" s="4"/>
      <c r="AF39" s="57" t="s">
        <v>598</v>
      </c>
      <c r="AG39" s="56"/>
      <c r="AH39" s="56"/>
      <c r="AI39" s="56"/>
      <c r="AJ39" s="56"/>
      <c r="AK39" s="56"/>
      <c r="AL39" s="22"/>
      <c r="AM39" s="23"/>
      <c r="AN39" s="22"/>
      <c r="AO39" s="2185" t="s">
        <v>787</v>
      </c>
      <c r="AP39" s="2185"/>
      <c r="AQ39" s="689">
        <v>160</v>
      </c>
      <c r="AS39" s="4"/>
      <c r="AT39" s="57" t="s">
        <v>598</v>
      </c>
      <c r="AU39" s="56"/>
      <c r="AV39" s="56"/>
      <c r="AW39" s="56"/>
      <c r="AX39" s="56"/>
      <c r="AY39" s="56"/>
      <c r="AZ39" s="22"/>
      <c r="BA39" s="23"/>
      <c r="BB39" s="22"/>
      <c r="BC39" s="2185" t="s">
        <v>787</v>
      </c>
      <c r="BD39" s="2185"/>
      <c r="BE39" s="689">
        <f>BC10</f>
        <v>145</v>
      </c>
    </row>
    <row r="40" spans="2:58" ht="15" thickBot="1" x14ac:dyDescent="0.35">
      <c r="B40" s="4"/>
      <c r="C40" s="57" t="s">
        <v>244</v>
      </c>
      <c r="D40" s="56"/>
      <c r="E40" s="56"/>
      <c r="F40" s="56"/>
      <c r="G40" s="56"/>
      <c r="H40" s="56"/>
      <c r="I40" s="22"/>
      <c r="J40" s="23"/>
      <c r="K40" s="56"/>
      <c r="P40" s="4"/>
      <c r="Q40" s="57" t="s">
        <v>598</v>
      </c>
      <c r="R40" s="56"/>
      <c r="S40" s="56"/>
      <c r="T40" s="56"/>
      <c r="U40" s="56"/>
      <c r="V40" s="56"/>
      <c r="W40" s="56"/>
      <c r="X40" s="22"/>
      <c r="Y40" s="23"/>
      <c r="Z40" s="56"/>
      <c r="AA40" s="2162" t="s">
        <v>788</v>
      </c>
      <c r="AB40" s="2154"/>
      <c r="AC40" s="842">
        <f>U17</f>
        <v>4</v>
      </c>
      <c r="AE40" s="1"/>
      <c r="AF40" s="77" t="s">
        <v>246</v>
      </c>
      <c r="AG40" s="80"/>
      <c r="AH40" s="80" t="s">
        <v>599</v>
      </c>
      <c r="AI40" s="80" t="s">
        <v>248</v>
      </c>
      <c r="AJ40" s="80" t="s">
        <v>600</v>
      </c>
      <c r="AK40" s="80" t="s">
        <v>248</v>
      </c>
      <c r="AL40" s="80" t="s">
        <v>249</v>
      </c>
      <c r="AM40" s="80" t="s">
        <v>248</v>
      </c>
      <c r="AN40" s="56"/>
      <c r="AO40" s="2185" t="s">
        <v>788</v>
      </c>
      <c r="AP40" s="2185"/>
      <c r="AQ40" s="689">
        <v>4</v>
      </c>
      <c r="AS40" s="2038" t="s">
        <v>246</v>
      </c>
      <c r="AT40" s="2039"/>
      <c r="AU40" s="2040"/>
      <c r="AV40" s="1187" t="s">
        <v>599</v>
      </c>
      <c r="AW40" s="1187" t="s">
        <v>248</v>
      </c>
      <c r="AX40" s="1187" t="s">
        <v>600</v>
      </c>
      <c r="AY40" s="1187" t="s">
        <v>248</v>
      </c>
      <c r="AZ40" s="1187" t="s">
        <v>249</v>
      </c>
      <c r="BA40" s="1187" t="s">
        <v>248</v>
      </c>
      <c r="BB40" s="56"/>
      <c r="BC40" s="2185" t="s">
        <v>788</v>
      </c>
      <c r="BD40" s="2185"/>
      <c r="BE40" s="689">
        <f>AX17</f>
        <v>1</v>
      </c>
    </row>
    <row r="41" spans="2:58" ht="15" thickBot="1" x14ac:dyDescent="0.35">
      <c r="B41" s="18"/>
      <c r="C41" s="302" t="s">
        <v>598</v>
      </c>
      <c r="D41" s="62"/>
      <c r="E41" s="62"/>
      <c r="F41" s="62"/>
      <c r="G41" s="62"/>
      <c r="H41" s="62"/>
      <c r="I41" s="123"/>
      <c r="J41" s="69"/>
      <c r="K41" s="56"/>
      <c r="P41" s="1222" t="s">
        <v>246</v>
      </c>
      <c r="Q41" s="1223"/>
      <c r="R41" s="1224"/>
      <c r="S41" s="1187" t="s">
        <v>599</v>
      </c>
      <c r="T41" s="1187" t="s">
        <v>248</v>
      </c>
      <c r="U41" s="1187" t="s">
        <v>600</v>
      </c>
      <c r="V41" s="1222" t="s">
        <v>248</v>
      </c>
      <c r="W41" s="1224"/>
      <c r="X41" s="1187" t="s">
        <v>249</v>
      </c>
      <c r="Y41" s="1187" t="s">
        <v>248</v>
      </c>
      <c r="Z41" s="56"/>
      <c r="AA41" s="2162" t="s">
        <v>789</v>
      </c>
      <c r="AB41" s="2154"/>
      <c r="AC41" s="842">
        <f>IF(R23&lt;100,8,IF(AND(R23&gt;=100,R23&lt;200),10,20))</f>
        <v>10</v>
      </c>
      <c r="AE41" s="2145">
        <f ca="1">TODAY()</f>
        <v>45590</v>
      </c>
      <c r="AF41" s="2146"/>
      <c r="AG41" s="2147"/>
      <c r="AH41" s="80" t="s">
        <v>946</v>
      </c>
      <c r="AI41" s="304"/>
      <c r="AJ41" s="80" t="s">
        <v>946</v>
      </c>
      <c r="AK41" s="80"/>
      <c r="AL41" s="80"/>
      <c r="AM41" s="80"/>
      <c r="AN41" s="56"/>
      <c r="AO41" s="2185" t="s">
        <v>789</v>
      </c>
      <c r="AP41" s="2185"/>
      <c r="AQ41" s="689">
        <f>IF(AG23&lt;100,8,IF(AND(AG23&gt;=100,AG23&lt;200),10,20))</f>
        <v>10</v>
      </c>
      <c r="AS41" s="2145">
        <f ca="1">TODAY()</f>
        <v>45590</v>
      </c>
      <c r="AT41" s="2146"/>
      <c r="AU41" s="2147"/>
      <c r="AV41" s="80" t="s">
        <v>946</v>
      </c>
      <c r="AW41" s="304"/>
      <c r="AX41" s="80" t="s">
        <v>946</v>
      </c>
      <c r="AY41" s="80"/>
      <c r="AZ41" s="80"/>
      <c r="BA41" s="80"/>
      <c r="BB41" s="56"/>
      <c r="BC41" s="2185" t="s">
        <v>789</v>
      </c>
      <c r="BD41" s="2185"/>
      <c r="BE41" s="689">
        <f>IF(AU23&lt;100,8,IF(AND(AU23&gt;=100,AU23&lt;200),10,20))</f>
        <v>10</v>
      </c>
    </row>
    <row r="42" spans="2:58" ht="15" thickBot="1" x14ac:dyDescent="0.35">
      <c r="B42" s="1"/>
      <c r="C42" s="77" t="s">
        <v>246</v>
      </c>
      <c r="D42" s="80"/>
      <c r="E42" s="1187" t="s">
        <v>599</v>
      </c>
      <c r="F42" s="1187" t="s">
        <v>248</v>
      </c>
      <c r="G42" s="1187" t="s">
        <v>600</v>
      </c>
      <c r="H42" s="1187" t="s">
        <v>248</v>
      </c>
      <c r="I42" s="1187" t="s">
        <v>249</v>
      </c>
      <c r="J42" s="1187" t="s">
        <v>248</v>
      </c>
      <c r="K42" s="56"/>
      <c r="P42" s="1225">
        <f ca="1">TODAY()</f>
        <v>45590</v>
      </c>
      <c r="Q42" s="1226"/>
      <c r="R42" s="1227"/>
      <c r="S42" s="1187" t="s">
        <v>946</v>
      </c>
      <c r="T42" s="1192"/>
      <c r="U42" s="1187" t="s">
        <v>946</v>
      </c>
      <c r="V42" s="2038"/>
      <c r="W42" s="2040"/>
      <c r="X42" s="1187"/>
      <c r="Y42" s="1187"/>
      <c r="Z42" s="41"/>
      <c r="AA42" s="2162" t="s">
        <v>752</v>
      </c>
      <c r="AB42" s="2154"/>
      <c r="AC42" s="842">
        <f>IF(R23&lt;100,35,IF(AND(R23&gt;=100,R23&lt;200),40,50))</f>
        <v>40</v>
      </c>
      <c r="AE42" s="1"/>
      <c r="AF42" s="2163" t="s">
        <v>61</v>
      </c>
      <c r="AG42" s="2068"/>
      <c r="AH42" s="80"/>
      <c r="AI42" s="71"/>
      <c r="AJ42" s="80"/>
      <c r="AK42" s="80"/>
      <c r="AL42" s="80"/>
      <c r="AM42" s="80"/>
      <c r="AN42" s="56"/>
      <c r="AO42" s="2185" t="s">
        <v>752</v>
      </c>
      <c r="AP42" s="2185"/>
      <c r="AQ42" s="689">
        <v>40</v>
      </c>
      <c r="AS42" s="2067" t="s">
        <v>61</v>
      </c>
      <c r="AT42" s="2163"/>
      <c r="AU42" s="2068"/>
      <c r="AV42" s="80"/>
      <c r="AW42" s="71"/>
      <c r="AX42" s="80"/>
      <c r="AY42" s="80"/>
      <c r="AZ42" s="80"/>
      <c r="BA42" s="80"/>
      <c r="BB42" s="56"/>
      <c r="BC42" s="2185" t="s">
        <v>752</v>
      </c>
      <c r="BD42" s="2185"/>
      <c r="BE42" s="689">
        <f>IF(AT21&lt;100,35,IF(AND(AT21&gt;=100,AT21&lt;200),40,50))</f>
        <v>35</v>
      </c>
    </row>
    <row r="43" spans="2:58" ht="15" thickBot="1" x14ac:dyDescent="0.35">
      <c r="B43" s="2145">
        <f ca="1">TODAY()</f>
        <v>45590</v>
      </c>
      <c r="C43" s="2146"/>
      <c r="D43" s="2147"/>
      <c r="E43" s="1187" t="s">
        <v>946</v>
      </c>
      <c r="F43" s="1192"/>
      <c r="G43" s="1187" t="s">
        <v>946</v>
      </c>
      <c r="H43" s="1187"/>
      <c r="I43" s="1187" t="s">
        <v>946</v>
      </c>
      <c r="J43" s="1187"/>
      <c r="K43" s="56"/>
      <c r="P43" s="1228" t="s">
        <v>61</v>
      </c>
      <c r="Q43" s="1229"/>
      <c r="R43" s="1230"/>
      <c r="S43" s="80"/>
      <c r="T43" s="71"/>
      <c r="U43" s="80"/>
      <c r="V43" s="2038"/>
      <c r="W43" s="2040"/>
      <c r="X43" s="80"/>
      <c r="Y43" s="80"/>
      <c r="Z43" s="41"/>
      <c r="AA43" s="844"/>
      <c r="AB43" s="845"/>
      <c r="AC43" s="843">
        <f>IF(AC40=1,X28,AC39*AC40+AC41*AC40+AC42)</f>
        <v>672</v>
      </c>
      <c r="AN43" s="56"/>
      <c r="AO43" s="41"/>
      <c r="AP43" s="41"/>
      <c r="AQ43" s="690">
        <f>AQ39*AQ40+AQ41*AQ40+AQ42</f>
        <v>720</v>
      </c>
      <c r="BC43" s="41"/>
      <c r="BD43" s="41"/>
      <c r="BE43" s="690">
        <f>BE39*BE40+BE41*BE40+BE42</f>
        <v>190</v>
      </c>
    </row>
    <row r="44" spans="2:58" ht="15" thickBot="1" x14ac:dyDescent="0.35">
      <c r="B44" s="1"/>
      <c r="C44" s="305" t="s">
        <v>61</v>
      </c>
      <c r="D44" s="80"/>
      <c r="E44" s="80"/>
      <c r="F44" s="71"/>
      <c r="G44" s="80"/>
      <c r="H44" s="80"/>
      <c r="I44" s="80"/>
      <c r="J44" s="80"/>
      <c r="K44" s="56"/>
      <c r="P44" s="41"/>
      <c r="Q44" s="41"/>
      <c r="R44" s="41"/>
      <c r="S44" s="41"/>
      <c r="T44" s="41"/>
      <c r="U44" s="41"/>
      <c r="W44" s="41"/>
      <c r="X44" s="41"/>
      <c r="Y44" s="41"/>
      <c r="Z44" s="41"/>
      <c r="AA44" s="389"/>
      <c r="AB44" s="846"/>
      <c r="AC44" s="67">
        <v>356</v>
      </c>
      <c r="AE44" s="2150" t="s">
        <v>78</v>
      </c>
      <c r="AF44" s="2151"/>
      <c r="AG44" s="2151"/>
      <c r="AH44" s="2151"/>
      <c r="AI44" s="2151"/>
      <c r="AJ44" s="2151"/>
      <c r="AK44" s="2151"/>
      <c r="AL44" s="2151"/>
      <c r="AM44" s="2152"/>
      <c r="AS44" s="638"/>
      <c r="AT44" s="638"/>
      <c r="AU44" s="638"/>
      <c r="AV44" s="638"/>
      <c r="AW44" s="638"/>
      <c r="AX44" s="638"/>
      <c r="AY44" s="638"/>
      <c r="AZ44" s="638"/>
      <c r="BA44" s="638"/>
    </row>
    <row r="45" spans="2:58" ht="14.4" customHeight="1" thickBot="1" x14ac:dyDescent="0.35">
      <c r="B45" s="4"/>
      <c r="C45" s="56"/>
      <c r="D45" s="56"/>
      <c r="E45" s="56"/>
      <c r="F45" s="16"/>
      <c r="G45" s="56"/>
      <c r="H45" s="56"/>
      <c r="I45" s="56"/>
      <c r="J45" s="9"/>
      <c r="K45" s="56"/>
      <c r="P45" s="1084"/>
      <c r="Q45" s="2150" t="s">
        <v>78</v>
      </c>
      <c r="R45" s="2151"/>
      <c r="S45" s="2151"/>
      <c r="T45" s="2151"/>
      <c r="U45" s="2151"/>
      <c r="V45" s="2151"/>
      <c r="W45" s="2151"/>
      <c r="X45" s="2151"/>
      <c r="Y45" s="2152"/>
      <c r="Z45" s="41"/>
      <c r="AA45" s="41"/>
      <c r="AB45" s="41"/>
      <c r="AE45" s="2164" t="str">
        <f>VLOOKUP(AH32,Изложницы[],5,FALSE)&amp;VLOOKUP(AH32,Изложницы_без_бурта[],5,FALSE)</f>
        <v>72.11870 - 25</v>
      </c>
      <c r="AF45" s="2165"/>
      <c r="AG45" s="2165"/>
      <c r="AH45" s="2165"/>
      <c r="AI45" s="2165"/>
      <c r="AJ45" s="2165"/>
      <c r="AK45" s="2165"/>
      <c r="AL45" s="2165"/>
      <c r="AM45" s="2166"/>
      <c r="AO45" s="41"/>
      <c r="AP45" s="41"/>
      <c r="AQ45" s="41"/>
      <c r="AS45" s="728"/>
      <c r="AT45" s="728"/>
      <c r="AU45" s="728"/>
      <c r="AV45" s="728"/>
      <c r="AW45" s="728"/>
      <c r="AX45" s="728"/>
      <c r="AY45" s="728"/>
      <c r="AZ45" s="728">
        <v>3</v>
      </c>
      <c r="BA45" s="728"/>
    </row>
    <row r="46" spans="2:58" ht="14.4" customHeight="1" x14ac:dyDescent="0.3">
      <c r="B46" s="11"/>
      <c r="C46" s="68" t="s">
        <v>850</v>
      </c>
      <c r="D46" s="68"/>
      <c r="E46" s="1179" t="s">
        <v>250</v>
      </c>
      <c r="F46" s="1170" t="s">
        <v>251</v>
      </c>
      <c r="G46" s="791" t="s">
        <v>251</v>
      </c>
      <c r="H46" s="1193" t="s">
        <v>252</v>
      </c>
      <c r="I46" s="2157" t="s">
        <v>253</v>
      </c>
      <c r="J46" s="2158"/>
      <c r="K46" s="56"/>
      <c r="P46" s="1084"/>
      <c r="Q46" s="2191" t="str">
        <f>VLOOKUP(S32,Изложницы[],5,0)</f>
        <v>Кокиль разъемный, прибыль: Ø180/190, h-40</v>
      </c>
      <c r="R46" s="2192"/>
      <c r="S46" s="2192"/>
      <c r="T46" s="2192"/>
      <c r="U46" s="2192"/>
      <c r="V46" s="2192"/>
      <c r="W46" s="2192"/>
      <c r="X46" s="2192"/>
      <c r="Y46" s="2193"/>
      <c r="Z46" s="41"/>
      <c r="AA46" s="41"/>
      <c r="AB46" s="41"/>
      <c r="AC46" s="41"/>
      <c r="AE46" s="2167"/>
      <c r="AF46" s="2168"/>
      <c r="AG46" s="2168"/>
      <c r="AH46" s="2168"/>
      <c r="AI46" s="2168"/>
      <c r="AJ46" s="2168"/>
      <c r="AK46" s="2168"/>
      <c r="AL46" s="2168"/>
      <c r="AM46" s="2169"/>
      <c r="AS46" s="728"/>
      <c r="AT46" s="728"/>
      <c r="AU46" s="728"/>
      <c r="AV46" s="728"/>
      <c r="AW46" s="728"/>
      <c r="AX46" s="728"/>
      <c r="AY46" s="728"/>
      <c r="AZ46" s="728"/>
      <c r="BA46" s="728"/>
    </row>
    <row r="47" spans="2:58" ht="14.4" customHeight="1" thickBot="1" x14ac:dyDescent="0.35">
      <c r="B47" s="4"/>
      <c r="C47" s="57" t="s">
        <v>254</v>
      </c>
      <c r="D47" s="56"/>
      <c r="E47" s="792" t="s">
        <v>255</v>
      </c>
      <c r="F47" s="310" t="s">
        <v>256</v>
      </c>
      <c r="G47" s="793" t="s">
        <v>851</v>
      </c>
      <c r="H47" s="310"/>
      <c r="I47" s="2148" t="s">
        <v>852</v>
      </c>
      <c r="J47" s="2149"/>
      <c r="K47" s="56"/>
      <c r="P47" s="1084"/>
      <c r="Q47" s="2194"/>
      <c r="R47" s="2195"/>
      <c r="S47" s="2195"/>
      <c r="T47" s="2195"/>
      <c r="U47" s="2195"/>
      <c r="V47" s="2195"/>
      <c r="W47" s="2195"/>
      <c r="X47" s="2195"/>
      <c r="Y47" s="2196"/>
      <c r="Z47" s="41"/>
      <c r="AA47" s="41"/>
      <c r="AB47" s="41"/>
      <c r="AC47" s="41"/>
      <c r="AE47" s="2167"/>
      <c r="AF47" s="2168"/>
      <c r="AG47" s="2168"/>
      <c r="AH47" s="2168"/>
      <c r="AI47" s="2168"/>
      <c r="AJ47" s="2168"/>
      <c r="AK47" s="2168"/>
      <c r="AL47" s="2168"/>
      <c r="AM47" s="2169"/>
      <c r="AS47" s="728"/>
      <c r="AT47" s="728"/>
      <c r="AU47" s="728"/>
      <c r="AV47" s="728"/>
      <c r="AW47" s="728"/>
      <c r="AX47" s="728"/>
      <c r="AY47" s="728"/>
      <c r="AZ47" s="728"/>
      <c r="BA47" s="728"/>
    </row>
    <row r="48" spans="2:58" ht="14.4" customHeight="1" x14ac:dyDescent="0.3">
      <c r="B48" s="11"/>
      <c r="C48" s="299" t="s">
        <v>853</v>
      </c>
      <c r="D48" s="68"/>
      <c r="E48" s="2200">
        <v>40</v>
      </c>
      <c r="F48" s="2200">
        <v>1</v>
      </c>
      <c r="G48" s="2200">
        <v>20</v>
      </c>
      <c r="H48" s="2200">
        <v>3</v>
      </c>
      <c r="I48" s="2202">
        <f>1.152/G17</f>
        <v>0.23039999999999999</v>
      </c>
      <c r="J48" s="2203"/>
      <c r="K48" s="56"/>
      <c r="P48" s="1084"/>
      <c r="Q48" s="2194"/>
      <c r="R48" s="2195"/>
      <c r="S48" s="2195"/>
      <c r="T48" s="2195"/>
      <c r="U48" s="2195"/>
      <c r="V48" s="2195"/>
      <c r="W48" s="2195"/>
      <c r="X48" s="2195"/>
      <c r="Y48" s="2196"/>
      <c r="Z48" s="41"/>
      <c r="AA48" s="41"/>
      <c r="AB48" s="41"/>
      <c r="AC48" s="41"/>
      <c r="AE48" s="2170"/>
      <c r="AF48" s="2171"/>
      <c r="AG48" s="2171"/>
      <c r="AH48" s="2171"/>
      <c r="AI48" s="2171"/>
      <c r="AJ48" s="2171"/>
      <c r="AK48" s="2171"/>
      <c r="AL48" s="2171"/>
      <c r="AM48" s="2172"/>
      <c r="AS48" s="728"/>
      <c r="AT48" s="728"/>
      <c r="AU48" s="728"/>
      <c r="AV48" s="728"/>
      <c r="AW48" s="728"/>
      <c r="AX48" s="728"/>
      <c r="AY48" s="728"/>
      <c r="AZ48" s="728"/>
      <c r="BA48" s="728"/>
    </row>
    <row r="49" spans="2:50" ht="15" thickBot="1" x14ac:dyDescent="0.35">
      <c r="B49" s="18"/>
      <c r="C49" s="302" t="s">
        <v>854</v>
      </c>
      <c r="D49" s="62"/>
      <c r="E49" s="2201"/>
      <c r="F49" s="2201"/>
      <c r="G49" s="2201"/>
      <c r="H49" s="2201"/>
      <c r="I49" s="2204"/>
      <c r="J49" s="2205"/>
      <c r="P49" s="1084"/>
      <c r="Q49" s="2197"/>
      <c r="R49" s="2198"/>
      <c r="S49" s="2198"/>
      <c r="T49" s="2198"/>
      <c r="U49" s="2198"/>
      <c r="V49" s="2198"/>
      <c r="W49" s="2198"/>
      <c r="X49" s="2198"/>
      <c r="Y49" s="2199"/>
      <c r="AE49" s="727"/>
    </row>
    <row r="50" spans="2:50" x14ac:dyDescent="0.3">
      <c r="AX50" s="1312"/>
    </row>
    <row r="51" spans="2:50" ht="18" x14ac:dyDescent="0.35">
      <c r="Q51" s="1732" t="s">
        <v>2070</v>
      </c>
    </row>
    <row r="52" spans="2:50" x14ac:dyDescent="0.3">
      <c r="Q52" t="s">
        <v>2071</v>
      </c>
    </row>
    <row r="53" spans="2:50" x14ac:dyDescent="0.3">
      <c r="Q53" s="1312" t="s">
        <v>2072</v>
      </c>
      <c r="W53" t="s">
        <v>2075</v>
      </c>
    </row>
    <row r="54" spans="2:50" x14ac:dyDescent="0.3">
      <c r="C54" s="2150" t="s">
        <v>270</v>
      </c>
      <c r="D54" s="2151"/>
      <c r="E54" s="2152"/>
      <c r="Q54" s="1312" t="s">
        <v>2073</v>
      </c>
      <c r="W54" t="s">
        <v>2076</v>
      </c>
    </row>
    <row r="55" spans="2:50" x14ac:dyDescent="0.3">
      <c r="C55" s="2153" t="s">
        <v>787</v>
      </c>
      <c r="D55" s="2154"/>
      <c r="E55" s="689">
        <v>148</v>
      </c>
      <c r="K55" s="76"/>
      <c r="Q55" s="1312" t="s">
        <v>2074</v>
      </c>
    </row>
    <row r="56" spans="2:50" s="76" customFormat="1" x14ac:dyDescent="0.3">
      <c r="C56" s="2153" t="s">
        <v>788</v>
      </c>
      <c r="D56" s="2154"/>
      <c r="E56" s="689">
        <v>2</v>
      </c>
      <c r="K56" s="41"/>
      <c r="L56" s="797"/>
      <c r="M56" s="797"/>
      <c r="N56" s="797"/>
      <c r="P56" s="56"/>
      <c r="Q56"/>
      <c r="R56"/>
      <c r="S56"/>
      <c r="T56"/>
      <c r="U56"/>
      <c r="V56" s="41"/>
      <c r="W56"/>
      <c r="X56"/>
      <c r="Y56"/>
      <c r="Z56"/>
      <c r="AA56"/>
      <c r="AB56"/>
      <c r="AC56"/>
      <c r="AD56"/>
      <c r="AE56"/>
    </row>
    <row r="57" spans="2:50" x14ac:dyDescent="0.3">
      <c r="C57" s="2153" t="s">
        <v>789</v>
      </c>
      <c r="D57" s="2154"/>
      <c r="E57" s="689">
        <v>10</v>
      </c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2:50" x14ac:dyDescent="0.3">
      <c r="C58" s="2153" t="s">
        <v>752</v>
      </c>
      <c r="D58" s="2154"/>
      <c r="E58" s="689">
        <v>40</v>
      </c>
      <c r="L58" s="799"/>
      <c r="M58" s="799"/>
      <c r="N58" s="799"/>
    </row>
    <row r="59" spans="2:50" x14ac:dyDescent="0.3">
      <c r="C59" s="1155"/>
      <c r="D59" s="1155"/>
      <c r="E59" s="690">
        <f>IF(E56=1,E55+E58,E55*E56+E57*E56+E58)</f>
        <v>356</v>
      </c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  <row r="101" spans="22:22" x14ac:dyDescent="0.3">
      <c r="V101"/>
    </row>
  </sheetData>
  <mergeCells count="61">
    <mergeCell ref="C55:D55"/>
    <mergeCell ref="C56:D56"/>
    <mergeCell ref="C57:D57"/>
    <mergeCell ref="C58:D58"/>
    <mergeCell ref="BC39:BD39"/>
    <mergeCell ref="BC40:BD40"/>
    <mergeCell ref="BC38:BE38"/>
    <mergeCell ref="C54:E54"/>
    <mergeCell ref="AO42:AP42"/>
    <mergeCell ref="AS41:AU41"/>
    <mergeCell ref="AS42:AU42"/>
    <mergeCell ref="BC41:BD41"/>
    <mergeCell ref="BC42:BD42"/>
    <mergeCell ref="Q46:Y49"/>
    <mergeCell ref="E48:E49"/>
    <mergeCell ref="F48:F49"/>
    <mergeCell ref="G48:G49"/>
    <mergeCell ref="H48:H49"/>
    <mergeCell ref="I48:J49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AX33:AZ33"/>
    <mergeCell ref="AS40:AU40"/>
    <mergeCell ref="Q4:U4"/>
    <mergeCell ref="U32:W32"/>
    <mergeCell ref="Q45:Y45"/>
    <mergeCell ref="AE44:AM44"/>
    <mergeCell ref="AA42:AB42"/>
    <mergeCell ref="AF42:AG42"/>
    <mergeCell ref="V43:W43"/>
    <mergeCell ref="V42:W42"/>
    <mergeCell ref="AA41:AB41"/>
    <mergeCell ref="AE45:AM48"/>
    <mergeCell ref="AA39:AB39"/>
    <mergeCell ref="AA40:AB40"/>
    <mergeCell ref="U34:W34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</mergeCells>
  <conditionalFormatting sqref="Q46:Y49">
    <cfRule type="cellIs" dxfId="5" priority="3" operator="greaterThan">
      <formula>0</formula>
    </cfRule>
  </conditionalFormatting>
  <conditionalFormatting sqref="AE45:AM48">
    <cfRule type="cellIs" dxfId="4" priority="2" operator="greaterThan">
      <formula>0</formula>
    </cfRule>
  </conditionalFormatting>
  <conditionalFormatting sqref="H19">
    <cfRule type="cellIs" dxfId="3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3D30F293-C2DA-47BD-B75D-E1F46674FC7F}">
          <x14:formula1>
            <xm:f>Таблицы!$CN$63:$CN$69</xm:f>
          </x14:formula1>
          <xm:sqref>AC24</xm:sqref>
        </x14:dataValidation>
        <x14:dataValidation type="list" allowBlank="1" showInputMessage="1" showErrorMessage="1" xr:uid="{FDEE325D-F23B-48BD-9A3A-0DA6C2E6175F}">
          <x14:formula1>
            <xm:f>Данные!$A$3:$A$27</xm:f>
          </x14:formula1>
          <xm:sqref>AJ9 G9 U9 AX9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AL403"/>
  <sheetViews>
    <sheetView topLeftCell="M16" zoomScale="70" zoomScaleNormal="70" workbookViewId="0">
      <selection activeCell="T18" sqref="T18"/>
    </sheetView>
  </sheetViews>
  <sheetFormatPr defaultColWidth="8.5546875" defaultRowHeight="13.8" x14ac:dyDescent="0.25"/>
  <cols>
    <col min="1" max="1" width="18.6640625" style="53" customWidth="1"/>
    <col min="2" max="2" width="20.33203125" style="161" customWidth="1"/>
    <col min="3" max="3" width="16.5546875" style="53" customWidth="1"/>
    <col min="4" max="4" width="13.6640625" style="53" customWidth="1"/>
    <col min="5" max="5" width="16" style="53" customWidth="1"/>
    <col min="6" max="6" width="15.6640625" style="53" customWidth="1"/>
    <col min="7" max="7" width="17.44140625" style="53" customWidth="1"/>
    <col min="8" max="8" width="15.44140625" style="53" customWidth="1"/>
    <col min="9" max="9" width="15.109375" style="53" customWidth="1"/>
    <col min="10" max="10" width="20.33203125" style="53" customWidth="1"/>
    <col min="11" max="11" width="17.21875" style="53" customWidth="1"/>
    <col min="12" max="12" width="20.44140625" style="53" bestFit="1" customWidth="1"/>
    <col min="13" max="13" width="16.6640625" style="53" bestFit="1" customWidth="1"/>
    <col min="14" max="14" width="18.109375" style="53" customWidth="1"/>
    <col min="15" max="15" width="14.33203125" style="53" customWidth="1"/>
    <col min="16" max="16" width="18.33203125" style="53" customWidth="1"/>
    <col min="17" max="18" width="17.88671875" style="53" bestFit="1" customWidth="1"/>
    <col min="19" max="19" width="16.88671875" style="53" bestFit="1" customWidth="1"/>
    <col min="20" max="20" width="17.77734375" style="53" customWidth="1"/>
    <col min="21" max="21" width="17.44140625" style="53" bestFit="1" customWidth="1"/>
    <col min="22" max="22" width="18.44140625" style="53" customWidth="1"/>
    <col min="23" max="23" width="16.77734375" style="53" customWidth="1"/>
    <col min="24" max="24" width="15.21875" style="53" customWidth="1"/>
    <col min="25" max="25" width="14.77734375" style="53" customWidth="1"/>
    <col min="26" max="26" width="16.109375" style="53" customWidth="1"/>
    <col min="27" max="27" width="15" style="53" customWidth="1"/>
    <col min="28" max="28" width="13.77734375" style="53" customWidth="1"/>
    <col min="29" max="29" width="14.77734375" style="53" customWidth="1"/>
    <col min="30" max="30" width="17.5546875" style="53" customWidth="1"/>
    <col min="31" max="31" width="8.5546875" style="53"/>
    <col min="32" max="32" width="15.21875" style="53" customWidth="1"/>
    <col min="33" max="16384" width="8.5546875" style="53"/>
  </cols>
  <sheetData>
    <row r="1" spans="1:30" x14ac:dyDescent="0.25">
      <c r="A1" s="2207" t="s">
        <v>83</v>
      </c>
      <c r="B1" s="2208"/>
      <c r="C1" s="1075"/>
      <c r="D1" s="1075" t="s">
        <v>84</v>
      </c>
      <c r="E1" s="1075"/>
      <c r="F1" s="1075" t="s">
        <v>85</v>
      </c>
      <c r="G1" s="1075" t="s">
        <v>86</v>
      </c>
      <c r="H1" s="1076"/>
      <c r="I1" s="151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AA1" s="100"/>
      <c r="AB1" s="895"/>
      <c r="AC1" s="895"/>
      <c r="AD1" s="895"/>
    </row>
    <row r="2" spans="1:30" ht="16.2" thickBot="1" x14ac:dyDescent="0.35">
      <c r="A2" s="163" t="s">
        <v>950</v>
      </c>
      <c r="B2" s="163" t="s">
        <v>1995</v>
      </c>
      <c r="C2" s="163" t="s">
        <v>87</v>
      </c>
      <c r="D2" s="163" t="s">
        <v>88</v>
      </c>
      <c r="E2" s="163" t="s">
        <v>89</v>
      </c>
      <c r="F2" s="163" t="s">
        <v>1599</v>
      </c>
      <c r="G2" s="163" t="s">
        <v>90</v>
      </c>
      <c r="H2" s="163" t="s">
        <v>1996</v>
      </c>
      <c r="I2" s="157" t="s">
        <v>8</v>
      </c>
      <c r="J2" s="152" t="s">
        <v>1047</v>
      </c>
      <c r="L2" s="196"/>
      <c r="M2" s="1349"/>
      <c r="N2" s="1979" t="s">
        <v>2144</v>
      </c>
      <c r="O2" s="1979" t="s">
        <v>330</v>
      </c>
      <c r="P2" s="1979" t="s">
        <v>1872</v>
      </c>
      <c r="Q2" s="219"/>
      <c r="R2" s="1349"/>
    </row>
    <row r="3" spans="1:30" ht="15.6" x14ac:dyDescent="0.3">
      <c r="A3" s="163" t="s">
        <v>6</v>
      </c>
      <c r="B3" s="163" t="s">
        <v>102</v>
      </c>
      <c r="C3" s="163" t="s">
        <v>102</v>
      </c>
      <c r="D3" s="163" t="s">
        <v>102</v>
      </c>
      <c r="E3" s="163" t="s">
        <v>102</v>
      </c>
      <c r="F3" s="163" t="s">
        <v>103</v>
      </c>
      <c r="G3" s="163" t="s">
        <v>81</v>
      </c>
      <c r="H3" s="163" t="s">
        <v>104</v>
      </c>
      <c r="I3" s="1244">
        <v>9.1</v>
      </c>
      <c r="J3" s="100">
        <v>3</v>
      </c>
      <c r="L3" s="196"/>
      <c r="M3" s="1312"/>
      <c r="N3" s="219">
        <v>140</v>
      </c>
      <c r="O3" s="219" t="s">
        <v>331</v>
      </c>
      <c r="P3" s="219"/>
      <c r="Q3" s="219"/>
      <c r="R3" s="1312"/>
      <c r="T3" s="550" t="s">
        <v>696</v>
      </c>
      <c r="U3" s="560" t="s">
        <v>301</v>
      </c>
      <c r="V3" s="561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W3" s="626">
        <f>_xlfn.IFS(U6&lt;=10,10,U6&lt;=20,20,U6&lt;=30,30,U6&lt;=50,50,U6&lt;=80,80,U6&lt;=120,120,U6&lt;=150,150,U6&lt;=200,200,U6&gt;200,300)</f>
        <v>20</v>
      </c>
      <c r="X3" s="517">
        <f>_xlfn.IFS(U5&lt;=10,10,U5&lt;=20,20,U5&lt;=30,30,U5&lt;=50,50,U5&lt;=80,80,U5&lt;=120,120,U5&lt;=150,150,U5&lt;=200,200,U5&gt;200,300)</f>
        <v>50</v>
      </c>
      <c r="Y3" s="1770" t="s">
        <v>2092</v>
      </c>
      <c r="Z3" s="1773"/>
    </row>
    <row r="4" spans="1:30" ht="15.6" x14ac:dyDescent="0.3">
      <c r="A4" s="163" t="s">
        <v>20</v>
      </c>
      <c r="B4" s="163" t="s">
        <v>105</v>
      </c>
      <c r="C4" s="163" t="s">
        <v>105</v>
      </c>
      <c r="D4" s="163" t="s">
        <v>105</v>
      </c>
      <c r="E4" s="163" t="s">
        <v>105</v>
      </c>
      <c r="F4" s="163" t="s">
        <v>103</v>
      </c>
      <c r="G4" s="163" t="s">
        <v>106</v>
      </c>
      <c r="H4" s="163" t="s">
        <v>104</v>
      </c>
      <c r="I4" s="1244">
        <v>9.3000000000000007</v>
      </c>
      <c r="J4" s="100">
        <v>3</v>
      </c>
      <c r="L4" s="196"/>
      <c r="M4" s="1312"/>
      <c r="N4" s="219">
        <v>185</v>
      </c>
      <c r="O4" s="219" t="s">
        <v>332</v>
      </c>
      <c r="P4" s="219"/>
      <c r="Q4" s="219"/>
      <c r="R4" s="1312"/>
      <c r="T4" s="154"/>
      <c r="U4" s="100" t="s">
        <v>2094</v>
      </c>
      <c r="V4" s="100" t="s">
        <v>697</v>
      </c>
      <c r="W4" s="100" t="s">
        <v>305</v>
      </c>
      <c r="X4" s="100" t="s">
        <v>698</v>
      </c>
      <c r="Y4" s="100" t="s">
        <v>699</v>
      </c>
      <c r="Z4" s="559"/>
    </row>
    <row r="5" spans="1:30" ht="15.6" x14ac:dyDescent="0.3">
      <c r="A5" s="163" t="s">
        <v>16</v>
      </c>
      <c r="B5" s="163" t="s">
        <v>105</v>
      </c>
      <c r="C5" s="163" t="s">
        <v>105</v>
      </c>
      <c r="D5" s="163" t="s">
        <v>105</v>
      </c>
      <c r="E5" s="163" t="s">
        <v>105</v>
      </c>
      <c r="F5" s="163" t="s">
        <v>107</v>
      </c>
      <c r="G5" s="163"/>
      <c r="H5" s="163" t="s">
        <v>2069</v>
      </c>
      <c r="I5" s="1244">
        <v>8.8800000000000008</v>
      </c>
      <c r="J5" s="100">
        <v>1.5</v>
      </c>
      <c r="L5" s="196"/>
      <c r="M5" s="1312"/>
      <c r="N5" s="219">
        <v>285</v>
      </c>
      <c r="O5" s="219" t="s">
        <v>333</v>
      </c>
      <c r="P5" s="219"/>
      <c r="Q5" s="219"/>
      <c r="R5" s="1312"/>
      <c r="T5" s="199" t="s">
        <v>2095</v>
      </c>
      <c r="U5" s="160">
        <f>('цб с буртом'!M3-'цб с буртом'!M5)/2</f>
        <v>45</v>
      </c>
      <c r="V5" s="160">
        <f>_xlfn.IFS('цб с буртом'!M3&lt;=100,B109,'цб с буртом'!M3&lt;=200,C109,'цб с буртом'!M3&lt;=300,D109,'цб с буртом'!M3&lt;=400,E109,'цб с буртом'!M3&lt;=500,F109,'цб с буртом'!M3&lt;=600,G109,'цб с буртом'!M3&lt;=700,H109)</f>
        <v>300</v>
      </c>
      <c r="W5" s="160">
        <f>V5/100+1</f>
        <v>4</v>
      </c>
      <c r="X5" s="160">
        <f>IF(V3=1,HLOOKUP(V5,A109:H119,2,FALSE),IF(V3=2,HLOOKUP(V5,A123:H134,2,FALSE),HLOOKUP(V5,A136:H145,2,FALSE)))</f>
        <v>5.5</v>
      </c>
      <c r="Y5" s="160">
        <f>IF(V3=1,VLOOKUP(X3,A109:H119,W5,FALSE),IF(V3=2,VLOOKUP(X3,A123:H132,W5,FALSE),VLOOKUP(X3,A136:H145,W5,FALSE)))</f>
        <v>13.5</v>
      </c>
      <c r="Z5" s="559"/>
    </row>
    <row r="6" spans="1:30" ht="15.6" x14ac:dyDescent="0.3">
      <c r="A6" s="163" t="s">
        <v>1055</v>
      </c>
      <c r="B6" s="163" t="s">
        <v>109</v>
      </c>
      <c r="C6" s="163" t="s">
        <v>109</v>
      </c>
      <c r="D6" s="163" t="s">
        <v>109</v>
      </c>
      <c r="E6" s="163" t="s">
        <v>109</v>
      </c>
      <c r="F6" s="163" t="s">
        <v>110</v>
      </c>
      <c r="G6" s="163"/>
      <c r="H6" s="163" t="s">
        <v>108</v>
      </c>
      <c r="I6" s="1244">
        <v>8.6999999999999993</v>
      </c>
      <c r="J6" s="100">
        <v>3</v>
      </c>
      <c r="L6" s="196"/>
      <c r="M6" s="1312"/>
      <c r="N6" s="219">
        <v>312</v>
      </c>
      <c r="O6" s="219" t="s">
        <v>334</v>
      </c>
      <c r="P6" s="219"/>
      <c r="Q6" s="219"/>
      <c r="R6" s="1312"/>
      <c r="T6" s="562" t="s">
        <v>2096</v>
      </c>
      <c r="U6" s="563">
        <f>('цб с буртом'!M4-'цб с буртом'!M5)/2</f>
        <v>17.5</v>
      </c>
      <c r="V6" s="160">
        <f>_xlfn.IFS('цб с буртом'!M4&lt;=100,B109,'цб с буртом'!M4&lt;=200,C109,'цб с буртом'!M4&lt;=300,D109,'цб с буртом'!M4&lt;=400,E109,'цб с буртом'!M4&lt;=500,F109,'цб с буртом'!M4&lt;=600,G109,'цб с буртом'!M4&lt;=700,H109)</f>
        <v>200</v>
      </c>
      <c r="W6" s="563">
        <f>V6/100+1</f>
        <v>3</v>
      </c>
      <c r="X6" s="563">
        <f>IF(V3=1,HLOOKUP(V6,A109:H119,2,FALSE),IF(V3=2,HLOOKUP(V6,A123:H134,2,FALSE),HLOOKUP(V6,A136:H145,2,FALSE)))</f>
        <v>4.5</v>
      </c>
      <c r="Y6" s="563">
        <f>IF(V3=1,VLOOKUP(W3,A109:H119,W6,FALSE),IF(V3=2,VLOOKUP(W3,A123:H132,W6,FALSE),VLOOKUP(W3,A136:H145,W6,FALSE)))</f>
        <v>6.5</v>
      </c>
      <c r="Z6" s="559"/>
    </row>
    <row r="7" spans="1:30" ht="15.6" x14ac:dyDescent="0.3">
      <c r="A7" s="1244" t="s">
        <v>695</v>
      </c>
      <c r="B7" s="163" t="s">
        <v>109</v>
      </c>
      <c r="C7" s="163" t="s">
        <v>109</v>
      </c>
      <c r="D7" s="163" t="s">
        <v>109</v>
      </c>
      <c r="E7" s="163" t="s">
        <v>109</v>
      </c>
      <c r="F7" s="163" t="s">
        <v>103</v>
      </c>
      <c r="G7" s="163"/>
      <c r="H7" s="163" t="s">
        <v>104</v>
      </c>
      <c r="I7" s="1244">
        <v>9.1999999999999993</v>
      </c>
      <c r="J7" s="100">
        <v>3</v>
      </c>
      <c r="L7" s="196"/>
      <c r="M7" s="1312"/>
      <c r="N7" s="219">
        <v>375</v>
      </c>
      <c r="O7" s="219" t="s">
        <v>335</v>
      </c>
      <c r="P7" s="219"/>
      <c r="Q7" s="219"/>
      <c r="R7" s="1312"/>
      <c r="T7" s="548"/>
      <c r="U7" s="157"/>
      <c r="V7" s="157"/>
      <c r="W7" s="157"/>
      <c r="X7" s="157"/>
      <c r="Y7" s="157"/>
      <c r="Z7" s="559"/>
    </row>
    <row r="8" spans="1:30" ht="15.6" x14ac:dyDescent="0.3">
      <c r="A8" s="1244" t="s">
        <v>14</v>
      </c>
      <c r="B8" s="163" t="s">
        <v>109</v>
      </c>
      <c r="C8" s="163" t="s">
        <v>109</v>
      </c>
      <c r="D8" s="163" t="s">
        <v>109</v>
      </c>
      <c r="E8" s="163" t="s">
        <v>109</v>
      </c>
      <c r="F8" s="163" t="s">
        <v>621</v>
      </c>
      <c r="G8" s="163"/>
      <c r="H8" s="163" t="s">
        <v>108</v>
      </c>
      <c r="I8" s="1244">
        <v>9.1999999999999993</v>
      </c>
      <c r="J8" s="100">
        <v>3</v>
      </c>
      <c r="L8" s="196"/>
      <c r="M8" s="1312"/>
      <c r="N8" s="219">
        <v>339</v>
      </c>
      <c r="O8" s="219" t="s">
        <v>349</v>
      </c>
      <c r="P8" s="219"/>
      <c r="Q8" s="219"/>
      <c r="R8" s="1312"/>
      <c r="T8" s="1744" t="s">
        <v>2093</v>
      </c>
      <c r="U8" s="1745"/>
      <c r="V8" s="1745"/>
      <c r="W8" s="1746">
        <f>_xlfn.IFS(U10&lt;=10,10,U10&lt;=20,20,U10&lt;=30,30,U10&lt;=50,50,U10&lt;=80,80,U10&lt;=120,120,U10&lt;=150,150,U10&lt;=200,200,U10&gt;200,300)</f>
        <v>10</v>
      </c>
      <c r="X8" s="1745">
        <f>_xlfn.IFS(U9&lt;=10,10,U9&lt;=20,20,U9&lt;=30,30,U9&lt;=50,50,U9&lt;=80,80,U9&lt;=120,120,U9&lt;=150,150,U9&lt;=200,200,U9&gt;200,300)</f>
        <v>10</v>
      </c>
      <c r="Y8" s="1772"/>
      <c r="Z8" s="1774" t="s">
        <v>2097</v>
      </c>
    </row>
    <row r="9" spans="1:30" ht="15.6" x14ac:dyDescent="0.3">
      <c r="A9" s="1244" t="s">
        <v>9</v>
      </c>
      <c r="B9" s="163" t="s">
        <v>109</v>
      </c>
      <c r="C9" s="163" t="s">
        <v>109</v>
      </c>
      <c r="D9" s="163" t="s">
        <v>109</v>
      </c>
      <c r="E9" s="163" t="s">
        <v>109</v>
      </c>
      <c r="F9" s="163" t="s">
        <v>103</v>
      </c>
      <c r="G9" s="163"/>
      <c r="H9" s="163" t="s">
        <v>104</v>
      </c>
      <c r="I9" s="1244">
        <v>9.1</v>
      </c>
      <c r="J9" s="100">
        <v>3</v>
      </c>
      <c r="L9" s="196"/>
      <c r="M9" s="1312"/>
      <c r="N9" s="219">
        <v>360</v>
      </c>
      <c r="O9" s="219" t="s">
        <v>336</v>
      </c>
      <c r="P9" s="219" t="s">
        <v>1873</v>
      </c>
      <c r="Q9" s="219"/>
      <c r="R9" s="1312"/>
      <c r="T9" s="1748" t="s">
        <v>693</v>
      </c>
      <c r="U9" s="1747">
        <f>('цб с буртом'!D21-'цб с буртом'!M5)/2</f>
        <v>-60</v>
      </c>
      <c r="V9" s="1747">
        <f>_xlfn.IFS(Z9&lt;=100,B109,Z9&lt;=200,C109,Z9&lt;=300,D109,Z9&lt;=400,E109,Z9&lt;=500,F109,Z9&lt;=600,G109,Z9&lt;=700,H109)</f>
        <v>100</v>
      </c>
      <c r="W9" s="1745">
        <f>V9/100+1</f>
        <v>2</v>
      </c>
      <c r="X9" s="1745">
        <f>IF(V3=1,HLOOKUP(V9,A109:H119,2,FALSE),IF(V3=2,HLOOKUP(V9,A123:H134,2,FALSE),HLOOKUP(V9,A136:H145,2,FALSE)))</f>
        <v>3.5</v>
      </c>
      <c r="Y9" s="1745">
        <f>IF(V3=1,VLOOKUP(X8,A109:H119,W9,FALSE),IF(V3=2,VLOOKUP(X8,A123:H132,W9,FALSE),VLOOKUP(X8,A136:H145,W9,FALSE)))</f>
        <v>4</v>
      </c>
      <c r="Z9" s="1775">
        <f>'цб с буртом'!D21-2*IF('цб с буртом'!M22&lt;60,'цб с буртом'!M13,'цб с буртом'!M12)</f>
        <v>-9</v>
      </c>
    </row>
    <row r="10" spans="1:30" ht="15.6" x14ac:dyDescent="0.3">
      <c r="A10" s="163" t="s">
        <v>11</v>
      </c>
      <c r="B10" s="163" t="s">
        <v>105</v>
      </c>
      <c r="C10" s="163" t="s">
        <v>105</v>
      </c>
      <c r="D10" s="163" t="s">
        <v>105</v>
      </c>
      <c r="E10" s="163" t="s">
        <v>105</v>
      </c>
      <c r="F10" s="163" t="s">
        <v>111</v>
      </c>
      <c r="G10" s="163"/>
      <c r="H10" s="163" t="s">
        <v>2069</v>
      </c>
      <c r="I10" s="1244">
        <v>8.8800000000000008</v>
      </c>
      <c r="J10" s="100">
        <v>3</v>
      </c>
      <c r="L10" s="1755"/>
      <c r="M10" s="1312"/>
      <c r="N10" s="219">
        <v>400</v>
      </c>
      <c r="O10" s="219" t="s">
        <v>337</v>
      </c>
      <c r="P10" s="219" t="s">
        <v>1873</v>
      </c>
      <c r="Q10" s="219"/>
      <c r="R10" s="1312"/>
      <c r="T10" s="1749" t="s">
        <v>692</v>
      </c>
      <c r="U10" s="1746">
        <f>('цб с буртом'!I21-'цб с буртом'!M5)/2</f>
        <v>-60</v>
      </c>
      <c r="V10" s="1746">
        <f>_xlfn.IFS('цб с буртом'!M19&lt;=100,B109,'цб с буртом'!M19&lt;=200,C109,'цб с буртом'!M19&lt;=300,D109,'цб с буртом'!M19&lt;=400,E109,'цб с буртом'!M19&lt;=500,F109,'цб с буртом'!M19&lt;=600,G109,'цб с буртом'!M19&lt;=700,H109)</f>
        <v>100</v>
      </c>
      <c r="W10" s="1745">
        <f>V10/100+1</f>
        <v>2</v>
      </c>
      <c r="X10" s="1745">
        <f>IF(V3=1,HLOOKUP(V10,A109:H119,2,FALSE),IF(V3=2,HLOOKUP(V10,A123:H134,2,FALSE),HLOOKUP(V10,A136:H145,2,FALSE)))</f>
        <v>3.5</v>
      </c>
      <c r="Y10" s="1745">
        <f>IF(V3=1,VLOOKUP(W8,A109:H119,W10,FALSE),IF(V3=2,VLOOKUP(W8,A123:H132,W10,FALSE),VLOOKUP(W8,A136:H145,W10,FALSE)))</f>
        <v>4</v>
      </c>
      <c r="Z10" s="1775">
        <f>'цб с буртом'!I21-2*IF('цб с буртом'!M22&lt;60,'цб с буртом'!M13,'цб с буртом'!M12)</f>
        <v>-9</v>
      </c>
    </row>
    <row r="11" spans="1:30" ht="15.6" x14ac:dyDescent="0.3">
      <c r="A11" s="157" t="s">
        <v>447</v>
      </c>
      <c r="B11" s="163" t="s">
        <v>105</v>
      </c>
      <c r="C11" s="163" t="s">
        <v>105</v>
      </c>
      <c r="D11" s="163" t="s">
        <v>105</v>
      </c>
      <c r="E11" s="163" t="s">
        <v>105</v>
      </c>
      <c r="F11" s="163" t="s">
        <v>111</v>
      </c>
      <c r="G11" s="163"/>
      <c r="H11" s="163" t="s">
        <v>2069</v>
      </c>
      <c r="I11" s="1244">
        <v>8.8800000000000008</v>
      </c>
      <c r="J11" s="100">
        <v>3</v>
      </c>
      <c r="L11" s="1755"/>
      <c r="M11" s="1312"/>
      <c r="N11" s="219">
        <v>420</v>
      </c>
      <c r="O11" s="219" t="s">
        <v>338</v>
      </c>
      <c r="P11" s="219" t="s">
        <v>1873</v>
      </c>
      <c r="Q11" s="219"/>
      <c r="R11" s="1312"/>
      <c r="T11" s="154"/>
      <c r="U11" s="100"/>
      <c r="V11" s="100"/>
      <c r="W11" s="100"/>
      <c r="X11" s="100"/>
      <c r="Y11" s="1855" t="s">
        <v>2115</v>
      </c>
      <c r="Z11" s="1856" t="s">
        <v>2116</v>
      </c>
    </row>
    <row r="12" spans="1:30" ht="15.6" x14ac:dyDescent="0.3">
      <c r="A12" s="163" t="s">
        <v>28</v>
      </c>
      <c r="B12" s="163" t="s">
        <v>114</v>
      </c>
      <c r="C12" s="163" t="s">
        <v>114</v>
      </c>
      <c r="D12" s="163" t="s">
        <v>114</v>
      </c>
      <c r="E12" s="163" t="s">
        <v>114</v>
      </c>
      <c r="F12" s="163" t="s">
        <v>116</v>
      </c>
      <c r="G12" s="163"/>
      <c r="H12" s="163" t="s">
        <v>117</v>
      </c>
      <c r="I12" s="1244">
        <v>8.1</v>
      </c>
      <c r="J12" s="100">
        <v>1.5</v>
      </c>
      <c r="L12" s="1312"/>
      <c r="M12" s="1312"/>
      <c r="N12" s="219">
        <v>450</v>
      </c>
      <c r="O12" s="219" t="s">
        <v>339</v>
      </c>
      <c r="P12" s="219"/>
      <c r="Q12" s="219"/>
      <c r="R12" s="1312"/>
      <c r="T12" s="1785" t="s">
        <v>297</v>
      </c>
      <c r="U12" s="1781">
        <f>Y12+Z12</f>
        <v>20</v>
      </c>
      <c r="V12" s="1781" t="s">
        <v>305</v>
      </c>
      <c r="W12" s="1781">
        <f>_xlfn.IFS(Z15&lt;=15,2,Z15&lt;=25,3,Z15&lt;=35,4,Z15&lt;=60,5,Z15&lt;=100,6,Z15&gt;100,7)</f>
        <v>2</v>
      </c>
      <c r="Y12" s="1853" t="str">
        <f>LEFT(VLOOKUP(V3,захват,W12,FALSE),2)</f>
        <v>10</v>
      </c>
      <c r="Z12" s="1854" t="str">
        <f>RIGHT(VLOOKUP(V3,захват,W12,FALSE),LEN(VLOOKUP(V3,захват,W12,FALSE))-SEARCH(";",VLOOKUP(V3,захват,W12,FALSE),2))</f>
        <v>10</v>
      </c>
    </row>
    <row r="13" spans="1:30" ht="15.6" x14ac:dyDescent="0.3">
      <c r="A13" s="163" t="s">
        <v>26</v>
      </c>
      <c r="B13" s="163" t="s">
        <v>114</v>
      </c>
      <c r="C13" s="163" t="s">
        <v>114</v>
      </c>
      <c r="D13" s="163" t="s">
        <v>114</v>
      </c>
      <c r="E13" s="163" t="s">
        <v>114</v>
      </c>
      <c r="F13" s="163" t="s">
        <v>116</v>
      </c>
      <c r="G13" s="163"/>
      <c r="H13" s="163" t="s">
        <v>117</v>
      </c>
      <c r="I13" s="1244">
        <v>7.8</v>
      </c>
      <c r="J13" s="100">
        <v>1.5</v>
      </c>
      <c r="L13" s="1312"/>
      <c r="M13" s="1312"/>
      <c r="N13" s="219">
        <v>470</v>
      </c>
      <c r="O13" s="219" t="s">
        <v>340</v>
      </c>
      <c r="P13" s="219"/>
      <c r="Q13" s="219"/>
      <c r="R13" s="1312"/>
      <c r="T13" s="1849" t="s">
        <v>2098</v>
      </c>
      <c r="U13" s="1850" t="s">
        <v>694</v>
      </c>
      <c r="V13" s="730" t="s">
        <v>2091</v>
      </c>
      <c r="W13" s="730" t="s">
        <v>2090</v>
      </c>
      <c r="X13" s="1851" t="s">
        <v>967</v>
      </c>
      <c r="Y13" s="1852">
        <f>IF(OR(U10&gt;=60,AND(U9&gt;=60,'цб с буртом'!M22&gt;=60)),1.3,1)</f>
        <v>1</v>
      </c>
      <c r="Z13" s="1776"/>
    </row>
    <row r="14" spans="1:30" ht="15.6" x14ac:dyDescent="0.3">
      <c r="A14" s="1244" t="s">
        <v>34</v>
      </c>
      <c r="B14" s="163" t="s">
        <v>114</v>
      </c>
      <c r="C14" s="163" t="s">
        <v>114</v>
      </c>
      <c r="D14" s="163" t="s">
        <v>114</v>
      </c>
      <c r="E14" s="163" t="s">
        <v>114</v>
      </c>
      <c r="F14" s="163" t="s">
        <v>116</v>
      </c>
      <c r="G14" s="163"/>
      <c r="H14" s="163" t="s">
        <v>117</v>
      </c>
      <c r="I14" s="1244">
        <v>7.8</v>
      </c>
      <c r="J14" s="100">
        <v>1.5</v>
      </c>
      <c r="L14" s="1312"/>
      <c r="M14" s="1312"/>
      <c r="N14" s="219">
        <v>500</v>
      </c>
      <c r="O14" s="219" t="s">
        <v>341</v>
      </c>
      <c r="P14" s="219" t="s">
        <v>1873</v>
      </c>
      <c r="Q14" s="219"/>
      <c r="R14" s="1312"/>
      <c r="T14" s="1777" t="s">
        <v>2089</v>
      </c>
      <c r="U14" s="1756" t="s">
        <v>692</v>
      </c>
      <c r="V14" s="1757">
        <f>_xlfn.FLOOR.MATH('цб с буртом'!M5-(Y6*2)*Y13,2.5)</f>
        <v>105</v>
      </c>
      <c r="W14" s="1758">
        <f>ROUNDDOWN('цб с буртом'!M5-(Y10*2)*Y13,2.5)</f>
        <v>112</v>
      </c>
      <c r="X14" s="1750"/>
      <c r="Y14" s="1750"/>
      <c r="Z14" s="1776"/>
    </row>
    <row r="15" spans="1:30" ht="16.2" thickBot="1" x14ac:dyDescent="0.35">
      <c r="A15" s="1244" t="s">
        <v>30</v>
      </c>
      <c r="B15" s="163" t="s">
        <v>114</v>
      </c>
      <c r="C15" s="163" t="s">
        <v>114</v>
      </c>
      <c r="D15" s="163" t="s">
        <v>114</v>
      </c>
      <c r="E15" s="163" t="s">
        <v>114</v>
      </c>
      <c r="F15" s="163" t="s">
        <v>116</v>
      </c>
      <c r="G15" s="163"/>
      <c r="H15" s="163" t="s">
        <v>117</v>
      </c>
      <c r="I15" s="1244">
        <v>7.6</v>
      </c>
      <c r="J15" s="100">
        <v>1.5</v>
      </c>
      <c r="L15" s="1312"/>
      <c r="M15" s="1312"/>
      <c r="N15" s="219">
        <v>520</v>
      </c>
      <c r="O15" s="219" t="s">
        <v>342</v>
      </c>
      <c r="P15" s="219"/>
      <c r="Q15" s="219"/>
      <c r="R15" s="1312"/>
      <c r="T15" s="1778" t="s">
        <v>1008</v>
      </c>
      <c r="U15" s="1779" t="s">
        <v>693</v>
      </c>
      <c r="V15" s="1780">
        <f>_xlfn.FLOOR.MATH('цб с буртом'!M5-(Y5*2)*Y13,2.5)</f>
        <v>92.5</v>
      </c>
      <c r="W15" s="66">
        <f>_xlfn.FLOOR.MATH('цб с буртом'!M5-Y9*2*Y13,2.5)</f>
        <v>110</v>
      </c>
      <c r="X15" s="1771"/>
      <c r="Y15" s="1781" t="s">
        <v>304</v>
      </c>
      <c r="Z15" s="1781">
        <f>('цб с буртом'!D21-'цб с буртом'!E21)/2</f>
        <v>-52.5</v>
      </c>
    </row>
    <row r="16" spans="1:30" ht="16.2" thickBot="1" x14ac:dyDescent="0.35">
      <c r="A16" s="163" t="s">
        <v>118</v>
      </c>
      <c r="B16" s="163" t="s">
        <v>119</v>
      </c>
      <c r="C16" s="163" t="s">
        <v>119</v>
      </c>
      <c r="D16" s="163" t="s">
        <v>119</v>
      </c>
      <c r="E16" s="163" t="s">
        <v>119</v>
      </c>
      <c r="F16" s="163" t="s">
        <v>120</v>
      </c>
      <c r="G16" s="163"/>
      <c r="H16" s="163" t="s">
        <v>108</v>
      </c>
      <c r="I16" s="1244">
        <v>8.5</v>
      </c>
      <c r="J16" s="100">
        <v>1.5</v>
      </c>
      <c r="L16" s="1312"/>
      <c r="M16" s="1312"/>
      <c r="N16" s="219">
        <v>550</v>
      </c>
      <c r="O16" s="219" t="s">
        <v>343</v>
      </c>
      <c r="P16" s="219" t="s">
        <v>1873</v>
      </c>
      <c r="Q16" s="219"/>
      <c r="R16" s="1312"/>
      <c r="T16" s="196"/>
      <c r="U16" s="196"/>
      <c r="V16" s="196"/>
      <c r="W16" s="196"/>
      <c r="X16" s="196"/>
      <c r="Y16" s="196"/>
      <c r="Z16" s="196"/>
    </row>
    <row r="17" spans="1:38" ht="15.6" x14ac:dyDescent="0.3">
      <c r="A17" s="163" t="s">
        <v>112</v>
      </c>
      <c r="B17" s="163" t="s">
        <v>113</v>
      </c>
      <c r="C17" s="163" t="s">
        <v>114</v>
      </c>
      <c r="D17" s="163" t="s">
        <v>105</v>
      </c>
      <c r="E17" s="163" t="s">
        <v>115</v>
      </c>
      <c r="F17" s="163" t="s">
        <v>116</v>
      </c>
      <c r="G17" s="163"/>
      <c r="H17" s="163" t="s">
        <v>117</v>
      </c>
      <c r="I17" s="1244">
        <v>7.5</v>
      </c>
      <c r="J17" s="100">
        <v>1.5</v>
      </c>
      <c r="L17" s="1312"/>
      <c r="M17" s="1312"/>
      <c r="N17" s="219">
        <v>570</v>
      </c>
      <c r="O17" s="219" t="s">
        <v>344</v>
      </c>
      <c r="P17" s="219"/>
      <c r="Q17" s="219"/>
      <c r="R17" s="1312"/>
      <c r="T17" s="550" t="s">
        <v>2010</v>
      </c>
      <c r="U17" s="560" t="s">
        <v>301</v>
      </c>
      <c r="V17" s="561">
        <f>IF(OR(цб!N10=7.5,цб!N10=7.6,цб!N10=7.7,цб!N10=7.8,цб!N10=7.9,цб!N10=8,цб!N10=8.1),1,IF(цб!N10=8.5,2,3))</f>
        <v>1</v>
      </c>
      <c r="W17" s="1783" t="s">
        <v>298</v>
      </c>
      <c r="X17" s="1783">
        <f ca="1">цб!N14</f>
        <v>1.3</v>
      </c>
      <c r="Y17" s="150"/>
      <c r="Z17" s="1784" t="b">
        <v>0</v>
      </c>
    </row>
    <row r="18" spans="1:38" ht="15.6" x14ac:dyDescent="0.3">
      <c r="A18" s="163" t="s">
        <v>32</v>
      </c>
      <c r="B18" s="163" t="s">
        <v>113</v>
      </c>
      <c r="C18" s="163" t="s">
        <v>114</v>
      </c>
      <c r="D18" s="163" t="s">
        <v>105</v>
      </c>
      <c r="E18" s="163" t="s">
        <v>115</v>
      </c>
      <c r="F18" s="163" t="s">
        <v>116</v>
      </c>
      <c r="G18" s="163"/>
      <c r="H18" s="163" t="s">
        <v>117</v>
      </c>
      <c r="I18" s="1244">
        <v>7.5</v>
      </c>
      <c r="J18" s="100">
        <v>1.5</v>
      </c>
      <c r="L18" s="1312"/>
      <c r="M18" s="1312"/>
      <c r="N18" s="219">
        <v>610</v>
      </c>
      <c r="O18" s="219" t="s">
        <v>345</v>
      </c>
      <c r="P18" s="219"/>
      <c r="Q18" s="219"/>
      <c r="R18" s="1312"/>
      <c r="T18" s="1768" t="s">
        <v>295</v>
      </c>
      <c r="U18" s="1769"/>
      <c r="V18" s="1769"/>
      <c r="W18" s="1769"/>
      <c r="X18" s="1769"/>
      <c r="Y18" s="558" t="s">
        <v>304</v>
      </c>
      <c r="Z18" s="1782">
        <f ca="1">_xlfn.IFNA((цб!N29*0.99-цб!N19)/2,32)</f>
        <v>117.25</v>
      </c>
    </row>
    <row r="19" spans="1:38" ht="15.6" x14ac:dyDescent="0.3">
      <c r="A19" s="163" t="s">
        <v>23</v>
      </c>
      <c r="B19" s="163" t="s">
        <v>113</v>
      </c>
      <c r="C19" s="163" t="s">
        <v>114</v>
      </c>
      <c r="D19" s="163" t="s">
        <v>105</v>
      </c>
      <c r="E19" s="163" t="s">
        <v>115</v>
      </c>
      <c r="F19" s="163" t="s">
        <v>116</v>
      </c>
      <c r="G19" s="163"/>
      <c r="H19" s="163" t="s">
        <v>117</v>
      </c>
      <c r="I19" s="1244">
        <v>7.5</v>
      </c>
      <c r="J19" s="100">
        <v>1.5</v>
      </c>
      <c r="L19" s="1312"/>
      <c r="M19" s="1312"/>
      <c r="N19" s="219">
        <v>640</v>
      </c>
      <c r="O19" s="219" t="s">
        <v>346</v>
      </c>
      <c r="P19" s="219"/>
      <c r="Q19" s="219"/>
      <c r="R19" s="1312"/>
      <c r="T19" s="154"/>
      <c r="U19" s="100"/>
      <c r="V19" s="558" t="s">
        <v>296</v>
      </c>
      <c r="W19" s="558" t="s">
        <v>299</v>
      </c>
      <c r="X19" s="1781" t="s">
        <v>305</v>
      </c>
      <c r="Y19" s="558" t="s">
        <v>303</v>
      </c>
      <c r="Z19" s="1782">
        <f>_xlfn.IFNA((цб!N4-цб!N5)/2,32)</f>
        <v>82.5</v>
      </c>
    </row>
    <row r="20" spans="1:38" ht="15.6" x14ac:dyDescent="0.3">
      <c r="A20" s="157" t="s">
        <v>829</v>
      </c>
      <c r="B20" s="163" t="s">
        <v>113</v>
      </c>
      <c r="C20" s="163" t="s">
        <v>114</v>
      </c>
      <c r="D20" s="163" t="s">
        <v>105</v>
      </c>
      <c r="E20" s="163" t="s">
        <v>115</v>
      </c>
      <c r="F20" s="163" t="s">
        <v>116</v>
      </c>
      <c r="G20" s="163"/>
      <c r="H20" s="163" t="s">
        <v>117</v>
      </c>
      <c r="I20" s="1244">
        <v>7.5</v>
      </c>
      <c r="J20" s="100">
        <v>1.5</v>
      </c>
      <c r="L20" s="1312"/>
      <c r="M20" s="1312"/>
      <c r="N20" s="219">
        <v>670</v>
      </c>
      <c r="O20" s="219" t="s">
        <v>347</v>
      </c>
      <c r="P20" s="219" t="s">
        <v>1873</v>
      </c>
      <c r="Q20" s="219"/>
      <c r="R20" s="1312"/>
      <c r="T20" s="199" t="s">
        <v>2099</v>
      </c>
      <c r="U20" s="160">
        <f>IF(V17=1,HLOOKUP(W20,A109:H119,2,FALSE),IF(V17=2,HLOOKUP(W20,A123:H134,2,FALSE),HLOOKUP(W20,A136:H145,2,FALSE)))</f>
        <v>5.5</v>
      </c>
      <c r="V20" s="160">
        <f>_xlfn.IFS(V24&lt;=10,10,V24&lt;=20,20,V24&lt;=30,30,V24&lt;=50,50,V24&lt;=80,80,V24&lt;=120,120,V24&lt;=150,150,V24&lt;=200,200,V24&gt;200,300)</f>
        <v>120</v>
      </c>
      <c r="W20" s="160">
        <f>_xlfn.IFS(цб!N4&lt;=100,B109,цб!N4&lt;=200,C109,цб!N4&lt;=300,D109,цб!N4&lt;=400,E109,цб!N4&lt;=500,F109,цб!N4&lt;=600,G109,цб!N4&gt;600,H109)</f>
        <v>300</v>
      </c>
      <c r="X20" s="160">
        <f>W20/100+1</f>
        <v>4</v>
      </c>
      <c r="Y20" s="100"/>
      <c r="Z20" s="155"/>
    </row>
    <row r="21" spans="1:38" ht="15.6" x14ac:dyDescent="0.3">
      <c r="A21" s="163" t="s">
        <v>121</v>
      </c>
      <c r="B21" s="163" t="s">
        <v>122</v>
      </c>
      <c r="C21" s="163" t="s">
        <v>123</v>
      </c>
      <c r="D21" s="163" t="s">
        <v>124</v>
      </c>
      <c r="E21" s="163" t="s">
        <v>124</v>
      </c>
      <c r="F21" s="163" t="s">
        <v>125</v>
      </c>
      <c r="G21" s="163"/>
      <c r="H21" s="163" t="s">
        <v>108</v>
      </c>
      <c r="I21" s="1244">
        <v>8.5</v>
      </c>
      <c r="J21" s="100">
        <v>1.5</v>
      </c>
      <c r="L21" s="1312"/>
      <c r="M21" s="1312"/>
      <c r="N21" s="219">
        <v>700</v>
      </c>
      <c r="O21" s="219" t="s">
        <v>348</v>
      </c>
      <c r="P21" s="219"/>
      <c r="Q21" s="219"/>
      <c r="R21" s="1312"/>
      <c r="T21" s="553" t="s">
        <v>2100</v>
      </c>
      <c r="U21" s="516">
        <f>IF(V17=1,VLOOKUP(V20,A109:H119,X20,FALSE),IF(V17=2,VLOOKUP(V20,A123:H132,X20,FALSE),VLOOKUP(V20,A136:H145,X20,FALSE)))</f>
        <v>22</v>
      </c>
      <c r="V21" s="100"/>
      <c r="W21" s="100"/>
      <c r="X21" s="100"/>
      <c r="Y21" s="100"/>
      <c r="Z21" s="155"/>
    </row>
    <row r="22" spans="1:38" ht="15.6" x14ac:dyDescent="0.3">
      <c r="A22" s="163" t="s">
        <v>126</v>
      </c>
      <c r="B22" s="163" t="s">
        <v>122</v>
      </c>
      <c r="C22" s="163" t="s">
        <v>123</v>
      </c>
      <c r="D22" s="163" t="s">
        <v>124</v>
      </c>
      <c r="E22" s="163" t="s">
        <v>124</v>
      </c>
      <c r="F22" s="163" t="s">
        <v>127</v>
      </c>
      <c r="G22" s="163"/>
      <c r="H22" s="163" t="s">
        <v>108</v>
      </c>
      <c r="I22" s="1244">
        <v>8.5</v>
      </c>
      <c r="J22" s="100">
        <v>1.5</v>
      </c>
      <c r="L22" s="1312"/>
      <c r="M22" s="1312"/>
      <c r="N22" s="219">
        <v>743</v>
      </c>
      <c r="O22" s="219"/>
      <c r="P22" s="219"/>
      <c r="Q22" s="219"/>
      <c r="R22" s="1312"/>
      <c r="T22" s="553" t="s">
        <v>2103</v>
      </c>
      <c r="U22" s="516">
        <f ca="1">U21*X17</f>
        <v>28.6</v>
      </c>
      <c r="V22" s="100"/>
      <c r="W22" s="100"/>
      <c r="X22" s="100"/>
      <c r="Y22" s="1855" t="s">
        <v>2115</v>
      </c>
      <c r="Z22" s="1856" t="s">
        <v>2116</v>
      </c>
    </row>
    <row r="23" spans="1:38" ht="15.6" x14ac:dyDescent="0.3">
      <c r="A23" s="1244" t="s">
        <v>36</v>
      </c>
      <c r="B23" s="1353" t="s">
        <v>128</v>
      </c>
      <c r="C23" s="1353" t="s">
        <v>128</v>
      </c>
      <c r="D23" s="1353" t="s">
        <v>128</v>
      </c>
      <c r="E23" s="1353" t="s">
        <v>128</v>
      </c>
      <c r="F23" s="163" t="s">
        <v>129</v>
      </c>
      <c r="G23" s="157"/>
      <c r="H23" s="1644" t="s">
        <v>2000</v>
      </c>
      <c r="I23" s="1244">
        <v>7</v>
      </c>
      <c r="J23" s="100">
        <v>2</v>
      </c>
      <c r="L23" s="1312"/>
      <c r="M23" s="1312"/>
      <c r="P23" s="1312"/>
      <c r="Q23" s="1312"/>
      <c r="R23" s="1312"/>
      <c r="S23" s="1312"/>
      <c r="T23" s="1785" t="s">
        <v>2101</v>
      </c>
      <c r="U23" s="1781">
        <f ca="1">Y23*Z24+Z23</f>
        <v>60</v>
      </c>
      <c r="V23" s="1781"/>
      <c r="W23" s="1781"/>
      <c r="X23" s="1781">
        <f ca="1">_xlfn.IFS(Z18&lt;=15,2,Z18&lt;=25,3,Z18&lt;=35,4,Z18&lt;=60,5,Z18&lt;=100,6,Z18&gt;100,7)</f>
        <v>7</v>
      </c>
      <c r="Y23" s="1853" t="str">
        <f ca="1">LEFT(VLOOKUP(V17,захват,X23,FALSE),2)</f>
        <v>27</v>
      </c>
      <c r="Z23" s="1854" t="str">
        <f ca="1">RIGHT(VLOOKUP(V17,захват,X23,FALSE),LEN(VLOOKUP(V17,захват,X23,FALSE))-SEARCH(";",VLOOKUP(V17,захват,X23,FALSE),2))</f>
        <v>33</v>
      </c>
    </row>
    <row r="24" spans="1:38" ht="16.2" thickBot="1" x14ac:dyDescent="0.35">
      <c r="A24" s="163" t="s">
        <v>37</v>
      </c>
      <c r="B24" s="1353" t="s">
        <v>128</v>
      </c>
      <c r="C24" s="1353" t="s">
        <v>128</v>
      </c>
      <c r="D24" s="1353" t="s">
        <v>128</v>
      </c>
      <c r="E24" s="1353" t="s">
        <v>128</v>
      </c>
      <c r="F24" s="163" t="s">
        <v>129</v>
      </c>
      <c r="G24" s="163"/>
      <c r="H24" s="1644" t="s">
        <v>2000</v>
      </c>
      <c r="I24" s="1244">
        <v>7.1</v>
      </c>
      <c r="J24" s="100">
        <v>2</v>
      </c>
      <c r="L24" s="1312"/>
      <c r="M24" s="1312"/>
      <c r="N24" s="1312"/>
      <c r="O24" s="1312"/>
      <c r="P24" s="1312"/>
      <c r="Q24" s="1312"/>
      <c r="R24" s="1312"/>
      <c r="T24" s="1786" t="s">
        <v>2102</v>
      </c>
      <c r="U24" s="1787">
        <f>VLOOKUP(W24,разрезка,X24,FALSE)</f>
        <v>14</v>
      </c>
      <c r="V24" s="1787">
        <f>_xlfn.IFNA(Данные!Z19,32)</f>
        <v>82.5</v>
      </c>
      <c r="W24" s="1787">
        <f>_xlfn.IFS(цб!$N$4&lt;=100,100,цб!$N$4&lt;=150,150,цб!$N$4&lt;=200,200,цб!$N$4&lt;=250,250,цб!$N$4&lt;=300,300,цб!$N$4&lt;=350,350,цб!$N$4&lt;=400,400,цб!$N$4&lt;=600,600,цб!$N$4&lt;=800,800,цб!$N$4&lt;=1200,1200,цб!$N$4&lt;=1500,1500,цб!$N$4&gt;1500,2500)</f>
        <v>300</v>
      </c>
      <c r="X24" s="1787">
        <f>_xlfn.IFS(V24&lt;=15,2,V24&lt;=30,3,V24&lt;=45,4,V24&lt;=75,5,V24&lt;=100,6,V24&gt;100,7)</f>
        <v>6</v>
      </c>
      <c r="Y24" s="194" t="s">
        <v>2129</v>
      </c>
      <c r="Z24" s="195">
        <f>IF(AND((цб!N4-цб!N5)/2&lt;=15,цб!N6/цб!N4&gt;2),2,1)</f>
        <v>1</v>
      </c>
    </row>
    <row r="25" spans="1:38" ht="15.6" x14ac:dyDescent="0.3">
      <c r="A25" s="163" t="s">
        <v>38</v>
      </c>
      <c r="B25" s="1353" t="s">
        <v>128</v>
      </c>
      <c r="C25" s="1353" t="s">
        <v>128</v>
      </c>
      <c r="D25" s="1353" t="s">
        <v>128</v>
      </c>
      <c r="E25" s="1353" t="s">
        <v>128</v>
      </c>
      <c r="F25" s="163" t="s">
        <v>129</v>
      </c>
      <c r="G25" s="163"/>
      <c r="H25" s="1644" t="s">
        <v>2000</v>
      </c>
      <c r="I25" s="1244">
        <v>7.2</v>
      </c>
      <c r="J25" s="100">
        <v>2</v>
      </c>
      <c r="L25" s="1312"/>
      <c r="M25" s="1312"/>
      <c r="N25" s="59" t="s">
        <v>2016</v>
      </c>
      <c r="O25" s="59"/>
      <c r="P25" s="59"/>
      <c r="Q25" s="59"/>
      <c r="R25" s="1312"/>
    </row>
    <row r="26" spans="1:38" ht="15.6" x14ac:dyDescent="0.3">
      <c r="A26" s="1244" t="s">
        <v>39</v>
      </c>
      <c r="B26" s="1353" t="s">
        <v>128</v>
      </c>
      <c r="C26" s="1353" t="s">
        <v>128</v>
      </c>
      <c r="D26" s="1353" t="s">
        <v>128</v>
      </c>
      <c r="E26" s="1353" t="s">
        <v>128</v>
      </c>
      <c r="F26" s="163" t="s">
        <v>129</v>
      </c>
      <c r="G26" s="157"/>
      <c r="H26" s="1644" t="s">
        <v>2000</v>
      </c>
      <c r="I26" s="1244">
        <v>7.3</v>
      </c>
      <c r="J26" s="100">
        <v>2</v>
      </c>
      <c r="L26" s="1312"/>
      <c r="M26" s="1312"/>
      <c r="N26" t="s">
        <v>950</v>
      </c>
      <c r="O26" t="s">
        <v>1998</v>
      </c>
      <c r="P26" t="s">
        <v>8</v>
      </c>
      <c r="Q26" t="s">
        <v>1999</v>
      </c>
      <c r="R26" s="1312"/>
    </row>
    <row r="27" spans="1:38" ht="16.2" thickBot="1" x14ac:dyDescent="0.35">
      <c r="A27" s="1244" t="s">
        <v>40</v>
      </c>
      <c r="B27" s="1353" t="s">
        <v>128</v>
      </c>
      <c r="C27" s="1353" t="s">
        <v>128</v>
      </c>
      <c r="D27" s="1353" t="s">
        <v>128</v>
      </c>
      <c r="E27" s="1353" t="s">
        <v>128</v>
      </c>
      <c r="F27" s="163" t="s">
        <v>129</v>
      </c>
      <c r="G27" s="157"/>
      <c r="H27" s="1644" t="s">
        <v>2000</v>
      </c>
      <c r="I27" s="1244">
        <v>7.4</v>
      </c>
      <c r="J27" s="100">
        <v>2</v>
      </c>
      <c r="L27" s="1312"/>
      <c r="M27" s="1312"/>
      <c r="N27" s="153" t="s">
        <v>6</v>
      </c>
      <c r="O27" s="41" t="s">
        <v>105</v>
      </c>
      <c r="P27" s="41">
        <v>9.1</v>
      </c>
      <c r="Q27" t="s">
        <v>770</v>
      </c>
      <c r="R27" s="1312"/>
    </row>
    <row r="28" spans="1:38" ht="16.2" thickBot="1" x14ac:dyDescent="0.35">
      <c r="A28" s="157"/>
      <c r="B28" s="100"/>
      <c r="C28" s="100"/>
      <c r="D28" s="100"/>
      <c r="E28" s="100"/>
      <c r="F28" s="100"/>
      <c r="G28" s="158"/>
      <c r="H28" s="158"/>
      <c r="L28" s="1312"/>
      <c r="M28" s="1312"/>
      <c r="N28" s="153" t="s">
        <v>16</v>
      </c>
      <c r="O28" s="41" t="s">
        <v>114</v>
      </c>
      <c r="P28" s="41">
        <v>8.8800000000000008</v>
      </c>
      <c r="Q28" t="s">
        <v>771</v>
      </c>
      <c r="R28" s="1312"/>
      <c r="T28" s="1831" t="s">
        <v>827</v>
      </c>
      <c r="U28" s="61"/>
      <c r="V28" s="1027" t="s">
        <v>935</v>
      </c>
      <c r="W28" s="64"/>
      <c r="X28" s="61" t="s">
        <v>130</v>
      </c>
      <c r="Y28" s="61" t="s">
        <v>104</v>
      </c>
      <c r="Z28" s="61" t="s">
        <v>108</v>
      </c>
      <c r="AA28" s="61" t="s">
        <v>117</v>
      </c>
      <c r="AB28" s="1645" t="s">
        <v>2000</v>
      </c>
      <c r="AF28" s="2209" t="s">
        <v>958</v>
      </c>
      <c r="AG28" s="2210"/>
      <c r="AH28" s="2210"/>
      <c r="AI28" s="2210"/>
      <c r="AJ28" s="2210"/>
      <c r="AK28" s="2210"/>
      <c r="AL28" s="2211"/>
    </row>
    <row r="29" spans="1:38" ht="15.6" x14ac:dyDescent="0.3">
      <c r="L29" s="1312"/>
      <c r="M29" s="1312"/>
      <c r="N29" s="153" t="s">
        <v>569</v>
      </c>
      <c r="O29" s="41" t="s">
        <v>114</v>
      </c>
      <c r="P29" s="41">
        <v>8.6999999999999993</v>
      </c>
      <c r="Q29" t="s">
        <v>771</v>
      </c>
      <c r="R29" s="1312"/>
      <c r="T29" s="65" t="s">
        <v>131</v>
      </c>
      <c r="U29" s="54" t="str">
        <f>_xlfn.IFNA(_xlfn.IFS(W29=X28,X29,W29=Y28,Y29,W29=Z28,Z29,W29=AA28,AA29),H25)</f>
        <v>242.04.462-1</v>
      </c>
      <c r="V29" s="1028" t="str">
        <f>IF(W29="242.04.462",IF(Втулка!O19&lt;1000,"1 щель","2 щели"),"")</f>
        <v>1 щель</v>
      </c>
      <c r="W29" s="63" t="str">
        <f>IF(VLOOKUP(Втулка!G8,Марка_металла[],8,FALSE())="Diff",Z36,VLOOKUP(Втулка!G8,Марка_металла[],8,FALSE()))</f>
        <v>242.04.462</v>
      </c>
      <c r="X29" s="54" t="str">
        <f>_xlfn.IFNA(_xlfn.IFS(AND(W29=A79,U35&lt;1000),A81,AND(W29=A79,U35&lt;1500),A82,AND(W29=A79,U35&lt;2000),A83,AND(W29=A79,U35&lt;2500),A84,AND(W29=A79,U35&gt;=2500),A85),"")</f>
        <v/>
      </c>
      <c r="Y29" s="54" t="str">
        <f>_xlfn.IFNA(_xlfn.IFS(AND(W29=A43,U35&lt;1500),A45,AND(W29=A43,U35&lt;2000),A46,AND(W29=A43,U35&lt;2500),A47,AND(W29=A43,U35&lt;3000),A48,AND(W29=A43,U35&lt;3500),A49,AND(W29=A43,U35&lt;4000),A50,AND(W29=A43,U35&lt;4500),A51,AND(W29=A43,U35&lt;5500),A52,AND(W29=A43,U35&gt;=5500),A53),"")</f>
        <v>242.04.462-1</v>
      </c>
      <c r="Z29" s="54" t="str">
        <f>_xlfn.IFNA(_xlfn.IFS(AND(W29=A57,U35&lt;1000),A59,AND(W29=A57,U35&lt;1500),A60,AND(W29=A57,U35&lt;2000),A61,AND(W29=A57,U35&lt;2500),A62,AND(W29=A57,U35&lt;3000),A63,AND(W29=A57,U35&lt;3500),A64,AND(W29=A57,U35&gt;=3500),A65),"")</f>
        <v/>
      </c>
      <c r="AA29" s="54" t="str">
        <f>_xlfn.IFNA(_xlfn.IFS(AND(W29=A70,U35&lt;1000),A72,AND(W29=A70,U35&lt;1500),A73,AND(W29=A70,U35&lt;2000),A74,AND(W29=A70,U35&lt;2500),A75,AND(W29=A70,U35&gt;=2500),A76),"")</f>
        <v/>
      </c>
      <c r="AB29" s="148"/>
      <c r="AF29" s="1136" t="s">
        <v>955</v>
      </c>
      <c r="AG29" s="942" t="s">
        <v>954</v>
      </c>
      <c r="AH29" s="942">
        <v>390</v>
      </c>
      <c r="AI29" s="942">
        <v>600</v>
      </c>
      <c r="AJ29" s="942">
        <v>800</v>
      </c>
      <c r="AK29" s="942">
        <v>1000</v>
      </c>
      <c r="AL29" s="1137">
        <v>1200</v>
      </c>
    </row>
    <row r="30" spans="1:38" ht="15.6" x14ac:dyDescent="0.3">
      <c r="L30" s="1312"/>
      <c r="M30" s="1312"/>
      <c r="N30" s="153" t="s">
        <v>11</v>
      </c>
      <c r="O30" s="41" t="s">
        <v>114</v>
      </c>
      <c r="P30" s="41">
        <v>8.8800000000000008</v>
      </c>
      <c r="Q30" t="s">
        <v>770</v>
      </c>
      <c r="R30" s="1312"/>
      <c r="T30" s="729" t="s">
        <v>21</v>
      </c>
      <c r="U30" s="730">
        <f>ROUND(_xlfn.IFS(W29=X28,X30,W29=Y28,Y30,W29=Z28,Z30,W29=AA28,AA30,W29=AB28,AB30),2)</f>
        <v>9.07</v>
      </c>
      <c r="V30" s="730"/>
      <c r="W30" s="730"/>
      <c r="X30" s="730"/>
      <c r="Y30" s="730">
        <f>Масса_литн_462(Втулка!O25+Втулка!O26,Данные!AD31+Втулка!O23,Втулка!O19,Втулка!O9)</f>
        <v>9.0660275617164228</v>
      </c>
      <c r="Z30" s="1016">
        <f>Масса_литн_463(Втулка!O25+Втулка!O26,Данные!AD31+Втулка!O23,Втулка!O19,Втулка!O9)</f>
        <v>8.9564339723254847</v>
      </c>
      <c r="AA30" s="1016">
        <f>Масса_литн_464(Втулка!O25+Втулка!O26,Данные!AD31+Втулка!O23,Втулка!O19,Втулка!O9)</f>
        <v>24.284425692924472</v>
      </c>
      <c r="AB30" s="1017">
        <v>0</v>
      </c>
      <c r="AF30" s="1136" t="s">
        <v>956</v>
      </c>
      <c r="AG30" s="942">
        <v>0</v>
      </c>
      <c r="AH30" s="942">
        <v>50</v>
      </c>
      <c r="AI30" s="942">
        <v>55</v>
      </c>
      <c r="AJ30" s="942">
        <v>60</v>
      </c>
      <c r="AK30" s="942"/>
      <c r="AL30" s="1137"/>
    </row>
    <row r="31" spans="1:38" ht="15.6" x14ac:dyDescent="0.3">
      <c r="J31" s="1855" t="s">
        <v>2145</v>
      </c>
      <c r="K31" s="1856"/>
      <c r="L31" s="1312"/>
      <c r="M31" s="1312"/>
      <c r="N31" s="153" t="s">
        <v>112</v>
      </c>
      <c r="O31" s="57" t="s">
        <v>570</v>
      </c>
      <c r="P31" s="41">
        <v>7.5</v>
      </c>
      <c r="Q31" t="s">
        <v>772</v>
      </c>
      <c r="R31" s="1312"/>
      <c r="T31" s="1013" t="s">
        <v>216</v>
      </c>
      <c r="U31" s="1015">
        <f>IF(AD31&gt;AD32,AD31,IF(AD32-AD31&gt;100,AD31,AD32))</f>
        <v>50</v>
      </c>
      <c r="V31" s="1026" t="s">
        <v>260</v>
      </c>
      <c r="W31" s="1015">
        <f>_xlfn.IFNA(_xlfn.IFS(U31&lt;20,1,AND(U31&gt;=20,U31&lt;50),2,AND(U31&gt;=50,U31&lt;100),3,AND(U31&gt;=100,U31&lt;200),4,AND(U31&gt;=200,U31&lt;300),5,AND(U31&gt;=300,U31&lt;400),6,AND(U31&gt;=400,U31&lt;500),7,AND(U31&gt;=500,U31&lt;650),8,AND(U31&gt;=650,U31&lt;800),9,AND(U31&gt;=800,U31&lt;1000),10,AND(U31&gt;=1000,U31&lt;1200),11,AND(U31&gt;=1200,U31&lt;1400),12,AND(U31&gt;=1400,U31&lt;1600),13,AND(U31&gt;=1600,U31&lt;1800),14,AND(U31&gt;=1800,U31&lt;2000),15,AND(U31&gt;=2000,U31&lt;2250),16,AND(U31&gt;=2250,U31&lt;2500),17,U31&gt;=2500,18),"")</f>
        <v>3</v>
      </c>
      <c r="X31" s="1013" t="s">
        <v>217</v>
      </c>
      <c r="Y31" s="1015">
        <f>IF(Втулка!O17=0,VLOOKUP(W31,Ф_уклоны[],6,FALSE),VLOOKUP(Втулка!O17,Втулки1[],8,0))</f>
        <v>1.7</v>
      </c>
      <c r="Z31" s="1018" t="s">
        <v>227</v>
      </c>
      <c r="AA31" s="1019"/>
      <c r="AB31" s="1020"/>
      <c r="AC31" s="53" t="s">
        <v>216</v>
      </c>
      <c r="AD31" s="1386">
        <f>_xlfn.CEILING.MATH(IF(Втулка!O6=1,(Втулка!O5+Втулка!O11+Втулка!O12+Втулка!O14+Втулка!O15)/0.985,((Втулка!O5+Втулка!O14)*Втулка!O6+Втулка!O11+Втулка!O12+Втулка!O15)/0.985),5)</f>
        <v>50</v>
      </c>
      <c r="AF31" s="1138" t="s">
        <v>957</v>
      </c>
      <c r="AG31" s="934">
        <v>0</v>
      </c>
      <c r="AH31" s="942">
        <v>55</v>
      </c>
      <c r="AI31" s="934">
        <v>60</v>
      </c>
      <c r="AJ31" s="934">
        <v>60</v>
      </c>
      <c r="AK31" s="942">
        <v>60</v>
      </c>
      <c r="AL31" s="1137">
        <v>65</v>
      </c>
    </row>
    <row r="32" spans="1:38" ht="16.2" thickBot="1" x14ac:dyDescent="0.35">
      <c r="A32" s="53" t="s">
        <v>2112</v>
      </c>
      <c r="I32" s="54" t="s">
        <v>2148</v>
      </c>
      <c r="J32" s="54" t="s">
        <v>2010</v>
      </c>
      <c r="K32" s="54" t="s">
        <v>696</v>
      </c>
      <c r="L32" s="1312"/>
      <c r="M32" s="1312"/>
      <c r="N32" s="153" t="s">
        <v>32</v>
      </c>
      <c r="O32" s="57" t="s">
        <v>570</v>
      </c>
      <c r="P32" s="41">
        <v>7.5</v>
      </c>
      <c r="Q32" s="41" t="s">
        <v>772</v>
      </c>
      <c r="R32" s="1312"/>
      <c r="T32" s="1354" t="s">
        <v>310</v>
      </c>
      <c r="U32" s="1020">
        <f>Втулка!J29+(Y31*0.985)*2</f>
        <v>9.3490000000000002</v>
      </c>
      <c r="V32" s="1013">
        <f>(Втулка!J29+Данные!U32)/2</f>
        <v>7.6745000000000001</v>
      </c>
      <c r="W32" s="1015" t="s">
        <v>311</v>
      </c>
      <c r="X32" s="1013" t="s">
        <v>234</v>
      </c>
      <c r="Y32" s="1015" t="b">
        <f>IF(AND(Втулка!O9&gt;=7.5,Втулка!O9&lt;=8.5),TRUE,FALSE)</f>
        <v>0</v>
      </c>
      <c r="Z32" s="1021" t="s">
        <v>228</v>
      </c>
      <c r="AA32" s="521">
        <f>(Втулка!J29-Втулка!I29)/2</f>
        <v>7</v>
      </c>
      <c r="AB32" s="1022"/>
      <c r="AC32" s="53" t="s">
        <v>2132</v>
      </c>
      <c r="AD32" s="53">
        <f>IF(Втулка!O17=0,AD31,VLOOKUP(Втулка!O17,Втулки1[],9,0))</f>
        <v>50</v>
      </c>
      <c r="AF32" s="1139" t="s">
        <v>199</v>
      </c>
      <c r="AG32" s="1140">
        <v>0</v>
      </c>
      <c r="AH32" s="1141">
        <v>60</v>
      </c>
      <c r="AI32" s="1140">
        <v>65</v>
      </c>
      <c r="AJ32" s="1140">
        <v>65</v>
      </c>
      <c r="AK32" s="1141">
        <v>70</v>
      </c>
      <c r="AL32" s="1142"/>
    </row>
    <row r="33" spans="1:30" ht="14.4" x14ac:dyDescent="0.3">
      <c r="A33" s="551" t="s">
        <v>278</v>
      </c>
      <c r="B33" s="552" t="s">
        <v>282</v>
      </c>
      <c r="C33" s="552" t="s">
        <v>2083</v>
      </c>
      <c r="D33" s="551" t="s">
        <v>279</v>
      </c>
      <c r="F33" s="2206" t="s">
        <v>2113</v>
      </c>
      <c r="G33" s="2206"/>
      <c r="I33" s="54">
        <v>115</v>
      </c>
      <c r="J33" s="1980">
        <v>42.5</v>
      </c>
      <c r="K33" s="54"/>
      <c r="L33" s="1312"/>
      <c r="M33" s="1312"/>
      <c r="N33" s="153" t="s">
        <v>23</v>
      </c>
      <c r="O33" s="57" t="s">
        <v>570</v>
      </c>
      <c r="P33" s="41">
        <v>7.5</v>
      </c>
      <c r="Q33" s="41" t="s">
        <v>772</v>
      </c>
      <c r="R33" s="1312"/>
      <c r="T33" s="1357" t="s">
        <v>218</v>
      </c>
      <c r="U33" s="1358">
        <f>((V32*V32-Втулка!I29*Втулка!I29)*3.1415926*Втулка!F23*Втулка!O9)/4000000</f>
        <v>-1.8260538961647733E-3</v>
      </c>
      <c r="V33" s="160"/>
      <c r="W33" s="160"/>
      <c r="X33" s="1013" t="s">
        <v>236</v>
      </c>
      <c r="Y33" s="1015" t="b">
        <v>0</v>
      </c>
      <c r="Z33" s="1023" t="s">
        <v>230</v>
      </c>
      <c r="AA33" s="1024" t="str">
        <f>_xlfn.IFS(Y32=TRUE,VLOOKUP(Втулка!G8,Марка_металла[],5,FALSE),AA32&lt;16,VLOOKUP(Втулка!G8,Марка_металла[],2,FALSE),OR(AA32&gt;=16,AA32&lt;40),VLOOKUP(Втулка!G8,Марка_металла[],3,FALSE),AA32&gt;=40,VLOOKUP(Втулка!G8,Марка_металла[],4,FALSE))</f>
        <v>1060-1080</v>
      </c>
      <c r="AB33" s="1025"/>
    </row>
    <row r="34" spans="1:30" ht="15.6" x14ac:dyDescent="0.3">
      <c r="A34" s="554">
        <v>300</v>
      </c>
      <c r="B34" s="555">
        <v>5</v>
      </c>
      <c r="C34" s="555">
        <v>3</v>
      </c>
      <c r="D34" s="554">
        <v>2.5</v>
      </c>
      <c r="F34" s="222" t="s">
        <v>351</v>
      </c>
      <c r="G34" s="222" t="s">
        <v>352</v>
      </c>
      <c r="I34" s="54">
        <v>320</v>
      </c>
      <c r="J34" s="54">
        <f ca="1">IF(N137&gt;=400,60,IF(цб!N20&lt;250,50,55))</f>
        <v>55</v>
      </c>
      <c r="K34" s="54"/>
      <c r="L34" s="1312"/>
      <c r="M34" s="1312"/>
      <c r="N34" s="153" t="s">
        <v>28</v>
      </c>
      <c r="O34" s="57" t="s">
        <v>570</v>
      </c>
      <c r="P34" s="41">
        <v>8.1</v>
      </c>
      <c r="Q34" t="s">
        <v>772</v>
      </c>
      <c r="R34" s="1312"/>
      <c r="T34" s="1359" t="s">
        <v>219</v>
      </c>
      <c r="U34" s="1360">
        <f>((Втулка!O22*0.985*Втулка!O22*0.985-Втулка!I29*Втулка!I29)*3.1415926*Втулка!O9*Втулка!D23)/4000000</f>
        <v>6.1510049452916146E-2</v>
      </c>
      <c r="V34" s="1014" t="s">
        <v>943</v>
      </c>
      <c r="W34" s="1015">
        <f>(U32+Втулка!E25*2)+Данные!Y34/20</f>
        <v>18.849</v>
      </c>
      <c r="X34" s="1013" t="s">
        <v>890</v>
      </c>
      <c r="Y34" s="605">
        <f>IF(AB34=3,_xlfn.CEILING.MATH(Втулка!O24*Данные!Z34,5),_xlfn.CEILING.MATH(Втулка!O24*AB34,5))</f>
        <v>30</v>
      </c>
      <c r="Z34" s="1014">
        <f>_xlfn.IFS(U31&gt;=700,4,U31&gt;=500,3.5,U31&lt;500,3)</f>
        <v>3</v>
      </c>
      <c r="AA34" s="1014">
        <f>IF(U31&gt;=900,2.7,2.6)</f>
        <v>2.6</v>
      </c>
      <c r="AB34" s="53">
        <f>VLOOKUP(Втулка!G8,Марка_металла[],10,0)</f>
        <v>3</v>
      </c>
    </row>
    <row r="35" spans="1:30" ht="15" thickBot="1" x14ac:dyDescent="0.35">
      <c r="A35" s="554">
        <v>600</v>
      </c>
      <c r="B35" s="555">
        <v>6</v>
      </c>
      <c r="C35" s="555">
        <v>4</v>
      </c>
      <c r="D35" s="554">
        <v>3</v>
      </c>
      <c r="F35" s="221">
        <f>VLOOKUP(цб!E29,Изложницы_без_бурта[],3)</f>
        <v>375</v>
      </c>
      <c r="G35" s="221" t="e">
        <f>VLOOKUP('цб с буртом'!E31,Изложницы_с_буртом[],5,0)</f>
        <v>#N/A</v>
      </c>
      <c r="I35" s="54">
        <v>450</v>
      </c>
      <c r="J35" s="54">
        <f ca="1">IF(цб!N20&lt;350,55,65)</f>
        <v>55</v>
      </c>
      <c r="K35" s="54"/>
      <c r="L35" s="1312"/>
      <c r="M35" s="1312"/>
      <c r="N35" s="153" t="s">
        <v>26</v>
      </c>
      <c r="O35" s="57" t="s">
        <v>570</v>
      </c>
      <c r="P35" s="41">
        <v>7.8</v>
      </c>
      <c r="Q35" t="s">
        <v>772</v>
      </c>
      <c r="R35" s="1312"/>
      <c r="T35" s="200" t="s">
        <v>1714</v>
      </c>
      <c r="U35" s="523">
        <f>SUM(U33:U34)</f>
        <v>5.9683995556751371E-2</v>
      </c>
      <c r="V35" s="160"/>
      <c r="W35" s="160"/>
      <c r="X35" s="518"/>
      <c r="Y35" s="520" t="s">
        <v>687</v>
      </c>
      <c r="Z35" s="524">
        <f>VLOOKUP(Втулка!G8,Марка_металла[],9,FALSE())</f>
        <v>9.3000000000000007</v>
      </c>
      <c r="AA35" s="1044"/>
      <c r="AB35" s="518">
        <f>U32+(Данные!Y34/10*2)+Втулка!E25*2</f>
        <v>23.349</v>
      </c>
    </row>
    <row r="36" spans="1:30" ht="16.2" thickBot="1" x14ac:dyDescent="0.35">
      <c r="A36" s="554">
        <v>1000</v>
      </c>
      <c r="B36" s="555">
        <v>8</v>
      </c>
      <c r="C36" s="555">
        <v>6</v>
      </c>
      <c r="D36" s="554">
        <v>3.5</v>
      </c>
      <c r="I36" s="54">
        <v>400</v>
      </c>
      <c r="J36" s="54">
        <f>_xlfn.IFS(цб!N29&lt;300,80,цб!N29&lt;400,100,цб!N29&lt;500,140,AND(цб!N10&gt;8.5,цб!N29&gt;500),95,цб!N29&gt;500,180)</f>
        <v>100</v>
      </c>
      <c r="K36" s="54"/>
      <c r="L36" s="1312"/>
      <c r="M36" s="1312"/>
      <c r="N36" s="156" t="s">
        <v>34</v>
      </c>
      <c r="O36" s="57" t="s">
        <v>570</v>
      </c>
      <c r="P36" s="41">
        <v>7.8</v>
      </c>
      <c r="Q36" t="s">
        <v>772</v>
      </c>
      <c r="R36" s="1312"/>
      <c r="T36" s="1355" t="s">
        <v>232</v>
      </c>
      <c r="U36" s="1356" t="b">
        <v>1</v>
      </c>
      <c r="V36" s="1015" t="b">
        <v>0</v>
      </c>
      <c r="W36" s="519" t="s">
        <v>1868</v>
      </c>
      <c r="X36" s="523"/>
      <c r="Y36" s="516" t="s">
        <v>688</v>
      </c>
      <c r="Z36" s="515" t="b">
        <f>IF(Z35=8.88,IF(OR(U35&lt;=1500,Данные!AD31+Данные!Y34&lt;=700),"242.04.463","242.04.462"))</f>
        <v>0</v>
      </c>
      <c r="AA36" s="1045"/>
      <c r="AB36" s="523"/>
    </row>
    <row r="37" spans="1:30" ht="16.2" thickBot="1" x14ac:dyDescent="0.35">
      <c r="A37" s="554">
        <v>1200</v>
      </c>
      <c r="B37" s="555">
        <v>8</v>
      </c>
      <c r="C37" s="555">
        <v>7</v>
      </c>
      <c r="D37" s="554">
        <v>4</v>
      </c>
      <c r="L37" s="1312"/>
      <c r="M37" s="1312"/>
      <c r="N37" s="156" t="s">
        <v>30</v>
      </c>
      <c r="O37" s="57" t="s">
        <v>570</v>
      </c>
      <c r="P37" s="41">
        <v>7.6</v>
      </c>
      <c r="Q37" t="s">
        <v>772</v>
      </c>
      <c r="R37" s="1312"/>
      <c r="T37" s="913"/>
      <c r="U37" s="914"/>
      <c r="V37" s="572"/>
      <c r="W37" s="150"/>
      <c r="X37" s="150"/>
      <c r="Y37" s="150"/>
      <c r="Z37" s="150"/>
      <c r="AA37" s="150"/>
      <c r="AB37" s="150"/>
      <c r="AC37" s="150"/>
      <c r="AD37" s="151"/>
    </row>
    <row r="38" spans="1:30" ht="15" thickBot="1" x14ac:dyDescent="0.35">
      <c r="A38" s="554">
        <v>1350</v>
      </c>
      <c r="B38" s="555">
        <v>9</v>
      </c>
      <c r="C38" s="555">
        <v>8</v>
      </c>
      <c r="D38" s="554">
        <v>4.5</v>
      </c>
      <c r="L38" s="1312"/>
      <c r="M38" s="1312"/>
      <c r="N38" s="153" t="s">
        <v>118</v>
      </c>
      <c r="O38" s="57" t="s">
        <v>119</v>
      </c>
      <c r="P38" s="41">
        <v>8.5</v>
      </c>
      <c r="Q38" t="s">
        <v>119</v>
      </c>
      <c r="R38" s="1312"/>
      <c r="T38" s="915" t="s">
        <v>700</v>
      </c>
      <c r="U38" s="566"/>
      <c r="V38" s="566"/>
      <c r="W38" s="744" t="s">
        <v>301</v>
      </c>
      <c r="X38" s="883">
        <f>IF(AND(Втулка!O9&gt;=7.5,Втулка!O9&lt;=8.5),IF((Втулка!O19-Втулка!O20)/2&lt;=35,2,3),1)</f>
        <v>1</v>
      </c>
      <c r="Y38" s="744" t="s">
        <v>703</v>
      </c>
      <c r="Z38" s="1844">
        <f>_xlfn.IFS(U39&lt;=100,100,U39&lt;=200,200,U39&lt;=300,300,U39&lt;=400,400,U39&lt;=600,600,U39&lt;=800,800,U39&lt;=1000,1000,U39&lt;=1500,1500,U39&lt;=2000,2000,U39&gt;2000,2500)</f>
        <v>100</v>
      </c>
      <c r="AA38" s="744" t="s">
        <v>305</v>
      </c>
      <c r="AB38" s="100">
        <f>_xlfn.IFS(U40&lt;50,2,U40&lt;100,3,U40&lt;200,4,U40&lt;300,5,U40&lt;400,6,U40&lt;600,7,U40&lt;800,8,U40&lt;1200,9,U40&lt;1500,10,U40&gt;=1500,11)</f>
        <v>2</v>
      </c>
      <c r="AC38" s="606" t="s">
        <v>763</v>
      </c>
      <c r="AD38" s="604" t="b">
        <v>0</v>
      </c>
    </row>
    <row r="39" spans="1:30" ht="15" thickBot="1" x14ac:dyDescent="0.35">
      <c r="A39" s="554">
        <v>1500</v>
      </c>
      <c r="B39" s="555">
        <v>10</v>
      </c>
      <c r="C39" s="555">
        <v>9</v>
      </c>
      <c r="D39" s="554">
        <v>5</v>
      </c>
      <c r="K39" s="53" t="s">
        <v>946</v>
      </c>
      <c r="L39" s="1312"/>
      <c r="M39" s="1312"/>
      <c r="N39" s="153" t="s">
        <v>121</v>
      </c>
      <c r="O39" s="57" t="s">
        <v>571</v>
      </c>
      <c r="P39" s="41">
        <v>8.5</v>
      </c>
      <c r="Q39" t="s">
        <v>773</v>
      </c>
      <c r="R39" s="1312"/>
      <c r="T39" s="154" t="s">
        <v>701</v>
      </c>
      <c r="U39" s="100">
        <f>Втулка!O3</f>
        <v>0</v>
      </c>
      <c r="V39" s="744" t="s">
        <v>704</v>
      </c>
      <c r="W39" s="100" t="str">
        <f>_xlfn.IFS(X38=2,VLOOKUP(Z38,Прип_фас_алюм_лат,AB38,0),X38=1,VLOOKUP(Z38,A151:K160,AB38,0),X38=3,"20 20 20")</f>
        <v>3 4 4</v>
      </c>
      <c r="X39" s="568" t="s">
        <v>705</v>
      </c>
      <c r="Y39" s="569" t="s">
        <v>706</v>
      </c>
      <c r="Z39" s="570" t="s">
        <v>707</v>
      </c>
      <c r="AA39" s="100"/>
      <c r="AB39" s="100"/>
      <c r="AC39" s="100"/>
      <c r="AD39" s="155"/>
    </row>
    <row r="40" spans="1:30" ht="15" thickBot="1" x14ac:dyDescent="0.35">
      <c r="A40" s="556">
        <v>1900</v>
      </c>
      <c r="B40" s="557">
        <v>12</v>
      </c>
      <c r="C40" s="557">
        <v>10</v>
      </c>
      <c r="D40" s="556">
        <v>5.5</v>
      </c>
      <c r="L40" s="1312"/>
      <c r="M40" s="1312"/>
      <c r="N40" s="153" t="s">
        <v>126</v>
      </c>
      <c r="O40" s="57" t="s">
        <v>571</v>
      </c>
      <c r="P40" s="41">
        <v>8.5</v>
      </c>
      <c r="Q40" t="s">
        <v>774</v>
      </c>
      <c r="R40" s="1312"/>
      <c r="T40" s="154" t="s">
        <v>702</v>
      </c>
      <c r="U40" s="100">
        <f>_xlfn.IFNA(Втулка!O5,500)</f>
        <v>0</v>
      </c>
      <c r="V40" s="100"/>
      <c r="W40" s="100"/>
      <c r="X40" s="567" t="str">
        <f>LEFT(W39,SEARCH(" ",W39,1))</f>
        <v xml:space="preserve">3 </v>
      </c>
      <c r="Y40" s="571" t="str">
        <f>LEFT(Y41,SEARCH(" ",Y41,2))</f>
        <v xml:space="preserve">4 </v>
      </c>
      <c r="Z40" s="567" t="str">
        <f>RIGHT(Y41,SEARCH(" ",W39,1))</f>
        <v xml:space="preserve"> 4</v>
      </c>
      <c r="AA40" s="100"/>
      <c r="AB40" s="100"/>
      <c r="AC40" s="157"/>
      <c r="AD40" s="155"/>
    </row>
    <row r="41" spans="1:30" ht="15" thickBot="1" x14ac:dyDescent="0.35">
      <c r="L41" s="1312"/>
      <c r="M41" s="1312"/>
      <c r="N41" s="1312"/>
      <c r="O41" s="1312"/>
      <c r="P41" s="1312"/>
      <c r="Q41" s="1312"/>
      <c r="R41" s="1312"/>
      <c r="T41" s="1842" t="s">
        <v>2108</v>
      </c>
      <c r="U41" s="1843">
        <f>VLOOKUP(Z38,разрезка,W41,FALSE)</f>
        <v>6</v>
      </c>
      <c r="V41" s="1843">
        <f>(Втулка!J29-Втулка!I29)/2</f>
        <v>7</v>
      </c>
      <c r="W41" s="1787">
        <f>_xlfn.IFS(V41&lt;=15,2,V41&lt;=30,3,V41&lt;=45,4,V41&lt;=75,5,V41&lt;=100,6,V41&gt;100,7)</f>
        <v>2</v>
      </c>
      <c r="X41" s="194"/>
      <c r="Y41" s="567" t="str">
        <f>RIGHT(W39,LEN(W39)-SEARCH("",W39,2))</f>
        <v>4 4</v>
      </c>
      <c r="Z41" s="194"/>
      <c r="AA41" s="194"/>
      <c r="AB41" s="194"/>
      <c r="AC41" s="194"/>
      <c r="AD41" s="195"/>
    </row>
    <row r="42" spans="1:30" ht="15" thickBot="1" x14ac:dyDescent="0.35">
      <c r="L42" s="1312"/>
      <c r="M42" s="1312"/>
      <c r="N42" s="1312"/>
      <c r="O42" s="1312"/>
      <c r="P42" s="1312"/>
      <c r="Q42" s="1312"/>
      <c r="R42" s="1312"/>
    </row>
    <row r="43" spans="1:30" ht="15" thickBot="1" x14ac:dyDescent="0.35">
      <c r="A43" s="1832" t="s">
        <v>104</v>
      </c>
      <c r="B43" s="1668" t="s">
        <v>133</v>
      </c>
      <c r="C43" s="1668"/>
      <c r="D43" s="1668"/>
      <c r="E43" s="150"/>
      <c r="F43" s="150"/>
      <c r="G43" s="150" t="s">
        <v>132</v>
      </c>
      <c r="H43" s="150"/>
      <c r="I43" s="150"/>
      <c r="J43" s="150"/>
      <c r="K43" s="151"/>
      <c r="L43" s="1312"/>
      <c r="M43" s="550" t="s">
        <v>280</v>
      </c>
      <c r="N43" s="1788" t="s">
        <v>278</v>
      </c>
      <c r="O43" s="1788" t="s">
        <v>282</v>
      </c>
      <c r="P43" s="1788" t="s">
        <v>2083</v>
      </c>
      <c r="Q43" s="1827" t="s">
        <v>2106</v>
      </c>
      <c r="R43" s="1312"/>
    </row>
    <row r="44" spans="1:30" ht="14.4" x14ac:dyDescent="0.3">
      <c r="A44" s="1833"/>
      <c r="B44" s="1838" t="s">
        <v>134</v>
      </c>
      <c r="C44" s="1838" t="s">
        <v>135</v>
      </c>
      <c r="D44" s="1838" t="s">
        <v>136</v>
      </c>
      <c r="E44" s="162" t="s">
        <v>137</v>
      </c>
      <c r="F44" s="162" t="s">
        <v>138</v>
      </c>
      <c r="G44" s="162" t="s">
        <v>139</v>
      </c>
      <c r="H44" s="1838" t="s">
        <v>184</v>
      </c>
      <c r="I44" s="100"/>
      <c r="J44" s="100"/>
      <c r="K44" s="155"/>
      <c r="L44" s="1312"/>
      <c r="M44" s="553" t="s">
        <v>350</v>
      </c>
      <c r="N44" s="1789">
        <f>IF(O49=TRUE,Планка!M5,Планка!E28/0.985)</f>
        <v>640.60913705583755</v>
      </c>
      <c r="O44" s="1790">
        <f>VLOOKUP(N46,планки_фас,2,0)</f>
        <v>8</v>
      </c>
      <c r="P44" s="1790">
        <f>VLOOKUP(N46,планки_фас,3,0)</f>
        <v>6</v>
      </c>
      <c r="Q44" s="1828">
        <f>IF(Планка!F7="БрО10Ф1",2.6,VLOOKUP(N46,планки_фас,4,0))</f>
        <v>3.5</v>
      </c>
      <c r="R44" s="1312"/>
      <c r="T44" s="761" t="s">
        <v>1045</v>
      </c>
      <c r="U44" s="762"/>
      <c r="V44" s="1242"/>
      <c r="W44" s="762"/>
      <c r="X44" s="762"/>
      <c r="Y44" s="762"/>
      <c r="Z44" s="762"/>
      <c r="AA44" s="762"/>
      <c r="AB44" s="762"/>
      <c r="AC44" s="762"/>
      <c r="AD44" s="1345"/>
    </row>
    <row r="45" spans="1:30" ht="14.4" x14ac:dyDescent="0.3">
      <c r="A45" s="1833" t="s">
        <v>140</v>
      </c>
      <c r="B45" s="100">
        <v>40</v>
      </c>
      <c r="C45" s="163">
        <v>50</v>
      </c>
      <c r="D45" s="100">
        <v>50</v>
      </c>
      <c r="E45" s="163">
        <v>60</v>
      </c>
      <c r="F45" s="100">
        <v>65</v>
      </c>
      <c r="G45" s="163">
        <v>14</v>
      </c>
      <c r="H45" s="100">
        <v>70</v>
      </c>
      <c r="I45" s="100"/>
      <c r="J45" s="100"/>
      <c r="K45" s="155"/>
      <c r="L45" s="1312"/>
      <c r="M45" s="1796">
        <f>IF(O48=FALSE,ROUNDUP(O46*Q44,0),M47)</f>
        <v>339</v>
      </c>
      <c r="N45" s="1791" t="s">
        <v>2104</v>
      </c>
      <c r="O45" s="1791" t="s">
        <v>281</v>
      </c>
      <c r="P45" s="1792" t="s">
        <v>2082</v>
      </c>
      <c r="Q45" s="1829" t="s">
        <v>2105</v>
      </c>
      <c r="R45" s="1312"/>
      <c r="T45" s="548" t="s">
        <v>1046</v>
      </c>
      <c r="U45" s="157">
        <f>(Конусная!F29-Конусная!E23)/2</f>
        <v>0</v>
      </c>
      <c r="V45" s="157"/>
      <c r="W45" s="157"/>
      <c r="X45" s="157"/>
      <c r="Y45" s="157"/>
      <c r="Z45" s="157"/>
      <c r="AA45" s="157"/>
      <c r="AB45" s="157"/>
      <c r="AC45" s="157"/>
      <c r="AD45" s="559"/>
    </row>
    <row r="46" spans="1:30" ht="14.4" x14ac:dyDescent="0.3">
      <c r="A46" s="1833" t="s">
        <v>141</v>
      </c>
      <c r="B46" s="100">
        <v>40</v>
      </c>
      <c r="C46" s="163">
        <v>50</v>
      </c>
      <c r="D46" s="100">
        <v>50</v>
      </c>
      <c r="E46" s="163">
        <v>65</v>
      </c>
      <c r="F46" s="100">
        <v>70</v>
      </c>
      <c r="G46" s="163">
        <v>14</v>
      </c>
      <c r="H46" s="100">
        <v>70</v>
      </c>
      <c r="I46" s="100"/>
      <c r="J46" s="100"/>
      <c r="K46" s="155"/>
      <c r="L46" s="1312"/>
      <c r="M46" s="1796" t="s">
        <v>541</v>
      </c>
      <c r="N46" s="1791">
        <f>_xlfn.IFS(N44&lt;=300,300,N44&lt;=600,600,N44&lt;=1000,1000,N44&lt;=1200,1200,N44&lt;=1350,1350,N44&lt;=1500,1500,N44&gt;1500,1900)</f>
        <v>1000</v>
      </c>
      <c r="O46" s="1791">
        <f>Планка!I32+P44*2</f>
        <v>115</v>
      </c>
      <c r="P46" s="1791">
        <f>(Планка!M16+Планка!M17)/2</f>
        <v>104</v>
      </c>
      <c r="Q46" s="1830" t="str">
        <f>_xlfn.IFS(O48=TRUE,"1070-1100",P46&lt;=16,VLOOKUP(Планка!F7,Марка_металла[],2,FALSE),P46&lt;=40,VLOOKUP(Планка!F7,Марка_металла[],3,FALSE),P46&gt;=40,VLOOKUP(Планка!F7,Марка_металла[],4,FALSE))</f>
        <v>1060-1080</v>
      </c>
      <c r="R46" s="1312"/>
      <c r="T46" s="573" t="s">
        <v>230</v>
      </c>
      <c r="U46" s="203" t="str">
        <f>_xlfn.IFS(U45&lt;16,VLOOKUP(Конусная!G8,Данные!A3:E27,2,FALSE),OR(U45&gt;=16,U45&lt;40),VLOOKUP(Конусная!G8,Данные!A3:E27,3,FALSE),U45&gt;=40,VLOOKUP(Конусная!G8,Данные!A3:E27,4,FALSE))</f>
        <v>1050-1090</v>
      </c>
      <c r="V46" s="203"/>
      <c r="W46" s="100"/>
      <c r="X46" s="100"/>
      <c r="Y46" s="100"/>
      <c r="Z46" s="157"/>
      <c r="AA46" s="157"/>
      <c r="AB46" s="157"/>
      <c r="AC46" s="157"/>
      <c r="AD46" s="559"/>
    </row>
    <row r="47" spans="1:30" ht="15" thickBot="1" x14ac:dyDescent="0.35">
      <c r="A47" s="1833" t="s">
        <v>142</v>
      </c>
      <c r="B47" s="100">
        <v>40</v>
      </c>
      <c r="C47" s="163">
        <v>55</v>
      </c>
      <c r="D47" s="100">
        <v>60</v>
      </c>
      <c r="E47" s="163">
        <v>70</v>
      </c>
      <c r="F47" s="100">
        <v>75</v>
      </c>
      <c r="G47" s="163">
        <v>14</v>
      </c>
      <c r="H47" s="100">
        <v>70</v>
      </c>
      <c r="I47" s="100"/>
      <c r="J47" s="100"/>
      <c r="K47" s="155"/>
      <c r="L47" s="1312"/>
      <c r="M47" s="1796">
        <f>ROUND(O46*Q44*0.841,0)</f>
        <v>339</v>
      </c>
      <c r="N47" s="100"/>
      <c r="O47" s="100"/>
      <c r="P47" s="100"/>
      <c r="Q47" s="155"/>
      <c r="R47" s="1312"/>
      <c r="T47" s="548" t="s">
        <v>1048</v>
      </c>
      <c r="U47" s="157">
        <f>Конусная!F17</f>
        <v>81</v>
      </c>
      <c r="V47" s="157"/>
      <c r="W47" s="157"/>
      <c r="X47" s="157"/>
      <c r="Y47" s="157"/>
      <c r="Z47" s="157"/>
      <c r="AA47" s="157"/>
      <c r="AB47" s="157"/>
      <c r="AC47" s="157"/>
      <c r="AD47" s="559"/>
    </row>
    <row r="48" spans="1:30" ht="14.4" x14ac:dyDescent="0.3">
      <c r="A48" s="1833" t="s">
        <v>143</v>
      </c>
      <c r="B48" s="100">
        <v>40</v>
      </c>
      <c r="C48" s="895">
        <v>55</v>
      </c>
      <c r="D48" s="100">
        <v>60</v>
      </c>
      <c r="E48" s="163">
        <v>75</v>
      </c>
      <c r="F48" s="100">
        <v>80</v>
      </c>
      <c r="G48" s="163">
        <v>20</v>
      </c>
      <c r="H48" s="100">
        <v>80</v>
      </c>
      <c r="I48" s="100"/>
      <c r="J48" s="100"/>
      <c r="K48" s="155"/>
      <c r="L48" s="1312"/>
      <c r="M48" s="1796" t="s">
        <v>542</v>
      </c>
      <c r="N48" s="1793" t="s">
        <v>233</v>
      </c>
      <c r="O48" s="1794" t="s">
        <v>2080</v>
      </c>
      <c r="P48" s="100"/>
      <c r="Q48" s="155"/>
      <c r="R48" s="1312"/>
      <c r="T48" s="761" t="s">
        <v>1049</v>
      </c>
      <c r="U48" s="151">
        <f>VLOOKUP(Конусная!G8,Данные!A3:J27,10,0)</f>
        <v>3</v>
      </c>
      <c r="V48" s="157"/>
      <c r="W48" s="157"/>
      <c r="X48" s="157"/>
      <c r="Y48" s="157"/>
      <c r="Z48" s="157"/>
      <c r="AA48" s="157"/>
      <c r="AB48" s="157"/>
      <c r="AC48" s="157"/>
      <c r="AD48" s="559"/>
    </row>
    <row r="49" spans="1:30" ht="15" thickBot="1" x14ac:dyDescent="0.35">
      <c r="A49" s="1833" t="s">
        <v>144</v>
      </c>
      <c r="B49" s="100">
        <v>45</v>
      </c>
      <c r="C49" s="163">
        <v>60</v>
      </c>
      <c r="D49" s="895">
        <v>65</v>
      </c>
      <c r="E49" s="163">
        <v>85</v>
      </c>
      <c r="F49" s="100">
        <v>95</v>
      </c>
      <c r="G49" s="163">
        <v>20</v>
      </c>
      <c r="H49" s="100">
        <v>80</v>
      </c>
      <c r="I49" s="100"/>
      <c r="J49" s="100"/>
      <c r="K49" s="155"/>
      <c r="L49" s="1743"/>
      <c r="M49" s="1796"/>
      <c r="N49" s="1795" t="s">
        <v>1997</v>
      </c>
      <c r="O49" s="1795" t="b">
        <v>0</v>
      </c>
      <c r="P49" s="100"/>
      <c r="Q49" s="155"/>
      <c r="R49" s="1312"/>
      <c r="T49" s="1346">
        <f>_xlfn.IFS(U47&gt;=700,4,U47&gt;=500,3.5,U47&lt;500,3)</f>
        <v>3</v>
      </c>
      <c r="U49" s="1347"/>
      <c r="V49" s="157"/>
      <c r="W49" s="157"/>
      <c r="X49" s="157"/>
      <c r="Y49" s="157"/>
      <c r="Z49" s="157"/>
      <c r="AA49" s="157"/>
      <c r="AB49" s="157"/>
      <c r="AC49" s="157"/>
      <c r="AD49" s="559"/>
    </row>
    <row r="50" spans="1:30" ht="15" thickBot="1" x14ac:dyDescent="0.35">
      <c r="A50" s="1833" t="s">
        <v>145</v>
      </c>
      <c r="B50" s="100">
        <v>45</v>
      </c>
      <c r="C50" s="163">
        <v>60</v>
      </c>
      <c r="D50" s="100">
        <v>65</v>
      </c>
      <c r="E50" s="163">
        <v>90</v>
      </c>
      <c r="F50" s="100">
        <v>100</v>
      </c>
      <c r="G50" s="163">
        <v>20</v>
      </c>
      <c r="H50" s="100">
        <v>80</v>
      </c>
      <c r="I50" s="100"/>
      <c r="J50" s="100"/>
      <c r="K50" s="155"/>
      <c r="L50" s="1743"/>
      <c r="M50" s="1797">
        <f>IF(OR(O48=TRUE,O50=TRUE),M47,M45)</f>
        <v>339</v>
      </c>
      <c r="N50" s="1795" t="s">
        <v>266</v>
      </c>
      <c r="O50" s="1795" t="b">
        <v>0</v>
      </c>
      <c r="P50" s="100"/>
      <c r="Q50" s="155"/>
      <c r="R50" s="1312"/>
      <c r="T50" s="548" t="s">
        <v>10</v>
      </c>
      <c r="U50" s="157">
        <f>IF(U48=3,_xlfn.CEILING.MATH(U45*T49,5),_xlfn.CEILING.MATH(U45*U48,5))</f>
        <v>0</v>
      </c>
      <c r="V50" s="157"/>
      <c r="W50" s="157"/>
      <c r="X50" s="157"/>
      <c r="Y50" s="157"/>
      <c r="Z50" s="157"/>
      <c r="AA50" s="157"/>
      <c r="AB50" s="157"/>
      <c r="AC50" s="157"/>
      <c r="AD50" s="559"/>
    </row>
    <row r="51" spans="1:30" ht="15" thickBot="1" x14ac:dyDescent="0.35">
      <c r="A51" s="1833" t="s">
        <v>146</v>
      </c>
      <c r="B51" s="100">
        <v>50</v>
      </c>
      <c r="C51" s="163">
        <v>60</v>
      </c>
      <c r="D51" s="100">
        <v>65</v>
      </c>
      <c r="E51" s="163">
        <v>100</v>
      </c>
      <c r="F51" s="100">
        <v>110</v>
      </c>
      <c r="G51" s="163">
        <v>20</v>
      </c>
      <c r="H51" s="100">
        <v>80</v>
      </c>
      <c r="I51" s="100"/>
      <c r="J51" s="100"/>
      <c r="K51" s="155"/>
      <c r="L51" s="1743"/>
      <c r="M51" s="911" t="s">
        <v>925</v>
      </c>
      <c r="N51" s="571"/>
      <c r="O51" s="571"/>
      <c r="P51" s="571"/>
      <c r="Q51" s="604"/>
      <c r="R51" s="1312"/>
      <c r="T51" s="548"/>
      <c r="U51" s="884"/>
      <c r="V51" s="157"/>
      <c r="W51" s="157"/>
      <c r="X51" s="157"/>
      <c r="Y51" s="157"/>
      <c r="Z51" s="157"/>
      <c r="AA51" s="157"/>
      <c r="AB51" s="157"/>
      <c r="AC51" s="157"/>
      <c r="AD51" s="559"/>
    </row>
    <row r="52" spans="1:30" ht="15" thickBot="1" x14ac:dyDescent="0.35">
      <c r="A52" s="1833" t="s">
        <v>147</v>
      </c>
      <c r="B52" s="100">
        <v>50</v>
      </c>
      <c r="C52" s="163">
        <v>65</v>
      </c>
      <c r="D52" s="100">
        <v>65</v>
      </c>
      <c r="E52" s="163">
        <v>110</v>
      </c>
      <c r="F52" s="100">
        <v>120</v>
      </c>
      <c r="G52" s="163">
        <v>20</v>
      </c>
      <c r="H52" s="100">
        <v>80</v>
      </c>
      <c r="I52" s="100"/>
      <c r="J52" s="100"/>
      <c r="K52" s="155"/>
      <c r="L52" s="1743"/>
      <c r="M52" s="154" t="b">
        <f>Планка!M26&lt;Данные!V100-50</f>
        <v>1</v>
      </c>
      <c r="N52" s="100">
        <v>700</v>
      </c>
      <c r="O52" s="100">
        <v>700</v>
      </c>
      <c r="P52" s="100">
        <v>350</v>
      </c>
      <c r="Q52" s="155">
        <v>200</v>
      </c>
      <c r="R52" s="1312"/>
      <c r="T52" s="549"/>
      <c r="U52" s="745"/>
      <c r="V52" s="1845"/>
      <c r="W52" s="1845"/>
      <c r="X52" s="1845"/>
      <c r="Y52" s="1845"/>
      <c r="Z52" s="1845"/>
      <c r="AA52" s="1845"/>
      <c r="AB52" s="1845"/>
      <c r="AC52" s="1845"/>
      <c r="AD52" s="1846"/>
    </row>
    <row r="53" spans="1:30" ht="14.4" x14ac:dyDescent="0.3">
      <c r="A53" s="1833" t="s">
        <v>148</v>
      </c>
      <c r="B53" s="100">
        <v>50</v>
      </c>
      <c r="C53" s="163">
        <v>65</v>
      </c>
      <c r="D53" s="100">
        <v>65</v>
      </c>
      <c r="E53" s="163">
        <v>120</v>
      </c>
      <c r="F53" s="100">
        <v>130</v>
      </c>
      <c r="G53" s="163">
        <v>20</v>
      </c>
      <c r="H53" s="100">
        <v>80</v>
      </c>
      <c r="I53" s="100"/>
      <c r="J53" s="100"/>
      <c r="K53" s="155"/>
      <c r="L53" s="1743"/>
      <c r="M53" s="154" t="b">
        <f>Планка!M27&lt;Данные!V101-50</f>
        <v>1</v>
      </c>
      <c r="N53" s="100">
        <v>1000</v>
      </c>
      <c r="O53" s="100" t="s">
        <v>2080</v>
      </c>
      <c r="P53" s="100">
        <v>350</v>
      </c>
      <c r="Q53" s="155">
        <v>200</v>
      </c>
      <c r="R53" s="1312"/>
      <c r="S53" s="100"/>
      <c r="T53" s="157"/>
      <c r="U53" s="884"/>
      <c r="V53" s="157"/>
      <c r="W53" s="157"/>
      <c r="X53" s="157"/>
      <c r="Y53" s="157"/>
      <c r="Z53" s="157"/>
      <c r="AA53" s="157"/>
      <c r="AB53" s="157"/>
      <c r="AC53" s="157"/>
      <c r="AD53" s="157"/>
    </row>
    <row r="54" spans="1:30" ht="15" thickBot="1" x14ac:dyDescent="0.35">
      <c r="A54" s="154"/>
      <c r="B54" s="744"/>
      <c r="C54" s="100"/>
      <c r="D54" s="100"/>
      <c r="E54" s="100"/>
      <c r="F54" s="100"/>
      <c r="G54" s="100"/>
      <c r="H54" s="100"/>
      <c r="I54" s="100"/>
      <c r="J54" s="100"/>
      <c r="K54" s="155"/>
      <c r="L54" s="1743"/>
      <c r="M54" s="154" t="b">
        <f>Планка!M28&lt;Данные!V102-50</f>
        <v>1</v>
      </c>
      <c r="N54" s="100">
        <v>1150</v>
      </c>
      <c r="O54" s="100">
        <v>1350</v>
      </c>
      <c r="P54" s="100">
        <v>500</v>
      </c>
      <c r="Q54" s="155">
        <v>320</v>
      </c>
      <c r="R54" s="1312"/>
      <c r="S54" s="100"/>
      <c r="T54" s="1845"/>
      <c r="U54" s="745"/>
      <c r="V54" s="194"/>
      <c r="W54" s="194"/>
      <c r="X54" s="194"/>
      <c r="Y54" s="194"/>
      <c r="Z54" s="194"/>
      <c r="AA54" s="194"/>
      <c r="AB54" s="194"/>
      <c r="AC54" s="194"/>
      <c r="AD54" s="194"/>
    </row>
    <row r="55" spans="1:30" ht="14.4" x14ac:dyDescent="0.3">
      <c r="A55" s="154"/>
      <c r="B55" s="744"/>
      <c r="C55" s="100"/>
      <c r="D55" s="100"/>
      <c r="E55" s="100"/>
      <c r="F55" s="100"/>
      <c r="G55" s="100"/>
      <c r="H55" s="100"/>
      <c r="I55" s="100"/>
      <c r="J55" s="100"/>
      <c r="K55" s="155"/>
      <c r="L55" s="1743"/>
      <c r="M55" s="154" t="b">
        <f>Планка!M30&lt;X111-50</f>
        <v>1</v>
      </c>
      <c r="N55" s="100">
        <v>1400</v>
      </c>
      <c r="O55" s="100">
        <v>2000</v>
      </c>
      <c r="P55" s="100">
        <v>500</v>
      </c>
      <c r="Q55" s="155">
        <v>330</v>
      </c>
      <c r="R55" s="1312"/>
      <c r="T55" s="1243" t="s">
        <v>828</v>
      </c>
      <c r="U55" s="1730"/>
      <c r="V55" s="572"/>
      <c r="W55" s="149" t="s">
        <v>704</v>
      </c>
      <c r="X55" s="150"/>
      <c r="Y55" s="560" t="s">
        <v>998</v>
      </c>
      <c r="Z55" s="150">
        <f ca="1">_xlfn.IFS(U58&lt;=100,100,U58&lt;=200,200,U58&lt;=300,300,U58&lt;=400,400,U58&lt;=600,600,U58&lt;=800,800,U58&lt;=1000,1000,U58&lt;=1500,1500,U58&lt;=2000,2000,U58&gt;2000,2500)</f>
        <v>100</v>
      </c>
      <c r="AA55" s="560" t="s">
        <v>1000</v>
      </c>
      <c r="AB55" s="150">
        <f ca="1">_xlfn.IFS(V58&lt;50,2,V58&lt;100,3,V58&lt;200,4,V58&lt;300,5,V58&lt;400,6,V58&lt;600,7,V58&lt;800,8,V58&lt;1200,9,V58&lt;1500,10,V58&gt;=1500,11)</f>
        <v>2</v>
      </c>
      <c r="AC55" s="150"/>
      <c r="AD55" s="151"/>
    </row>
    <row r="56" spans="1:30" ht="15" thickBot="1" x14ac:dyDescent="0.35">
      <c r="A56" s="154"/>
      <c r="B56" s="744"/>
      <c r="C56" s="100"/>
      <c r="D56" s="100"/>
      <c r="E56" s="100"/>
      <c r="F56" s="100"/>
      <c r="G56" s="100"/>
      <c r="H56" s="100"/>
      <c r="I56" s="100"/>
      <c r="J56" s="100"/>
      <c r="K56" s="155"/>
      <c r="L56" s="1312"/>
      <c r="M56" s="154"/>
      <c r="N56" s="100"/>
      <c r="O56" s="100"/>
      <c r="P56" s="100"/>
      <c r="Q56" s="155"/>
      <c r="R56" s="1312"/>
      <c r="T56" s="915" t="s">
        <v>700</v>
      </c>
      <c r="U56" s="566"/>
      <c r="V56" s="566"/>
      <c r="W56" s="1819" t="s">
        <v>301</v>
      </c>
      <c r="X56" s="883">
        <f>IF(AND('Втулка с буртом'!M16&gt;=7.5,'Втулка с буртом'!M16&lt;=8.5),3,1)</f>
        <v>1</v>
      </c>
      <c r="Y56" s="744" t="s">
        <v>999</v>
      </c>
      <c r="Z56" s="100">
        <f ca="1">_xlfn.IFS(U59&lt;=100,100,U59&lt;=200,200,U59&lt;=300,300,U59&lt;=400,400,U59&lt;=600,600,U59&lt;=800,800,U59&lt;=1000,1000,U59&lt;=1500,1500,U59&lt;=2000,2000,U59&gt;2000,2500)</f>
        <v>100</v>
      </c>
      <c r="AA56" s="744" t="s">
        <v>1001</v>
      </c>
      <c r="AB56" s="100">
        <f ca="1">_xlfn.IFS(V59&lt;50,2,V59&lt;100,3,V59&lt;200,4,V59&lt;300,5,V59&lt;400,6,V59&lt;600,7,V59&lt;800,8,V59&lt;1200,9,V59&lt;1500,10,V59&gt;=1500,11)</f>
        <v>2</v>
      </c>
      <c r="AC56" s="745"/>
      <c r="AD56" s="1846"/>
    </row>
    <row r="57" spans="1:30" ht="15" thickBot="1" x14ac:dyDescent="0.35">
      <c r="A57" s="1669" t="s">
        <v>108</v>
      </c>
      <c r="B57" s="1670"/>
      <c r="C57" s="1838" t="s">
        <v>150</v>
      </c>
      <c r="D57" s="1838"/>
      <c r="E57" s="1838"/>
      <c r="F57" s="162"/>
      <c r="G57" s="162" t="s">
        <v>133</v>
      </c>
      <c r="H57" s="1838"/>
      <c r="I57" s="1838"/>
      <c r="J57" s="100"/>
      <c r="K57" s="155"/>
      <c r="L57" s="1312"/>
      <c r="M57" s="154">
        <f>VLOOKUP(TRUE,M52:Q55,2,0)</f>
        <v>700</v>
      </c>
      <c r="N57" s="100">
        <f>VLOOKUP(TRUE,M52:Q55,3,0)</f>
        <v>700</v>
      </c>
      <c r="O57" s="100">
        <f>VLOOKUP(TRUE,M52:Q55,5,0)</f>
        <v>200</v>
      </c>
      <c r="P57" s="100"/>
      <c r="Q57" s="155"/>
      <c r="R57" s="1312"/>
      <c r="T57" s="1824"/>
      <c r="U57" s="1821" t="s">
        <v>177</v>
      </c>
      <c r="V57" s="1821" t="s">
        <v>77</v>
      </c>
      <c r="W57" s="1762" t="str">
        <f ca="1">(IF(AND('Втулка с буртом'!M16&gt;=7.5,'Втулка с буртом'!M16&lt;=8.5),"20 20 20",VLOOKUP(Z55,A151:K160,AB55,0)))</f>
        <v>3 4 4</v>
      </c>
      <c r="X57" s="568" t="s">
        <v>705</v>
      </c>
      <c r="Y57" s="569" t="s">
        <v>706</v>
      </c>
      <c r="Z57" s="570" t="s">
        <v>707</v>
      </c>
      <c r="AA57" s="201" t="str">
        <f ca="1">(IF(AND('Втулка с буртом'!M16&gt;=7.5,'Втулка с буртом'!M16&lt;=8.5),"20 20 20",VLOOKUP(Z56,A151:K160,AB56,0)))</f>
        <v>3 4 4</v>
      </c>
      <c r="AB57" s="568" t="s">
        <v>705</v>
      </c>
      <c r="AC57" s="569" t="s">
        <v>706</v>
      </c>
      <c r="AD57" s="570" t="s">
        <v>707</v>
      </c>
    </row>
    <row r="58" spans="1:30" ht="15" thickBot="1" x14ac:dyDescent="0.35">
      <c r="A58" s="1669"/>
      <c r="B58" s="1670" t="s">
        <v>1637</v>
      </c>
      <c r="C58" s="1838" t="s">
        <v>134</v>
      </c>
      <c r="D58" s="1838" t="s">
        <v>135</v>
      </c>
      <c r="E58" s="1838" t="s">
        <v>136</v>
      </c>
      <c r="F58" s="162" t="s">
        <v>152</v>
      </c>
      <c r="G58" s="162" t="s">
        <v>153</v>
      </c>
      <c r="H58" s="1838" t="s">
        <v>154</v>
      </c>
      <c r="I58" s="1838" t="s">
        <v>155</v>
      </c>
      <c r="J58" s="100"/>
      <c r="K58" s="155"/>
      <c r="L58" s="1312"/>
      <c r="M58" s="154">
        <f>VLOOKUP(TRUE,M52:Q55,4,0)</f>
        <v>350</v>
      </c>
      <c r="N58" s="100">
        <f ca="1">INT((Планка!M20+Планка!M27)/Данные!M58)+Q58</f>
        <v>2</v>
      </c>
      <c r="O58" s="100" t="s">
        <v>926</v>
      </c>
      <c r="P58" s="100">
        <f ca="1">_xlfn.IFNA(Планка!M20+Планка!M27-M58*N58,100)</f>
        <v>279</v>
      </c>
      <c r="Q58" s="155">
        <f ca="1">IF(O49=TRUE,1,IF(P58&gt;200,1,0))</f>
        <v>1</v>
      </c>
      <c r="R58" s="1312"/>
      <c r="T58" s="154" t="s">
        <v>997</v>
      </c>
      <c r="U58" s="100">
        <f ca="1">_xlfn.IFNA('Втулка с буртом'!M20,100)</f>
        <v>7</v>
      </c>
      <c r="V58" s="1820">
        <f ca="1">_xlfn.IFNA('Втулка с буртом'!M23,100)</f>
        <v>28</v>
      </c>
      <c r="W58" s="154" t="s">
        <v>693</v>
      </c>
      <c r="X58" s="567" t="str">
        <f ca="1">LEFT(W57,SEARCH(" ",W57,1))</f>
        <v xml:space="preserve">3 </v>
      </c>
      <c r="Y58" s="571" t="str">
        <f ca="1">LEFT(Y59,SEARCH(" ",Y59,2))</f>
        <v xml:space="preserve">4 </v>
      </c>
      <c r="Z58" s="567" t="str">
        <f ca="1">RIGHT(Y59,SEARCH(" ",W57,1))</f>
        <v xml:space="preserve"> 4</v>
      </c>
      <c r="AA58" s="100" t="s">
        <v>692</v>
      </c>
      <c r="AB58" s="567" t="str">
        <f ca="1">LEFT(AA57,SEARCH(" ",AA57,1))</f>
        <v xml:space="preserve">3 </v>
      </c>
      <c r="AC58" s="571" t="str">
        <f ca="1">LEFT(AC59,SEARCH(" ",AC59,2))</f>
        <v xml:space="preserve">4 </v>
      </c>
      <c r="AD58" s="567" t="str">
        <f ca="1">RIGHT(AC59,SEARCH(" ",AA57,1))</f>
        <v xml:space="preserve"> 4</v>
      </c>
    </row>
    <row r="59" spans="1:30" ht="15" thickBot="1" x14ac:dyDescent="0.35">
      <c r="A59" s="1669" t="s">
        <v>156</v>
      </c>
      <c r="B59" s="744">
        <v>4</v>
      </c>
      <c r="C59" s="100">
        <v>21</v>
      </c>
      <c r="D59" s="100">
        <v>18</v>
      </c>
      <c r="E59" s="100">
        <v>23</v>
      </c>
      <c r="F59" s="100">
        <v>60</v>
      </c>
      <c r="G59" s="100">
        <v>33</v>
      </c>
      <c r="H59" s="100">
        <v>27</v>
      </c>
      <c r="I59" s="100">
        <v>36</v>
      </c>
      <c r="J59" s="100"/>
      <c r="K59" s="155"/>
      <c r="L59" s="1312"/>
      <c r="M59" s="154"/>
      <c r="N59" s="100"/>
      <c r="O59" s="100"/>
      <c r="P59" s="100"/>
      <c r="Q59" s="155"/>
      <c r="R59" s="1312"/>
      <c r="T59" s="1825" t="s">
        <v>996</v>
      </c>
      <c r="U59" s="1822">
        <f ca="1">_xlfn.IFNA('Втулка с буртом'!M21,100)</f>
        <v>7</v>
      </c>
      <c r="V59" s="1823">
        <f ca="1">_xlfn.IFNA('Втулка с буртом'!M24-'Втулка с буртом'!M23,100)</f>
        <v>20</v>
      </c>
      <c r="W59" s="193"/>
      <c r="X59" s="194"/>
      <c r="Y59" s="567" t="str">
        <f ca="1">RIGHT(W57,LEN(W57)-SEARCH("",W57,2))</f>
        <v>4 4</v>
      </c>
      <c r="Z59" s="194"/>
      <c r="AA59" s="194"/>
      <c r="AB59" s="194"/>
      <c r="AC59" s="567" t="str">
        <f ca="1">RIGHT(AA57,LEN(AA57)-SEARCH("",AA57,2))</f>
        <v>4 4</v>
      </c>
      <c r="AD59" s="195"/>
    </row>
    <row r="60" spans="1:30" ht="14.4" x14ac:dyDescent="0.3">
      <c r="A60" s="1669" t="s">
        <v>157</v>
      </c>
      <c r="B60" s="744">
        <v>4</v>
      </c>
      <c r="C60" s="100">
        <v>24</v>
      </c>
      <c r="D60" s="100">
        <v>18</v>
      </c>
      <c r="E60" s="100">
        <v>24</v>
      </c>
      <c r="F60" s="100">
        <v>65</v>
      </c>
      <c r="G60" s="100">
        <v>34</v>
      </c>
      <c r="H60" s="100">
        <v>28</v>
      </c>
      <c r="I60" s="100">
        <v>39</v>
      </c>
      <c r="J60" s="100"/>
      <c r="K60" s="155"/>
      <c r="L60" s="1312"/>
      <c r="M60" s="154"/>
      <c r="N60" s="100"/>
      <c r="O60" s="100"/>
      <c r="P60" s="100"/>
      <c r="Q60" s="155"/>
      <c r="R60" s="1312"/>
      <c r="T60" s="548"/>
      <c r="U60" s="884"/>
      <c r="V60" s="100"/>
      <c r="W60" s="100"/>
      <c r="X60" s="100"/>
      <c r="Y60" s="100"/>
      <c r="Z60" s="100"/>
      <c r="AA60" s="100"/>
      <c r="AB60" s="100"/>
      <c r="AC60" s="100"/>
      <c r="AD60" s="155"/>
    </row>
    <row r="61" spans="1:30" ht="16.2" thickBot="1" x14ac:dyDescent="0.35">
      <c r="A61" s="1669" t="s">
        <v>158</v>
      </c>
      <c r="B61" s="744">
        <v>6</v>
      </c>
      <c r="C61" s="100">
        <v>21</v>
      </c>
      <c r="D61" s="100">
        <v>17</v>
      </c>
      <c r="E61" s="100">
        <v>21</v>
      </c>
      <c r="F61" s="100">
        <v>70</v>
      </c>
      <c r="G61" s="100">
        <v>36</v>
      </c>
      <c r="H61" s="100">
        <v>30</v>
      </c>
      <c r="I61" s="100">
        <v>44</v>
      </c>
      <c r="J61" s="100"/>
      <c r="K61" s="155"/>
      <c r="L61" s="1312"/>
      <c r="M61" s="193"/>
      <c r="N61" s="194"/>
      <c r="O61" s="194"/>
      <c r="P61" s="194"/>
      <c r="Q61" s="195">
        <f ca="1">N58+Q58</f>
        <v>3</v>
      </c>
      <c r="R61" s="1312"/>
      <c r="T61" s="1817" t="s">
        <v>2107</v>
      </c>
      <c r="U61" s="1804">
        <f ca="1">'Втулка с буртом'!M27</f>
        <v>8.3000000000000007</v>
      </c>
      <c r="V61" s="1801"/>
      <c r="W61" s="1806" t="s">
        <v>2064</v>
      </c>
      <c r="X61" s="1814" t="s">
        <v>2065</v>
      </c>
      <c r="Y61" s="1807" t="s">
        <v>2066</v>
      </c>
      <c r="Z61" s="1808">
        <f ca="1">('Втулка с буртом'!M20+('Втулка с буртом'!M20+X62*2))/2*0.985</f>
        <v>8.1755000000000013</v>
      </c>
      <c r="AA61" s="157"/>
      <c r="AB61" s="157"/>
      <c r="AC61" s="157"/>
      <c r="AD61" s="155"/>
    </row>
    <row r="62" spans="1:30" ht="15.6" x14ac:dyDescent="0.3">
      <c r="A62" s="1669" t="s">
        <v>159</v>
      </c>
      <c r="B62" s="744">
        <v>6</v>
      </c>
      <c r="C62" s="100">
        <v>24</v>
      </c>
      <c r="D62" s="100">
        <v>18</v>
      </c>
      <c r="E62" s="100">
        <v>24</v>
      </c>
      <c r="F62" s="100">
        <v>75</v>
      </c>
      <c r="G62" s="100">
        <v>40</v>
      </c>
      <c r="H62" s="100">
        <v>32</v>
      </c>
      <c r="I62" s="100">
        <v>50</v>
      </c>
      <c r="J62" s="100"/>
      <c r="K62" s="155"/>
      <c r="L62" s="1312"/>
      <c r="R62" s="1312"/>
      <c r="T62" s="1796" t="s">
        <v>1048</v>
      </c>
      <c r="U62" s="1798">
        <f ca="1">'Втулка с буртом'!M24</f>
        <v>48</v>
      </c>
      <c r="V62" s="1809" t="s">
        <v>2061</v>
      </c>
      <c r="W62" s="1805">
        <f ca="1">_xlfn.IFNA(_xlfn.IFS(V58&lt;20,1,AND(V58&gt;=20,V58&lt;50),2,AND(V58&gt;=50,V58&lt;100),3,AND(V58&gt;=100,V58&lt;200),4,AND(V58&gt;=200,V58&lt;300),5,AND(V58&gt;=300,V58&lt;400),6,AND(V58&gt;=400,V58&lt;500),7,AND(V58&gt;=500,V58&lt;650),8,AND(V58&gt;=650,V58&lt;800),9,AND(V58&gt;=800,V58&lt;1000),10,AND(V58&gt;=1000,V58&lt;1200),11,AND(V58&gt;=1200,V58&lt;1400),12,AND(V58&gt;=1400,V58&lt;1600),13,AND(V58&gt;=1600,V58&lt;1800),14,AND(V58&gt;=1800,V58&lt;2000),15,AND(V58&gt;=2000,V58&lt;2250),16,AND(V58&gt;=2250,V58&lt;2500),17,V58&gt;=2500,18),"")</f>
        <v>2</v>
      </c>
      <c r="X62" s="1815">
        <f ca="1">IF('Втулка с буртом'!M18=0,VLOOKUP(Данные!W62,Ф_уклоны[],6,FALSE),VLOOKUP('Втулка с буртом'!M18,Втулки1[],5,0))</f>
        <v>1.3</v>
      </c>
      <c r="Y62" s="1803" t="s">
        <v>2067</v>
      </c>
      <c r="Z62" s="1810">
        <f ca="1">('Втулка с буртом'!M21*2+X63*2)/2*0.985</f>
        <v>8.1755000000000013</v>
      </c>
      <c r="AA62" s="157"/>
      <c r="AB62" s="157"/>
      <c r="AC62" s="157"/>
      <c r="AD62" s="155"/>
    </row>
    <row r="63" spans="1:30" ht="15.6" x14ac:dyDescent="0.3">
      <c r="A63" s="1669" t="s">
        <v>160</v>
      </c>
      <c r="B63" s="744">
        <v>6</v>
      </c>
      <c r="C63" s="100">
        <v>25</v>
      </c>
      <c r="D63" s="100">
        <v>20</v>
      </c>
      <c r="E63" s="100">
        <v>25</v>
      </c>
      <c r="F63" s="100">
        <v>80</v>
      </c>
      <c r="G63" s="100">
        <v>42</v>
      </c>
      <c r="H63" s="100">
        <v>35</v>
      </c>
      <c r="I63" s="100">
        <v>55</v>
      </c>
      <c r="J63" s="100"/>
      <c r="K63" s="155"/>
      <c r="L63" s="1312"/>
      <c r="R63" s="1312"/>
      <c r="T63" s="1796" t="s">
        <v>1049</v>
      </c>
      <c r="U63" s="1798">
        <f>VLOOKUP('Втулка с буртом'!F8,Данные!A3:J27,10,0)</f>
        <v>3</v>
      </c>
      <c r="V63" s="1802" t="s">
        <v>2062</v>
      </c>
      <c r="W63" s="1811">
        <f ca="1">_xlfn.IFNA(_xlfn.IFS(V59&lt;20,1,AND(V59&gt;=20,V59&lt;50),2,AND(V59&gt;=50,V59&lt;100),3,AND(V59&gt;=100,V59&lt;200),4,AND(V59&gt;=200,V59&lt;300),5,AND(V59&gt;=300,V59&lt;400),6,AND(V59&gt;=400,V59&lt;500),7,AND(V59&gt;=500,V59&lt;650),8,AND(V59&gt;=650,V59&lt;800),9,AND(V59&gt;=800,V59&lt;1000),10,AND(V59&gt;=1000,V59&lt;1200),11,AND(V59&gt;=1200,V59&lt;1400),12,AND(V59&gt;=1400,V59&lt;1600),13,AND(V59&gt;=1600,V59&lt;1800),14,AND(V59&gt;=1800,V59&lt;2000),15,AND(V59&gt;=2000,V59&lt;2250),16,AND(V59&gt;=2250,V59&lt;2500),17,V59&gt;=2500,18),"")</f>
        <v>2</v>
      </c>
      <c r="X63" s="1816">
        <f ca="1">IF('Втулка с буртом'!M18=0,VLOOKUP(W63,Ф_уклоны[],6,FALSE),VLOOKUP('Втулка с буртом'!M18,Втулки1[],8,0))</f>
        <v>1.3</v>
      </c>
      <c r="Y63" s="1812"/>
      <c r="Z63" s="1813"/>
      <c r="AA63" s="157"/>
      <c r="AB63" s="157"/>
      <c r="AC63" s="157"/>
      <c r="AD63" s="155"/>
    </row>
    <row r="64" spans="1:30" ht="15" thickBot="1" x14ac:dyDescent="0.35">
      <c r="A64" s="1669" t="s">
        <v>182</v>
      </c>
      <c r="B64" s="744">
        <v>6</v>
      </c>
      <c r="C64" s="100">
        <v>28</v>
      </c>
      <c r="D64" s="100">
        <v>23</v>
      </c>
      <c r="E64" s="100">
        <v>30</v>
      </c>
      <c r="F64" s="100">
        <v>85</v>
      </c>
      <c r="G64" s="100">
        <v>45</v>
      </c>
      <c r="H64" s="100">
        <v>40</v>
      </c>
      <c r="I64" s="100">
        <v>62</v>
      </c>
      <c r="J64" s="100"/>
      <c r="K64" s="155"/>
      <c r="L64" s="1312"/>
      <c r="R64" s="1312"/>
      <c r="T64" s="1796">
        <f ca="1">_xlfn.IFS(U62&gt;=700,4,U62&gt;=500,3.5,U62&lt;500,3)</f>
        <v>3</v>
      </c>
      <c r="U64" s="1800"/>
      <c r="V64" s="157"/>
      <c r="W64" s="157"/>
      <c r="X64" s="157"/>
      <c r="Y64" s="157"/>
      <c r="Z64" s="157"/>
      <c r="AA64" s="157"/>
      <c r="AB64" s="157"/>
      <c r="AC64" s="157"/>
      <c r="AD64" s="155"/>
    </row>
    <row r="65" spans="1:30" ht="15" thickBot="1" x14ac:dyDescent="0.35">
      <c r="A65" s="1669" t="s">
        <v>183</v>
      </c>
      <c r="B65" s="744">
        <v>6</v>
      </c>
      <c r="C65" s="100">
        <v>31</v>
      </c>
      <c r="D65" s="100">
        <v>25</v>
      </c>
      <c r="E65" s="100">
        <v>34</v>
      </c>
      <c r="F65" s="100">
        <v>90</v>
      </c>
      <c r="G65" s="100">
        <v>53</v>
      </c>
      <c r="H65" s="100">
        <v>44</v>
      </c>
      <c r="I65" s="100">
        <v>67</v>
      </c>
      <c r="J65" s="100"/>
      <c r="K65" s="155"/>
      <c r="L65" s="1312"/>
      <c r="M65" s="911"/>
      <c r="N65" s="571" t="s">
        <v>2011</v>
      </c>
      <c r="O65" s="912"/>
      <c r="P65" s="571"/>
      <c r="Q65" s="571" t="s">
        <v>2081</v>
      </c>
      <c r="R65" s="604"/>
      <c r="T65" s="1818" t="s">
        <v>10</v>
      </c>
      <c r="U65" s="1799">
        <f ca="1">IF(U63=3,MROUND(U61*T64,5),MROUND(U61*U63,5))</f>
        <v>25</v>
      </c>
      <c r="V65" s="157"/>
      <c r="W65" s="157"/>
      <c r="X65" s="157"/>
      <c r="Y65" s="157"/>
      <c r="Z65" s="157"/>
      <c r="AA65" s="157"/>
      <c r="AB65" s="157"/>
      <c r="AC65" s="157"/>
      <c r="AD65" s="155"/>
    </row>
    <row r="66" spans="1:30" ht="14.4" x14ac:dyDescent="0.3">
      <c r="A66" s="154"/>
      <c r="B66" s="744"/>
      <c r="C66" s="100"/>
      <c r="D66" s="100"/>
      <c r="E66" s="100"/>
      <c r="F66" s="100"/>
      <c r="G66" s="100"/>
      <c r="H66" s="100"/>
      <c r="I66" s="100"/>
      <c r="J66" s="100"/>
      <c r="K66" s="155"/>
      <c r="L66" s="1312"/>
      <c r="M66" s="154"/>
      <c r="N66" s="199"/>
      <c r="O66" s="909" t="s">
        <v>187</v>
      </c>
      <c r="P66" s="909"/>
      <c r="Q66" s="909" t="s">
        <v>188</v>
      </c>
      <c r="R66" s="910"/>
      <c r="T66" s="548"/>
      <c r="U66" s="1847"/>
      <c r="V66" s="157"/>
      <c r="W66" s="157"/>
      <c r="X66" s="157"/>
      <c r="Y66" s="157"/>
      <c r="Z66" s="157"/>
      <c r="AA66" s="157"/>
      <c r="AB66" s="157"/>
      <c r="AC66" s="157"/>
      <c r="AD66" s="155"/>
    </row>
    <row r="67" spans="1:30" ht="14.4" x14ac:dyDescent="0.3">
      <c r="A67" s="154"/>
      <c r="B67" s="744"/>
      <c r="C67" s="100"/>
      <c r="D67" s="100"/>
      <c r="E67" s="100"/>
      <c r="F67" s="100"/>
      <c r="G67" s="100"/>
      <c r="H67" s="100"/>
      <c r="I67" s="100"/>
      <c r="J67" s="100"/>
      <c r="K67" s="155"/>
      <c r="L67" s="1312"/>
      <c r="M67" s="100" t="s">
        <v>1600</v>
      </c>
      <c r="N67" s="197" t="s">
        <v>190</v>
      </c>
      <c r="O67" s="198" t="s">
        <v>208</v>
      </c>
      <c r="P67" s="198" t="s">
        <v>189</v>
      </c>
      <c r="Q67" s="198" t="s">
        <v>1601</v>
      </c>
      <c r="R67" s="198" t="s">
        <v>1602</v>
      </c>
      <c r="T67" s="548"/>
      <c r="U67" s="884"/>
      <c r="V67" s="100"/>
      <c r="W67" s="100"/>
      <c r="X67" s="100"/>
      <c r="Y67" s="100"/>
      <c r="Z67" s="100"/>
      <c r="AA67" s="100"/>
      <c r="AB67" s="100"/>
      <c r="AC67" s="100"/>
      <c r="AD67" s="155"/>
    </row>
    <row r="68" spans="1:30" ht="15" thickBot="1" x14ac:dyDescent="0.35">
      <c r="A68" s="154"/>
      <c r="B68" s="744"/>
      <c r="C68" s="100"/>
      <c r="D68" s="100"/>
      <c r="E68" s="100"/>
      <c r="F68" s="100"/>
      <c r="G68" s="100"/>
      <c r="H68" s="100"/>
      <c r="I68" s="100"/>
      <c r="J68" s="100"/>
      <c r="K68" s="155"/>
      <c r="L68" s="1312"/>
      <c r="M68" s="100">
        <v>1</v>
      </c>
      <c r="N68" s="199" t="s">
        <v>191</v>
      </c>
      <c r="O68" s="899" t="s">
        <v>209</v>
      </c>
      <c r="P68" s="899">
        <v>0.5</v>
      </c>
      <c r="Q68" s="899" t="s">
        <v>215</v>
      </c>
      <c r="R68" s="899">
        <v>1</v>
      </c>
      <c r="T68" s="549" t="b">
        <v>0</v>
      </c>
      <c r="U68" s="1674"/>
      <c r="V68" s="100"/>
      <c r="W68" s="100"/>
      <c r="X68" s="100"/>
      <c r="Y68" s="100"/>
      <c r="Z68" s="100"/>
      <c r="AA68" s="100"/>
      <c r="AB68" s="100"/>
      <c r="AC68" s="100"/>
      <c r="AD68" s="155"/>
    </row>
    <row r="69" spans="1:30" ht="14.4" x14ac:dyDescent="0.3">
      <c r="A69" s="154"/>
      <c r="B69" s="744"/>
      <c r="C69" s="100"/>
      <c r="D69" s="100"/>
      <c r="E69" s="100"/>
      <c r="F69" s="100"/>
      <c r="G69" s="100"/>
      <c r="H69" s="100"/>
      <c r="I69" s="100"/>
      <c r="J69" s="100"/>
      <c r="K69" s="155"/>
      <c r="L69" s="1312"/>
      <c r="M69" s="100">
        <v>2</v>
      </c>
      <c r="N69" s="199" t="s">
        <v>2063</v>
      </c>
      <c r="O69" s="899" t="s">
        <v>210</v>
      </c>
      <c r="P69" s="899">
        <v>1</v>
      </c>
      <c r="Q69" s="899" t="s">
        <v>209</v>
      </c>
      <c r="R69" s="899">
        <v>1.3</v>
      </c>
      <c r="T69" s="886" t="s">
        <v>828</v>
      </c>
      <c r="U69" s="61" t="s">
        <v>888</v>
      </c>
      <c r="V69" s="887">
        <f ca="1">_xlfn.IFNA('Втулка с буртом'!M28+'Втулка с буртом'!M29,2500)</f>
        <v>2</v>
      </c>
      <c r="W69" s="61" t="s">
        <v>104</v>
      </c>
      <c r="X69" s="61" t="s">
        <v>108</v>
      </c>
      <c r="Y69" s="61" t="s">
        <v>117</v>
      </c>
      <c r="Z69" s="100"/>
      <c r="AA69" s="520" t="s">
        <v>687</v>
      </c>
      <c r="AB69" s="524">
        <f>VLOOKUP('Втулка с буртом'!F8,Марка_металла[],9,FALSE())</f>
        <v>9.1</v>
      </c>
      <c r="AC69" s="100"/>
      <c r="AD69" s="155"/>
    </row>
    <row r="70" spans="1:30" ht="14.4" x14ac:dyDescent="0.3">
      <c r="A70" s="1669" t="s">
        <v>117</v>
      </c>
      <c r="B70" s="1670" t="s">
        <v>149</v>
      </c>
      <c r="C70" s="1838" t="s">
        <v>150</v>
      </c>
      <c r="D70" s="1838"/>
      <c r="E70" s="1838"/>
      <c r="F70" s="162"/>
      <c r="G70" s="162" t="s">
        <v>133</v>
      </c>
      <c r="H70" s="1838"/>
      <c r="I70" s="1838"/>
      <c r="J70" s="162" t="s">
        <v>161</v>
      </c>
      <c r="K70" s="1671"/>
      <c r="L70" s="1312"/>
      <c r="M70" s="100">
        <v>3</v>
      </c>
      <c r="N70" s="199" t="s">
        <v>192</v>
      </c>
      <c r="O70" s="899" t="s">
        <v>211</v>
      </c>
      <c r="P70" s="899">
        <v>1.3</v>
      </c>
      <c r="Q70" s="899" t="s">
        <v>210</v>
      </c>
      <c r="R70" s="899">
        <v>1.7</v>
      </c>
      <c r="T70" s="65" t="s">
        <v>131</v>
      </c>
      <c r="U70" s="885" t="str">
        <f ca="1">_xlfn.IFNA(_xlfn.IFS(V70=W69,W70,V70=X69,X70,V70=Y69,Y70),H23)</f>
        <v>242.04.462-1</v>
      </c>
      <c r="V70" s="1731" t="str">
        <f>IF(VLOOKUP('Втулка с буртом'!F8,Марка_металла[],8,FALSE)="Diff",AB70,VLOOKUP('Втулка с буртом'!F8,Марка_металла[],8,FALSE))</f>
        <v>242.04.462</v>
      </c>
      <c r="W70" s="54" t="str">
        <f ca="1">_xlfn.IFNA(_xlfn.IFS(AND(V70=A43,V69&lt;1500),A45,AND(V70=A43,V69&lt;2000),A46,AND(V70=A43,V69&lt;2500),A47,AND(V70=A43,V69&lt;3000),A48,AND(V70=A43,V69&lt;3500),A49,AND(V70=A43,V69&lt;4000),A50,AND(V70=A43,V69&lt;4500),A51,AND(V70=A43,V69&lt;5500),A52,AND(V70=A43,V69&gt;=5500),A53),"")</f>
        <v>242.04.462-1</v>
      </c>
      <c r="X70" s="54" t="str">
        <f ca="1">_xlfn.IFNA(_xlfn.IFS(AND(V70=A57,V69&lt;1000),A59,AND(V70=A57,V69&lt;1500),A60,AND(V70=A57,V69&lt;2000),A61,AND(V70=A57,V69&lt;2500),A62,AND(V70=A57,V69&lt;3000),A63,AND(V70=A57,V69&lt;3500),A64,AND(V70=A57,V69&gt;=3500),A65),"")</f>
        <v/>
      </c>
      <c r="Y70" s="54" t="str">
        <f ca="1">_xlfn.IFNA(_xlfn.IFS(AND(V70=A70,V69&lt;1000),A72,AND(V70=A70,V69&lt;1500),A73,AND(V70=A70,V69&lt;2000),A74,AND(V70=A70,V69&lt;2500),A75,AND(V70=A70,V69&gt;=2500),A76),"")</f>
        <v/>
      </c>
      <c r="Z70" s="100"/>
      <c r="AA70" s="516" t="s">
        <v>688</v>
      </c>
      <c r="AB70" s="515" t="b">
        <f>IF(AB69=8.88,IF(AND(V69&lt;=1500,'Втулка с буртом'!M24+'Втулка с буртом'!M25&lt;=700),"242.04.463","242.04.462"))</f>
        <v>0</v>
      </c>
      <c r="AC70" s="100"/>
      <c r="AD70" s="155"/>
    </row>
    <row r="71" spans="1:30" ht="15" thickBot="1" x14ac:dyDescent="0.35">
      <c r="A71" s="1669"/>
      <c r="B71" s="1670" t="s">
        <v>151</v>
      </c>
      <c r="C71" s="1838" t="s">
        <v>134</v>
      </c>
      <c r="D71" s="1838" t="s">
        <v>135</v>
      </c>
      <c r="E71" s="1838" t="s">
        <v>136</v>
      </c>
      <c r="F71" s="162" t="s">
        <v>152</v>
      </c>
      <c r="G71" s="162" t="s">
        <v>153</v>
      </c>
      <c r="H71" s="1838" t="s">
        <v>154</v>
      </c>
      <c r="I71" s="1838" t="s">
        <v>155</v>
      </c>
      <c r="J71" s="162" t="s">
        <v>162</v>
      </c>
      <c r="K71" s="1672" t="s">
        <v>163</v>
      </c>
      <c r="L71" s="1312"/>
      <c r="M71" s="100">
        <v>4</v>
      </c>
      <c r="N71" s="199" t="s">
        <v>193</v>
      </c>
      <c r="O71" s="899" t="s">
        <v>212</v>
      </c>
      <c r="P71" s="899">
        <v>1.7</v>
      </c>
      <c r="Q71" s="899" t="s">
        <v>211</v>
      </c>
      <c r="R71" s="899">
        <v>2.5</v>
      </c>
      <c r="T71" s="729" t="s">
        <v>21</v>
      </c>
      <c r="U71" s="730">
        <f ca="1">ROUND(_xlfn.IFS(V70=W69,W71,V70=X69,X71,V70=Y69,Y71),2)</f>
        <v>8.44</v>
      </c>
      <c r="V71" s="66"/>
      <c r="W71" s="66">
        <f ca="1">Масса_литн_462('Втулка с буртом'!M28+'Втулка с буртом'!M29,'Втулка с буртом'!M24+'Втулка с буртом'!M25,'Втулка с буртом'!M21,'Втулка с буртом'!M16)</f>
        <v>8.437270633821278</v>
      </c>
      <c r="X71" s="159">
        <f ca="1">Масса_литн_463('Втулка с буртом'!M28+'Втулка с буртом'!M29,'Втулка с буртом'!M24+'Втулка с буртом'!M25,'Втулка с буртом'!M21,'Втулка с буртом'!M16)</f>
        <v>8.6138290393602794</v>
      </c>
      <c r="Y71" s="159">
        <f ca="1">Масса_литн_464('Втулка с буртом'!M28+'Втулка с буртом'!M29,'Втулка с буртом'!M24+'Втулка с буртом'!M25,'Втулка с буртом'!M21,'Втулка с буртом'!M16)</f>
        <v>23.641818428618613</v>
      </c>
      <c r="Z71" s="100"/>
      <c r="AA71" s="522" t="s">
        <v>689</v>
      </c>
      <c r="AB71" s="525"/>
      <c r="AC71" s="100"/>
      <c r="AD71" s="155"/>
    </row>
    <row r="72" spans="1:30" ht="14.4" x14ac:dyDescent="0.3">
      <c r="A72" s="1669" t="s">
        <v>164</v>
      </c>
      <c r="B72" s="744">
        <v>4</v>
      </c>
      <c r="C72" s="100">
        <v>20</v>
      </c>
      <c r="D72" s="100">
        <v>17</v>
      </c>
      <c r="E72" s="100">
        <v>23</v>
      </c>
      <c r="F72" s="100">
        <v>55</v>
      </c>
      <c r="G72" s="100">
        <v>35</v>
      </c>
      <c r="H72" s="100">
        <v>28</v>
      </c>
      <c r="I72" s="100">
        <v>40</v>
      </c>
      <c r="J72" s="100">
        <v>110</v>
      </c>
      <c r="K72" s="155">
        <v>90</v>
      </c>
      <c r="L72" s="1312"/>
      <c r="M72" s="100">
        <v>5</v>
      </c>
      <c r="N72" s="199" t="s">
        <v>194</v>
      </c>
      <c r="O72" s="899" t="s">
        <v>212</v>
      </c>
      <c r="P72" s="899">
        <v>2</v>
      </c>
      <c r="Q72" s="899" t="s">
        <v>212</v>
      </c>
      <c r="R72" s="899">
        <v>3</v>
      </c>
      <c r="T72" s="743" t="s">
        <v>1048</v>
      </c>
      <c r="U72" s="731">
        <f ca="1">ROUNDUP(('Втулка с буртом'!M24+'Втулка с буртом'!M25)*0.985,0)</f>
        <v>72</v>
      </c>
      <c r="V72" s="100"/>
      <c r="W72" s="100"/>
      <c r="X72" s="100"/>
      <c r="Y72" s="100"/>
      <c r="Z72" s="100"/>
      <c r="AA72" s="100"/>
      <c r="AB72" s="100"/>
      <c r="AC72" s="100"/>
      <c r="AD72" s="155"/>
    </row>
    <row r="73" spans="1:30" ht="15" thickBot="1" x14ac:dyDescent="0.35">
      <c r="A73" s="1669" t="s">
        <v>165</v>
      </c>
      <c r="B73" s="744">
        <v>6</v>
      </c>
      <c r="C73" s="100">
        <v>19</v>
      </c>
      <c r="D73" s="100">
        <v>14</v>
      </c>
      <c r="E73" s="100">
        <v>20</v>
      </c>
      <c r="F73" s="100">
        <v>60</v>
      </c>
      <c r="G73" s="100">
        <v>35</v>
      </c>
      <c r="H73" s="100">
        <v>29</v>
      </c>
      <c r="I73" s="100">
        <v>44</v>
      </c>
      <c r="J73" s="100">
        <v>110</v>
      </c>
      <c r="K73" s="155">
        <v>90</v>
      </c>
      <c r="L73" s="1312"/>
      <c r="M73" s="100">
        <v>6</v>
      </c>
      <c r="N73" s="199" t="s">
        <v>195</v>
      </c>
      <c r="O73" s="899" t="s">
        <v>213</v>
      </c>
      <c r="P73" s="899">
        <v>2.5</v>
      </c>
      <c r="Q73" s="899" t="s">
        <v>212</v>
      </c>
      <c r="R73" s="899">
        <v>3.5</v>
      </c>
      <c r="T73" s="193"/>
      <c r="U73" s="1674"/>
      <c r="V73" s="194"/>
      <c r="W73" s="194"/>
      <c r="X73" s="194"/>
      <c r="Y73" s="194"/>
      <c r="Z73" s="194"/>
      <c r="AA73" s="194"/>
      <c r="AB73" s="194"/>
      <c r="AC73" s="194"/>
      <c r="AD73" s="195"/>
    </row>
    <row r="74" spans="1:30" ht="15" thickBot="1" x14ac:dyDescent="0.35">
      <c r="A74" s="1669" t="s">
        <v>166</v>
      </c>
      <c r="B74" s="744">
        <v>6</v>
      </c>
      <c r="C74" s="100">
        <v>22</v>
      </c>
      <c r="D74" s="100">
        <v>16</v>
      </c>
      <c r="E74" s="100">
        <v>21</v>
      </c>
      <c r="F74" s="100">
        <v>65</v>
      </c>
      <c r="G74" s="100">
        <v>38</v>
      </c>
      <c r="H74" s="100">
        <v>32</v>
      </c>
      <c r="I74" s="100">
        <v>48</v>
      </c>
      <c r="J74" s="100">
        <v>120</v>
      </c>
      <c r="K74" s="155">
        <v>100</v>
      </c>
      <c r="L74" s="1312"/>
      <c r="M74" s="100">
        <v>7</v>
      </c>
      <c r="N74" s="199" t="s">
        <v>196</v>
      </c>
      <c r="O74" s="899" t="s">
        <v>213</v>
      </c>
      <c r="P74" s="899">
        <v>3</v>
      </c>
      <c r="Q74" s="899" t="s">
        <v>212</v>
      </c>
      <c r="R74" s="899">
        <v>4.3</v>
      </c>
      <c r="U74" s="1312"/>
      <c r="V74" s="1312"/>
      <c r="W74" s="1312"/>
    </row>
    <row r="75" spans="1:30" ht="14.4" x14ac:dyDescent="0.3">
      <c r="A75" s="1669" t="s">
        <v>167</v>
      </c>
      <c r="B75" s="744">
        <v>6</v>
      </c>
      <c r="C75" s="100">
        <v>24</v>
      </c>
      <c r="D75" s="100">
        <v>18</v>
      </c>
      <c r="E75" s="100">
        <v>24</v>
      </c>
      <c r="F75" s="100">
        <v>70</v>
      </c>
      <c r="G75" s="100">
        <v>42</v>
      </c>
      <c r="H75" s="100">
        <v>36</v>
      </c>
      <c r="I75" s="100">
        <v>54</v>
      </c>
      <c r="J75" s="100">
        <v>120</v>
      </c>
      <c r="K75" s="155">
        <v>100</v>
      </c>
      <c r="L75" s="1312"/>
      <c r="M75" s="100">
        <v>8</v>
      </c>
      <c r="N75" s="199" t="s">
        <v>197</v>
      </c>
      <c r="O75" s="899" t="s">
        <v>213</v>
      </c>
      <c r="P75" s="899">
        <v>3.5</v>
      </c>
      <c r="Q75" s="899" t="s">
        <v>212</v>
      </c>
      <c r="R75" s="899">
        <v>5.3</v>
      </c>
      <c r="T75" s="761" t="s">
        <v>838</v>
      </c>
      <c r="U75" s="762"/>
      <c r="V75" s="762" t="s">
        <v>978</v>
      </c>
      <c r="W75" s="762"/>
      <c r="X75" s="150"/>
      <c r="Y75" s="150"/>
      <c r="Z75" s="150"/>
      <c r="AA75" s="150"/>
      <c r="AB75" s="1855" t="s">
        <v>2141</v>
      </c>
      <c r="AC75" s="1856"/>
    </row>
    <row r="76" spans="1:30" ht="15" thickBot="1" x14ac:dyDescent="0.35">
      <c r="A76" s="1669" t="s">
        <v>168</v>
      </c>
      <c r="B76" s="744">
        <v>6</v>
      </c>
      <c r="C76" s="100">
        <v>25</v>
      </c>
      <c r="D76" s="100">
        <v>19</v>
      </c>
      <c r="E76" s="100">
        <v>26</v>
      </c>
      <c r="F76" s="100">
        <v>75</v>
      </c>
      <c r="G76" s="100">
        <v>46</v>
      </c>
      <c r="H76" s="100">
        <v>35</v>
      </c>
      <c r="I76" s="100">
        <v>52</v>
      </c>
      <c r="J76" s="100">
        <v>120</v>
      </c>
      <c r="K76" s="155">
        <v>100</v>
      </c>
      <c r="L76" s="1312"/>
      <c r="M76" s="100">
        <v>9</v>
      </c>
      <c r="N76" s="199" t="s">
        <v>198</v>
      </c>
      <c r="O76" s="899" t="s">
        <v>213</v>
      </c>
      <c r="P76" s="899">
        <v>4</v>
      </c>
      <c r="Q76" s="899" t="s">
        <v>212</v>
      </c>
      <c r="R76" s="899">
        <v>6</v>
      </c>
      <c r="T76" s="154"/>
      <c r="U76" s="100"/>
      <c r="V76" s="100"/>
      <c r="W76" s="100"/>
      <c r="X76" s="100"/>
      <c r="Y76" s="100" t="s">
        <v>2064</v>
      </c>
      <c r="Z76" s="100" t="s">
        <v>2078</v>
      </c>
      <c r="AA76" s="100" t="s">
        <v>2079</v>
      </c>
      <c r="AB76" s="1956" t="s">
        <v>2142</v>
      </c>
      <c r="AC76" s="1957" t="s">
        <v>2143</v>
      </c>
    </row>
    <row r="77" spans="1:30" ht="15" thickBot="1" x14ac:dyDescent="0.35">
      <c r="A77" s="154"/>
      <c r="B77" s="744"/>
      <c r="C77" s="100"/>
      <c r="D77" s="100"/>
      <c r="E77" s="100"/>
      <c r="F77" s="100"/>
      <c r="G77" s="100"/>
      <c r="H77" s="100"/>
      <c r="I77" s="100"/>
      <c r="J77" s="100"/>
      <c r="K77" s="155"/>
      <c r="L77" s="1312"/>
      <c r="M77" s="100">
        <v>10</v>
      </c>
      <c r="N77" s="199" t="s">
        <v>199</v>
      </c>
      <c r="O77" s="899" t="s">
        <v>214</v>
      </c>
      <c r="P77" s="899">
        <v>4.5</v>
      </c>
      <c r="Q77" s="899" t="s">
        <v>213</v>
      </c>
      <c r="R77" s="899">
        <v>6.5</v>
      </c>
      <c r="T77" s="757" t="s">
        <v>839</v>
      </c>
      <c r="U77" s="758">
        <f>Бандаж!P5</f>
        <v>0</v>
      </c>
      <c r="V77" s="759" t="s">
        <v>260</v>
      </c>
      <c r="W77" s="758">
        <f>_xlfn.IFNA(_xlfn.IFS(U77&lt;20,1,AND(U77&gt;=20,U77&lt;50),2,AND(U77&gt;=50,U77&lt;100),3,AND(U77&gt;=100,U77&lt;200),4,AND(U77&gt;=200,U77&lt;300),5,AND(U77&gt;=300,U77&lt;400),6,AND(U77&gt;=400,U77&lt;500),7,AND(U77&gt;=500,U77&lt;650),8,AND(U77&gt;=650,U77&lt;800),9,AND(U77&gt;=800,U77&lt;1000),10,AND(U77&gt;=1000,U77&lt;1200),11,AND(U77&gt;=1200,U77&lt;1400),12,AND(U77&gt;=1400,U77&lt;1600),13,AND(U77&gt;=1600,U77&lt;1800),14,AND(U77&gt;=1800,U77&lt;2000),15,AND(U77&gt;=2000,U77&lt;2250),16,AND(U77&gt;=2250,U77&lt;2500),17,U77&gt;=2500,18),"")</f>
        <v>1</v>
      </c>
      <c r="X77" s="758" t="s">
        <v>217</v>
      </c>
      <c r="Y77" s="760">
        <f>ROUND(VLOOKUP(W77,M68:R85,6,FALSE),0)</f>
        <v>1</v>
      </c>
      <c r="Z77" s="160" t="b">
        <f>IF(Бандаж!P20&lt;&gt;0,VLOOKUP(Бандаж!P20,Бандажи4[],4,0))</f>
        <v>0</v>
      </c>
      <c r="AA77" s="160" t="b">
        <f>IF(Бандаж!P20&lt;&gt;0,VLOOKUP(Бандаж!P20,Бандажи4[],6,0))</f>
        <v>0</v>
      </c>
      <c r="AB77" s="1956">
        <f>_xlfn.IFS(Бандаж!P3&lt;700,IF(Бандаж!P8&gt;8.5,15,20),Бандаж!P3&lt;1400,20,Бандаж!P3&gt;=1400,25)</f>
        <v>20</v>
      </c>
      <c r="AC77" s="1957">
        <f>_xlfn.IFS(Бандаж!P4&lt;500,IF(Бандаж!P8&gt;8.5,15,20),Бандаж!P4&lt;1000,IF(Бандаж!P8&gt;8.5,18,20),Бандаж!P4&gt;=1000,25)</f>
        <v>20</v>
      </c>
    </row>
    <row r="78" spans="1:30" ht="14.4" x14ac:dyDescent="0.3">
      <c r="A78" s="154"/>
      <c r="B78" s="744"/>
      <c r="C78" s="100"/>
      <c r="D78" s="100"/>
      <c r="E78" s="100"/>
      <c r="F78" s="100"/>
      <c r="G78" s="100"/>
      <c r="H78" s="100"/>
      <c r="I78" s="100"/>
      <c r="J78" s="100"/>
      <c r="K78" s="155"/>
      <c r="L78" s="1312"/>
      <c r="M78" s="100">
        <v>11</v>
      </c>
      <c r="N78" s="199" t="s">
        <v>200</v>
      </c>
      <c r="O78" s="899" t="s">
        <v>214</v>
      </c>
      <c r="P78" s="899">
        <v>5.3</v>
      </c>
      <c r="Q78" s="899" t="s">
        <v>213</v>
      </c>
      <c r="R78" s="899">
        <v>7</v>
      </c>
      <c r="T78" s="832" t="s">
        <v>840</v>
      </c>
      <c r="U78" s="833">
        <f>ROUND(Кольцо!J19/0.985,0)</f>
        <v>70</v>
      </c>
      <c r="V78" s="834" t="s">
        <v>260</v>
      </c>
      <c r="W78" s="833">
        <f>_xlfn.IFNA(_xlfn.IFS(U78&lt;20,1,AND(U78&gt;=20,U78&lt;50),2,AND(U78&gt;=50,U78&lt;100),3,AND(U78&gt;=100,U78&lt;200),4,AND(U78&gt;=200,U78&lt;300),5,AND(U78&gt;=300,U78&lt;400),6,AND(U78&gt;=400,U78&lt;500),7,AND(U78&gt;=500,U78&lt;650),8,AND(U78&gt;=650,U78&lt;800),9,AND(U78&gt;=800,U78&lt;1000),10,AND(U78&gt;=1000,U78&lt;1200),11,AND(U78&gt;=1200,U78&lt;1400),12,AND(U78&gt;=1400,U78&lt;1600),13,AND(U78&gt;=1600,U78&lt;1800),14,AND(U78&gt;=1800,U78&lt;2000),15,AND(U78&gt;=2000,U78&lt;2250),16,AND(U78&gt;=2250,U78&lt;2500),17,U78&gt;=2500,18),"")</f>
        <v>3</v>
      </c>
      <c r="X78" s="833" t="s">
        <v>217</v>
      </c>
      <c r="Y78" s="835">
        <f>ROUND(VLOOKUP(W78,M68:R85,6,FALSE),0)</f>
        <v>2</v>
      </c>
      <c r="Z78" s="100"/>
      <c r="AA78" s="100"/>
      <c r="AB78" s="1853"/>
      <c r="AC78" s="1854"/>
    </row>
    <row r="79" spans="1:30" ht="15" thickBot="1" x14ac:dyDescent="0.35">
      <c r="A79" s="1669" t="s">
        <v>130</v>
      </c>
      <c r="B79" s="1670" t="s">
        <v>149</v>
      </c>
      <c r="C79" s="1838" t="s">
        <v>150</v>
      </c>
      <c r="D79" s="1838"/>
      <c r="E79" s="1838"/>
      <c r="F79" s="162"/>
      <c r="G79" s="162" t="s">
        <v>133</v>
      </c>
      <c r="H79" s="1838"/>
      <c r="I79" s="1838"/>
      <c r="J79" s="162" t="s">
        <v>161</v>
      </c>
      <c r="K79" s="1671"/>
      <c r="L79" s="1312"/>
      <c r="M79" s="100">
        <v>12</v>
      </c>
      <c r="N79" s="199" t="s">
        <v>201</v>
      </c>
      <c r="O79" s="899" t="s">
        <v>214</v>
      </c>
      <c r="P79" s="899">
        <v>6.7</v>
      </c>
      <c r="Q79" s="899" t="s">
        <v>213</v>
      </c>
      <c r="R79" s="899">
        <v>7.5</v>
      </c>
      <c r="T79" s="1826" t="s">
        <v>857</v>
      </c>
      <c r="U79" s="837">
        <f>Болваны!G26</f>
        <v>433.4</v>
      </c>
      <c r="V79" s="192" t="s">
        <v>260</v>
      </c>
      <c r="W79" s="836">
        <f>_xlfn.IFNA(_xlfn.IFS(U79&lt;=20,1,AND(U79&gt;20,U79&lt;=50),2,AND(U79&gt;50,U79&lt;=100),3,AND(U79&gt;100,U79&lt;=200),4,AND(U79&gt;200,U79&lt;=300),5,AND(U79&gt;300,U79&lt;=400),6,AND(U79&gt;400,U79&lt;=500),7,AND(U79&gt;500,U79&lt;=650),8,AND(U79&gt;650,U79&lt;=800),9,AND(U79&gt;800,U79&lt;=1000),10,AND(U79&gt;1000,U79&lt;=1200),11,AND(U79&gt;1200,U79&lt;=1400),12,AND(U79&gt;1400,U79&lt;=1600),13,AND(U79&gt;1600,U79&lt;=1800),14,AND(U79&gt;1800,U79&lt;=2000),15,AND(U79&gt;2000,U79&lt;=2250),16,AND(U79&gt;2250,U79&lt;=2500),17,U79&gt;2500,18),"")</f>
        <v>7</v>
      </c>
      <c r="X79" s="836" t="s">
        <v>217</v>
      </c>
      <c r="Y79" s="836">
        <f>VLOOKUP(W79,M68:R85,4,FALSE)</f>
        <v>3</v>
      </c>
      <c r="Z79" s="100"/>
      <c r="AA79" s="100"/>
      <c r="AB79" s="100"/>
      <c r="AC79" s="100"/>
    </row>
    <row r="80" spans="1:30" ht="15" thickBot="1" x14ac:dyDescent="0.35">
      <c r="A80" s="1669"/>
      <c r="B80" s="1670" t="s">
        <v>151</v>
      </c>
      <c r="C80" s="1838" t="s">
        <v>134</v>
      </c>
      <c r="D80" s="1838" t="s">
        <v>135</v>
      </c>
      <c r="E80" s="1838" t="s">
        <v>136</v>
      </c>
      <c r="F80" s="162" t="s">
        <v>152</v>
      </c>
      <c r="G80" s="162" t="s">
        <v>153</v>
      </c>
      <c r="H80" s="1838" t="s">
        <v>154</v>
      </c>
      <c r="I80" s="1838" t="s">
        <v>155</v>
      </c>
      <c r="J80" s="162" t="s">
        <v>162</v>
      </c>
      <c r="K80" s="1672" t="s">
        <v>163</v>
      </c>
      <c r="L80" s="1312"/>
      <c r="M80" s="100">
        <v>13</v>
      </c>
      <c r="N80" s="199" t="s">
        <v>202</v>
      </c>
      <c r="O80" s="899" t="s">
        <v>214</v>
      </c>
      <c r="P80" s="899">
        <v>7</v>
      </c>
      <c r="Q80" s="899" t="s">
        <v>213</v>
      </c>
      <c r="R80" s="899">
        <v>8</v>
      </c>
      <c r="T80" s="154" t="s">
        <v>218</v>
      </c>
      <c r="U80" s="100">
        <f>Бандаж!P25+Бандаж!P28</f>
        <v>2</v>
      </c>
      <c r="V80" s="100"/>
      <c r="W80" s="100"/>
      <c r="X80" s="100"/>
      <c r="Y80" s="1835" t="s">
        <v>1747</v>
      </c>
      <c r="Z80" s="1836"/>
      <c r="AA80" s="1837"/>
      <c r="AB80" s="12"/>
      <c r="AC80" s="100"/>
    </row>
    <row r="81" spans="1:29" ht="14.4" x14ac:dyDescent="0.3">
      <c r="A81" s="1669" t="s">
        <v>169</v>
      </c>
      <c r="B81" s="744">
        <v>4</v>
      </c>
      <c r="C81" s="100">
        <v>50</v>
      </c>
      <c r="D81" s="100">
        <v>45</v>
      </c>
      <c r="E81" s="100">
        <v>40</v>
      </c>
      <c r="F81" s="100">
        <v>55</v>
      </c>
      <c r="G81" s="100">
        <v>55</v>
      </c>
      <c r="H81" s="100">
        <v>45</v>
      </c>
      <c r="I81" s="100">
        <v>50</v>
      </c>
      <c r="J81" s="100">
        <v>110</v>
      </c>
      <c r="K81" s="155">
        <v>90</v>
      </c>
      <c r="L81" s="1312"/>
      <c r="M81" s="100">
        <v>14</v>
      </c>
      <c r="N81" s="199" t="s">
        <v>203</v>
      </c>
      <c r="O81" s="899" t="s">
        <v>214</v>
      </c>
      <c r="P81" s="899">
        <v>7</v>
      </c>
      <c r="Q81" s="899" t="s">
        <v>213</v>
      </c>
      <c r="R81" s="899">
        <v>8.5</v>
      </c>
      <c r="T81" s="154" t="s">
        <v>979</v>
      </c>
      <c r="U81" s="744">
        <f>Масса_литн_461(Бандаж!P25+Бандаж!P28,Данные!AA82,Бандаж!P22,Бандаж!P8)</f>
        <v>28.543971157346675</v>
      </c>
      <c r="V81" s="100" t="str">
        <f>_xlfn.IFS(U80&lt;1000,"242.04.461-1",U80&lt;=1500,"242.04.461-2",U80&lt;=2000,"242.04.461-3",U80&lt;=2500,"242.04.461-4",U80&gt;2500,"242.04.461-5")</f>
        <v>242.04.461-1</v>
      </c>
      <c r="W81" s="100"/>
      <c r="X81" s="100"/>
      <c r="Y81" s="4">
        <f t="array" ref="Y81">MIN(IF(Опоки[Размер1]:Опоки[Размер1]&gt;=Бандаж!P15,Опоки[Размер1]))</f>
        <v>700</v>
      </c>
      <c r="Z81" s="1029">
        <f>VLOOKUP(Y81,Опоки[],2,0)</f>
        <v>700</v>
      </c>
      <c r="AA81" s="1029">
        <f>VLOOKUP(Y81,Опоки[],5,0)</f>
        <v>350</v>
      </c>
      <c r="AB81" s="9" t="s">
        <v>870</v>
      </c>
      <c r="AC81" s="100"/>
    </row>
    <row r="82" spans="1:29" ht="16.2" thickBot="1" x14ac:dyDescent="0.35">
      <c r="A82" s="1669" t="s">
        <v>170</v>
      </c>
      <c r="B82" s="744">
        <v>4</v>
      </c>
      <c r="C82" s="100">
        <v>55</v>
      </c>
      <c r="D82" s="100">
        <v>45</v>
      </c>
      <c r="E82" s="100">
        <v>45</v>
      </c>
      <c r="F82" s="100">
        <v>60</v>
      </c>
      <c r="G82" s="100">
        <v>55</v>
      </c>
      <c r="H82" s="100">
        <v>50</v>
      </c>
      <c r="I82" s="100">
        <v>55</v>
      </c>
      <c r="J82" s="100">
        <v>110</v>
      </c>
      <c r="K82" s="155">
        <v>90</v>
      </c>
      <c r="L82" s="1312"/>
      <c r="M82" s="100">
        <v>15</v>
      </c>
      <c r="N82" s="199" t="s">
        <v>204</v>
      </c>
      <c r="O82" s="899" t="s">
        <v>214</v>
      </c>
      <c r="P82" s="899">
        <v>7</v>
      </c>
      <c r="Q82" s="899" t="s">
        <v>214</v>
      </c>
      <c r="R82" s="899">
        <v>9</v>
      </c>
      <c r="T82" s="1839" t="s">
        <v>84</v>
      </c>
      <c r="U82" s="1840" t="str">
        <f>VLOOKUP(Кольцо!F7,Марка_металла[],5,FALSE)</f>
        <v>1050-1090</v>
      </c>
      <c r="V82" s="1841"/>
      <c r="W82" s="1840"/>
      <c r="X82" s="1841"/>
      <c r="Y82" s="18"/>
      <c r="Z82" s="62"/>
      <c r="AA82" s="62">
        <f>VLOOKUP(Y81,Опоки[],4,0)</f>
        <v>200</v>
      </c>
      <c r="AB82" s="38" t="s">
        <v>706</v>
      </c>
      <c r="AC82" s="100"/>
    </row>
    <row r="83" spans="1:29" ht="15" thickBot="1" x14ac:dyDescent="0.35">
      <c r="A83" s="1669" t="s">
        <v>171</v>
      </c>
      <c r="B83" s="744">
        <v>6</v>
      </c>
      <c r="C83" s="100">
        <v>55</v>
      </c>
      <c r="D83" s="100">
        <v>50</v>
      </c>
      <c r="E83" s="100">
        <v>50</v>
      </c>
      <c r="F83" s="100">
        <v>65</v>
      </c>
      <c r="G83" s="100">
        <v>65</v>
      </c>
      <c r="H83" s="100">
        <v>50</v>
      </c>
      <c r="I83" s="100">
        <v>60</v>
      </c>
      <c r="J83" s="100">
        <v>120</v>
      </c>
      <c r="K83" s="155">
        <v>100</v>
      </c>
      <c r="L83" s="1312"/>
      <c r="M83" s="100">
        <v>16</v>
      </c>
      <c r="N83" s="199" t="s">
        <v>205</v>
      </c>
      <c r="O83" s="899" t="s">
        <v>214</v>
      </c>
      <c r="P83" s="899">
        <v>7</v>
      </c>
      <c r="Q83" s="899" t="s">
        <v>214</v>
      </c>
      <c r="R83" s="899">
        <v>9.5</v>
      </c>
      <c r="T83" s="100" t="s">
        <v>1738</v>
      </c>
      <c r="U83" s="100"/>
      <c r="V83" s="100"/>
      <c r="W83" s="100"/>
      <c r="X83" s="100"/>
      <c r="AC83" s="100"/>
    </row>
    <row r="84" spans="1:29" ht="15.6" x14ac:dyDescent="0.3">
      <c r="A84" s="1669" t="s">
        <v>172</v>
      </c>
      <c r="B84" s="744">
        <v>6</v>
      </c>
      <c r="C84" s="100">
        <v>60</v>
      </c>
      <c r="D84" s="100">
        <v>50</v>
      </c>
      <c r="E84" s="100">
        <v>55</v>
      </c>
      <c r="F84" s="100">
        <v>70</v>
      </c>
      <c r="G84" s="100">
        <v>65</v>
      </c>
      <c r="H84" s="100">
        <v>55</v>
      </c>
      <c r="I84" s="100">
        <v>65</v>
      </c>
      <c r="J84" s="100">
        <v>120</v>
      </c>
      <c r="K84" s="155">
        <v>100</v>
      </c>
      <c r="L84" s="1312"/>
      <c r="M84" s="100">
        <v>17</v>
      </c>
      <c r="N84" s="199" t="s">
        <v>206</v>
      </c>
      <c r="O84" s="899" t="s">
        <v>214</v>
      </c>
      <c r="P84" s="899">
        <v>7</v>
      </c>
      <c r="Q84" s="899" t="s">
        <v>214</v>
      </c>
      <c r="R84" s="899">
        <v>11</v>
      </c>
      <c r="T84" s="166" t="s">
        <v>174</v>
      </c>
      <c r="U84" s="167"/>
      <c r="V84" s="168" t="s">
        <v>175</v>
      </c>
      <c r="W84" s="167"/>
      <c r="X84" s="168" t="s">
        <v>133</v>
      </c>
      <c r="Y84" s="169"/>
      <c r="Z84" s="167"/>
      <c r="AA84" s="186" t="s">
        <v>161</v>
      </c>
      <c r="AB84" s="170" t="s">
        <v>176</v>
      </c>
      <c r="AC84" s="100"/>
    </row>
    <row r="85" spans="1:29" ht="16.2" thickBot="1" x14ac:dyDescent="0.35">
      <c r="A85" s="1673" t="s">
        <v>173</v>
      </c>
      <c r="B85" s="1674">
        <v>6</v>
      </c>
      <c r="C85" s="194">
        <v>60</v>
      </c>
      <c r="D85" s="194">
        <v>55</v>
      </c>
      <c r="E85" s="194">
        <v>60</v>
      </c>
      <c r="F85" s="194">
        <v>75</v>
      </c>
      <c r="G85" s="194">
        <v>70</v>
      </c>
      <c r="H85" s="194">
        <v>60</v>
      </c>
      <c r="I85" s="194">
        <v>70</v>
      </c>
      <c r="J85" s="194">
        <v>120</v>
      </c>
      <c r="K85" s="195">
        <v>100</v>
      </c>
      <c r="L85" s="1312"/>
      <c r="M85" s="100">
        <v>18</v>
      </c>
      <c r="N85" s="199" t="s">
        <v>207</v>
      </c>
      <c r="O85" s="899" t="s">
        <v>214</v>
      </c>
      <c r="P85" s="899">
        <v>7</v>
      </c>
      <c r="Q85" s="899" t="s">
        <v>214</v>
      </c>
      <c r="R85" s="899">
        <v>11</v>
      </c>
      <c r="T85" s="660" t="s">
        <v>177</v>
      </c>
      <c r="U85" s="171"/>
      <c r="V85" s="172" t="s">
        <v>134</v>
      </c>
      <c r="W85" s="172"/>
      <c r="X85" s="172" t="s">
        <v>153</v>
      </c>
      <c r="Y85" s="173"/>
      <c r="Z85" s="172"/>
      <c r="AA85" s="187" t="s">
        <v>154</v>
      </c>
      <c r="AB85" s="188"/>
      <c r="AC85" s="100"/>
    </row>
    <row r="86" spans="1:29" ht="15.6" x14ac:dyDescent="0.3">
      <c r="L86" s="1312"/>
      <c r="T86" s="661">
        <v>60</v>
      </c>
      <c r="U86" s="658">
        <f>IF(T87=0,T86*0.985,T87*0.985)</f>
        <v>59.1</v>
      </c>
      <c r="V86" s="174">
        <v>20</v>
      </c>
      <c r="W86" s="173"/>
      <c r="X86" s="174">
        <v>30</v>
      </c>
      <c r="Y86" s="173"/>
      <c r="Z86" s="172"/>
      <c r="AA86" s="189">
        <v>100</v>
      </c>
      <c r="AB86" s="188"/>
      <c r="AC86" s="100"/>
    </row>
    <row r="87" spans="1:29" ht="16.2" thickBot="1" x14ac:dyDescent="0.35">
      <c r="A87" s="53" t="s">
        <v>2068</v>
      </c>
      <c r="L87" s="1312"/>
      <c r="T87" s="662"/>
      <c r="U87" s="659"/>
      <c r="V87" s="172" t="s">
        <v>135</v>
      </c>
      <c r="W87" s="172"/>
      <c r="X87" s="172" t="s">
        <v>154</v>
      </c>
      <c r="Y87" s="173"/>
      <c r="Z87" s="172"/>
      <c r="AA87" s="187" t="s">
        <v>136</v>
      </c>
      <c r="AB87" s="188"/>
      <c r="AC87" s="100"/>
    </row>
    <row r="88" spans="1:29" ht="16.2" thickBot="1" x14ac:dyDescent="0.35">
      <c r="A88" s="1761"/>
      <c r="B88" s="1759">
        <v>15</v>
      </c>
      <c r="C88" s="1759">
        <v>30</v>
      </c>
      <c r="D88" s="1759">
        <v>60</v>
      </c>
      <c r="E88" s="1759">
        <v>75</v>
      </c>
      <c r="F88" s="1759">
        <v>100</v>
      </c>
      <c r="G88" s="1760">
        <v>300</v>
      </c>
      <c r="L88" s="1312"/>
      <c r="T88" s="664" t="s">
        <v>77</v>
      </c>
      <c r="U88" s="171"/>
      <c r="V88" s="174">
        <v>20</v>
      </c>
      <c r="W88" s="176">
        <f>(V86+V88)/2*0.985</f>
        <v>19.7</v>
      </c>
      <c r="X88" s="174">
        <v>30</v>
      </c>
      <c r="Y88" s="172">
        <f>(X86+X88)/2*0.985</f>
        <v>29.55</v>
      </c>
      <c r="Z88" s="173"/>
      <c r="AA88" s="189">
        <v>90</v>
      </c>
      <c r="AB88" s="188"/>
      <c r="AC88" s="100"/>
    </row>
    <row r="89" spans="1:29" ht="15.6" x14ac:dyDescent="0.3">
      <c r="A89" s="1762">
        <v>100</v>
      </c>
      <c r="B89" s="201">
        <v>6</v>
      </c>
      <c r="C89" s="201">
        <v>8</v>
      </c>
      <c r="D89" s="201">
        <v>10</v>
      </c>
      <c r="E89" s="201">
        <v>12</v>
      </c>
      <c r="F89" s="201">
        <v>12</v>
      </c>
      <c r="G89" s="1675">
        <v>14</v>
      </c>
      <c r="H89" s="157"/>
      <c r="I89" s="1029"/>
      <c r="J89" s="1029"/>
      <c r="K89" s="1029"/>
      <c r="L89" s="1312"/>
      <c r="M89" s="149"/>
      <c r="N89" s="411"/>
      <c r="O89" s="411"/>
      <c r="P89" s="418"/>
      <c r="Q89" s="151"/>
      <c r="T89" s="661">
        <v>250</v>
      </c>
      <c r="U89" s="658">
        <f>IF(T90=0,T89*0.985,T90*0.985)</f>
        <v>246.25</v>
      </c>
      <c r="V89" s="172" t="s">
        <v>136</v>
      </c>
      <c r="W89" s="172"/>
      <c r="X89" s="172" t="s">
        <v>136</v>
      </c>
      <c r="Y89" s="172"/>
      <c r="Z89" s="173"/>
      <c r="AA89" s="190" t="s">
        <v>2012</v>
      </c>
      <c r="AB89" s="188"/>
      <c r="AC89" s="100"/>
    </row>
    <row r="90" spans="1:29" ht="16.2" thickBot="1" x14ac:dyDescent="0.35">
      <c r="A90" s="1762">
        <v>150</v>
      </c>
      <c r="B90" s="201">
        <v>6</v>
      </c>
      <c r="C90" s="201">
        <v>8</v>
      </c>
      <c r="D90" s="201">
        <v>10</v>
      </c>
      <c r="E90" s="201">
        <v>12</v>
      </c>
      <c r="F90" s="201">
        <v>12</v>
      </c>
      <c r="G90" s="1675">
        <v>14</v>
      </c>
      <c r="H90" s="1251"/>
      <c r="I90" s="1029"/>
      <c r="J90" s="1029"/>
      <c r="K90" s="1029"/>
      <c r="L90" s="1312"/>
      <c r="M90" s="4"/>
      <c r="N90" s="512" t="s">
        <v>306</v>
      </c>
      <c r="O90" s="513"/>
      <c r="P90" s="9" t="s">
        <v>2153</v>
      </c>
      <c r="Q90" s="155"/>
      <c r="T90" s="662"/>
      <c r="U90" s="663">
        <f>Кольцо!M8</f>
        <v>9.1</v>
      </c>
      <c r="V90" s="174">
        <v>15</v>
      </c>
      <c r="W90" s="176">
        <f>V90*0.985</f>
        <v>14.775</v>
      </c>
      <c r="X90" s="174">
        <v>30</v>
      </c>
      <c r="Y90" s="172">
        <f>X90*0.985</f>
        <v>29.55</v>
      </c>
      <c r="Z90" s="173"/>
      <c r="AA90" s="173">
        <f>(AA86*0.985*AA86*0.985*3.1415926*AA88*0.985*U90/4000000)*Кольцо!I37</f>
        <v>36.883635169521739</v>
      </c>
      <c r="AB90" s="188"/>
      <c r="AC90" s="100"/>
    </row>
    <row r="91" spans="1:29" ht="16.2" thickBot="1" x14ac:dyDescent="0.35">
      <c r="A91" s="1762">
        <v>200</v>
      </c>
      <c r="B91" s="201">
        <v>6</v>
      </c>
      <c r="C91" s="201">
        <v>8</v>
      </c>
      <c r="D91" s="201">
        <v>10</v>
      </c>
      <c r="E91" s="201">
        <v>12</v>
      </c>
      <c r="F91" s="201">
        <v>12</v>
      </c>
      <c r="G91" s="1675">
        <v>14</v>
      </c>
      <c r="H91" s="1244"/>
      <c r="I91" s="1029"/>
      <c r="J91" s="1029"/>
      <c r="K91" s="1029"/>
      <c r="L91" s="1312"/>
      <c r="M91" s="4"/>
      <c r="N91" s="136"/>
      <c r="O91" s="137"/>
      <c r="P91" s="67">
        <f>IF(цб!N29&gt;цб!N25,P92,0)</f>
        <v>0</v>
      </c>
      <c r="Q91" s="155" t="s">
        <v>2149</v>
      </c>
      <c r="R91" s="1312" t="s">
        <v>2150</v>
      </c>
      <c r="T91" s="665"/>
      <c r="U91" s="178">
        <f>U86*U86*3.1415926*U89*U90/4000000</f>
        <v>6.1472725282536231</v>
      </c>
      <c r="V91" s="179" t="s">
        <v>77</v>
      </c>
      <c r="W91" s="172"/>
      <c r="X91" s="179" t="s">
        <v>178</v>
      </c>
      <c r="Y91" s="172"/>
      <c r="Z91" s="173"/>
      <c r="AA91" s="173"/>
      <c r="AB91" s="188"/>
      <c r="AC91" s="100"/>
    </row>
    <row r="92" spans="1:29" ht="15.6" x14ac:dyDescent="0.3">
      <c r="A92" s="1762">
        <v>250</v>
      </c>
      <c r="B92" s="201">
        <v>6</v>
      </c>
      <c r="C92" s="201">
        <v>8</v>
      </c>
      <c r="D92" s="201">
        <v>10</v>
      </c>
      <c r="E92" s="201">
        <v>12</v>
      </c>
      <c r="F92" s="201">
        <v>12</v>
      </c>
      <c r="G92" s="1675">
        <v>14</v>
      </c>
      <c r="H92" s="1244"/>
      <c r="I92" s="1029"/>
      <c r="J92" s="1029"/>
      <c r="K92" s="1029"/>
      <c r="L92" s="1312"/>
      <c r="M92" s="4">
        <f>IF(MAX(N92:N135)&lt;ROW(цб!1:1),"",VLOOKUP(ROW(цб!1:1),N92:O135,2))</f>
        <v>440</v>
      </c>
      <c r="N92" s="138">
        <f t="array" ref="N92">IF(COUNTIF(O$91:O92,O92)=1,MAX(N$91:N91)+1,"")</f>
        <v>1</v>
      </c>
      <c r="O92" s="139">
        <f t="array" ref="O92:O10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>440</v>
      </c>
      <c r="P92" s="9">
        <f>ROUND(цб!N29*0.99-цб!N12*2,0)</f>
        <v>286</v>
      </c>
      <c r="Q92" s="9">
        <f t="array" ref="Q9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400</v>
      </c>
      <c r="R92" s="1312" t="str">
        <f t="array" ref="R9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10.241070 - 8</v>
      </c>
      <c r="T92" s="175"/>
      <c r="U92" s="172"/>
      <c r="V92" s="174">
        <v>250</v>
      </c>
      <c r="W92" s="176">
        <f>V92*0.985</f>
        <v>246.25</v>
      </c>
      <c r="X92" s="174">
        <f>Кольцо!E22</f>
        <v>665</v>
      </c>
      <c r="Y92" s="180">
        <f>3.1415926*X95*0.985</f>
        <v>1191.3704537350002</v>
      </c>
      <c r="Z92" s="173"/>
      <c r="AA92" s="173"/>
      <c r="AB92" s="188"/>
      <c r="AC92" s="100"/>
    </row>
    <row r="93" spans="1:29" ht="15.6" x14ac:dyDescent="0.3">
      <c r="A93" s="1762">
        <v>300</v>
      </c>
      <c r="B93" s="201">
        <v>6</v>
      </c>
      <c r="C93" s="201">
        <v>8</v>
      </c>
      <c r="D93" s="201">
        <v>10</v>
      </c>
      <c r="E93" s="201">
        <v>12</v>
      </c>
      <c r="F93" s="201">
        <v>14</v>
      </c>
      <c r="G93" s="1675">
        <v>14</v>
      </c>
      <c r="H93" s="1244"/>
      <c r="I93" s="1029"/>
      <c r="J93" s="1029"/>
      <c r="K93" s="1029"/>
      <c r="L93" s="1312"/>
      <c r="M93" s="4">
        <f>IF(MAX(N93:N135)&lt;ROW(цб!2:2),"",VLOOKUP(ROW(цб!2:2),N93:O135,2))</f>
        <v>470</v>
      </c>
      <c r="N93" s="138">
        <f t="array" ref="N93">IF(COUNTIF(O$91:O93,O93)=1,MAX(N$91:N92)+1,"")</f>
        <v>2</v>
      </c>
      <c r="O93" s="139">
        <v>470</v>
      </c>
      <c r="P93" s="9"/>
      <c r="Q93" s="9">
        <f t="array" ref="Q9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400</v>
      </c>
      <c r="R93" s="1312" t="str">
        <f t="array" ref="R9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72.48005 - 1</v>
      </c>
      <c r="T93" s="175"/>
      <c r="U93" s="173"/>
      <c r="V93" s="179" t="s">
        <v>149</v>
      </c>
      <c r="W93" s="172"/>
      <c r="X93" s="179" t="s">
        <v>977</v>
      </c>
      <c r="Y93" s="172"/>
      <c r="Z93" s="179" t="s">
        <v>179</v>
      </c>
      <c r="AA93" s="173"/>
      <c r="AB93" s="188"/>
      <c r="AC93" s="100"/>
    </row>
    <row r="94" spans="1:29" ht="15.6" x14ac:dyDescent="0.3">
      <c r="A94" s="1762">
        <v>350</v>
      </c>
      <c r="B94" s="201">
        <v>6</v>
      </c>
      <c r="C94" s="201">
        <v>8</v>
      </c>
      <c r="D94" s="201">
        <v>10</v>
      </c>
      <c r="E94" s="201">
        <v>12</v>
      </c>
      <c r="F94" s="201">
        <v>14</v>
      </c>
      <c r="G94" s="1675">
        <v>14</v>
      </c>
      <c r="H94" s="1244"/>
      <c r="I94" s="1029"/>
      <c r="J94" s="1029"/>
      <c r="K94" s="1029"/>
      <c r="L94" s="1312"/>
      <c r="M94" s="4">
        <f>IF(MAX(N94:N135)&lt;ROW(цб!3:3),"",VLOOKUP(ROW(цб!3:3),N94:O135,2))</f>
        <v>318</v>
      </c>
      <c r="N94" s="138">
        <f t="array" ref="N94">IF(COUNTIF(O$91:O94,O94)=1,MAX(N$91:N93)+1,"")</f>
        <v>3</v>
      </c>
      <c r="O94" s="139">
        <v>318</v>
      </c>
      <c r="P94" s="9"/>
      <c r="Q94" s="9">
        <f t="array" ref="Q94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450</v>
      </c>
      <c r="R94" s="1312" t="str">
        <f t="array" ref="R9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72.11873 - 32</v>
      </c>
      <c r="T94" s="175"/>
      <c r="U94" s="173"/>
      <c r="V94" s="174">
        <f>Кольцо!I37</f>
        <v>6</v>
      </c>
      <c r="W94" s="176">
        <f>V94</f>
        <v>6</v>
      </c>
      <c r="X94" s="179" t="s">
        <v>180</v>
      </c>
      <c r="Y94" s="172"/>
      <c r="Z94" s="174">
        <v>360</v>
      </c>
      <c r="AA94" s="173"/>
      <c r="AB94" s="188"/>
      <c r="AC94" s="100"/>
    </row>
    <row r="95" spans="1:29" ht="15.6" x14ac:dyDescent="0.3">
      <c r="A95" s="1762">
        <v>400</v>
      </c>
      <c r="B95" s="201">
        <v>6</v>
      </c>
      <c r="C95" s="201">
        <v>10</v>
      </c>
      <c r="D95" s="201">
        <v>10</v>
      </c>
      <c r="E95" s="201">
        <v>12</v>
      </c>
      <c r="F95" s="201">
        <v>14</v>
      </c>
      <c r="G95" s="1675">
        <v>14</v>
      </c>
      <c r="H95" s="1244"/>
      <c r="I95" s="157"/>
      <c r="J95" s="157"/>
      <c r="K95" s="100"/>
      <c r="L95" s="1312"/>
      <c r="M95" s="4">
        <f>IF(MAX(N95:N135)&lt;ROW(цб!4:4),"",VLOOKUP(ROW(цб!4:4),N95:O135,2))</f>
        <v>320</v>
      </c>
      <c r="N95" s="138">
        <f t="array" ref="N95">IF(COUNTIF(O$91:O95,O95)=1,MAX(N$91:N94)+1,"")</f>
        <v>4</v>
      </c>
      <c r="O95" s="139">
        <v>320</v>
      </c>
      <c r="P95" s="9"/>
      <c r="Q95" s="9">
        <f t="array" ref="Q95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450</v>
      </c>
      <c r="R95" s="1312" t="str">
        <f t="array" ref="R9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72.11873 - 32</v>
      </c>
      <c r="T95" s="175"/>
      <c r="U95" s="173"/>
      <c r="V95" s="173"/>
      <c r="W95" s="177">
        <f>U90</f>
        <v>9.1</v>
      </c>
      <c r="X95" s="172">
        <f>IF(X92-2*AA86-80&gt;150,X92-2*AA86-80,150)</f>
        <v>385</v>
      </c>
      <c r="Y95" s="177">
        <f>U90</f>
        <v>9.1</v>
      </c>
      <c r="Z95" s="172" t="s">
        <v>181</v>
      </c>
      <c r="AA95" s="173"/>
      <c r="AB95" s="188"/>
      <c r="AC95" s="100"/>
    </row>
    <row r="96" spans="1:29" ht="16.2" thickBot="1" x14ac:dyDescent="0.35">
      <c r="A96" s="1762">
        <v>600</v>
      </c>
      <c r="B96" s="201">
        <v>10</v>
      </c>
      <c r="C96" s="201">
        <v>10</v>
      </c>
      <c r="D96" s="201">
        <v>12</v>
      </c>
      <c r="E96" s="201">
        <v>14</v>
      </c>
      <c r="F96" s="201">
        <v>14</v>
      </c>
      <c r="G96" s="1675">
        <v>14</v>
      </c>
      <c r="H96" s="1244"/>
      <c r="I96" s="157"/>
      <c r="J96" s="157"/>
      <c r="L96" s="1312"/>
      <c r="M96" s="4">
        <f>IF(MAX(N96:N135)&lt;ROW(цб!5:5),"",VLOOKUP(ROW(цб!5:5),N96:O135,2))</f>
        <v>373</v>
      </c>
      <c r="N96" s="138">
        <f t="array" ref="N96">IF(COUNTIF(O$91:O96,O96)=1,MAX(N$91:N95)+1,"")</f>
        <v>5</v>
      </c>
      <c r="O96" s="139">
        <v>373</v>
      </c>
      <c r="P96" s="9"/>
      <c r="Q96" s="9">
        <f t="array" ref="Q96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450</v>
      </c>
      <c r="R96" s="1312" t="str">
        <f t="array" ref="R96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72.11874 - 32</v>
      </c>
      <c r="T96" s="181"/>
      <c r="U96" s="182"/>
      <c r="V96" s="182"/>
      <c r="W96" s="183">
        <f>W88*W90*W92*W94*W95/1000000</f>
        <v>3.9134753043749995</v>
      </c>
      <c r="X96" s="182"/>
      <c r="Y96" s="184">
        <f>IF(X95=150,X95*X95*Y90*3.1415926*Y95/4000000,Y88*Y90*Y92*Y95/1000000)</f>
        <v>9.4667996935105823</v>
      </c>
      <c r="Z96" s="183">
        <f>Y96/360*Z94</f>
        <v>9.4667996935105823</v>
      </c>
      <c r="AA96" s="191"/>
      <c r="AB96" s="185">
        <f>U91+W96+Z96+AA90</f>
        <v>56.411182695660941</v>
      </c>
      <c r="AC96" s="100"/>
    </row>
    <row r="97" spans="1:29" ht="15.6" x14ac:dyDescent="0.3">
      <c r="A97" s="1763">
        <v>800</v>
      </c>
      <c r="B97" s="1678">
        <v>12</v>
      </c>
      <c r="C97" s="1678">
        <v>12</v>
      </c>
      <c r="D97" s="1678">
        <v>15</v>
      </c>
      <c r="E97" s="1678">
        <v>17</v>
      </c>
      <c r="F97" s="1678">
        <v>17</v>
      </c>
      <c r="G97" s="1679">
        <v>17</v>
      </c>
      <c r="H97" s="1244"/>
      <c r="I97" s="157"/>
      <c r="J97" s="157"/>
      <c r="L97" s="1312"/>
      <c r="M97" s="4">
        <f>IF(MAX(N97:N135)&lt;ROW(цб!6:6),"",VLOOKUP(ROW(цб!6:6),N97:O135,2))</f>
        <v>378</v>
      </c>
      <c r="N97" s="138">
        <f t="array" ref="N97">IF(COUNTIF(O$91:O97,O97)=1,MAX(N$91:N96)+1,"")</f>
        <v>6</v>
      </c>
      <c r="O97" s="139">
        <v>378</v>
      </c>
      <c r="P97" s="9"/>
      <c r="Q97" s="9">
        <f t="array" ref="Q97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450</v>
      </c>
      <c r="R97" s="1312" t="str">
        <f t="array" ref="R97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72.11874 - 32</v>
      </c>
      <c r="T97" s="1312"/>
      <c r="U97" s="1312"/>
      <c r="V97" s="1312"/>
      <c r="W97" s="1029"/>
      <c r="X97" s="100"/>
      <c r="Y97" s="100"/>
      <c r="Z97" s="100"/>
      <c r="AA97" s="100"/>
      <c r="AB97" s="100"/>
      <c r="AC97" s="100"/>
    </row>
    <row r="98" spans="1:29" ht="16.2" thickBot="1" x14ac:dyDescent="0.35">
      <c r="A98" s="1763">
        <v>1200</v>
      </c>
      <c r="B98" s="1678">
        <v>16</v>
      </c>
      <c r="C98" s="1678">
        <v>16</v>
      </c>
      <c r="D98" s="1678">
        <v>18</v>
      </c>
      <c r="E98" s="1678">
        <v>20</v>
      </c>
      <c r="F98" s="1678">
        <v>20</v>
      </c>
      <c r="G98" s="1679">
        <v>20</v>
      </c>
      <c r="H98" s="1244"/>
      <c r="I98" s="157"/>
      <c r="J98" s="157"/>
      <c r="L98" s="1312"/>
      <c r="M98" s="4">
        <f>IF(MAX(N98:N135)&lt;ROW(цб!7:7),"",VLOOKUP(ROW(цб!7:7),N98:O135,2))</f>
        <v>310</v>
      </c>
      <c r="N98" s="138">
        <f t="array" ref="N98">IF(COUNTIF(O$91:O98,O98)=1,MAX(N$91:N97)+1,"")</f>
        <v>7</v>
      </c>
      <c r="O98" s="139">
        <v>310</v>
      </c>
      <c r="P98" s="9"/>
      <c r="Q98" s="9">
        <f t="array" ref="Q98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450</v>
      </c>
      <c r="R98" s="1312" t="str">
        <f t="array" ref="R98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72.11873 - 32</v>
      </c>
      <c r="T98" s="1312"/>
      <c r="U98" s="1312"/>
      <c r="V98" s="1312"/>
      <c r="W98" s="1312"/>
      <c r="Z98" s="100"/>
      <c r="AA98" s="100"/>
      <c r="AB98" s="100"/>
      <c r="AC98" s="100"/>
    </row>
    <row r="99" spans="1:29" ht="16.2" thickBot="1" x14ac:dyDescent="0.35">
      <c r="A99" s="1762">
        <v>1500</v>
      </c>
      <c r="B99" s="201">
        <v>20</v>
      </c>
      <c r="C99" s="201">
        <v>20</v>
      </c>
      <c r="D99" s="201">
        <v>25</v>
      </c>
      <c r="E99" s="201">
        <v>25</v>
      </c>
      <c r="F99" s="201">
        <v>25</v>
      </c>
      <c r="G99" s="1675">
        <v>25</v>
      </c>
      <c r="H99" s="1244"/>
      <c r="I99" s="157"/>
      <c r="J99" s="157"/>
      <c r="L99" s="1312"/>
      <c r="M99" s="4">
        <f>IF(MAX(N99:N135)&lt;ROW(цб!8:8),"",VLOOKUP(ROW(цб!8:8),N99:O135,2))</f>
        <v>435</v>
      </c>
      <c r="N99" s="138">
        <f t="array" ref="N99">IF(COUNTIF(O$91:O99,O99)=1,MAX(N$91:N98)+1,"")</f>
        <v>8</v>
      </c>
      <c r="O99" s="139">
        <v>435</v>
      </c>
      <c r="P99" s="9"/>
      <c r="Q99" s="9">
        <f t="array" ref="Q99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400</v>
      </c>
      <c r="R99" s="1312" t="str">
        <f t="array" ref="R99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10.241070 - 8</v>
      </c>
      <c r="T99" s="911" t="s">
        <v>2014</v>
      </c>
      <c r="U99" s="977" t="s">
        <v>2013</v>
      </c>
      <c r="V99" s="448"/>
      <c r="W99" s="447"/>
      <c r="X99" s="1597" t="s">
        <v>1742</v>
      </c>
      <c r="Y99" s="430" t="s">
        <v>1743</v>
      </c>
      <c r="Z99" s="1598" t="s">
        <v>923</v>
      </c>
      <c r="AA99" s="1599" t="s">
        <v>1745</v>
      </c>
      <c r="AB99" s="1600" t="s">
        <v>1744</v>
      </c>
      <c r="AC99" s="1600" t="s">
        <v>1746</v>
      </c>
    </row>
    <row r="100" spans="1:29" ht="16.2" thickBot="1" x14ac:dyDescent="0.35">
      <c r="A100" s="1764">
        <v>2500</v>
      </c>
      <c r="B100" s="1676">
        <v>25</v>
      </c>
      <c r="C100" s="1676">
        <v>25</v>
      </c>
      <c r="D100" s="1676">
        <v>25</v>
      </c>
      <c r="E100" s="1676">
        <v>25</v>
      </c>
      <c r="F100" s="1676">
        <v>25</v>
      </c>
      <c r="G100" s="1677">
        <v>25</v>
      </c>
      <c r="H100" s="1244"/>
      <c r="I100" s="157"/>
      <c r="J100" s="157"/>
      <c r="L100" s="1312"/>
      <c r="M100" s="4">
        <f>IF(MAX(N100:N135)&lt;ROW(цб!9:9),"",VLOOKUP(ROW(цб!9:9),N100:O135,2))</f>
        <v>260</v>
      </c>
      <c r="N100" s="138" t="str">
        <f t="array" ref="N100">IF(COUNTIF(O$91:O100,O100)=1,MAX(N$91:N99)+1,"")</f>
        <v/>
      </c>
      <c r="O100" s="139">
        <v>320</v>
      </c>
      <c r="P100" s="9"/>
      <c r="Q100" s="9">
        <f t="array" ref="Q100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450</v>
      </c>
      <c r="R100" s="1312" t="str">
        <f t="array" ref="R100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72.11873 - 32</v>
      </c>
      <c r="T100" s="154" t="b">
        <f t="shared" ref="T100:T109" ca="1" si="0">$Z$114&lt;=V100</f>
        <v>1</v>
      </c>
      <c r="U100" s="260" t="b">
        <f t="shared" ref="U100:U109" si="1">$V$114&lt;=V100</f>
        <v>1</v>
      </c>
      <c r="V100" s="260">
        <f>IF(MAX(W101:W111)&lt;ROW(Втулка!1:1),"",VLOOKUP(ROW(Втулка!1:1),W100:X109,2))</f>
        <v>700</v>
      </c>
      <c r="W100" s="260">
        <f>IF(COUNTIF(X$99:X100,X100)=1,MAX(W$99:W99)+1,"")</f>
        <v>1</v>
      </c>
      <c r="X100" s="1033">
        <v>700</v>
      </c>
      <c r="Y100" s="1033">
        <v>700</v>
      </c>
      <c r="Z100" s="100">
        <v>200</v>
      </c>
      <c r="AA100" s="1033">
        <v>200</v>
      </c>
      <c r="AB100" s="1033">
        <v>350</v>
      </c>
      <c r="AC100" s="1033">
        <v>150</v>
      </c>
    </row>
    <row r="101" spans="1:29" ht="15.6" x14ac:dyDescent="0.3">
      <c r="H101" s="1244"/>
      <c r="I101" s="157"/>
      <c r="J101" s="157"/>
      <c r="L101" s="1312"/>
      <c r="M101" s="4" t="str">
        <f>IF(MAX(N101:N135)&lt;ROW(цб!10:10),"",VLOOKUP(ROW(цб!10:10),N101:O135,2))</f>
        <v/>
      </c>
      <c r="N101" s="138" t="str">
        <f t="array" ref="N101">IF(COUNTIF(O$91:O101,O101)=1,MAX(N$91:N100)+1,"")</f>
        <v/>
      </c>
      <c r="O101" s="135">
        <v>320</v>
      </c>
      <c r="P101" s="9"/>
      <c r="Q101" s="9">
        <f t="array" ref="Q101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450</v>
      </c>
      <c r="R101" s="1312" t="str">
        <f t="array" ref="R101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72.11873 - 32</v>
      </c>
      <c r="T101" s="154" t="b">
        <f t="shared" ca="1" si="0"/>
        <v>1</v>
      </c>
      <c r="U101" s="260" t="b">
        <f t="shared" si="1"/>
        <v>1</v>
      </c>
      <c r="V101" s="260">
        <f>IF(MAX(W101:W111)&lt;ROW(Втулка!2:2),"",VLOOKUP(ROW(Втулка!2:2),W101:X111,2))</f>
        <v>1000</v>
      </c>
      <c r="W101" s="260">
        <f>IF(COUNTIF(X$99:X101,X101)=1,MAX(W$99:W100)+1,"")</f>
        <v>2</v>
      </c>
      <c r="X101" s="1033">
        <v>1000</v>
      </c>
      <c r="Y101" s="1033">
        <v>1000</v>
      </c>
      <c r="Z101" s="100">
        <v>200</v>
      </c>
      <c r="AA101" s="1033">
        <v>200</v>
      </c>
      <c r="AB101" s="1033">
        <v>350</v>
      </c>
      <c r="AC101" s="1033">
        <v>150</v>
      </c>
    </row>
    <row r="102" spans="1:29" ht="16.2" thickBot="1" x14ac:dyDescent="0.35">
      <c r="A102" s="53" t="s">
        <v>297</v>
      </c>
      <c r="H102" s="1258"/>
      <c r="I102" s="1258"/>
      <c r="J102" s="157"/>
      <c r="L102" s="1312"/>
      <c r="M102" s="4" t="str">
        <f>IF(MAX(N102:N135)&lt;ROW(цб!11:11),"",VLOOKUP(ROW(цб!11:11),N102:O135,2))</f>
        <v/>
      </c>
      <c r="N102" s="138">
        <f t="array" ref="N102">IF(COUNTIF(O$91:O102,O102)=1,MAX(N$91:N101)+1,"")</f>
        <v>9</v>
      </c>
      <c r="O102" s="135">
        <v>260</v>
      </c>
      <c r="P102" s="9"/>
      <c r="Q102" s="9">
        <f t="array" ref="Q10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450</v>
      </c>
      <c r="R102" s="1312" t="str">
        <f t="array" ref="R10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72.11872 - 32</v>
      </c>
      <c r="T102" s="154" t="b">
        <f t="shared" ca="1" si="0"/>
        <v>1</v>
      </c>
      <c r="U102" s="260" t="b">
        <f t="shared" si="1"/>
        <v>1</v>
      </c>
      <c r="V102" s="260">
        <f>IF(MAX(W101:W111)&lt;ROW(Втулка!3:3),"",VLOOKUP(ROW(Втулка!3:3),W101:X111,2))</f>
        <v>1150</v>
      </c>
      <c r="W102" s="260">
        <f>IF(COUNTIF(X$99:X102,X102)=1,MAX(W$99:W101)+1,"")</f>
        <v>3</v>
      </c>
      <c r="X102" s="1033">
        <v>1150</v>
      </c>
      <c r="Y102" s="1033">
        <v>1350</v>
      </c>
      <c r="Z102" s="100">
        <v>320</v>
      </c>
      <c r="AA102" s="1033">
        <v>320</v>
      </c>
      <c r="AB102" s="1033">
        <v>500</v>
      </c>
      <c r="AC102" s="1033">
        <v>500</v>
      </c>
    </row>
    <row r="103" spans="1:29" ht="15.6" x14ac:dyDescent="0.3">
      <c r="A103" s="149">
        <v>1</v>
      </c>
      <c r="B103" s="1759" t="s">
        <v>2117</v>
      </c>
      <c r="C103" s="1759" t="s">
        <v>2119</v>
      </c>
      <c r="D103" s="1759" t="s">
        <v>2122</v>
      </c>
      <c r="E103" s="1759" t="s">
        <v>2124</v>
      </c>
      <c r="F103" s="1759" t="s">
        <v>2126</v>
      </c>
      <c r="G103" s="1760" t="s">
        <v>2127</v>
      </c>
      <c r="H103" s="157"/>
      <c r="I103" s="157"/>
      <c r="J103" s="157"/>
      <c r="L103" s="1312"/>
      <c r="M103" s="4" t="str">
        <f>IF(MAX(N103:N135)&lt;ROW(цб!12:12),"",VLOOKUP(ROW(цб!12:12),N103:O135,2))</f>
        <v/>
      </c>
      <c r="N103" s="138" t="str">
        <f t="array" ref="N103">IF(COUNTIF(O$91:O103,O103)=1,MAX(N$91:N102)+1,"")</f>
        <v/>
      </c>
      <c r="O103" s="135">
        <f t="array" ref="O10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>260</v>
      </c>
      <c r="P103" s="9"/>
      <c r="Q103" s="9">
        <f t="array" ref="Q10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450</v>
      </c>
      <c r="R103" s="1312" t="str">
        <f t="array" ref="R10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72.11872 - 32</v>
      </c>
      <c r="T103" s="154" t="b">
        <f t="shared" ca="1" si="0"/>
        <v>1</v>
      </c>
      <c r="U103" s="260" t="b">
        <f t="shared" si="1"/>
        <v>1</v>
      </c>
      <c r="V103" s="260">
        <f>IF(MAX(W102:W111)&lt;ROW(Втулка!4:4),"",VLOOKUP(ROW(Втулка!4:4),W101:X111,2))</f>
        <v>1200</v>
      </c>
      <c r="W103" s="260">
        <f>IF(COUNTIF(X$99:X103,X103)=1,MAX(W$99:W102)+1,"")</f>
        <v>4</v>
      </c>
      <c r="X103" s="1033">
        <v>1200</v>
      </c>
      <c r="Y103" s="1033">
        <v>1200</v>
      </c>
      <c r="Z103" s="100">
        <v>200</v>
      </c>
      <c r="AA103" s="1033">
        <v>200</v>
      </c>
      <c r="AB103" s="1033">
        <v>350</v>
      </c>
      <c r="AC103" s="1033">
        <v>350</v>
      </c>
    </row>
    <row r="104" spans="1:29" ht="15.6" x14ac:dyDescent="0.3">
      <c r="A104" s="154">
        <v>2</v>
      </c>
      <c r="B104" s="201" t="s">
        <v>2118</v>
      </c>
      <c r="C104" s="201" t="s">
        <v>2120</v>
      </c>
      <c r="D104" s="201" t="s">
        <v>2119</v>
      </c>
      <c r="E104" s="201" t="s">
        <v>2114</v>
      </c>
      <c r="F104" s="201" t="s">
        <v>2124</v>
      </c>
      <c r="G104" s="1675" t="s">
        <v>2128</v>
      </c>
      <c r="H104" s="157"/>
      <c r="I104" s="157"/>
      <c r="J104" s="157"/>
      <c r="L104" s="1312"/>
      <c r="M104" s="4" t="str">
        <f>IF(MAX(N104:N135)&lt;ROW(цб!13:13),"",VLOOKUP(ROW(цб!13:13),N104:O135,2))</f>
        <v/>
      </c>
      <c r="N104" s="138" t="str">
        <f t="array" ref="N104">IF(COUNTIF(O$91:O104,O104)=1,MAX(N$91:N103)+1,"")</f>
        <v/>
      </c>
      <c r="O104" s="135">
        <f t="array" ref="O10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>260</v>
      </c>
      <c r="P104" s="9"/>
      <c r="Q104" s="9">
        <f t="array" ref="Q104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450</v>
      </c>
      <c r="R104" s="1312" t="str">
        <f t="array" ref="R10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72.11872 - 32</v>
      </c>
      <c r="T104" s="154" t="b">
        <f t="shared" ca="1" si="0"/>
        <v>1</v>
      </c>
      <c r="U104" s="260" t="b">
        <f t="shared" si="1"/>
        <v>1</v>
      </c>
      <c r="V104" s="260">
        <f>IF(MAX(W102:W111)&lt;ROW(Втулка!5:5),"",VLOOKUP(ROW(Втулка!5:5),W102:X111,2))</f>
        <v>1500</v>
      </c>
      <c r="W104" s="260">
        <f>IF(COUNTIF(X$99:X104,X104)=1,MAX(W$99:W103)+1,"")</f>
        <v>5</v>
      </c>
      <c r="X104" s="1033">
        <v>1500</v>
      </c>
      <c r="Y104" s="1033">
        <v>1500</v>
      </c>
      <c r="Z104" s="100">
        <v>70</v>
      </c>
      <c r="AA104" s="1033">
        <v>200</v>
      </c>
      <c r="AB104" s="1033">
        <v>300</v>
      </c>
      <c r="AC104" s="1033">
        <v>300</v>
      </c>
    </row>
    <row r="105" spans="1:29" ht="16.2" thickBot="1" x14ac:dyDescent="0.35">
      <c r="A105" s="193">
        <v>3</v>
      </c>
      <c r="B105" s="1676" t="s">
        <v>2118</v>
      </c>
      <c r="C105" s="1676" t="s">
        <v>2121</v>
      </c>
      <c r="D105" s="1676" t="s">
        <v>2123</v>
      </c>
      <c r="E105" s="1676" t="s">
        <v>2125</v>
      </c>
      <c r="F105" s="1676" t="s">
        <v>2114</v>
      </c>
      <c r="G105" s="1677" t="s">
        <v>2124</v>
      </c>
      <c r="H105" s="1251"/>
      <c r="I105" s="1251"/>
      <c r="J105" s="157"/>
      <c r="L105" s="1312"/>
      <c r="M105" s="4" t="str">
        <f>IF(MAX(N105:N135)&lt;ROW(цб!14:14),"",VLOOKUP(ROW(цб!14:14),N105:O135,2))</f>
        <v/>
      </c>
      <c r="N105" s="138" t="str">
        <f t="array" ref="N105">IF(COUNTIF(O$91:O105,O105)=1,MAX(N$91:N104)+1,"")</f>
        <v/>
      </c>
      <c r="O105" s="135" t="str">
        <f t="array" ref="O10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5" s="9"/>
      <c r="Q105" s="9" t="str">
        <f t="array" ref="Q105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5" s="1312" t="str">
        <f t="array" ref="R10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5" s="154" t="b">
        <f t="shared" ca="1" si="0"/>
        <v>1</v>
      </c>
      <c r="U105" s="260" t="b">
        <f t="shared" si="1"/>
        <v>1</v>
      </c>
      <c r="V105" s="260">
        <f>IF(MAX(W103:W111)&lt;ROW(Втулка!6:6),"",VLOOKUP(ROW(Втулка!6:6),W102:X111,2))</f>
        <v>1800</v>
      </c>
      <c r="W105" s="260">
        <f>IF(COUNTIF(X$99:X105,X105)=1,MAX(W$99:W104)+1,"")</f>
        <v>6</v>
      </c>
      <c r="X105" s="1033">
        <v>1800</v>
      </c>
      <c r="Y105" s="1033">
        <v>1800</v>
      </c>
      <c r="Z105" s="100">
        <v>225</v>
      </c>
      <c r="AA105" s="1033">
        <v>225</v>
      </c>
      <c r="AB105" s="1033">
        <v>360</v>
      </c>
      <c r="AC105" s="1033">
        <v>360</v>
      </c>
    </row>
    <row r="106" spans="1:29" ht="15.6" x14ac:dyDescent="0.3">
      <c r="H106" s="1245"/>
      <c r="I106" s="157"/>
      <c r="J106" s="157"/>
      <c r="L106" s="1312"/>
      <c r="M106" s="4" t="str">
        <f>IF(MAX(N106:N135)&lt;ROW(цб!15:15),"",VLOOKUP(ROW(цб!15:15),N106:O135,2))</f>
        <v/>
      </c>
      <c r="N106" s="138" t="str">
        <f t="array" ref="N106">IF(COUNTIF(O$91:O106,O106)=1,MAX(N$91:N105)+1,"")</f>
        <v/>
      </c>
      <c r="O106" s="135" t="str">
        <f t="array" ref="O10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6" s="9"/>
      <c r="Q106" s="9" t="str">
        <f t="array" ref="Q106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6" s="1312" t="str">
        <f t="array" ref="R106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6" s="154" t="b">
        <f t="shared" ca="1" si="0"/>
        <v>1</v>
      </c>
      <c r="U106" s="260" t="b">
        <f t="shared" si="1"/>
        <v>1</v>
      </c>
      <c r="V106" s="260">
        <f>IF(MAX(W103:W111)&lt;ROW(Втулка!7:7),"",VLOOKUP(ROW(Втулка!7:7),W103:X111,2))</f>
        <v>2000</v>
      </c>
      <c r="W106" s="260" t="str">
        <f>IF(COUNTIF(X$99:X106,X106)=1,MAX(W$99:W105)+1,"")</f>
        <v/>
      </c>
      <c r="X106" s="1033">
        <v>1800</v>
      </c>
      <c r="Y106" s="1033">
        <v>1800</v>
      </c>
      <c r="Z106" s="100">
        <v>340</v>
      </c>
      <c r="AA106" s="1033">
        <v>340</v>
      </c>
      <c r="AB106" s="1033">
        <v>300</v>
      </c>
      <c r="AC106" s="1033">
        <v>500</v>
      </c>
    </row>
    <row r="107" spans="1:29" ht="15.6" x14ac:dyDescent="0.3">
      <c r="I107" s="157"/>
      <c r="J107" s="157"/>
      <c r="L107" s="1312"/>
      <c r="M107" s="4" t="str">
        <f>IF(MAX(N107:N135)&lt;ROW(цб!16:16),"",VLOOKUP(ROW(цб!16:16),N107:O135,2))</f>
        <v/>
      </c>
      <c r="N107" s="138" t="str">
        <f t="array" ref="N107">IF(COUNTIF(O$91:O107,O107)=1,MAX(N$91:N106)+1,"")</f>
        <v/>
      </c>
      <c r="O107" s="135" t="str">
        <f t="array" ref="O10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7" s="9"/>
      <c r="Q107" s="9" t="str">
        <f t="array" ref="Q107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7" s="1312" t="str">
        <f t="array" ref="R107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7" s="154" t="b">
        <f t="shared" ca="1" si="0"/>
        <v>1</v>
      </c>
      <c r="U107" s="260" t="b">
        <f t="shared" si="1"/>
        <v>1</v>
      </c>
      <c r="V107" s="260">
        <f>IF(MAX(W104:W111)&lt;ROW(Втулка!8:8),"",VLOOKUP(ROW(Втулка!8:8),W103:X111,2))</f>
        <v>2500</v>
      </c>
      <c r="W107" s="260">
        <f>IF(COUNTIF(X$99:X107,X107)=1,MAX(W$99:W106)+1,"")</f>
        <v>7</v>
      </c>
      <c r="X107" s="1033">
        <v>2000</v>
      </c>
      <c r="Y107" s="1033">
        <v>2500</v>
      </c>
      <c r="Z107" s="100">
        <v>300</v>
      </c>
      <c r="AA107" s="1033">
        <v>300</v>
      </c>
      <c r="AB107" s="1033">
        <v>700</v>
      </c>
      <c r="AC107" s="1033">
        <v>500</v>
      </c>
    </row>
    <row r="108" spans="1:29" ht="16.2" thickBot="1" x14ac:dyDescent="0.35">
      <c r="A108" s="53" t="s">
        <v>271</v>
      </c>
      <c r="B108" s="100"/>
      <c r="C108" s="100"/>
      <c r="D108" s="100"/>
      <c r="E108" s="100"/>
      <c r="F108" s="100"/>
      <c r="G108" s="100"/>
      <c r="H108" s="100"/>
      <c r="I108" s="157"/>
      <c r="J108" s="157"/>
      <c r="L108" s="1312"/>
      <c r="M108" s="4" t="str">
        <f>IF(MAX(N108:N135)&lt;ROW(цб!17:17),"",VLOOKUP(ROW(цб!17:17),N108:O135,2))</f>
        <v/>
      </c>
      <c r="N108" s="138" t="str">
        <f t="array" ref="N108">IF(COUNTIF(O$91:O108,O108)=1,MAX(N$91:N107)+1,"")</f>
        <v/>
      </c>
      <c r="O108" s="135" t="str">
        <f t="array" ref="O10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8" s="9"/>
      <c r="Q108" s="9" t="str">
        <f t="array" ref="Q108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8" s="1312" t="str">
        <f t="array" ref="R108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8" s="154" t="b">
        <f t="shared" ca="1" si="0"/>
        <v>1</v>
      </c>
      <c r="U108" s="260" t="b">
        <f t="shared" si="1"/>
        <v>1</v>
      </c>
      <c r="V108" s="260">
        <f>IF(MAX(W104:W111)&lt;ROW(Втулка!9:9),"",VLOOKUP(ROW(Втулка!9:9),W104:X111,2))</f>
        <v>3500</v>
      </c>
      <c r="W108" s="260">
        <f>IF(COUNTIF(X$99:X108,X108)=1,MAX(W$99:W107)+1,"")</f>
        <v>8</v>
      </c>
      <c r="X108" s="1033">
        <v>2500</v>
      </c>
      <c r="Y108" s="1033">
        <v>2500</v>
      </c>
      <c r="Z108" s="100">
        <v>320</v>
      </c>
      <c r="AA108" s="1033">
        <v>320</v>
      </c>
      <c r="AB108" s="1033">
        <v>700</v>
      </c>
      <c r="AC108" s="1033">
        <v>380</v>
      </c>
    </row>
    <row r="109" spans="1:29" ht="15.6" x14ac:dyDescent="0.3">
      <c r="A109" s="1761"/>
      <c r="B109" s="1765">
        <v>100</v>
      </c>
      <c r="C109" s="1765">
        <v>200</v>
      </c>
      <c r="D109" s="1765">
        <v>300</v>
      </c>
      <c r="E109" s="1765">
        <v>400</v>
      </c>
      <c r="F109" s="1765">
        <v>500</v>
      </c>
      <c r="G109" s="1765">
        <v>600</v>
      </c>
      <c r="H109" s="1760">
        <v>700</v>
      </c>
      <c r="I109" s="157"/>
      <c r="J109" s="157"/>
      <c r="L109" s="1312"/>
      <c r="M109" s="4" t="str">
        <f>IF(MAX(N109:N135)&lt;ROW(цб!18:18),"",VLOOKUP(ROW(цб!18:18),N109:O135,2))</f>
        <v/>
      </c>
      <c r="N109" s="138" t="str">
        <f t="array" ref="N109">IF(COUNTIF(O$91:O109,O109)=1,MAX(N$91:N108)+1,"")</f>
        <v/>
      </c>
      <c r="O109" s="135" t="str">
        <f t="array" ref="O10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9" s="9"/>
      <c r="Q109" s="9" t="str">
        <f t="array" ref="Q109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9" s="1312" t="str">
        <f t="array" ref="R109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9" s="154" t="b">
        <f t="shared" ca="1" si="0"/>
        <v>1</v>
      </c>
      <c r="U109" s="260" t="b">
        <f t="shared" si="1"/>
        <v>1</v>
      </c>
      <c r="V109" s="260" t="str">
        <f>IF(MAX(W104:W111)&lt;ROW(Втулка!10:10),"",VLOOKUP(ROW(Втулка!10:10),W104:X111,2))</f>
        <v/>
      </c>
      <c r="W109" s="260">
        <f>IF(COUNTIF(X$99:X109,X109)=1,MAX(W$99:W108)+1,"")</f>
        <v>9</v>
      </c>
      <c r="X109" s="1033">
        <v>3500</v>
      </c>
      <c r="Y109" s="1033">
        <v>2500</v>
      </c>
      <c r="Z109" s="100">
        <v>500</v>
      </c>
      <c r="AA109" s="1033">
        <v>500</v>
      </c>
      <c r="AB109" s="1033">
        <v>500</v>
      </c>
      <c r="AC109" s="1033">
        <v>500</v>
      </c>
    </row>
    <row r="110" spans="1:29" ht="15.6" x14ac:dyDescent="0.3">
      <c r="A110" s="1762">
        <v>0</v>
      </c>
      <c r="B110" s="1678">
        <v>3.5</v>
      </c>
      <c r="C110" s="1678">
        <v>4.5</v>
      </c>
      <c r="D110" s="1678">
        <v>5.5</v>
      </c>
      <c r="E110" s="1678">
        <v>6.5</v>
      </c>
      <c r="F110" s="1678">
        <v>7.5</v>
      </c>
      <c r="G110" s="1678">
        <v>10</v>
      </c>
      <c r="H110" s="1675">
        <v>10</v>
      </c>
      <c r="L110" s="1312"/>
      <c r="M110" s="4" t="str">
        <f>IF(MAX(N110:N135)&lt;ROW(цб!19:19),"",VLOOKUP(ROW(цб!19:19),N110:O135,2))</f>
        <v/>
      </c>
      <c r="N110" s="138" t="str">
        <f t="array" ref="N110">IF(COUNTIF(O$91:O110,O110)=1,MAX(N$91:N109)+1,"")</f>
        <v/>
      </c>
      <c r="O110" s="135" t="str">
        <f t="array" ref="O11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0" s="9"/>
      <c r="Q110" s="9" t="str">
        <f t="array" ref="Q110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0" s="1312" t="str">
        <f t="array" ref="R110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0" s="154"/>
      <c r="U110" s="260"/>
      <c r="V110" s="260" t="str">
        <f>IF(MAX(W104:W111)&lt;ROW(Втулка!11:11),"",VLOOKUP(ROW(Втулка!11:11),W104:X111,2))</f>
        <v/>
      </c>
      <c r="W110" s="260"/>
      <c r="X110" s="260"/>
      <c r="Y110" s="260"/>
      <c r="Z110" s="100"/>
      <c r="AA110" s="260"/>
      <c r="AB110" s="260"/>
      <c r="AC110" s="414"/>
    </row>
    <row r="111" spans="1:29" ht="15.6" x14ac:dyDescent="0.3">
      <c r="A111" s="1762">
        <v>10</v>
      </c>
      <c r="B111" s="201">
        <v>4</v>
      </c>
      <c r="C111" s="1678">
        <v>5</v>
      </c>
      <c r="D111" s="201">
        <v>6</v>
      </c>
      <c r="E111" s="201">
        <v>7.5</v>
      </c>
      <c r="F111" s="201">
        <v>8</v>
      </c>
      <c r="G111" s="201">
        <v>10</v>
      </c>
      <c r="H111" s="1675">
        <v>10</v>
      </c>
      <c r="L111" s="1312"/>
      <c r="M111" s="4" t="str">
        <f>IF(MAX(N111:N135)&lt;ROW(цб!20:20),"",VLOOKUP(ROW(цб!20:20),N111:O135,2))</f>
        <v/>
      </c>
      <c r="N111" s="138" t="str">
        <f t="array" ref="N111">IF(COUNTIF(O$91:O111,O111)=1,MAX(N$91:N110)+1,"")</f>
        <v/>
      </c>
      <c r="O111" s="135" t="str">
        <f t="array" ref="O11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1" s="9"/>
      <c r="Q111" s="9" t="str">
        <f t="array" ref="Q111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1" s="1312" t="str">
        <f t="array" ref="R111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1" s="154"/>
      <c r="U111" s="260" t="s">
        <v>889</v>
      </c>
      <c r="V111" s="260"/>
      <c r="W111" s="260"/>
      <c r="X111" s="260">
        <v>1400</v>
      </c>
      <c r="Y111" s="260">
        <v>2000</v>
      </c>
      <c r="Z111" s="260">
        <v>330</v>
      </c>
      <c r="AA111" s="260">
        <v>500</v>
      </c>
      <c r="AB111" s="260"/>
      <c r="AC111" s="414"/>
    </row>
    <row r="112" spans="1:29" ht="16.2" thickBot="1" x14ac:dyDescent="0.35">
      <c r="A112" s="1762">
        <v>20</v>
      </c>
      <c r="B112" s="1678">
        <v>7</v>
      </c>
      <c r="C112" s="201">
        <v>8</v>
      </c>
      <c r="D112" s="201">
        <v>10</v>
      </c>
      <c r="E112" s="201">
        <v>11.5</v>
      </c>
      <c r="F112" s="201">
        <v>12.5</v>
      </c>
      <c r="G112" s="201">
        <v>14</v>
      </c>
      <c r="H112" s="1675">
        <v>14</v>
      </c>
      <c r="L112" s="1312"/>
      <c r="M112" s="4" t="str">
        <f>IF(MAX(N112:N135)&lt;ROW(цб!21:21),"",VLOOKUP(ROW(цб!21:21),N112:O135,2))</f>
        <v/>
      </c>
      <c r="N112" s="138" t="str">
        <f t="array" ref="N112">IF(COUNTIF(O$91:O112,O112)=1,MAX(N$91:N111)+1,"")</f>
        <v/>
      </c>
      <c r="O112" s="135" t="str">
        <f t="array" ref="O11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2" s="9"/>
      <c r="Q112" s="9" t="str">
        <f t="array" ref="Q11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2" s="1312" t="str">
        <f t="array" ref="R11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2" s="154"/>
      <c r="U112" s="100"/>
      <c r="V112" s="100"/>
      <c r="W112" s="100"/>
      <c r="X112" s="100"/>
      <c r="Y112" s="100"/>
      <c r="Z112" s="260"/>
      <c r="AA112" s="260"/>
      <c r="AB112" s="260"/>
      <c r="AC112" s="414"/>
    </row>
    <row r="113" spans="1:29" ht="15.6" x14ac:dyDescent="0.3">
      <c r="A113" s="1762">
        <v>30</v>
      </c>
      <c r="B113" s="1678">
        <v>10</v>
      </c>
      <c r="C113" s="1678">
        <v>11</v>
      </c>
      <c r="D113" s="201">
        <v>12</v>
      </c>
      <c r="E113" s="201">
        <v>14</v>
      </c>
      <c r="F113" s="201">
        <v>15</v>
      </c>
      <c r="G113" s="201">
        <v>16.5</v>
      </c>
      <c r="H113" s="1675">
        <v>16.5</v>
      </c>
      <c r="L113" s="1029"/>
      <c r="M113" s="4" t="str">
        <f>IF(MAX(N113:N135)&lt;ROW(цб!22:22),"",VLOOKUP(ROW(цб!22:22),N113:O135,2))</f>
        <v/>
      </c>
      <c r="N113" s="138" t="str">
        <f t="array" ref="N113">IF(COUNTIF(O$91:O113,O113)=1,MAX(N$91:N112)+1,"")</f>
        <v/>
      </c>
      <c r="O113" s="135" t="str">
        <f t="array" ref="O11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3" s="9"/>
      <c r="Q113" s="9" t="str">
        <f t="array" ref="Q11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3" s="1312" t="str">
        <f t="array" ref="R11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3" s="149"/>
      <c r="U113" s="411" t="s">
        <v>879</v>
      </c>
      <c r="V113" s="889">
        <f>IF(Данные!$Y$32=TRUE,Втулка!J29/0.985+80,Втулка!J29/0.985)</f>
        <v>6.091370558375635</v>
      </c>
      <c r="W113" s="411"/>
      <c r="X113" s="418"/>
      <c r="Y113" s="888" t="s">
        <v>879</v>
      </c>
      <c r="Z113" s="889">
        <f ca="1">IF(Данные!$Y$32=TRUE,'Втулка с буртом'!M20+80,'Втулка с буртом'!M20)</f>
        <v>7</v>
      </c>
      <c r="AA113" s="411"/>
      <c r="AB113" s="411"/>
      <c r="AC113" s="418"/>
    </row>
    <row r="114" spans="1:29" ht="15.6" x14ac:dyDescent="0.3">
      <c r="A114" s="1762">
        <v>50</v>
      </c>
      <c r="B114" s="1678">
        <v>13</v>
      </c>
      <c r="C114" s="1678">
        <v>15</v>
      </c>
      <c r="D114" s="201">
        <v>18</v>
      </c>
      <c r="E114" s="201">
        <v>19.5</v>
      </c>
      <c r="F114" s="201">
        <v>21.5</v>
      </c>
      <c r="G114" s="201">
        <v>23</v>
      </c>
      <c r="H114" s="1675">
        <v>23</v>
      </c>
      <c r="L114" s="1029"/>
      <c r="M114" s="4" t="str">
        <f>IF(MAX(N114:N135)&lt;ROW(цб!23:23),"",VLOOKUP(ROW(цб!23:23),N114:O135,2))</f>
        <v/>
      </c>
      <c r="N114" s="138" t="str">
        <f t="array" ref="N114">IF(COUNTIF(O$91:O114,O114)=1,MAX(N$91:N113)+1,"")</f>
        <v/>
      </c>
      <c r="O114" s="135" t="str">
        <f t="array" ref="O11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4" s="9"/>
      <c r="Q114" s="9" t="str">
        <f t="array" ref="Q114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4" s="1312" t="str">
        <f t="array" ref="R11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4" s="154"/>
      <c r="U114" s="260" t="s">
        <v>871</v>
      </c>
      <c r="V114" s="872">
        <f>ROUNDUP((V113+230)/100,0)*100</f>
        <v>300</v>
      </c>
      <c r="W114" s="260"/>
      <c r="X114" s="414"/>
      <c r="Y114" s="879" t="s">
        <v>871</v>
      </c>
      <c r="Z114" s="872">
        <f ca="1">ROUNDUP((Z113+200)/100,0)*100</f>
        <v>300</v>
      </c>
      <c r="AA114" s="260"/>
      <c r="AB114" s="260"/>
      <c r="AC114" s="414"/>
    </row>
    <row r="115" spans="1:29" ht="15.6" x14ac:dyDescent="0.3">
      <c r="A115" s="1762">
        <v>80</v>
      </c>
      <c r="B115" s="1678">
        <v>13</v>
      </c>
      <c r="C115" s="1678">
        <v>18</v>
      </c>
      <c r="D115" s="201">
        <v>20</v>
      </c>
      <c r="E115" s="201">
        <v>24.5</v>
      </c>
      <c r="F115" s="201">
        <v>25.5</v>
      </c>
      <c r="G115" s="201">
        <v>27</v>
      </c>
      <c r="H115" s="1675">
        <v>27</v>
      </c>
      <c r="L115" s="1312"/>
      <c r="M115" s="1005" t="str">
        <f>IF(MAX(N115:N135)&lt;ROW(цб!24:24),"",VLOOKUP(ROW(цб!24:24),N115:O135,2))</f>
        <v/>
      </c>
      <c r="N115" s="138" t="str">
        <f t="array" ref="N115">IF(COUNTIF(O$91:O115,O115)=1,MAX(N$91:N114)+1,"")</f>
        <v/>
      </c>
      <c r="O115" s="135" t="str">
        <f t="array" ref="O11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5" s="9"/>
      <c r="Q115" s="9" t="str">
        <f t="array" ref="Q115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5" s="1312" t="str">
        <f t="array" ref="R11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5" s="154"/>
      <c r="U115" s="260" t="s">
        <v>872</v>
      </c>
      <c r="V115" s="873">
        <f>VLOOKUP(TRUE,U100:V109,2,0)</f>
        <v>700</v>
      </c>
      <c r="W115" s="873">
        <f>VLOOKUP(V115,X100:AC109,2,0)</f>
        <v>700</v>
      </c>
      <c r="X115" s="890">
        <f>VLOOKUP(V115,X100:AC109,IF(Втулка!H27&lt;120,3,4),0)</f>
        <v>200</v>
      </c>
      <c r="Y115" s="878" t="s">
        <v>872</v>
      </c>
      <c r="Z115" s="873">
        <f ca="1">VLOOKUP(TRUE,T100:V109,3,0)</f>
        <v>700</v>
      </c>
      <c r="AA115" s="873">
        <f ca="1">VLOOKUP(Z115,X100:AC109,2,0)</f>
        <v>700</v>
      </c>
      <c r="AB115" s="871">
        <f ca="1">VLOOKUP(Z115,X100:AC109,IF('Втулка с буртом'!H25&lt;120,3,5),0)</f>
        <v>200</v>
      </c>
      <c r="AC115" s="414"/>
    </row>
    <row r="116" spans="1:29" ht="16.2" thickBot="1" x14ac:dyDescent="0.35">
      <c r="A116" s="1762">
        <v>120</v>
      </c>
      <c r="B116" s="1678">
        <v>13</v>
      </c>
      <c r="C116" s="1678">
        <v>18</v>
      </c>
      <c r="D116" s="201">
        <v>22</v>
      </c>
      <c r="E116" s="201">
        <v>27.5</v>
      </c>
      <c r="F116" s="201">
        <v>28.5</v>
      </c>
      <c r="G116" s="201">
        <v>30</v>
      </c>
      <c r="H116" s="1675">
        <v>30</v>
      </c>
      <c r="L116" s="1312"/>
      <c r="M116" s="4" t="str">
        <f>IF(MAX(N116:N135)&lt;ROW(цб!25:25),"",VLOOKUP(ROW(цб!25:25),N116:O135,2))</f>
        <v/>
      </c>
      <c r="N116" s="138" t="str">
        <f t="array" ref="N116">IF(COUNTIF(O$91:O116,O116)=1,MAX(N$91:N115)+1,"")</f>
        <v/>
      </c>
      <c r="O116" s="135" t="str">
        <f t="array" ref="O11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6" s="9"/>
      <c r="Q116" s="9" t="str">
        <f t="array" ref="Q116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6" s="1312" t="str">
        <f t="array" ref="R116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6" s="193"/>
      <c r="U116" s="428" t="s">
        <v>875</v>
      </c>
      <c r="V116" s="978">
        <f>ROUNDUP(Втулка!F23/0.985+Втулка!D23/0.985,0)</f>
        <v>81</v>
      </c>
      <c r="W116" s="428"/>
      <c r="X116" s="450"/>
      <c r="Y116" s="879" t="s">
        <v>875</v>
      </c>
      <c r="Z116" s="872">
        <f ca="1">ROUNDUP('Втулка с буртом'!E21+'Втулка с буртом'!C21/0.985,0)</f>
        <v>74</v>
      </c>
      <c r="AA116" s="260"/>
      <c r="AB116" s="260"/>
      <c r="AC116" s="414"/>
    </row>
    <row r="117" spans="1:29" ht="16.2" thickBot="1" x14ac:dyDescent="0.35">
      <c r="A117" s="1762">
        <v>150</v>
      </c>
      <c r="B117" s="1678">
        <v>13</v>
      </c>
      <c r="C117" s="1678">
        <v>18</v>
      </c>
      <c r="D117" s="201">
        <v>24.5</v>
      </c>
      <c r="E117" s="201">
        <v>27.5</v>
      </c>
      <c r="F117" s="201">
        <v>28.5</v>
      </c>
      <c r="G117" s="201">
        <v>30</v>
      </c>
      <c r="H117" s="1675">
        <v>32.5</v>
      </c>
      <c r="I117" s="157"/>
      <c r="J117" s="157"/>
      <c r="L117" s="1312"/>
      <c r="M117" s="4" t="str">
        <f>IF(MAX(N117:N135)&lt;ROW(цб!26:26),"",VLOOKUP(ROW(цб!26:26),N117:O135,2))</f>
        <v/>
      </c>
      <c r="N117" s="138" t="str">
        <f t="array" ref="N117">IF(COUNTIF(O$91:O117,O117)=1,MAX(N$91:N116)+1,"")</f>
        <v/>
      </c>
      <c r="O117" s="135" t="str">
        <f t="array" ref="O11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7" s="9"/>
      <c r="Q117" s="9" t="str">
        <f t="array" ref="Q117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7" s="1312" t="str">
        <f t="array" ref="R117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7" s="911"/>
      <c r="U117" s="448" t="s">
        <v>880</v>
      </c>
      <c r="V117" s="448">
        <f>VLOOKUP(V115,X100:AC109,4,0)</f>
        <v>200</v>
      </c>
      <c r="W117" s="448">
        <f>VLOOKUP(V115,X100:AC109,5,0)</f>
        <v>350</v>
      </c>
      <c r="X117" s="447">
        <f>VLOOKUP(V115,X100:AC109,6,0)</f>
        <v>150</v>
      </c>
      <c r="Y117" s="417" t="s">
        <v>880</v>
      </c>
      <c r="Z117" s="411">
        <f ca="1">VLOOKUP(Z115,X100:AC109,4,0)</f>
        <v>200</v>
      </c>
      <c r="AA117" s="411">
        <f ca="1">VLOOKUP(Z115,X100:AC109,5,0)</f>
        <v>350</v>
      </c>
      <c r="AB117" s="418">
        <f ca="1">VLOOKUP(Z115,X100:AC109,6,0)</f>
        <v>150</v>
      </c>
      <c r="AC117" s="414"/>
    </row>
    <row r="118" spans="1:29" ht="15.6" x14ac:dyDescent="0.3">
      <c r="A118" s="1762">
        <v>200</v>
      </c>
      <c r="B118" s="1678">
        <v>13</v>
      </c>
      <c r="C118" s="1678">
        <v>18</v>
      </c>
      <c r="D118" s="201">
        <v>24.5</v>
      </c>
      <c r="E118" s="201">
        <v>27.5</v>
      </c>
      <c r="F118" s="201">
        <v>28.5</v>
      </c>
      <c r="G118" s="201">
        <v>30</v>
      </c>
      <c r="H118" s="1675">
        <v>32.5</v>
      </c>
      <c r="I118" s="157"/>
      <c r="J118" s="157"/>
      <c r="L118" s="1312"/>
      <c r="M118" s="4" t="str">
        <f>IF(MAX(N118:N135)&lt;ROW(цб!27:27),"",VLOOKUP(ROW(цб!27:27),N118:O135,2))</f>
        <v/>
      </c>
      <c r="N118" s="138" t="str">
        <f t="array" ref="N118">IF(COUNTIF(O$91:O118,O118)=1,MAX(N$91:N117)+1,"")</f>
        <v/>
      </c>
      <c r="O118" s="135" t="str">
        <f t="array" ref="O11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8" s="9"/>
      <c r="Q118" s="9" t="str">
        <f t="array" ref="Q118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8" s="1312" t="str">
        <f t="array" ref="R118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8" s="149"/>
      <c r="U118" s="411"/>
      <c r="V118" s="411">
        <f>LARGE(V117:X117,1)</f>
        <v>350</v>
      </c>
      <c r="W118" s="411">
        <f>IF(QUOTIENT(V116,LARGE(V117:X117,1))=0,1,QUOTIENT(V116,LARGE(V117:X117,1)))</f>
        <v>1</v>
      </c>
      <c r="X118" s="874">
        <f>V116-V118*W118</f>
        <v>-269</v>
      </c>
      <c r="Y118" s="410"/>
      <c r="Z118" s="417">
        <f ca="1">LARGE(Z117:AB117,1)</f>
        <v>350</v>
      </c>
      <c r="AA118" s="411">
        <f ca="1">QUOTIENT(Z116,LARGE(Z117:AB117,1))</f>
        <v>0</v>
      </c>
      <c r="AB118" s="874">
        <f ca="1">Z116-Z118*AA118</f>
        <v>74</v>
      </c>
      <c r="AC118" s="414"/>
    </row>
    <row r="119" spans="1:29" ht="16.2" thickBot="1" x14ac:dyDescent="0.35">
      <c r="A119" s="1766">
        <v>300</v>
      </c>
      <c r="B119" s="1767">
        <v>13</v>
      </c>
      <c r="C119" s="1767">
        <v>18</v>
      </c>
      <c r="D119" s="1676">
        <v>24.5</v>
      </c>
      <c r="E119" s="1676">
        <v>27.5</v>
      </c>
      <c r="F119" s="1676">
        <v>28.5</v>
      </c>
      <c r="G119" s="1676">
        <v>30</v>
      </c>
      <c r="H119" s="1677">
        <v>32.5</v>
      </c>
      <c r="I119" s="157"/>
      <c r="J119" s="157"/>
      <c r="L119" s="1312"/>
      <c r="M119" s="4" t="str">
        <f>IF(MAX(N119:N135)&lt;ROW(цб!28:28),"",VLOOKUP(ROW(цб!28:28),N119:O135,2))</f>
        <v/>
      </c>
      <c r="N119" s="138" t="str">
        <f t="array" ref="N119">IF(COUNTIF(O$91:O119,O119)=1,MAX(N$91:N118)+1,"")</f>
        <v/>
      </c>
      <c r="O119" s="135" t="str">
        <f t="array" ref="O11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9" s="9"/>
      <c r="Q119" s="9" t="str">
        <f t="array" ref="Q119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9" s="1312" t="str">
        <f t="array" ref="R119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9" s="154"/>
      <c r="U119" s="260"/>
      <c r="V119" s="260">
        <f>LARGE(V117:X117,2)</f>
        <v>200</v>
      </c>
      <c r="W119" s="260">
        <f>IF(X119=1,1,0)</f>
        <v>0</v>
      </c>
      <c r="X119" s="414">
        <f>IF(X118&gt;65,1,0)</f>
        <v>0</v>
      </c>
      <c r="Y119" s="410"/>
      <c r="Z119" s="410">
        <f ca="1">LARGE(Z117:AB117,2)</f>
        <v>200</v>
      </c>
      <c r="AA119" s="260">
        <f ca="1">IF(AB119=1,1,0)</f>
        <v>1</v>
      </c>
      <c r="AB119" s="414">
        <f ca="1">IF(AB118&gt;40,1,0)</f>
        <v>1</v>
      </c>
      <c r="AC119" s="414"/>
    </row>
    <row r="120" spans="1:29" ht="16.2" thickBot="1" x14ac:dyDescent="0.35">
      <c r="A120" s="100"/>
      <c r="B120" s="100"/>
      <c r="C120" s="100"/>
      <c r="D120" s="100"/>
      <c r="E120" s="100"/>
      <c r="F120" s="100"/>
      <c r="G120" s="100"/>
      <c r="H120" s="100"/>
      <c r="I120" s="157"/>
      <c r="J120" s="157"/>
      <c r="M120" s="4" t="str">
        <f>IF(MAX(N120:N135)&lt;ROW(цб!29:29),"",VLOOKUP(ROW(цб!29:29),N120:O135,2))</f>
        <v/>
      </c>
      <c r="N120" s="138" t="str">
        <f t="array" ref="N120">IF(COUNTIF(O$91:O120,O120)=1,MAX(N$91:N119)+1,"")</f>
        <v/>
      </c>
      <c r="O120" s="135" t="str">
        <f t="array" ref="O12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0" s="9"/>
      <c r="Q120" s="9" t="str">
        <f t="array" ref="Q120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0" s="1312" t="str">
        <f t="array" ref="R120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0" s="193"/>
      <c r="U120" s="428"/>
      <c r="V120" s="428">
        <f>LARGE(V117:X117,3)</f>
        <v>150</v>
      </c>
      <c r="W120" s="428">
        <f>IF(AND(X119=0,X118&gt;60),2,0)</f>
        <v>0</v>
      </c>
      <c r="X120" s="450">
        <f>V120*W120</f>
        <v>0</v>
      </c>
      <c r="Y120" s="410"/>
      <c r="Z120" s="410">
        <f ca="1">LARGE(Z117:AB117,3)</f>
        <v>150</v>
      </c>
      <c r="AA120" s="260">
        <f ca="1">IF(AND(AB119=0,AB118&gt;45),2,0)</f>
        <v>0</v>
      </c>
      <c r="AB120" s="414">
        <f ca="1">Z120*AA120</f>
        <v>0</v>
      </c>
      <c r="AC120" s="414"/>
    </row>
    <row r="121" spans="1:29" ht="16.2" thickBot="1" x14ac:dyDescent="0.35">
      <c r="A121" s="53" t="s">
        <v>300</v>
      </c>
      <c r="H121" s="100"/>
      <c r="I121" s="157"/>
      <c r="J121" s="157"/>
      <c r="K121" s="157"/>
      <c r="M121" s="4" t="str">
        <f>IF(MAX(N121:N135)&lt;ROW(цб!30:30),"",VLOOKUP(ROW(цб!30:30),N121:O135,2))</f>
        <v/>
      </c>
      <c r="N121" s="138" t="str">
        <f t="array" ref="N121">IF(COUNTIF(O$91:O121,O121)=1,MAX(N$91:N120)+1,"")</f>
        <v/>
      </c>
      <c r="O121" s="135" t="str">
        <f t="array" ref="O12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1" s="9"/>
      <c r="Q121" s="9" t="str">
        <f t="array" ref="Q121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1" s="1312" t="str">
        <f t="array" ref="R121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1" s="149"/>
      <c r="U121" s="411" t="s">
        <v>878</v>
      </c>
      <c r="V121" s="411">
        <f t="shared" ref="V121:W123" si="2">V118</f>
        <v>350</v>
      </c>
      <c r="W121" s="411">
        <f t="shared" si="2"/>
        <v>1</v>
      </c>
      <c r="X121" s="418"/>
      <c r="Y121" s="417" t="s">
        <v>878</v>
      </c>
      <c r="Z121" s="411">
        <f t="shared" ref="Z121:AA123" ca="1" si="3">Z118</f>
        <v>350</v>
      </c>
      <c r="AA121" s="411">
        <f t="shared" ca="1" si="3"/>
        <v>0</v>
      </c>
      <c r="AB121" s="418"/>
      <c r="AC121" s="414"/>
    </row>
    <row r="122" spans="1:29" ht="15.6" x14ac:dyDescent="0.3">
      <c r="A122" s="1761"/>
      <c r="B122" s="1759"/>
      <c r="C122" s="1759"/>
      <c r="D122" s="1759"/>
      <c r="E122" s="1759"/>
      <c r="F122" s="1759"/>
      <c r="G122" s="1759"/>
      <c r="H122" s="1760"/>
      <c r="I122" s="157"/>
      <c r="J122" s="157"/>
      <c r="K122" s="157"/>
      <c r="M122" s="4" t="str">
        <f>IF(MAX(N122:N135)&lt;ROW(цб!31:31),"",VLOOKUP(ROW(цб!31:31),N122:O135,2))</f>
        <v/>
      </c>
      <c r="N122" s="138" t="str">
        <f t="array" ref="N122">IF(COUNTIF(O$91:O122,O122)=1,MAX(N$91:N121)+1,"")</f>
        <v/>
      </c>
      <c r="O122" s="135" t="str">
        <f t="array" ref="O12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2" s="9"/>
      <c r="Q122" s="9" t="str">
        <f t="array" ref="Q12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2" s="1312" t="str">
        <f t="array" ref="R12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2" s="154"/>
      <c r="U122" s="260"/>
      <c r="V122" s="260">
        <f t="shared" si="2"/>
        <v>200</v>
      </c>
      <c r="W122" s="260">
        <f t="shared" si="2"/>
        <v>0</v>
      </c>
      <c r="X122" s="414"/>
      <c r="Y122" s="410"/>
      <c r="Z122" s="260">
        <f t="shared" ca="1" si="3"/>
        <v>200</v>
      </c>
      <c r="AA122" s="260">
        <f t="shared" ca="1" si="3"/>
        <v>1</v>
      </c>
      <c r="AB122" s="414"/>
      <c r="AC122" s="414"/>
    </row>
    <row r="123" spans="1:29" ht="16.2" thickBot="1" x14ac:dyDescent="0.35">
      <c r="A123" s="1762"/>
      <c r="B123" s="1678">
        <v>100</v>
      </c>
      <c r="C123" s="1678">
        <v>200</v>
      </c>
      <c r="D123" s="1678">
        <v>300</v>
      </c>
      <c r="E123" s="1678">
        <v>400</v>
      </c>
      <c r="F123" s="1678">
        <v>500</v>
      </c>
      <c r="G123" s="1678">
        <v>600</v>
      </c>
      <c r="H123" s="1675">
        <v>700</v>
      </c>
      <c r="I123" s="157"/>
      <c r="J123" s="157"/>
      <c r="K123" s="157"/>
      <c r="M123" s="4" t="str">
        <f>IF(MAX(N123:N135)&lt;ROW(цб!32:32),"",VLOOKUP(ROW(цб!32:32),N123:O135,2))</f>
        <v/>
      </c>
      <c r="N123" s="138" t="str">
        <f t="array" ref="N123">IF(COUNTIF(O$91:O123,O123)=1,MAX(N$91:N122)+1,"")</f>
        <v/>
      </c>
      <c r="O123" s="135" t="str">
        <f t="array" ref="O12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3" s="9"/>
      <c r="Q123" s="9" t="str">
        <f t="array" ref="Q12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3" s="1312" t="str">
        <f t="array" ref="R12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3" s="193"/>
      <c r="U123" s="428"/>
      <c r="V123" s="428">
        <f t="shared" si="2"/>
        <v>150</v>
      </c>
      <c r="W123" s="428">
        <f t="shared" si="2"/>
        <v>0</v>
      </c>
      <c r="X123" s="450"/>
      <c r="Y123" s="427"/>
      <c r="Z123" s="428">
        <f t="shared" ca="1" si="3"/>
        <v>150</v>
      </c>
      <c r="AA123" s="428">
        <f t="shared" ca="1" si="3"/>
        <v>0</v>
      </c>
      <c r="AB123" s="450"/>
      <c r="AC123" s="414"/>
    </row>
    <row r="124" spans="1:29" ht="16.2" thickBot="1" x14ac:dyDescent="0.35">
      <c r="A124" s="1762">
        <v>0</v>
      </c>
      <c r="B124" s="1678">
        <v>3.5</v>
      </c>
      <c r="C124" s="1678">
        <v>4.5</v>
      </c>
      <c r="D124" s="1678">
        <v>5.5</v>
      </c>
      <c r="E124" s="1678">
        <v>6.5</v>
      </c>
      <c r="F124" s="1678">
        <v>7.5</v>
      </c>
      <c r="G124" s="1678">
        <v>10</v>
      </c>
      <c r="H124" s="1675">
        <v>10</v>
      </c>
      <c r="I124" s="157"/>
      <c r="J124" s="157"/>
      <c r="K124" s="157"/>
      <c r="M124" s="4" t="str">
        <f>IF(MAX(N124:N135)&lt;ROW(цб!33:33),"",VLOOKUP(ROW(цб!33:33),N124:O135,2))</f>
        <v/>
      </c>
      <c r="N124" s="138" t="str">
        <f t="array" ref="N124">IF(COUNTIF(O$91:O124,O124)=1,MAX(N$91:N123)+1,"")</f>
        <v/>
      </c>
      <c r="O124" s="135" t="str">
        <f t="array" ref="O12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4" s="9"/>
      <c r="Q124" s="9"/>
      <c r="R124" s="1312" t="str">
        <f t="array" ref="R12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4" s="193"/>
      <c r="U124" s="428" t="s">
        <v>881</v>
      </c>
      <c r="V124" s="428">
        <f>V121*W121+V122*W122+V123*W123+X115</f>
        <v>550</v>
      </c>
      <c r="W124" s="428"/>
      <c r="X124" s="450"/>
      <c r="Y124" s="446" t="s">
        <v>881</v>
      </c>
      <c r="Z124" s="448">
        <f ca="1">Z121*AA121+Z122*AA122+Z123*AA123+AB115</f>
        <v>400</v>
      </c>
      <c r="AA124" s="448"/>
      <c r="AB124" s="447"/>
      <c r="AC124" s="450"/>
    </row>
    <row r="125" spans="1:29" ht="14.4" x14ac:dyDescent="0.3">
      <c r="A125" s="1762">
        <v>10</v>
      </c>
      <c r="B125" s="201">
        <v>4</v>
      </c>
      <c r="C125" s="1678">
        <v>5</v>
      </c>
      <c r="D125" s="201">
        <v>6</v>
      </c>
      <c r="E125" s="201">
        <v>7.5</v>
      </c>
      <c r="F125" s="201">
        <v>8.5</v>
      </c>
      <c r="G125" s="201">
        <v>10</v>
      </c>
      <c r="H125" s="1675">
        <v>10</v>
      </c>
      <c r="M125" s="4" t="str">
        <f>IF(MAX(N125:N135)&lt;ROW(цб!34:34),"",VLOOKUP(ROW(цб!34:34),N125:O135,2))</f>
        <v/>
      </c>
      <c r="N125" s="138" t="str">
        <f t="array" ref="N125">IF(COUNTIF(O$91:O125,O125)=1,MAX(N$91:N124)+1,"")</f>
        <v/>
      </c>
      <c r="O125" s="135" t="str">
        <f t="array" ref="O12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5" s="9"/>
      <c r="Q125" s="155"/>
      <c r="R125" s="1312" t="str">
        <f t="array" ref="R12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</row>
    <row r="126" spans="1:29" ht="14.4" x14ac:dyDescent="0.3">
      <c r="A126" s="1762">
        <v>20</v>
      </c>
      <c r="B126" s="1678">
        <v>6.5</v>
      </c>
      <c r="C126" s="201">
        <v>7.5</v>
      </c>
      <c r="D126" s="201">
        <v>10.5</v>
      </c>
      <c r="E126" s="201">
        <v>10.5</v>
      </c>
      <c r="F126" s="201">
        <v>11.5</v>
      </c>
      <c r="G126" s="201">
        <v>13</v>
      </c>
      <c r="H126" s="1675">
        <v>13</v>
      </c>
      <c r="L126" s="157"/>
      <c r="M126" s="4" t="str">
        <f>IF(MAX(N126:N135)&lt;ROW(цб!35:35),"",VLOOKUP(ROW(цб!35:35),N126:O135,2))</f>
        <v/>
      </c>
      <c r="N126" s="138" t="str">
        <f t="array" ref="N126">IF(COUNTIF(O$91:O126,O126)=1,MAX(N$91:N125)+1,"")</f>
        <v/>
      </c>
      <c r="O126" s="135" t="str">
        <f t="array" ref="O12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6" s="9"/>
      <c r="Q126" s="155"/>
    </row>
    <row r="127" spans="1:29" ht="14.4" x14ac:dyDescent="0.3">
      <c r="A127" s="1762">
        <v>30</v>
      </c>
      <c r="B127" s="1678">
        <v>8.5</v>
      </c>
      <c r="C127" s="1678">
        <v>9.5</v>
      </c>
      <c r="D127" s="201">
        <v>10.5</v>
      </c>
      <c r="E127" s="201">
        <v>12.5</v>
      </c>
      <c r="F127" s="201">
        <v>13.5</v>
      </c>
      <c r="G127" s="201">
        <v>15</v>
      </c>
      <c r="H127" s="1675">
        <v>15</v>
      </c>
      <c r="J127" s="196"/>
      <c r="K127" s="196"/>
      <c r="L127" s="157"/>
      <c r="M127" s="4" t="str">
        <f>IF(MAX(N127:N135)&lt;ROW(цб!36:36),"",VLOOKUP(ROW(цб!36:36),N127:O135,2))</f>
        <v/>
      </c>
      <c r="N127" s="138" t="str">
        <f t="array" ref="N127">IF(COUNTIF(O$91:O127,O127)=1,MAX(N$91:N126)+1,"")</f>
        <v/>
      </c>
      <c r="O127" s="135" t="str">
        <f t="array" ref="O12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7" s="9"/>
      <c r="Q127" s="155"/>
    </row>
    <row r="128" spans="1:29" ht="14.4" x14ac:dyDescent="0.3">
      <c r="A128" s="1762">
        <v>50</v>
      </c>
      <c r="B128" s="1678">
        <v>8.5</v>
      </c>
      <c r="C128" s="1678">
        <v>13</v>
      </c>
      <c r="D128" s="201">
        <v>15</v>
      </c>
      <c r="E128" s="201">
        <v>17.5</v>
      </c>
      <c r="F128" s="201">
        <v>19.5</v>
      </c>
      <c r="G128" s="201">
        <v>21</v>
      </c>
      <c r="H128" s="1675">
        <v>21</v>
      </c>
      <c r="J128" s="196"/>
      <c r="K128" s="196"/>
      <c r="L128" s="157"/>
      <c r="M128" s="4" t="str">
        <f>IF(MAX(N128:N135)&lt;ROW(цб!37:37),"",VLOOKUP(ROW(цб!37:37),N128:O135,2))</f>
        <v/>
      </c>
      <c r="N128" s="138" t="str">
        <f t="array" ref="N128">IF(COUNTIF(O$91:O128,O128)=1,MAX(N$91:N127)+1,"")</f>
        <v/>
      </c>
      <c r="O128" s="135" t="str">
        <f t="array" ref="O12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8" s="9"/>
      <c r="Q128" s="155"/>
      <c r="R128" s="1312"/>
    </row>
    <row r="129" spans="1:18" ht="14.4" x14ac:dyDescent="0.3">
      <c r="A129" s="1762">
        <v>80</v>
      </c>
      <c r="B129" s="1678">
        <v>8.5</v>
      </c>
      <c r="C129" s="1678">
        <v>13</v>
      </c>
      <c r="D129" s="201">
        <v>17.5</v>
      </c>
      <c r="E129" s="201">
        <v>21</v>
      </c>
      <c r="F129" s="201">
        <v>22</v>
      </c>
      <c r="G129" s="201">
        <v>23.5</v>
      </c>
      <c r="H129" s="1675">
        <v>23.5</v>
      </c>
      <c r="J129" s="157"/>
      <c r="K129" s="157"/>
      <c r="L129" s="157"/>
      <c r="M129" s="4" t="str">
        <f>IF(MAX(N129:N135)&lt;ROW(цб!38:38),"",VLOOKUP(ROW(цб!38:38),N129:O135,2))</f>
        <v/>
      </c>
      <c r="N129" s="138" t="str">
        <f t="array" ref="N129">IF(COUNTIF(O$91:O129,O129)=1,MAX(N$91:N128)+1,"")</f>
        <v/>
      </c>
      <c r="O129" s="135" t="str">
        <f t="array" ref="O12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9" s="9"/>
      <c r="Q129" s="155"/>
      <c r="R129" s="1312"/>
    </row>
    <row r="130" spans="1:18" ht="14.4" x14ac:dyDescent="0.3">
      <c r="A130" s="1762">
        <v>120</v>
      </c>
      <c r="B130" s="1678">
        <v>8.5</v>
      </c>
      <c r="C130" s="1678">
        <v>13</v>
      </c>
      <c r="D130" s="201">
        <v>18.5</v>
      </c>
      <c r="E130" s="201">
        <v>23.5</v>
      </c>
      <c r="F130" s="201">
        <v>24.5</v>
      </c>
      <c r="G130" s="201">
        <v>26</v>
      </c>
      <c r="H130" s="1675">
        <v>26</v>
      </c>
      <c r="J130" s="157"/>
      <c r="K130" s="157"/>
      <c r="L130" s="157"/>
      <c r="M130" s="4" t="str">
        <f>IF(MAX(N130:N135)&lt;ROW(цб!39:39),"",VLOOKUP(ROW(цб!39:39),N130:O135,2))</f>
        <v/>
      </c>
      <c r="N130" s="138" t="str">
        <f t="array" ref="N130">IF(COUNTIF(O$91:O130,O130)=1,MAX(N$91:N129)+1,"")</f>
        <v/>
      </c>
      <c r="O130" s="135" t="str">
        <f t="array" ref="O13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0" s="9"/>
      <c r="Q130" s="155"/>
    </row>
    <row r="131" spans="1:18" ht="14.4" x14ac:dyDescent="0.3">
      <c r="A131" s="1762">
        <v>150</v>
      </c>
      <c r="B131" s="1678">
        <v>8.5</v>
      </c>
      <c r="C131" s="1678">
        <v>13</v>
      </c>
      <c r="D131" s="201">
        <v>18.5</v>
      </c>
      <c r="E131" s="201">
        <v>23.5</v>
      </c>
      <c r="F131" s="201">
        <v>24.5</v>
      </c>
      <c r="G131" s="201">
        <v>28</v>
      </c>
      <c r="H131" s="1675">
        <v>28</v>
      </c>
      <c r="J131" s="157"/>
      <c r="K131" s="157"/>
      <c r="L131" s="157"/>
      <c r="M131" s="4" t="str">
        <f>IF(MAX(N131:N135)&lt;ROW(цб!40:40),"",VLOOKUP(ROW(цб!40:40),N131:O135,2))</f>
        <v/>
      </c>
      <c r="N131" s="138" t="str">
        <f t="array" ref="N131">IF(COUNTIF(O$91:O131,O131)=1,MAX(N$91:N130)+1,"")</f>
        <v/>
      </c>
      <c r="O131" s="135" t="str">
        <f t="array" ref="O13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1" s="9"/>
      <c r="Q131" s="155"/>
    </row>
    <row r="132" spans="1:18" ht="15" thickBot="1" x14ac:dyDescent="0.35">
      <c r="A132" s="1766">
        <v>200</v>
      </c>
      <c r="B132" s="1767">
        <v>8.5</v>
      </c>
      <c r="C132" s="1767">
        <v>13</v>
      </c>
      <c r="D132" s="1676">
        <v>18.5</v>
      </c>
      <c r="E132" s="1676">
        <v>23.5</v>
      </c>
      <c r="F132" s="1676">
        <v>24.5</v>
      </c>
      <c r="G132" s="1676">
        <v>28</v>
      </c>
      <c r="H132" s="1677">
        <v>28</v>
      </c>
      <c r="J132" s="157"/>
      <c r="K132" s="157"/>
      <c r="L132" s="196"/>
      <c r="M132" s="4" t="str">
        <f>IF(MAX(N132:N135)&lt;ROW(цб!41:41),"",VLOOKUP(ROW(цб!41:41),N132:O135,2))</f>
        <v/>
      </c>
      <c r="N132" s="138" t="str">
        <f t="array" ref="N132">IF(COUNTIF(O$91:O132,O132)=1,MAX(N$91:N131)+1,"")</f>
        <v/>
      </c>
      <c r="O132" s="135" t="str">
        <f t="array" ref="O13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2" s="9"/>
      <c r="Q132" s="155"/>
    </row>
    <row r="133" spans="1:18" ht="14.4" x14ac:dyDescent="0.3">
      <c r="J133" s="157"/>
      <c r="K133" s="157"/>
      <c r="M133" s="4" t="str">
        <f>IF(MAX(N133:N135)&lt;ROW(цб!42:42),"",VLOOKUP(ROW(цб!42:42),N133:O135,2))</f>
        <v/>
      </c>
      <c r="N133" s="138" t="str">
        <f t="array" ref="N133">IF(COUNTIF(O$91:O133,O133)=1,MAX(N$91:N132)+1,"")</f>
        <v/>
      </c>
      <c r="O133" s="135" t="str">
        <f t="array" ref="O13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3" s="9"/>
      <c r="Q133" s="155"/>
    </row>
    <row r="134" spans="1:18" ht="14.4" x14ac:dyDescent="0.3">
      <c r="J134" s="157"/>
      <c r="K134" s="157"/>
      <c r="M134" s="4" t="str">
        <f>IF(MAX(N134:N135)&lt;ROW(цб!43:43),"",VLOOKUP(ROW(цб!43:43),N134:O135,2))</f>
        <v/>
      </c>
      <c r="N134" s="138" t="str">
        <f t="array" ref="N134">IF(COUNTIF(O$91:O134,O134)=1,MAX(N$91:N133)+1,"")</f>
        <v/>
      </c>
      <c r="O134" s="135" t="str">
        <f t="array" ref="O13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4" s="9"/>
      <c r="Q134" s="155"/>
    </row>
    <row r="135" spans="1:18" ht="15" thickBot="1" x14ac:dyDescent="0.35">
      <c r="A135" s="196" t="s">
        <v>2109</v>
      </c>
      <c r="B135" s="157"/>
      <c r="C135" s="157"/>
      <c r="D135" s="157"/>
      <c r="E135" s="157"/>
      <c r="F135" s="157"/>
      <c r="G135" s="157"/>
      <c r="H135" s="196"/>
      <c r="J135" s="157"/>
      <c r="K135" s="157"/>
      <c r="M135" s="4" t="str">
        <f>IF(MAX(N135:N135)&lt;ROW(цб!44:44),"",VLOOKUP(ROW(цб!44:44),N135:O135,2))</f>
        <v/>
      </c>
      <c r="N135" s="138" t="str">
        <f t="array" ref="N135">IF(COUNTIF(O$91:O135,O135)=1,MAX(N$91:N134)+1,"")</f>
        <v/>
      </c>
      <c r="O135" s="135" t="str">
        <f t="array" ref="O13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5" s="9"/>
      <c r="Q135" s="155"/>
    </row>
    <row r="136" spans="1:18" ht="14.4" x14ac:dyDescent="0.3">
      <c r="A136" s="1761"/>
      <c r="B136" s="1765">
        <v>100</v>
      </c>
      <c r="C136" s="1765">
        <v>200</v>
      </c>
      <c r="D136" s="1765">
        <v>300</v>
      </c>
      <c r="E136" s="1765">
        <v>400</v>
      </c>
      <c r="F136" s="1765">
        <v>500</v>
      </c>
      <c r="G136" s="1765">
        <v>600</v>
      </c>
      <c r="H136" s="1760">
        <v>700</v>
      </c>
      <c r="J136" s="157"/>
      <c r="K136" s="157"/>
      <c r="M136" s="1982" t="s">
        <v>971</v>
      </c>
      <c r="N136" s="150">
        <f t="array" ref="N136">IF(цб!N27=0,MIN(IF(Таблицы!BT77:BT258&gt;=цб!N25,Таблицы!BT77:BT258)),цб!N27)</f>
        <v>300</v>
      </c>
      <c r="O136" s="1983"/>
      <c r="P136" s="150"/>
      <c r="Q136" s="151"/>
    </row>
    <row r="137" spans="1:18" ht="14.4" x14ac:dyDescent="0.3">
      <c r="A137" s="1762">
        <v>0</v>
      </c>
      <c r="B137" s="1678">
        <v>3.5</v>
      </c>
      <c r="C137" s="1678">
        <v>4.5</v>
      </c>
      <c r="D137" s="1678">
        <v>5.5</v>
      </c>
      <c r="E137" s="1678">
        <v>6.5</v>
      </c>
      <c r="F137" s="1678">
        <v>7.5</v>
      </c>
      <c r="G137" s="1678">
        <v>10</v>
      </c>
      <c r="H137" s="1675">
        <v>10</v>
      </c>
      <c r="J137" s="157"/>
      <c r="K137" s="157"/>
      <c r="M137" s="1981" t="s">
        <v>691</v>
      </c>
      <c r="N137" s="54">
        <f t="array" aca="1" ref="N137" ca="1">IF(цб!N28=0,MIN(IF(Данные!M92:M135&gt;=цб!N26,Данные!M92:M135)),цб!N28)</f>
        <v>378</v>
      </c>
      <c r="O137" s="100"/>
      <c r="P137" s="100"/>
      <c r="Q137" s="155"/>
    </row>
    <row r="138" spans="1:18" ht="14.4" x14ac:dyDescent="0.25">
      <c r="A138" s="1762">
        <v>10</v>
      </c>
      <c r="B138" s="201">
        <v>4</v>
      </c>
      <c r="C138" s="1678">
        <v>5</v>
      </c>
      <c r="D138" s="201">
        <v>6</v>
      </c>
      <c r="E138" s="201">
        <v>7.5</v>
      </c>
      <c r="F138" s="201">
        <v>8.5</v>
      </c>
      <c r="G138" s="201">
        <v>10</v>
      </c>
      <c r="H138" s="1675">
        <v>10</v>
      </c>
      <c r="J138" s="157"/>
      <c r="K138" s="157"/>
      <c r="M138" s="1988" t="s">
        <v>2148</v>
      </c>
      <c r="N138" s="730">
        <f ca="1">VLOOKUP(N137,O92:R120,3,0)</f>
        <v>450</v>
      </c>
      <c r="O138" s="1956"/>
      <c r="P138" s="100"/>
      <c r="Q138" s="1990"/>
    </row>
    <row r="139" spans="1:18" ht="14.4" thickBot="1" x14ac:dyDescent="0.3">
      <c r="A139" s="1762">
        <v>20</v>
      </c>
      <c r="B139" s="1678">
        <v>5.5</v>
      </c>
      <c r="C139" s="201">
        <v>6.5</v>
      </c>
      <c r="D139" s="201">
        <v>7.5</v>
      </c>
      <c r="E139" s="201">
        <v>10</v>
      </c>
      <c r="F139" s="201">
        <v>11</v>
      </c>
      <c r="G139" s="201">
        <v>12.5</v>
      </c>
      <c r="H139" s="1675">
        <v>15</v>
      </c>
      <c r="J139" s="157"/>
      <c r="K139" s="157"/>
      <c r="M139" s="1989" t="s">
        <v>330</v>
      </c>
      <c r="N139" s="66" t="str">
        <f ca="1">VLOOKUP(N137,O92:R120,4,0)</f>
        <v>72.11874 - 32</v>
      </c>
      <c r="O139" s="194"/>
      <c r="P139" s="194"/>
      <c r="Q139" s="195"/>
    </row>
    <row r="140" spans="1:18" x14ac:dyDescent="0.25">
      <c r="A140" s="1762">
        <v>30</v>
      </c>
      <c r="B140" s="1678">
        <v>7.5</v>
      </c>
      <c r="C140" s="1678">
        <v>8.5</v>
      </c>
      <c r="D140" s="201">
        <v>9.5</v>
      </c>
      <c r="E140" s="201">
        <v>11.5</v>
      </c>
      <c r="F140" s="201">
        <v>12.5</v>
      </c>
      <c r="G140" s="201">
        <v>14</v>
      </c>
      <c r="H140" s="1675">
        <v>14</v>
      </c>
      <c r="J140" s="157"/>
      <c r="K140" s="157"/>
    </row>
    <row r="141" spans="1:18" x14ac:dyDescent="0.25">
      <c r="A141" s="1762">
        <v>50</v>
      </c>
      <c r="B141" s="1678">
        <v>7.5</v>
      </c>
      <c r="C141" s="1678">
        <v>11</v>
      </c>
      <c r="D141" s="201">
        <v>13.5</v>
      </c>
      <c r="E141" s="201">
        <v>15</v>
      </c>
      <c r="F141" s="201">
        <v>16.5</v>
      </c>
      <c r="G141" s="201">
        <v>18</v>
      </c>
      <c r="H141" s="1675">
        <v>18</v>
      </c>
      <c r="J141" s="157"/>
      <c r="K141" s="157"/>
    </row>
    <row r="142" spans="1:18" x14ac:dyDescent="0.25">
      <c r="A142" s="1762">
        <v>80</v>
      </c>
      <c r="B142" s="1678">
        <v>7.5</v>
      </c>
      <c r="C142" s="201">
        <v>15</v>
      </c>
      <c r="D142" s="201">
        <v>14.5</v>
      </c>
      <c r="E142" s="201">
        <v>18</v>
      </c>
      <c r="F142" s="201">
        <v>19</v>
      </c>
      <c r="G142" s="201">
        <v>20.5</v>
      </c>
      <c r="H142" s="1675">
        <v>20.5</v>
      </c>
      <c r="J142" s="157"/>
      <c r="K142" s="884"/>
    </row>
    <row r="143" spans="1:18" x14ac:dyDescent="0.25">
      <c r="A143" s="1762">
        <v>120</v>
      </c>
      <c r="B143" s="1678">
        <v>7.5</v>
      </c>
      <c r="C143" s="201">
        <v>15</v>
      </c>
      <c r="D143" s="201">
        <v>16</v>
      </c>
      <c r="E143" s="201">
        <v>19.5</v>
      </c>
      <c r="F143" s="201">
        <v>20.5</v>
      </c>
      <c r="G143" s="201">
        <v>30</v>
      </c>
      <c r="H143" s="1675">
        <v>30</v>
      </c>
      <c r="J143" s="157"/>
      <c r="K143" s="884"/>
    </row>
    <row r="144" spans="1:18" x14ac:dyDescent="0.25">
      <c r="A144" s="1762">
        <v>150</v>
      </c>
      <c r="B144" s="1678">
        <v>7.5</v>
      </c>
      <c r="C144" s="201">
        <v>15</v>
      </c>
      <c r="D144" s="201">
        <v>16</v>
      </c>
      <c r="E144" s="201">
        <v>19.5</v>
      </c>
      <c r="F144" s="201">
        <v>20.5</v>
      </c>
      <c r="G144" s="201">
        <v>32.5</v>
      </c>
      <c r="H144" s="1675">
        <v>32.5</v>
      </c>
      <c r="J144" s="157"/>
      <c r="K144" s="157"/>
    </row>
    <row r="145" spans="1:19" ht="14.4" thickBot="1" x14ac:dyDescent="0.3">
      <c r="A145" s="1766">
        <v>200</v>
      </c>
      <c r="B145" s="1767">
        <v>7.5</v>
      </c>
      <c r="C145" s="1676">
        <v>15</v>
      </c>
      <c r="D145" s="1676">
        <v>16</v>
      </c>
      <c r="E145" s="1676">
        <v>19.5</v>
      </c>
      <c r="F145" s="1676">
        <v>20.5</v>
      </c>
      <c r="G145" s="1676">
        <v>32.5</v>
      </c>
      <c r="H145" s="1677">
        <v>32.5</v>
      </c>
      <c r="J145" s="157"/>
      <c r="K145" s="157"/>
    </row>
    <row r="146" spans="1:19" x14ac:dyDescent="0.25">
      <c r="J146" s="196"/>
      <c r="K146" s="196"/>
    </row>
    <row r="147" spans="1:19" x14ac:dyDescent="0.25">
      <c r="J147" s="196"/>
      <c r="K147" s="196"/>
    </row>
    <row r="148" spans="1:19" x14ac:dyDescent="0.25">
      <c r="J148" s="196"/>
      <c r="K148" s="196"/>
    </row>
    <row r="149" spans="1:19" ht="14.4" customHeight="1" thickBot="1" x14ac:dyDescent="0.3">
      <c r="A149" s="53" t="s">
        <v>2110</v>
      </c>
    </row>
    <row r="150" spans="1:19" ht="15" customHeight="1" x14ac:dyDescent="0.25">
      <c r="A150" s="550" t="s">
        <v>2015</v>
      </c>
      <c r="B150" s="572">
        <v>50</v>
      </c>
      <c r="C150" s="572">
        <v>100</v>
      </c>
      <c r="D150" s="150">
        <v>200</v>
      </c>
      <c r="E150" s="150">
        <v>300</v>
      </c>
      <c r="F150" s="150">
        <v>400</v>
      </c>
      <c r="G150" s="150">
        <v>600</v>
      </c>
      <c r="H150" s="150">
        <v>800</v>
      </c>
      <c r="I150" s="150">
        <v>1200</v>
      </c>
      <c r="J150" s="150">
        <v>1500</v>
      </c>
      <c r="K150" s="151">
        <v>2000</v>
      </c>
    </row>
    <row r="151" spans="1:19" ht="15" customHeight="1" x14ac:dyDescent="0.25">
      <c r="A151" s="573">
        <v>100</v>
      </c>
      <c r="B151" s="203" t="s">
        <v>709</v>
      </c>
      <c r="C151" s="203" t="s">
        <v>709</v>
      </c>
      <c r="D151" s="100" t="s">
        <v>882</v>
      </c>
      <c r="E151" s="100" t="s">
        <v>719</v>
      </c>
      <c r="F151" s="100" t="s">
        <v>900</v>
      </c>
      <c r="G151" s="100" t="s">
        <v>901</v>
      </c>
      <c r="H151" s="100" t="s">
        <v>708</v>
      </c>
      <c r="I151" s="100" t="s">
        <v>891</v>
      </c>
      <c r="J151" s="100" t="s">
        <v>902</v>
      </c>
      <c r="K151" s="155" t="s">
        <v>903</v>
      </c>
    </row>
    <row r="152" spans="1:19" ht="14.4" customHeight="1" x14ac:dyDescent="0.25">
      <c r="A152" s="573">
        <v>200</v>
      </c>
      <c r="B152" s="203" t="s">
        <v>713</v>
      </c>
      <c r="C152" s="203" t="s">
        <v>713</v>
      </c>
      <c r="D152" s="100" t="s">
        <v>714</v>
      </c>
      <c r="E152" s="100" t="s">
        <v>719</v>
      </c>
      <c r="F152" s="100" t="s">
        <v>900</v>
      </c>
      <c r="G152" s="100" t="s">
        <v>901</v>
      </c>
      <c r="H152" s="100" t="s">
        <v>727</v>
      </c>
      <c r="I152" s="100" t="s">
        <v>721</v>
      </c>
      <c r="J152" s="100" t="s">
        <v>904</v>
      </c>
      <c r="K152" s="155" t="s">
        <v>905</v>
      </c>
    </row>
    <row r="153" spans="1:19" x14ac:dyDescent="0.25">
      <c r="A153" s="573">
        <v>300</v>
      </c>
      <c r="B153" s="203" t="s">
        <v>713</v>
      </c>
      <c r="C153" s="203" t="s">
        <v>715</v>
      </c>
      <c r="D153" s="100" t="s">
        <v>714</v>
      </c>
      <c r="E153" s="100" t="s">
        <v>716</v>
      </c>
      <c r="F153" s="100" t="s">
        <v>883</v>
      </c>
      <c r="G153" s="100" t="s">
        <v>891</v>
      </c>
      <c r="H153" s="100" t="s">
        <v>902</v>
      </c>
      <c r="I153" s="100" t="s">
        <v>903</v>
      </c>
      <c r="J153" s="100" t="s">
        <v>906</v>
      </c>
      <c r="K153" s="155" t="s">
        <v>907</v>
      </c>
    </row>
    <row r="154" spans="1:19" x14ac:dyDescent="0.25">
      <c r="A154" s="573">
        <v>400</v>
      </c>
      <c r="B154" s="203" t="s">
        <v>714</v>
      </c>
      <c r="C154" s="203" t="s">
        <v>714</v>
      </c>
      <c r="D154" s="100" t="s">
        <v>717</v>
      </c>
      <c r="E154" s="100" t="s">
        <v>716</v>
      </c>
      <c r="F154" s="100" t="s">
        <v>720</v>
      </c>
      <c r="G154" s="100" t="s">
        <v>708</v>
      </c>
      <c r="H154" s="100" t="s">
        <v>723</v>
      </c>
      <c r="I154" s="100" t="s">
        <v>892</v>
      </c>
      <c r="J154" s="100" t="s">
        <v>908</v>
      </c>
      <c r="K154" s="155" t="s">
        <v>909</v>
      </c>
    </row>
    <row r="155" spans="1:19" x14ac:dyDescent="0.25">
      <c r="A155" s="573">
        <v>600</v>
      </c>
      <c r="B155" s="203" t="s">
        <v>717</v>
      </c>
      <c r="C155" s="203" t="s">
        <v>719</v>
      </c>
      <c r="D155" s="100" t="s">
        <v>720</v>
      </c>
      <c r="E155" s="100" t="s">
        <v>720</v>
      </c>
      <c r="F155" s="100" t="s">
        <v>722</v>
      </c>
      <c r="G155" s="100" t="s">
        <v>708</v>
      </c>
      <c r="H155" s="100" t="s">
        <v>892</v>
      </c>
      <c r="I155" s="100" t="s">
        <v>712</v>
      </c>
      <c r="J155" s="100" t="s">
        <v>738</v>
      </c>
      <c r="K155" s="155" t="s">
        <v>910</v>
      </c>
    </row>
    <row r="156" spans="1:19" x14ac:dyDescent="0.25">
      <c r="A156" s="573">
        <v>800</v>
      </c>
      <c r="B156" s="203" t="s">
        <v>717</v>
      </c>
      <c r="C156" s="203" t="s">
        <v>719</v>
      </c>
      <c r="D156" s="100" t="s">
        <v>720</v>
      </c>
      <c r="E156" s="100" t="s">
        <v>722</v>
      </c>
      <c r="F156" s="100" t="s">
        <v>708</v>
      </c>
      <c r="G156" s="100" t="s">
        <v>727</v>
      </c>
      <c r="H156" s="100" t="s">
        <v>1004</v>
      </c>
      <c r="I156" s="100" t="s">
        <v>712</v>
      </c>
      <c r="J156" s="600" t="s">
        <v>726</v>
      </c>
      <c r="K156" s="950" t="s">
        <v>726</v>
      </c>
      <c r="R156" s="157"/>
      <c r="S156" s="157"/>
    </row>
    <row r="157" spans="1:19" x14ac:dyDescent="0.25">
      <c r="A157" s="573">
        <v>1000</v>
      </c>
      <c r="B157" s="203" t="s">
        <v>718</v>
      </c>
      <c r="C157" s="203" t="s">
        <v>708</v>
      </c>
      <c r="D157" s="100" t="s">
        <v>721</v>
      </c>
      <c r="E157" s="100" t="s">
        <v>723</v>
      </c>
      <c r="F157" s="100" t="s">
        <v>723</v>
      </c>
      <c r="G157" s="100" t="s">
        <v>710</v>
      </c>
      <c r="H157" s="100" t="s">
        <v>710</v>
      </c>
      <c r="I157" s="100" t="s">
        <v>712</v>
      </c>
      <c r="J157" s="600" t="s">
        <v>726</v>
      </c>
      <c r="K157" s="950" t="s">
        <v>726</v>
      </c>
      <c r="R157" s="157"/>
    </row>
    <row r="158" spans="1:19" x14ac:dyDescent="0.25">
      <c r="A158" s="573">
        <v>1500</v>
      </c>
      <c r="B158" s="203" t="s">
        <v>710</v>
      </c>
      <c r="C158" s="203" t="s">
        <v>710</v>
      </c>
      <c r="D158" s="100" t="s">
        <v>712</v>
      </c>
      <c r="E158" s="100" t="s">
        <v>724</v>
      </c>
      <c r="F158" s="100" t="s">
        <v>724</v>
      </c>
      <c r="G158" s="100" t="s">
        <v>725</v>
      </c>
      <c r="H158" s="100" t="s">
        <v>725</v>
      </c>
      <c r="I158" s="100" t="s">
        <v>726</v>
      </c>
      <c r="J158" s="100" t="s">
        <v>760</v>
      </c>
      <c r="K158" s="155" t="s">
        <v>756</v>
      </c>
      <c r="R158" s="157"/>
    </row>
    <row r="159" spans="1:19" x14ac:dyDescent="0.25">
      <c r="A159" s="573">
        <v>2000</v>
      </c>
      <c r="B159" s="203" t="s">
        <v>710</v>
      </c>
      <c r="C159" s="203" t="s">
        <v>710</v>
      </c>
      <c r="D159" s="100" t="s">
        <v>712</v>
      </c>
      <c r="E159" s="100" t="s">
        <v>725</v>
      </c>
      <c r="F159" s="100" t="s">
        <v>726</v>
      </c>
      <c r="G159" s="100" t="s">
        <v>711</v>
      </c>
      <c r="H159" s="100" t="s">
        <v>711</v>
      </c>
      <c r="I159" s="100" t="s">
        <v>728</v>
      </c>
      <c r="J159" s="100" t="s">
        <v>761</v>
      </c>
      <c r="K159" s="155" t="s">
        <v>756</v>
      </c>
      <c r="R159" s="157"/>
    </row>
    <row r="160" spans="1:19" ht="14.4" thickBot="1" x14ac:dyDescent="0.3">
      <c r="A160" s="574">
        <v>2500</v>
      </c>
      <c r="B160" s="194" t="s">
        <v>726</v>
      </c>
      <c r="C160" s="194" t="s">
        <v>711</v>
      </c>
      <c r="D160" s="194" t="s">
        <v>711</v>
      </c>
      <c r="E160" s="194" t="s">
        <v>728</v>
      </c>
      <c r="F160" s="194" t="s">
        <v>736</v>
      </c>
      <c r="G160" s="194" t="s">
        <v>755</v>
      </c>
      <c r="H160" s="194" t="s">
        <v>755</v>
      </c>
      <c r="I160" s="194" t="s">
        <v>755</v>
      </c>
      <c r="J160" s="194" t="s">
        <v>756</v>
      </c>
      <c r="K160" s="195" t="s">
        <v>756</v>
      </c>
      <c r="R160" s="157"/>
    </row>
    <row r="161" spans="1:18" x14ac:dyDescent="0.25">
      <c r="R161" s="157"/>
    </row>
    <row r="162" spans="1:18" ht="14.4" thickBot="1" x14ac:dyDescent="0.3">
      <c r="A162" s="202" t="s">
        <v>2111</v>
      </c>
      <c r="B162" s="203"/>
      <c r="C162" s="202"/>
      <c r="F162" s="1848" t="s">
        <v>2015</v>
      </c>
      <c r="R162" s="157"/>
    </row>
    <row r="163" spans="1:18" x14ac:dyDescent="0.25">
      <c r="A163" s="149" t="s">
        <v>2023</v>
      </c>
      <c r="B163" s="572">
        <v>50</v>
      </c>
      <c r="C163" s="572">
        <v>100</v>
      </c>
      <c r="D163" s="150">
        <v>200</v>
      </c>
      <c r="E163" s="150">
        <v>300</v>
      </c>
      <c r="F163" s="150">
        <v>400</v>
      </c>
      <c r="G163" s="150">
        <v>600</v>
      </c>
      <c r="H163" s="150">
        <v>800</v>
      </c>
      <c r="I163" s="150">
        <v>1200</v>
      </c>
      <c r="J163" s="150">
        <v>1500</v>
      </c>
      <c r="K163" s="151">
        <v>2000</v>
      </c>
    </row>
    <row r="164" spans="1:18" x14ac:dyDescent="0.25">
      <c r="A164" s="573">
        <v>100</v>
      </c>
      <c r="B164" s="203" t="s">
        <v>714</v>
      </c>
      <c r="C164" s="203" t="s">
        <v>717</v>
      </c>
      <c r="D164" s="100" t="s">
        <v>720</v>
      </c>
      <c r="E164" s="100" t="s">
        <v>2024</v>
      </c>
      <c r="F164" s="100" t="s">
        <v>2025</v>
      </c>
      <c r="G164" s="100" t="s">
        <v>753</v>
      </c>
      <c r="H164" s="100" t="s">
        <v>753</v>
      </c>
      <c r="I164" s="100" t="s">
        <v>753</v>
      </c>
      <c r="J164" s="100" t="s">
        <v>753</v>
      </c>
      <c r="K164" s="155" t="s">
        <v>753</v>
      </c>
      <c r="M164" s="157"/>
      <c r="N164" s="157"/>
      <c r="O164" s="157"/>
      <c r="P164" s="157"/>
      <c r="Q164" s="157"/>
    </row>
    <row r="165" spans="1:18" x14ac:dyDescent="0.25">
      <c r="A165" s="573">
        <v>200</v>
      </c>
      <c r="B165" s="203" t="s">
        <v>714</v>
      </c>
      <c r="C165" s="203" t="s">
        <v>717</v>
      </c>
      <c r="D165" s="100" t="s">
        <v>719</v>
      </c>
      <c r="E165" s="100" t="s">
        <v>723</v>
      </c>
      <c r="F165" s="100" t="s">
        <v>2026</v>
      </c>
      <c r="G165" s="100" t="s">
        <v>753</v>
      </c>
      <c r="H165" s="100" t="s">
        <v>753</v>
      </c>
      <c r="I165" s="100" t="s">
        <v>753</v>
      </c>
      <c r="J165" s="100" t="s">
        <v>753</v>
      </c>
      <c r="K165" s="155" t="s">
        <v>753</v>
      </c>
      <c r="M165" s="157"/>
      <c r="N165" s="157"/>
      <c r="O165" s="157"/>
      <c r="P165" s="157"/>
      <c r="Q165" s="157"/>
    </row>
    <row r="166" spans="1:18" x14ac:dyDescent="0.25">
      <c r="A166" s="573">
        <v>300</v>
      </c>
      <c r="B166" s="203" t="s">
        <v>729</v>
      </c>
      <c r="C166" s="203" t="s">
        <v>716</v>
      </c>
      <c r="D166" s="100" t="s">
        <v>720</v>
      </c>
      <c r="E166" s="100" t="s">
        <v>708</v>
      </c>
      <c r="F166" s="100" t="s">
        <v>724</v>
      </c>
      <c r="G166" s="100" t="s">
        <v>2027</v>
      </c>
      <c r="H166" s="100" t="s">
        <v>2028</v>
      </c>
      <c r="I166" s="100" t="s">
        <v>2029</v>
      </c>
      <c r="J166" s="100" t="s">
        <v>753</v>
      </c>
      <c r="K166" s="155" t="s">
        <v>753</v>
      </c>
      <c r="M166" s="157"/>
      <c r="N166" s="157"/>
      <c r="O166" s="157"/>
      <c r="P166" s="157"/>
      <c r="Q166" s="157"/>
    </row>
    <row r="167" spans="1:18" x14ac:dyDescent="0.25">
      <c r="A167" s="573">
        <v>400</v>
      </c>
      <c r="B167" s="203" t="s">
        <v>720</v>
      </c>
      <c r="C167" s="203" t="s">
        <v>708</v>
      </c>
      <c r="D167" s="100" t="s">
        <v>727</v>
      </c>
      <c r="E167" s="100" t="s">
        <v>734</v>
      </c>
      <c r="F167" s="100" t="s">
        <v>737</v>
      </c>
      <c r="G167" s="100" t="s">
        <v>762</v>
      </c>
      <c r="H167" s="100" t="s">
        <v>884</v>
      </c>
      <c r="I167" s="100" t="s">
        <v>886</v>
      </c>
      <c r="J167" s="100" t="s">
        <v>887</v>
      </c>
      <c r="K167" s="155" t="s">
        <v>753</v>
      </c>
      <c r="M167" s="157"/>
      <c r="N167" s="157"/>
      <c r="O167" s="157"/>
      <c r="P167" s="157"/>
      <c r="Q167" s="157"/>
    </row>
    <row r="168" spans="1:18" x14ac:dyDescent="0.25">
      <c r="A168" s="573">
        <v>600</v>
      </c>
      <c r="B168" s="203" t="s">
        <v>723</v>
      </c>
      <c r="C168" s="203" t="s">
        <v>723</v>
      </c>
      <c r="D168" s="100" t="s">
        <v>734</v>
      </c>
      <c r="E168" s="100" t="s">
        <v>734</v>
      </c>
      <c r="F168" s="100" t="s">
        <v>737</v>
      </c>
      <c r="G168" s="100" t="s">
        <v>732</v>
      </c>
      <c r="H168" s="100" t="s">
        <v>736</v>
      </c>
      <c r="I168" s="100" t="s">
        <v>885</v>
      </c>
      <c r="J168" s="100" t="s">
        <v>877</v>
      </c>
      <c r="K168" s="155" t="s">
        <v>753</v>
      </c>
      <c r="M168" s="157"/>
      <c r="N168" s="157"/>
      <c r="O168" s="157"/>
      <c r="P168" s="157"/>
      <c r="Q168" s="157"/>
    </row>
    <row r="169" spans="1:18" x14ac:dyDescent="0.25">
      <c r="A169" s="573">
        <v>800</v>
      </c>
      <c r="B169" s="203" t="s">
        <v>710</v>
      </c>
      <c r="C169" s="203" t="s">
        <v>712</v>
      </c>
      <c r="D169" s="100" t="s">
        <v>712</v>
      </c>
      <c r="E169" s="100" t="s">
        <v>732</v>
      </c>
      <c r="F169" s="100" t="s">
        <v>738</v>
      </c>
      <c r="G169" s="100" t="s">
        <v>725</v>
      </c>
      <c r="H169" s="100" t="s">
        <v>726</v>
      </c>
      <c r="I169" s="100" t="s">
        <v>736</v>
      </c>
      <c r="J169" s="100" t="s">
        <v>876</v>
      </c>
      <c r="K169" s="155" t="s">
        <v>753</v>
      </c>
      <c r="M169" s="157"/>
      <c r="N169" s="157"/>
      <c r="O169" s="157"/>
      <c r="P169" s="157"/>
      <c r="Q169" s="157"/>
    </row>
    <row r="170" spans="1:18" x14ac:dyDescent="0.25">
      <c r="A170" s="573">
        <v>1000</v>
      </c>
      <c r="B170" s="203" t="s">
        <v>712</v>
      </c>
      <c r="C170" s="203" t="s">
        <v>732</v>
      </c>
      <c r="D170" s="100" t="s">
        <v>732</v>
      </c>
      <c r="E170" s="100" t="s">
        <v>725</v>
      </c>
      <c r="F170" s="100" t="s">
        <v>739</v>
      </c>
      <c r="G170" s="100" t="s">
        <v>739</v>
      </c>
      <c r="H170" s="100" t="s">
        <v>731</v>
      </c>
      <c r="I170" s="100" t="s">
        <v>733</v>
      </c>
      <c r="J170" s="100" t="s">
        <v>754</v>
      </c>
      <c r="K170" s="155" t="s">
        <v>753</v>
      </c>
      <c r="O170" s="157"/>
    </row>
    <row r="171" spans="1:18" x14ac:dyDescent="0.25">
      <c r="A171" s="573">
        <v>1500</v>
      </c>
      <c r="B171" s="203" t="s">
        <v>730</v>
      </c>
      <c r="C171" s="203" t="s">
        <v>731</v>
      </c>
      <c r="D171" s="100" t="s">
        <v>731</v>
      </c>
      <c r="E171" s="100" t="s">
        <v>733</v>
      </c>
      <c r="F171" s="100" t="s">
        <v>735</v>
      </c>
      <c r="G171" s="100" t="s">
        <v>735</v>
      </c>
      <c r="H171" s="100" t="s">
        <v>736</v>
      </c>
      <c r="I171" s="100" t="s">
        <v>736</v>
      </c>
      <c r="J171" s="100" t="s">
        <v>754</v>
      </c>
      <c r="K171" s="155" t="s">
        <v>754</v>
      </c>
      <c r="L171" s="157"/>
      <c r="M171" s="157"/>
      <c r="N171" s="157"/>
      <c r="O171" s="157"/>
    </row>
    <row r="172" spans="1:18" x14ac:dyDescent="0.25">
      <c r="A172" s="573">
        <v>2000</v>
      </c>
      <c r="B172" s="203" t="s">
        <v>731</v>
      </c>
      <c r="C172" s="203" t="s">
        <v>733</v>
      </c>
      <c r="D172" s="100" t="s">
        <v>735</v>
      </c>
      <c r="E172" s="100" t="s">
        <v>736</v>
      </c>
      <c r="F172" s="100" t="s">
        <v>736</v>
      </c>
      <c r="G172" s="100" t="s">
        <v>740</v>
      </c>
      <c r="H172" s="100" t="s">
        <v>741</v>
      </c>
      <c r="I172" s="100" t="s">
        <v>741</v>
      </c>
      <c r="J172" s="100" t="s">
        <v>754</v>
      </c>
      <c r="K172" s="155" t="s">
        <v>754</v>
      </c>
      <c r="L172" s="157"/>
      <c r="M172" s="157"/>
      <c r="N172" s="157"/>
      <c r="O172" s="157"/>
    </row>
    <row r="173" spans="1:18" ht="14.4" thickBot="1" x14ac:dyDescent="0.3">
      <c r="A173" s="193">
        <v>2500</v>
      </c>
      <c r="B173" s="194" t="s">
        <v>735</v>
      </c>
      <c r="C173" s="194" t="s">
        <v>736</v>
      </c>
      <c r="D173" s="194" t="s">
        <v>736</v>
      </c>
      <c r="E173" s="194" t="s">
        <v>740</v>
      </c>
      <c r="F173" s="194" t="s">
        <v>741</v>
      </c>
      <c r="G173" s="194" t="s">
        <v>741</v>
      </c>
      <c r="H173" s="194" t="s">
        <v>753</v>
      </c>
      <c r="I173" s="194" t="s">
        <v>753</v>
      </c>
      <c r="J173" s="194" t="s">
        <v>754</v>
      </c>
      <c r="K173" s="195" t="s">
        <v>754</v>
      </c>
      <c r="L173" s="157"/>
      <c r="M173" s="157"/>
      <c r="N173" s="157"/>
      <c r="O173" s="157"/>
      <c r="P173" s="100"/>
    </row>
    <row r="176" spans="1:18" x14ac:dyDescent="0.25">
      <c r="L176" s="196"/>
      <c r="M176" s="196"/>
      <c r="N176" s="196"/>
      <c r="O176" s="196"/>
    </row>
    <row r="177" spans="12:26" x14ac:dyDescent="0.25">
      <c r="L177" s="196"/>
      <c r="M177" s="196"/>
      <c r="N177" s="196"/>
      <c r="O177" s="196"/>
    </row>
    <row r="178" spans="12:26" x14ac:dyDescent="0.25">
      <c r="L178" s="157"/>
      <c r="M178" s="157"/>
      <c r="N178" s="157"/>
      <c r="O178" s="157"/>
      <c r="P178" s="157"/>
      <c r="S178" s="157"/>
      <c r="T178" s="157"/>
      <c r="U178" s="157"/>
      <c r="V178" s="157"/>
      <c r="W178" s="157"/>
      <c r="X178" s="157"/>
      <c r="Y178" s="157"/>
      <c r="Z178" s="157"/>
    </row>
    <row r="179" spans="12:26" x14ac:dyDescent="0.25">
      <c r="L179" s="157"/>
      <c r="M179" s="157"/>
      <c r="N179" s="157"/>
      <c r="O179" s="157"/>
      <c r="P179" s="157"/>
      <c r="S179" s="157"/>
      <c r="T179" s="157"/>
      <c r="U179" s="157"/>
      <c r="V179" s="157"/>
      <c r="W179" s="157"/>
      <c r="X179" s="157"/>
      <c r="Y179" s="157"/>
      <c r="Z179" s="157"/>
    </row>
    <row r="180" spans="12:26" x14ac:dyDescent="0.25">
      <c r="L180" s="157"/>
      <c r="M180" s="157"/>
      <c r="N180" s="157"/>
      <c r="O180" s="157"/>
      <c r="P180" s="157"/>
      <c r="Q180" s="157"/>
      <c r="S180" s="157"/>
      <c r="T180" s="157"/>
      <c r="U180" s="157"/>
      <c r="V180" s="157"/>
      <c r="W180" s="157"/>
      <c r="X180" s="157"/>
      <c r="Y180" s="157"/>
      <c r="Z180" s="157"/>
    </row>
    <row r="181" spans="12:26" x14ac:dyDescent="0.25">
      <c r="L181" s="157"/>
      <c r="M181" s="157"/>
      <c r="N181" s="157"/>
      <c r="O181" s="157"/>
      <c r="P181" s="157"/>
      <c r="Q181" s="157"/>
      <c r="S181" s="157"/>
      <c r="T181" s="157"/>
      <c r="U181" s="157"/>
      <c r="V181" s="157"/>
      <c r="W181" s="157"/>
      <c r="X181" s="157"/>
      <c r="Y181" s="157"/>
      <c r="Z181" s="157"/>
    </row>
    <row r="182" spans="12:26" x14ac:dyDescent="0.25">
      <c r="L182" s="157"/>
      <c r="M182" s="157"/>
      <c r="N182" s="157"/>
      <c r="O182" s="157"/>
      <c r="P182" s="157"/>
      <c r="Q182" s="157"/>
      <c r="S182" s="157"/>
      <c r="T182" s="157"/>
      <c r="U182" s="157"/>
      <c r="V182" s="157"/>
      <c r="W182" s="157"/>
      <c r="X182" s="157"/>
      <c r="Y182" s="157"/>
      <c r="Z182" s="157"/>
    </row>
    <row r="183" spans="12:26" x14ac:dyDescent="0.25">
      <c r="L183" s="157"/>
      <c r="M183" s="157"/>
      <c r="N183" s="157"/>
      <c r="O183" s="157"/>
      <c r="P183" s="157"/>
      <c r="Q183" s="157"/>
      <c r="S183" s="157"/>
      <c r="T183" s="157"/>
      <c r="U183" s="157"/>
      <c r="V183" s="157"/>
      <c r="W183" s="157"/>
      <c r="X183" s="157"/>
      <c r="Y183" s="157"/>
      <c r="Z183" s="157"/>
    </row>
    <row r="184" spans="12:26" x14ac:dyDescent="0.25">
      <c r="L184" s="157"/>
      <c r="M184" s="157"/>
      <c r="N184" s="157"/>
      <c r="O184" s="157"/>
      <c r="P184" s="157"/>
      <c r="Q184" s="157"/>
      <c r="S184" s="157"/>
      <c r="T184" s="157"/>
      <c r="U184" s="157"/>
      <c r="V184" s="157"/>
      <c r="W184" s="157"/>
      <c r="X184" s="157"/>
      <c r="Y184" s="157"/>
      <c r="Z184" s="157"/>
    </row>
    <row r="185" spans="12:26" x14ac:dyDescent="0.25">
      <c r="L185" s="157"/>
      <c r="M185" s="157"/>
      <c r="N185" s="157"/>
      <c r="O185" s="157"/>
      <c r="P185" s="157"/>
      <c r="Q185" s="157"/>
      <c r="S185" s="157"/>
      <c r="T185" s="157"/>
      <c r="U185" s="157"/>
      <c r="V185" s="157"/>
      <c r="W185" s="157"/>
      <c r="X185" s="157"/>
      <c r="Y185" s="157"/>
      <c r="Z185" s="157"/>
    </row>
    <row r="186" spans="12:26" x14ac:dyDescent="0.25">
      <c r="L186" s="157"/>
      <c r="M186" s="157"/>
      <c r="N186" s="157"/>
      <c r="O186" s="157"/>
      <c r="P186" s="157"/>
      <c r="Q186" s="157"/>
      <c r="S186" s="157"/>
      <c r="T186" s="157"/>
      <c r="U186" s="157"/>
      <c r="V186" s="157"/>
      <c r="W186" s="157"/>
      <c r="X186" s="157"/>
      <c r="Y186" s="157"/>
      <c r="Z186" s="157"/>
    </row>
    <row r="187" spans="12:26" x14ac:dyDescent="0.25">
      <c r="L187" s="157"/>
      <c r="M187" s="157"/>
      <c r="N187" s="157"/>
      <c r="O187" s="157"/>
      <c r="P187" s="157"/>
      <c r="Q187" s="157"/>
      <c r="S187" s="157"/>
      <c r="T187" s="157"/>
      <c r="U187" s="157"/>
      <c r="V187" s="157"/>
      <c r="W187" s="157"/>
      <c r="X187" s="157"/>
      <c r="Y187" s="157"/>
      <c r="Z187" s="157"/>
    </row>
    <row r="188" spans="12:26" x14ac:dyDescent="0.25">
      <c r="L188" s="157"/>
      <c r="M188" s="157"/>
      <c r="N188" s="157"/>
      <c r="O188" s="157"/>
      <c r="P188" s="157"/>
      <c r="Q188" s="157"/>
      <c r="S188" s="157"/>
      <c r="T188" s="157"/>
      <c r="U188" s="157"/>
      <c r="V188" s="157"/>
      <c r="W188" s="157"/>
      <c r="X188" s="157"/>
      <c r="Y188" s="157"/>
      <c r="Z188" s="157"/>
    </row>
    <row r="189" spans="12:26" x14ac:dyDescent="0.25">
      <c r="L189" s="157"/>
      <c r="M189" s="157"/>
      <c r="N189" s="157"/>
      <c r="O189" s="157"/>
      <c r="P189" s="157"/>
      <c r="Q189" s="157"/>
      <c r="S189" s="157"/>
      <c r="T189" s="157"/>
      <c r="U189" s="157"/>
      <c r="V189" s="157"/>
      <c r="W189" s="157"/>
      <c r="X189" s="157"/>
      <c r="Y189" s="157"/>
      <c r="Z189" s="157"/>
    </row>
    <row r="190" spans="12:26" x14ac:dyDescent="0.25">
      <c r="L190" s="157"/>
      <c r="M190" s="157"/>
      <c r="N190" s="157"/>
      <c r="O190" s="157"/>
      <c r="P190" s="157"/>
      <c r="Q190" s="157"/>
      <c r="S190" s="157"/>
      <c r="T190" s="157"/>
      <c r="U190" s="157"/>
      <c r="V190" s="157"/>
      <c r="W190" s="157"/>
      <c r="X190" s="157"/>
      <c r="Y190" s="157"/>
      <c r="Z190" s="157"/>
    </row>
    <row r="191" spans="12:26" x14ac:dyDescent="0.25">
      <c r="L191" s="884"/>
      <c r="M191" s="884"/>
      <c r="N191" s="884"/>
      <c r="O191" s="884"/>
      <c r="P191" s="884"/>
      <c r="Q191" s="884"/>
      <c r="S191" s="157"/>
      <c r="T191" s="157"/>
      <c r="U191" s="157"/>
      <c r="V191" s="157"/>
      <c r="W191" s="157"/>
      <c r="X191" s="157"/>
      <c r="Y191" s="157"/>
      <c r="Z191" s="157"/>
    </row>
    <row r="192" spans="12:26" x14ac:dyDescent="0.25">
      <c r="L192" s="884"/>
      <c r="M192" s="884"/>
      <c r="N192" s="884"/>
      <c r="O192" s="884"/>
      <c r="P192" s="884"/>
      <c r="Q192" s="884"/>
      <c r="S192" s="157"/>
      <c r="T192" s="157"/>
      <c r="U192" s="157"/>
      <c r="V192" s="157"/>
      <c r="W192" s="157"/>
      <c r="X192" s="157"/>
      <c r="Y192" s="157"/>
      <c r="Z192" s="157"/>
    </row>
    <row r="193" spans="1:26" x14ac:dyDescent="0.25">
      <c r="L193" s="157"/>
      <c r="M193" s="157"/>
      <c r="N193" s="157"/>
      <c r="O193" s="157"/>
      <c r="P193" s="157"/>
      <c r="Q193" s="157"/>
      <c r="S193" s="157"/>
      <c r="T193" s="157"/>
      <c r="U193" s="157"/>
      <c r="V193" s="157"/>
      <c r="W193" s="157"/>
      <c r="X193" s="157"/>
      <c r="Y193" s="157"/>
      <c r="Z193" s="157"/>
    </row>
    <row r="194" spans="1:26" x14ac:dyDescent="0.25">
      <c r="L194" s="157"/>
      <c r="M194" s="157"/>
      <c r="N194" s="157"/>
      <c r="O194" s="157"/>
      <c r="P194" s="157"/>
      <c r="Q194" s="157"/>
    </row>
    <row r="195" spans="1:26" x14ac:dyDescent="0.25">
      <c r="L195" s="196"/>
    </row>
    <row r="196" spans="1:26" x14ac:dyDescent="0.25">
      <c r="L196" s="196"/>
    </row>
    <row r="197" spans="1:26" x14ac:dyDescent="0.25">
      <c r="L197" s="196"/>
    </row>
    <row r="198" spans="1:26" x14ac:dyDescent="0.25">
      <c r="L198" s="196"/>
    </row>
    <row r="199" spans="1:26" x14ac:dyDescent="0.25">
      <c r="L199" s="196"/>
    </row>
    <row r="203" spans="1:26" ht="15" x14ac:dyDescent="0.25">
      <c r="A203" s="157"/>
      <c r="B203" s="1244"/>
      <c r="C203" s="1244"/>
      <c r="D203" s="1244"/>
      <c r="E203" s="1834"/>
      <c r="F203" s="157"/>
      <c r="G203" s="157"/>
      <c r="H203" s="157"/>
      <c r="I203" s="157"/>
      <c r="J203" s="157"/>
      <c r="K203" s="100"/>
    </row>
    <row r="204" spans="1:26" ht="15.6" customHeight="1" x14ac:dyDescent="0.25"/>
    <row r="205" spans="1:26" ht="15.6" customHeight="1" x14ac:dyDescent="0.25"/>
    <row r="252" spans="12:23" x14ac:dyDescent="0.25">
      <c r="L252" s="100"/>
    </row>
    <row r="253" spans="12:23" x14ac:dyDescent="0.25">
      <c r="L253" s="100"/>
      <c r="W253" s="100"/>
    </row>
    <row r="254" spans="12:23" x14ac:dyDescent="0.25">
      <c r="L254" s="100"/>
    </row>
    <row r="255" spans="12:23" x14ac:dyDescent="0.25">
      <c r="L255" s="100"/>
    </row>
    <row r="256" spans="12:23" x14ac:dyDescent="0.25">
      <c r="L256" s="100"/>
    </row>
    <row r="257" spans="1:18" x14ac:dyDescent="0.25">
      <c r="L257" s="100"/>
    </row>
    <row r="258" spans="1:18" x14ac:dyDescent="0.25">
      <c r="L258" s="100"/>
    </row>
    <row r="259" spans="1:18" x14ac:dyDescent="0.25">
      <c r="L259" s="100"/>
      <c r="R259" s="100"/>
    </row>
    <row r="260" spans="1:18" x14ac:dyDescent="0.25">
      <c r="L260" s="100"/>
    </row>
    <row r="261" spans="1:18" x14ac:dyDescent="0.25">
      <c r="L261" s="100"/>
    </row>
    <row r="262" spans="1:18" x14ac:dyDescent="0.25">
      <c r="L262" s="100"/>
    </row>
    <row r="263" spans="1:18" x14ac:dyDescent="0.25">
      <c r="L263" s="100"/>
    </row>
    <row r="264" spans="1:18" ht="15" x14ac:dyDescent="0.25">
      <c r="A264" s="1244"/>
      <c r="B264" s="1244"/>
      <c r="C264" s="1244"/>
      <c r="D264" s="1254"/>
      <c r="E264" s="1245"/>
      <c r="F264" s="1254"/>
      <c r="G264" s="1245"/>
      <c r="H264" s="1244"/>
      <c r="I264" s="157"/>
      <c r="J264" s="157"/>
      <c r="K264" s="100"/>
      <c r="L264" s="100"/>
    </row>
    <row r="265" spans="1:18" ht="15.6" x14ac:dyDescent="0.3">
      <c r="A265" s="1244"/>
      <c r="B265" s="1244"/>
      <c r="C265" s="1244"/>
      <c r="D265" s="1257"/>
      <c r="E265" s="1244"/>
      <c r="F265" s="1256"/>
      <c r="G265" s="1257"/>
      <c r="H265" s="1258"/>
      <c r="I265" s="1258"/>
      <c r="J265" s="157"/>
      <c r="K265" s="100"/>
      <c r="L265" s="100"/>
    </row>
    <row r="266" spans="1:18" x14ac:dyDescent="0.25">
      <c r="A266" s="157"/>
      <c r="B266" s="884"/>
      <c r="C266" s="157"/>
      <c r="D266" s="157"/>
      <c r="E266" s="157"/>
      <c r="F266" s="157"/>
      <c r="G266" s="157"/>
      <c r="H266" s="157"/>
      <c r="I266" s="157"/>
      <c r="J266" s="157"/>
      <c r="K266" s="100"/>
      <c r="L266" s="100"/>
    </row>
    <row r="267" spans="1:18" x14ac:dyDescent="0.25">
      <c r="A267" s="157"/>
      <c r="B267" s="884"/>
      <c r="C267" s="157"/>
      <c r="D267" s="157"/>
      <c r="E267" s="157"/>
      <c r="F267" s="157"/>
      <c r="G267" s="157"/>
      <c r="H267" s="157"/>
      <c r="I267" s="157"/>
      <c r="J267" s="157"/>
      <c r="K267" s="100"/>
      <c r="L267" s="100"/>
    </row>
    <row r="268" spans="1:18" ht="15.6" x14ac:dyDescent="0.3">
      <c r="A268" s="1247"/>
      <c r="B268" s="1245"/>
      <c r="C268" s="1247"/>
      <c r="D268" s="1245"/>
      <c r="E268" s="1247"/>
      <c r="F268" s="1244"/>
      <c r="G268" s="1245"/>
      <c r="H268" s="1251"/>
      <c r="I268" s="1251"/>
      <c r="J268" s="157"/>
      <c r="K268" s="100"/>
      <c r="L268" s="100"/>
    </row>
    <row r="269" spans="1:18" ht="15" x14ac:dyDescent="0.25">
      <c r="A269" s="1249"/>
      <c r="B269" s="1252"/>
      <c r="C269" s="1245"/>
      <c r="D269" s="1245"/>
      <c r="E269" s="1245"/>
      <c r="F269" s="1244"/>
      <c r="G269" s="1245"/>
      <c r="H269" s="1245"/>
      <c r="I269" s="157"/>
      <c r="J269" s="157"/>
      <c r="K269" s="100"/>
      <c r="L269" s="100"/>
    </row>
    <row r="270" spans="1:18" ht="15" x14ac:dyDescent="0.25">
      <c r="A270" s="1245"/>
      <c r="B270" s="1253"/>
      <c r="C270" s="1245"/>
      <c r="D270" s="1244"/>
      <c r="E270" s="1245"/>
      <c r="F270" s="1244"/>
      <c r="G270" s="1245"/>
      <c r="H270" s="1245"/>
      <c r="I270" s="157"/>
      <c r="J270" s="157"/>
      <c r="K270" s="100"/>
      <c r="L270" s="100"/>
    </row>
    <row r="271" spans="1:18" ht="15" x14ac:dyDescent="0.25">
      <c r="A271" s="1244"/>
      <c r="B271" s="1252"/>
      <c r="C271" s="1245"/>
      <c r="D271" s="1245"/>
      <c r="E271" s="1245"/>
      <c r="F271" s="1244"/>
      <c r="G271" s="1245"/>
      <c r="H271" s="1245"/>
      <c r="I271" s="157"/>
      <c r="J271" s="157"/>
      <c r="K271" s="100"/>
      <c r="L271" s="100"/>
    </row>
    <row r="272" spans="1:18" ht="15.6" x14ac:dyDescent="0.3">
      <c r="A272" s="1249"/>
      <c r="B272" s="1252"/>
      <c r="C272" s="1245"/>
      <c r="D272" s="1247"/>
      <c r="E272" s="1245"/>
      <c r="F272" s="1245"/>
      <c r="G272" s="1244"/>
      <c r="H272" s="1245"/>
      <c r="I272" s="157"/>
      <c r="J272" s="157"/>
      <c r="K272" s="100"/>
      <c r="L272" s="100"/>
    </row>
    <row r="273" spans="1:21" ht="15" x14ac:dyDescent="0.25">
      <c r="A273" s="1245"/>
      <c r="B273" s="1253"/>
      <c r="C273" s="1245"/>
      <c r="D273" s="1245"/>
      <c r="E273" s="1245"/>
      <c r="F273" s="1245"/>
      <c r="G273" s="1244"/>
      <c r="H273" s="1246"/>
      <c r="I273" s="157"/>
      <c r="J273" s="157"/>
      <c r="K273" s="100"/>
      <c r="L273" s="100"/>
    </row>
    <row r="274" spans="1:21" ht="15.6" x14ac:dyDescent="0.3">
      <c r="A274" s="1244"/>
      <c r="B274" s="1254"/>
      <c r="C274" s="1245"/>
      <c r="D274" s="1247"/>
      <c r="E274" s="1245"/>
      <c r="F274" s="1245"/>
      <c r="G274" s="1244"/>
      <c r="H274" s="1244"/>
      <c r="I274" s="157"/>
      <c r="J274" s="157"/>
      <c r="K274" s="100"/>
      <c r="L274" s="100"/>
    </row>
    <row r="275" spans="1:21" ht="15.6" x14ac:dyDescent="0.3">
      <c r="A275" s="1244"/>
      <c r="B275" s="1255"/>
      <c r="C275" s="1249"/>
      <c r="D275" s="1245"/>
      <c r="E275" s="1249"/>
      <c r="F275" s="1245"/>
      <c r="G275" s="1244"/>
      <c r="H275" s="1244"/>
      <c r="I275" s="157"/>
      <c r="J275" s="157"/>
      <c r="K275" s="100"/>
      <c r="L275" s="100"/>
    </row>
    <row r="276" spans="1:21" ht="15.6" x14ac:dyDescent="0.3">
      <c r="A276" s="1244"/>
      <c r="B276" s="1245"/>
      <c r="C276" s="1245"/>
      <c r="D276" s="1247"/>
      <c r="E276" s="1245"/>
      <c r="F276" s="1256"/>
      <c r="G276" s="1244"/>
      <c r="H276" s="1244"/>
      <c r="I276" s="157"/>
      <c r="J276" s="157"/>
      <c r="K276" s="100"/>
      <c r="L276" s="100"/>
      <c r="R276"/>
      <c r="S276"/>
      <c r="T276"/>
      <c r="U276"/>
    </row>
    <row r="277" spans="1:21" ht="15" x14ac:dyDescent="0.25">
      <c r="A277" s="1244"/>
      <c r="B277" s="1244"/>
      <c r="C277" s="1249"/>
      <c r="D277" s="1245"/>
      <c r="E277" s="1249"/>
      <c r="F277" s="1245"/>
      <c r="G277" s="1249"/>
      <c r="H277" s="1244"/>
      <c r="I277" s="157"/>
      <c r="J277" s="157"/>
      <c r="K277" s="100"/>
      <c r="L277" s="100"/>
      <c r="R277" s="100"/>
    </row>
    <row r="278" spans="1:21" ht="15.6" x14ac:dyDescent="0.3">
      <c r="A278" s="1244"/>
      <c r="B278" s="1244"/>
      <c r="C278" s="1245"/>
      <c r="D278" s="1247"/>
      <c r="E278" s="1249"/>
      <c r="F278" s="1245"/>
      <c r="G278" s="1245"/>
      <c r="H278" s="1244"/>
      <c r="I278" s="157"/>
      <c r="J278" s="157"/>
      <c r="K278" s="100"/>
      <c r="L278" s="100"/>
      <c r="R278" s="100"/>
    </row>
    <row r="279" spans="1:21" ht="15" x14ac:dyDescent="0.25">
      <c r="A279" s="1244"/>
      <c r="B279" s="1244"/>
      <c r="C279" s="1244"/>
      <c r="D279" s="1254"/>
      <c r="E279" s="1245"/>
      <c r="F279" s="1254"/>
      <c r="G279" s="1245"/>
      <c r="H279" s="1244"/>
      <c r="I279" s="157"/>
      <c r="J279" s="157"/>
      <c r="K279" s="100"/>
      <c r="L279" s="100"/>
      <c r="R279" s="100"/>
    </row>
    <row r="280" spans="1:21" ht="15.6" x14ac:dyDescent="0.3">
      <c r="A280" s="1244"/>
      <c r="B280" s="1244"/>
      <c r="C280" s="1244"/>
      <c r="D280" s="1257"/>
      <c r="E280" s="1244"/>
      <c r="F280" s="1256"/>
      <c r="G280" s="1257"/>
      <c r="H280" s="1258"/>
      <c r="I280" s="1258"/>
      <c r="J280" s="157"/>
      <c r="K280" s="100"/>
      <c r="L280" s="100"/>
      <c r="R280" s="100"/>
    </row>
    <row r="281" spans="1:21" x14ac:dyDescent="0.25">
      <c r="A281" s="157"/>
      <c r="B281" s="884"/>
      <c r="C281" s="157"/>
      <c r="D281" s="157"/>
      <c r="E281" s="157"/>
      <c r="F281" s="157"/>
      <c r="G281" s="157"/>
      <c r="H281" s="157"/>
      <c r="I281" s="157"/>
      <c r="J281" s="157"/>
      <c r="K281" s="100"/>
      <c r="L281" s="100"/>
      <c r="R281" s="100"/>
    </row>
    <row r="282" spans="1:21" x14ac:dyDescent="0.25">
      <c r="A282" s="157"/>
      <c r="B282" s="884"/>
      <c r="C282" s="157"/>
      <c r="D282" s="157"/>
      <c r="E282" s="157"/>
      <c r="F282" s="157"/>
      <c r="G282" s="157"/>
      <c r="H282" s="157"/>
      <c r="I282" s="157"/>
      <c r="J282" s="157"/>
      <c r="K282" s="100"/>
      <c r="L282" s="100"/>
      <c r="R282" s="100"/>
    </row>
    <row r="283" spans="1:21" ht="15.6" x14ac:dyDescent="0.3">
      <c r="A283" s="1247"/>
      <c r="B283" s="1247"/>
      <c r="C283" s="1247"/>
      <c r="D283" s="1247"/>
      <c r="E283" s="1247"/>
      <c r="F283" s="1247"/>
      <c r="G283" s="1247"/>
      <c r="H283" s="1248"/>
      <c r="I283" s="157"/>
      <c r="J283" s="157"/>
      <c r="K283" s="100"/>
      <c r="L283" s="100"/>
      <c r="R283" s="100"/>
    </row>
    <row r="284" spans="1:21" ht="15" x14ac:dyDescent="0.25">
      <c r="A284" s="1246"/>
      <c r="B284" s="1248"/>
      <c r="C284" s="1245"/>
      <c r="D284" s="1248"/>
      <c r="E284" s="1248"/>
      <c r="F284" s="1248"/>
      <c r="G284" s="1248"/>
      <c r="H284" s="1248"/>
      <c r="I284" s="157"/>
      <c r="J284" s="157"/>
      <c r="K284" s="100"/>
      <c r="L284" s="100"/>
      <c r="R284" s="100"/>
    </row>
    <row r="285" spans="1:21" ht="15" x14ac:dyDescent="0.25">
      <c r="A285" s="1248"/>
      <c r="B285" s="1248"/>
      <c r="C285" s="1245"/>
      <c r="D285" s="1248"/>
      <c r="E285" s="1248"/>
      <c r="F285" s="1248"/>
      <c r="G285" s="1248"/>
      <c r="H285" s="1248"/>
      <c r="I285" s="157"/>
      <c r="J285" s="157"/>
      <c r="K285" s="100"/>
      <c r="L285" s="100"/>
      <c r="R285" s="100"/>
    </row>
    <row r="286" spans="1:21" ht="15" x14ac:dyDescent="0.25">
      <c r="A286" s="1248"/>
      <c r="B286" s="1248"/>
      <c r="C286" s="1245"/>
      <c r="D286" s="1248"/>
      <c r="E286" s="1248"/>
      <c r="F286" s="1248"/>
      <c r="G286" s="1248"/>
      <c r="H286" s="1248"/>
      <c r="I286" s="157"/>
      <c r="J286" s="157"/>
      <c r="K286" s="100"/>
      <c r="L286" s="100"/>
      <c r="R286" s="100"/>
    </row>
    <row r="287" spans="1:21" ht="15" x14ac:dyDescent="0.25">
      <c r="A287" s="1246"/>
      <c r="B287" s="1248"/>
      <c r="C287" s="1245"/>
      <c r="D287" s="1248"/>
      <c r="E287" s="1248"/>
      <c r="F287" s="1248"/>
      <c r="G287" s="1248"/>
      <c r="H287" s="1248"/>
      <c r="I287" s="157"/>
      <c r="J287" s="157"/>
      <c r="K287" s="100"/>
      <c r="L287" s="100"/>
      <c r="R287" s="100"/>
    </row>
    <row r="288" spans="1:21" ht="15" x14ac:dyDescent="0.25">
      <c r="A288" s="1248"/>
      <c r="B288" s="1248"/>
      <c r="C288" s="1245"/>
      <c r="D288" s="1248"/>
      <c r="E288" s="1248"/>
      <c r="F288" s="1248"/>
      <c r="G288" s="1248"/>
      <c r="H288" s="1248"/>
      <c r="I288" s="157"/>
      <c r="J288" s="157"/>
      <c r="K288" s="100"/>
      <c r="L288" s="100"/>
      <c r="R288" s="100"/>
    </row>
    <row r="289" spans="1:18" ht="15" x14ac:dyDescent="0.25">
      <c r="A289" s="1248"/>
      <c r="B289" s="1248"/>
      <c r="C289" s="1245"/>
      <c r="D289" s="1248"/>
      <c r="E289" s="1248"/>
      <c r="F289" s="1248"/>
      <c r="G289" s="1248"/>
      <c r="H289" s="1248"/>
      <c r="I289" s="157"/>
      <c r="J289" s="157"/>
      <c r="K289" s="100"/>
      <c r="L289" s="100"/>
      <c r="R289" s="100"/>
    </row>
    <row r="290" spans="1:18" ht="14.4" x14ac:dyDescent="0.3">
      <c r="A290" s="1393"/>
      <c r="B290" s="1248"/>
      <c r="C290" s="1249"/>
      <c r="D290" s="1248"/>
      <c r="E290" s="1248"/>
      <c r="F290" s="1248"/>
      <c r="G290" s="1248"/>
      <c r="H290" s="1248"/>
      <c r="I290" s="157"/>
      <c r="J290" s="157"/>
      <c r="K290" s="100"/>
      <c r="L290" s="100"/>
      <c r="R290" s="100"/>
    </row>
    <row r="291" spans="1:18" ht="15.6" x14ac:dyDescent="0.3">
      <c r="A291" s="1393"/>
      <c r="B291" s="1248"/>
      <c r="C291" s="1245"/>
      <c r="D291" s="1248"/>
      <c r="E291" s="1394"/>
      <c r="F291" s="1248"/>
      <c r="G291" s="1248"/>
      <c r="H291" s="1248"/>
      <c r="I291" s="157"/>
      <c r="J291" s="157"/>
      <c r="K291" s="100"/>
      <c r="L291" s="100"/>
      <c r="R291" s="100"/>
    </row>
    <row r="292" spans="1:18" ht="15.6" x14ac:dyDescent="0.3">
      <c r="A292" s="1248"/>
      <c r="B292" s="1395"/>
      <c r="C292" s="1249"/>
      <c r="D292" s="1248"/>
      <c r="E292" s="1248"/>
      <c r="F292" s="1248"/>
      <c r="G292" s="1248"/>
      <c r="H292" s="1248"/>
      <c r="I292" s="157"/>
      <c r="J292" s="157"/>
      <c r="K292" s="100"/>
      <c r="L292" s="100"/>
      <c r="R292" s="100"/>
    </row>
    <row r="293" spans="1:18" ht="15.6" x14ac:dyDescent="0.3">
      <c r="A293" s="1248"/>
      <c r="B293" s="1250"/>
      <c r="C293" s="1249"/>
      <c r="D293" s="1248"/>
      <c r="E293" s="1248"/>
      <c r="F293" s="1248"/>
      <c r="G293" s="1248"/>
      <c r="H293" s="1248"/>
      <c r="I293" s="157"/>
      <c r="J293" s="157"/>
      <c r="K293" s="100"/>
      <c r="L293" s="100"/>
      <c r="R293" s="100"/>
    </row>
    <row r="294" spans="1:18" ht="15" x14ac:dyDescent="0.25">
      <c r="A294" s="1248"/>
      <c r="B294" s="1248"/>
      <c r="C294" s="1245"/>
      <c r="D294" s="1248"/>
      <c r="E294" s="1248"/>
      <c r="F294" s="1248"/>
      <c r="G294" s="1248"/>
      <c r="H294" s="1248"/>
      <c r="I294" s="157"/>
      <c r="J294" s="157"/>
      <c r="K294" s="100"/>
      <c r="L294" s="100"/>
      <c r="R294" s="100"/>
    </row>
    <row r="295" spans="1:18" x14ac:dyDescent="0.25">
      <c r="A295" s="157"/>
      <c r="B295" s="884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R295" s="100"/>
    </row>
    <row r="296" spans="1:18" x14ac:dyDescent="0.25">
      <c r="A296" s="196"/>
      <c r="B296" s="732"/>
      <c r="L296" s="100"/>
      <c r="R296" s="100"/>
    </row>
    <row r="297" spans="1:18" x14ac:dyDescent="0.25">
      <c r="A297" s="196"/>
      <c r="B297" s="732"/>
      <c r="L297" s="100"/>
      <c r="R297" s="100"/>
    </row>
    <row r="298" spans="1:18" x14ac:dyDescent="0.25">
      <c r="L298" s="100"/>
      <c r="R298" s="100"/>
    </row>
    <row r="305" spans="1:13" x14ac:dyDescent="0.25">
      <c r="L305" s="100"/>
      <c r="M305" s="100"/>
    </row>
    <row r="317" spans="1:13" x14ac:dyDescent="0.25">
      <c r="A317" s="196"/>
      <c r="B317" s="732"/>
    </row>
    <row r="344" spans="12:12" x14ac:dyDescent="0.25">
      <c r="L344" s="100"/>
    </row>
    <row r="345" spans="12:12" x14ac:dyDescent="0.25">
      <c r="L345" s="100"/>
    </row>
    <row r="346" spans="12:12" x14ac:dyDescent="0.25">
      <c r="L346" s="100"/>
    </row>
    <row r="347" spans="12:12" x14ac:dyDescent="0.25">
      <c r="L347" s="100"/>
    </row>
    <row r="348" spans="12:12" x14ac:dyDescent="0.25">
      <c r="L348" s="100"/>
    </row>
    <row r="349" spans="12:12" x14ac:dyDescent="0.25">
      <c r="L349" s="100"/>
    </row>
    <row r="350" spans="12:12" x14ac:dyDescent="0.25">
      <c r="L350" s="100"/>
    </row>
    <row r="351" spans="12:12" x14ac:dyDescent="0.25">
      <c r="L351" s="100"/>
    </row>
    <row r="352" spans="12:12" x14ac:dyDescent="0.25">
      <c r="L352" s="100"/>
    </row>
    <row r="353" spans="12:12" x14ac:dyDescent="0.25">
      <c r="L353" s="100"/>
    </row>
    <row r="354" spans="12:12" x14ac:dyDescent="0.25">
      <c r="L354" s="100"/>
    </row>
    <row r="355" spans="12:12" x14ac:dyDescent="0.25">
      <c r="L355" s="100"/>
    </row>
    <row r="356" spans="12:12" x14ac:dyDescent="0.25">
      <c r="L356" s="100"/>
    </row>
    <row r="357" spans="12:12" x14ac:dyDescent="0.25">
      <c r="L357" s="100"/>
    </row>
    <row r="358" spans="12:12" x14ac:dyDescent="0.25">
      <c r="L358" s="100"/>
    </row>
    <row r="359" spans="12:12" x14ac:dyDescent="0.25">
      <c r="L359" s="100"/>
    </row>
    <row r="360" spans="12:12" x14ac:dyDescent="0.25">
      <c r="L360" s="100"/>
    </row>
    <row r="395" spans="1:2" x14ac:dyDescent="0.25">
      <c r="A395" s="196"/>
      <c r="B395" s="732"/>
    </row>
    <row r="396" spans="1:2" x14ac:dyDescent="0.25">
      <c r="A396" s="196"/>
      <c r="B396" s="732"/>
    </row>
    <row r="397" spans="1:2" x14ac:dyDescent="0.25">
      <c r="A397" s="196"/>
      <c r="B397" s="732"/>
    </row>
    <row r="398" spans="1:2" x14ac:dyDescent="0.25">
      <c r="A398" s="196"/>
      <c r="B398" s="732"/>
    </row>
    <row r="399" spans="1:2" x14ac:dyDescent="0.25">
      <c r="A399" s="196"/>
      <c r="B399" s="732"/>
    </row>
    <row r="400" spans="1:2" x14ac:dyDescent="0.25">
      <c r="A400" s="196"/>
      <c r="B400" s="732"/>
    </row>
    <row r="401" spans="1:2" x14ac:dyDescent="0.25">
      <c r="A401" s="196"/>
      <c r="B401" s="732"/>
    </row>
    <row r="402" spans="1:2" x14ac:dyDescent="0.25">
      <c r="A402" s="196"/>
      <c r="B402" s="732"/>
    </row>
    <row r="403" spans="1:2" x14ac:dyDescent="0.25">
      <c r="A403" s="196"/>
      <c r="B403" s="732"/>
    </row>
  </sheetData>
  <sheetProtection selectLockedCells="1" selectUnlockedCells="1"/>
  <mergeCells count="3">
    <mergeCell ref="F33:G33"/>
    <mergeCell ref="A1:B1"/>
    <mergeCell ref="AF28:AL28"/>
  </mergeCells>
  <dataValidations disablePrompts="1" count="1">
    <dataValidation type="list" allowBlank="1" showInputMessage="1" showErrorMessage="1" sqref="O91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30" fitToHeight="0" orientation="landscape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U1156"/>
  <sheetViews>
    <sheetView tabSelected="1" topLeftCell="BZ118" zoomScale="55" zoomScaleNormal="55" workbookViewId="0">
      <selection activeCell="CI74" sqref="CI74"/>
    </sheetView>
  </sheetViews>
  <sheetFormatPr defaultRowHeight="14.4" x14ac:dyDescent="0.3"/>
  <cols>
    <col min="1" max="1" width="7.88671875" style="1312" bestFit="1" customWidth="1"/>
    <col min="2" max="2" width="30.109375" bestFit="1" customWidth="1"/>
    <col min="3" max="3" width="63.44140625" bestFit="1" customWidth="1"/>
    <col min="4" max="4" width="12.33203125" bestFit="1" customWidth="1"/>
    <col min="5" max="6" width="10.109375" bestFit="1" customWidth="1"/>
    <col min="7" max="7" width="13.44140625" bestFit="1" customWidth="1"/>
    <col min="8" max="9" width="11.21875" bestFit="1" customWidth="1"/>
    <col min="10" max="11" width="10.109375" bestFit="1" customWidth="1"/>
    <col min="12" max="12" width="11.21875" bestFit="1" customWidth="1"/>
    <col min="13" max="13" width="80.88671875" bestFit="1" customWidth="1"/>
    <col min="14" max="14" width="12.33203125" bestFit="1" customWidth="1"/>
    <col min="15" max="15" width="50.109375" bestFit="1" customWidth="1"/>
    <col min="16" max="16" width="57.88671875" style="1312" bestFit="1" customWidth="1"/>
    <col min="18" max="18" width="2" style="1351" customWidth="1"/>
    <col min="19" max="19" width="7.88671875" bestFit="1" customWidth="1"/>
    <col min="20" max="20" width="24.5546875" bestFit="1" customWidth="1"/>
    <col min="21" max="21" width="12.33203125" bestFit="1" customWidth="1"/>
    <col min="22" max="22" width="11.21875" bestFit="1" customWidth="1"/>
    <col min="23" max="23" width="9" style="1350" bestFit="1" customWidth="1"/>
    <col min="24" max="24" width="80.88671875" bestFit="1" customWidth="1"/>
    <col min="25" max="25" width="14.33203125" style="102" bestFit="1" customWidth="1"/>
    <col min="26" max="27" width="17.88671875" bestFit="1" customWidth="1"/>
    <col min="28" max="28" width="18.77734375" bestFit="1" customWidth="1"/>
    <col min="29" max="29" width="2.109375" style="1351" customWidth="1"/>
    <col min="30" max="30" width="17.109375" bestFit="1" customWidth="1"/>
    <col min="31" max="31" width="12.6640625" bestFit="1" customWidth="1"/>
    <col min="32" max="32" width="22.44140625" bestFit="1" customWidth="1"/>
    <col min="33" max="33" width="21.33203125" bestFit="1" customWidth="1"/>
    <col min="34" max="36" width="14.5546875" bestFit="1" customWidth="1"/>
    <col min="37" max="39" width="15.21875" bestFit="1" customWidth="1"/>
    <col min="40" max="40" width="70.6640625" style="1350" bestFit="1" customWidth="1"/>
    <col min="42" max="42" width="2.44140625" style="1351" customWidth="1"/>
    <col min="43" max="43" width="18" bestFit="1" customWidth="1"/>
    <col min="44" max="44" width="12.6640625" bestFit="1" customWidth="1"/>
    <col min="45" max="45" width="22.44140625" bestFit="1" customWidth="1"/>
    <col min="46" max="46" width="21.33203125" bestFit="1" customWidth="1"/>
    <col min="47" max="49" width="14.5546875" bestFit="1" customWidth="1"/>
    <col min="50" max="55" width="15.21875" bestFit="1" customWidth="1"/>
    <col min="56" max="58" width="16.33203125" bestFit="1" customWidth="1"/>
    <col min="59" max="59" width="9.88671875" bestFit="1" customWidth="1"/>
    <col min="60" max="60" width="13.44140625" bestFit="1" customWidth="1"/>
    <col min="61" max="61" width="11.109375" bestFit="1" customWidth="1"/>
    <col min="62" max="62" width="12.21875" bestFit="1" customWidth="1"/>
    <col min="63" max="63" width="11.33203125" bestFit="1" customWidth="1"/>
    <col min="64" max="64" width="10.109375" bestFit="1" customWidth="1"/>
    <col min="65" max="65" width="36.44140625" style="1350" bestFit="1" customWidth="1"/>
    <col min="67" max="67" width="1.44140625" style="1351" customWidth="1"/>
    <col min="68" max="68" width="11.33203125" customWidth="1"/>
    <col min="69" max="69" width="18.77734375" customWidth="1"/>
    <col min="72" max="72" width="12.88671875" style="1312" customWidth="1"/>
    <col min="73" max="73" width="8.88671875" style="1312"/>
    <col min="74" max="74" width="22.33203125" bestFit="1" customWidth="1"/>
    <col min="75" max="75" width="13.44140625" bestFit="1" customWidth="1"/>
    <col min="76" max="76" width="24.5546875" bestFit="1" customWidth="1"/>
    <col min="77" max="77" width="33.44140625" bestFit="1" customWidth="1"/>
    <col min="78" max="78" width="22.33203125" style="1312" bestFit="1" customWidth="1"/>
    <col min="79" max="79" width="80.88671875" style="1312" customWidth="1"/>
    <col min="80" max="80" width="9.21875" customWidth="1"/>
    <col min="81" max="81" width="1.88671875" style="1351" customWidth="1"/>
    <col min="82" max="82" width="16.44140625" bestFit="1" customWidth="1"/>
    <col min="83" max="83" width="17.88671875" bestFit="1" customWidth="1"/>
    <col min="84" max="84" width="12.44140625" bestFit="1" customWidth="1"/>
    <col min="85" max="85" width="6.77734375" bestFit="1" customWidth="1"/>
    <col min="86" max="86" width="21.33203125" bestFit="1" customWidth="1"/>
    <col min="87" max="87" width="21.33203125" customWidth="1"/>
    <col min="88" max="88" width="28.44140625" style="1312" bestFit="1" customWidth="1"/>
    <col min="89" max="89" width="33.77734375" style="1350" customWidth="1"/>
    <col min="90" max="90" width="10.33203125" customWidth="1"/>
    <col min="92" max="92" width="2.88671875" style="1351" customWidth="1"/>
    <col min="93" max="93" width="19" bestFit="1" customWidth="1"/>
    <col min="94" max="94" width="22.44140625" bestFit="1" customWidth="1"/>
    <col min="95" max="95" width="10" bestFit="1" customWidth="1"/>
    <col min="96" max="96" width="31.21875" bestFit="1" customWidth="1"/>
    <col min="97" max="97" width="35.77734375" style="1350" bestFit="1" customWidth="1"/>
    <col min="98" max="98" width="18.6640625" style="1350" bestFit="1" customWidth="1"/>
    <col min="99" max="99" width="13.44140625" style="1350" bestFit="1" customWidth="1"/>
    <col min="100" max="100" width="37.88671875" bestFit="1" customWidth="1"/>
    <col min="101" max="101" width="48.21875" bestFit="1" customWidth="1"/>
  </cols>
  <sheetData>
    <row r="1" spans="1:99" x14ac:dyDescent="0.3">
      <c r="A1" s="1312" t="s">
        <v>545</v>
      </c>
      <c r="B1" t="s">
        <v>3</v>
      </c>
      <c r="C1" t="s">
        <v>625</v>
      </c>
      <c r="D1" t="s">
        <v>177</v>
      </c>
      <c r="E1" t="s">
        <v>847</v>
      </c>
      <c r="F1" t="s">
        <v>585</v>
      </c>
      <c r="G1" t="s">
        <v>1174</v>
      </c>
      <c r="H1" t="s">
        <v>1052</v>
      </c>
      <c r="I1" t="s">
        <v>1175</v>
      </c>
      <c r="J1" t="s">
        <v>1176</v>
      </c>
      <c r="K1" t="s">
        <v>1177</v>
      </c>
      <c r="L1" t="s">
        <v>1043</v>
      </c>
      <c r="M1" t="s">
        <v>1044</v>
      </c>
      <c r="N1" t="s">
        <v>950</v>
      </c>
      <c r="O1" t="s">
        <v>1178</v>
      </c>
      <c r="P1" t="s">
        <v>1755</v>
      </c>
      <c r="S1" t="s">
        <v>545</v>
      </c>
      <c r="T1" t="s">
        <v>625</v>
      </c>
      <c r="U1" t="s">
        <v>177</v>
      </c>
      <c r="V1" t="s">
        <v>5</v>
      </c>
      <c r="W1" s="1350" t="s">
        <v>1013</v>
      </c>
      <c r="X1" t="s">
        <v>1044</v>
      </c>
      <c r="AD1" t="s">
        <v>91</v>
      </c>
      <c r="AE1" t="s">
        <v>92</v>
      </c>
      <c r="AF1" t="s">
        <v>93</v>
      </c>
      <c r="AG1" t="s">
        <v>94</v>
      </c>
      <c r="AH1" t="s">
        <v>95</v>
      </c>
      <c r="AI1" t="s">
        <v>96</v>
      </c>
      <c r="AJ1" t="s">
        <v>97</v>
      </c>
      <c r="AK1" t="s">
        <v>98</v>
      </c>
      <c r="AL1" t="s">
        <v>99</v>
      </c>
      <c r="AM1" t="s">
        <v>100</v>
      </c>
      <c r="AN1" s="1350" t="s">
        <v>101</v>
      </c>
      <c r="AQ1" t="s">
        <v>1277</v>
      </c>
      <c r="AR1" t="s">
        <v>92</v>
      </c>
      <c r="AS1" t="s">
        <v>93</v>
      </c>
      <c r="AT1" t="s">
        <v>94</v>
      </c>
      <c r="AU1" t="s">
        <v>95</v>
      </c>
      <c r="AV1" t="s">
        <v>96</v>
      </c>
      <c r="AW1" t="s">
        <v>97</v>
      </c>
      <c r="AX1" t="s">
        <v>98</v>
      </c>
      <c r="AY1" t="s">
        <v>99</v>
      </c>
      <c r="AZ1" t="s">
        <v>100</v>
      </c>
      <c r="BA1" t="s">
        <v>1024</v>
      </c>
      <c r="BB1" t="s">
        <v>1025</v>
      </c>
      <c r="BC1" t="s">
        <v>1026</v>
      </c>
      <c r="BD1" t="s">
        <v>1027</v>
      </c>
      <c r="BE1" t="s">
        <v>1028</v>
      </c>
      <c r="BF1" t="s">
        <v>1029</v>
      </c>
      <c r="BG1" t="s">
        <v>248</v>
      </c>
      <c r="BH1" t="s">
        <v>1030</v>
      </c>
      <c r="BI1" t="s">
        <v>1031</v>
      </c>
      <c r="BJ1" t="s">
        <v>294</v>
      </c>
      <c r="BK1" t="s">
        <v>1032</v>
      </c>
      <c r="BL1" t="s">
        <v>1033</v>
      </c>
      <c r="BM1" s="1350" t="s">
        <v>1278</v>
      </c>
      <c r="BV1" t="s">
        <v>1577</v>
      </c>
      <c r="BW1" t="s">
        <v>354</v>
      </c>
      <c r="BX1" t="s">
        <v>356</v>
      </c>
      <c r="BY1" t="s">
        <v>2146</v>
      </c>
      <c r="BZ1" t="s">
        <v>1578</v>
      </c>
      <c r="CA1" t="s">
        <v>1590</v>
      </c>
      <c r="CD1" t="s">
        <v>162</v>
      </c>
      <c r="CE1" t="s">
        <v>353</v>
      </c>
      <c r="CF1" t="s">
        <v>354</v>
      </c>
      <c r="CG1" t="s">
        <v>355</v>
      </c>
      <c r="CH1" t="s">
        <v>356</v>
      </c>
      <c r="CI1" t="s">
        <v>2146</v>
      </c>
      <c r="CJ1" t="s">
        <v>357</v>
      </c>
      <c r="CK1" s="1350" t="s">
        <v>2154</v>
      </c>
      <c r="CM1" s="1351"/>
      <c r="CN1" s="1312" t="s">
        <v>971</v>
      </c>
      <c r="CO1" t="s">
        <v>1612</v>
      </c>
      <c r="CP1" t="s">
        <v>77</v>
      </c>
      <c r="CQ1" t="s">
        <v>1613</v>
      </c>
      <c r="CR1" t="s">
        <v>825</v>
      </c>
      <c r="CS1" t="s">
        <v>330</v>
      </c>
      <c r="CT1"/>
      <c r="CU1"/>
    </row>
    <row r="2" spans="1:99" x14ac:dyDescent="0.3">
      <c r="A2" s="1312">
        <v>1</v>
      </c>
      <c r="B2" s="254" t="s">
        <v>1202</v>
      </c>
      <c r="C2" s="1312" t="s">
        <v>1014</v>
      </c>
      <c r="D2" s="1312"/>
      <c r="E2" s="1312"/>
      <c r="F2" s="1312"/>
      <c r="G2" s="1312">
        <v>180</v>
      </c>
      <c r="H2" s="1312">
        <v>48.5</v>
      </c>
      <c r="I2" s="1312">
        <v>965</v>
      </c>
      <c r="J2" s="1312">
        <v>375</v>
      </c>
      <c r="K2" s="1312">
        <v>405</v>
      </c>
      <c r="L2" s="1312">
        <v>140</v>
      </c>
      <c r="M2" s="1312" t="s">
        <v>1179</v>
      </c>
      <c r="N2" s="254"/>
      <c r="O2" s="1641"/>
      <c r="P2" t="s">
        <v>1771</v>
      </c>
      <c r="S2" s="1312">
        <v>1</v>
      </c>
      <c r="T2" s="1312" t="s">
        <v>1640</v>
      </c>
      <c r="U2" s="1312">
        <v>170</v>
      </c>
      <c r="V2" s="1312">
        <v>600</v>
      </c>
      <c r="W2" s="1350">
        <v>80</v>
      </c>
      <c r="X2" s="1312" t="s">
        <v>1641</v>
      </c>
      <c r="AD2" s="1312">
        <v>0</v>
      </c>
      <c r="AE2" s="1312">
        <v>0</v>
      </c>
      <c r="AF2" s="1312">
        <v>0</v>
      </c>
      <c r="AG2" s="1312">
        <v>0</v>
      </c>
      <c r="AH2" s="1312">
        <v>0</v>
      </c>
      <c r="AI2" s="1312">
        <v>0</v>
      </c>
      <c r="AJ2" s="1312">
        <v>0</v>
      </c>
      <c r="AK2" s="1312">
        <v>0</v>
      </c>
      <c r="AL2" s="1312">
        <v>0</v>
      </c>
      <c r="AM2" s="1312">
        <v>0</v>
      </c>
      <c r="AN2" s="1350">
        <v>0</v>
      </c>
      <c r="AQ2" s="1312">
        <v>125</v>
      </c>
      <c r="AR2" s="1312">
        <v>890</v>
      </c>
      <c r="AS2" s="1312">
        <v>255</v>
      </c>
      <c r="AT2" s="1312">
        <v>635</v>
      </c>
      <c r="AU2" s="1312">
        <v>243</v>
      </c>
      <c r="AV2" s="1312">
        <v>260</v>
      </c>
      <c r="AW2" s="1312">
        <v>310</v>
      </c>
      <c r="AX2" s="1312">
        <v>30</v>
      </c>
      <c r="AY2" s="1312">
        <v>55</v>
      </c>
      <c r="AZ2" s="1312">
        <v>63</v>
      </c>
      <c r="BA2" s="1312">
        <v>100</v>
      </c>
      <c r="BB2" s="1312">
        <v>160</v>
      </c>
      <c r="BC2" s="1312">
        <v>90</v>
      </c>
      <c r="BD2" s="1312">
        <v>220</v>
      </c>
      <c r="BE2" s="1312">
        <v>180</v>
      </c>
      <c r="BF2" s="1312">
        <v>106</v>
      </c>
      <c r="BG2" s="1312">
        <v>44622</v>
      </c>
      <c r="BH2" s="254" t="s">
        <v>23</v>
      </c>
      <c r="BI2" s="1312">
        <v>110</v>
      </c>
      <c r="BJ2" s="1312">
        <v>65.650000000000006</v>
      </c>
      <c r="BK2" s="1312">
        <v>175.65</v>
      </c>
      <c r="BL2" s="1312">
        <v>182.67600000000002</v>
      </c>
      <c r="BM2" s="1352"/>
      <c r="BP2" s="1312" t="s">
        <v>177</v>
      </c>
      <c r="BQ2" s="1312" t="s">
        <v>1576</v>
      </c>
      <c r="BV2" s="1312">
        <v>55</v>
      </c>
      <c r="BW2" s="1312">
        <v>245</v>
      </c>
      <c r="BX2" s="1312">
        <v>140</v>
      </c>
      <c r="BY2">
        <v>115</v>
      </c>
      <c r="BZ2" s="1312">
        <v>7211867</v>
      </c>
      <c r="CA2" s="1352"/>
      <c r="CD2" s="1312">
        <v>132</v>
      </c>
      <c r="CE2" s="1312">
        <v>85</v>
      </c>
      <c r="CF2" s="254">
        <v>200</v>
      </c>
      <c r="CG2" s="1312">
        <v>155</v>
      </c>
      <c r="CH2" s="254">
        <v>185</v>
      </c>
      <c r="CI2">
        <v>320</v>
      </c>
      <c r="CJ2" s="1312" t="s">
        <v>1057</v>
      </c>
      <c r="CK2" s="1352"/>
      <c r="CM2" s="1351"/>
      <c r="CN2" s="1312">
        <v>800</v>
      </c>
      <c r="CO2" s="1312">
        <v>825</v>
      </c>
      <c r="CP2" s="1312">
        <v>550</v>
      </c>
      <c r="CQ2" s="1312">
        <v>920</v>
      </c>
      <c r="CR2" s="254"/>
      <c r="CS2" s="254"/>
      <c r="CT2"/>
      <c r="CU2"/>
    </row>
    <row r="3" spans="1:99" x14ac:dyDescent="0.3">
      <c r="A3" s="1312">
        <v>2</v>
      </c>
      <c r="B3" s="254" t="s">
        <v>1202</v>
      </c>
      <c r="C3" s="1312" t="s">
        <v>1015</v>
      </c>
      <c r="D3" s="1312"/>
      <c r="E3" s="1312"/>
      <c r="F3" s="1312"/>
      <c r="G3" s="1312">
        <v>180</v>
      </c>
      <c r="H3" s="1312">
        <v>65</v>
      </c>
      <c r="I3" s="1312">
        <v>1030</v>
      </c>
      <c r="J3" s="1312">
        <v>425</v>
      </c>
      <c r="K3" s="1312">
        <v>445</v>
      </c>
      <c r="L3" s="1312">
        <v>150</v>
      </c>
      <c r="M3" s="1312"/>
      <c r="N3" s="254"/>
      <c r="O3" s="1641"/>
      <c r="P3" t="s">
        <v>1772</v>
      </c>
      <c r="S3" s="1312">
        <v>2</v>
      </c>
      <c r="T3" s="1312"/>
      <c r="U3" s="1312">
        <v>175</v>
      </c>
      <c r="V3" s="1312">
        <v>790</v>
      </c>
      <c r="W3" s="1350">
        <v>80</v>
      </c>
      <c r="X3" s="1312" t="s">
        <v>1642</v>
      </c>
      <c r="AD3" s="1312" t="s">
        <v>1720</v>
      </c>
      <c r="AE3" s="1312">
        <v>480</v>
      </c>
      <c r="AF3" s="1312">
        <v>100</v>
      </c>
      <c r="AG3" s="1312">
        <v>380</v>
      </c>
      <c r="AH3" s="1312">
        <v>1720</v>
      </c>
      <c r="AI3" s="1312">
        <v>1740</v>
      </c>
      <c r="AJ3" s="1312">
        <v>1760</v>
      </c>
      <c r="AK3" s="1312">
        <v>26</v>
      </c>
      <c r="AL3" s="1312">
        <v>40</v>
      </c>
      <c r="AM3" s="1312">
        <v>65</v>
      </c>
      <c r="AN3" s="1350" t="s">
        <v>1113</v>
      </c>
      <c r="AQ3" s="1312">
        <v>126</v>
      </c>
      <c r="AR3" s="1312">
        <v>895</v>
      </c>
      <c r="AS3" s="1312">
        <v>250</v>
      </c>
      <c r="AT3" s="1312">
        <v>645</v>
      </c>
      <c r="AU3" s="1312">
        <v>245</v>
      </c>
      <c r="AV3" s="1312">
        <v>260</v>
      </c>
      <c r="AW3" s="1312">
        <v>310</v>
      </c>
      <c r="AX3" s="1312">
        <v>30</v>
      </c>
      <c r="AY3" s="1312">
        <v>60</v>
      </c>
      <c r="AZ3" s="1312">
        <v>65</v>
      </c>
      <c r="BA3" s="1312">
        <v>100</v>
      </c>
      <c r="BB3" s="1312">
        <v>170</v>
      </c>
      <c r="BC3" s="1312">
        <v>90</v>
      </c>
      <c r="BD3" s="1312">
        <v>220</v>
      </c>
      <c r="BE3" s="1312">
        <v>180</v>
      </c>
      <c r="BF3" s="1312">
        <v>110</v>
      </c>
      <c r="BG3" s="1312">
        <v>44624</v>
      </c>
      <c r="BH3" s="254" t="s">
        <v>23</v>
      </c>
      <c r="BI3" s="1312">
        <v>110</v>
      </c>
      <c r="BJ3" s="1312">
        <v>65.650000000000006</v>
      </c>
      <c r="BK3" s="1312">
        <v>175.65</v>
      </c>
      <c r="BL3" s="1312">
        <v>182.67600000000002</v>
      </c>
      <c r="BM3" s="1352"/>
      <c r="BP3">
        <v>85</v>
      </c>
      <c r="BQ3" t="s">
        <v>362</v>
      </c>
      <c r="BV3" s="1312">
        <v>55</v>
      </c>
      <c r="BW3" s="1312">
        <v>245</v>
      </c>
      <c r="BX3" s="1312">
        <v>140</v>
      </c>
      <c r="BY3">
        <v>115</v>
      </c>
      <c r="BZ3" s="1312">
        <v>7211867</v>
      </c>
      <c r="CA3" s="1352"/>
      <c r="CD3" s="1312">
        <v>110</v>
      </c>
      <c r="CE3" s="1312">
        <v>92.5</v>
      </c>
      <c r="CF3" s="254">
        <v>200</v>
      </c>
      <c r="CG3" s="1312">
        <v>155</v>
      </c>
      <c r="CH3" s="254">
        <v>185</v>
      </c>
      <c r="CI3">
        <v>320</v>
      </c>
      <c r="CJ3" s="1312" t="s">
        <v>1058</v>
      </c>
      <c r="CK3" s="1352"/>
      <c r="CM3" s="1351"/>
      <c r="CN3" s="1312">
        <v>650</v>
      </c>
      <c r="CO3" s="1312">
        <v>670</v>
      </c>
      <c r="CP3" s="1312">
        <v>860</v>
      </c>
      <c r="CQ3" s="1312">
        <v>775</v>
      </c>
      <c r="CR3" s="1352"/>
      <c r="CS3" s="254"/>
      <c r="CT3" s="1312"/>
      <c r="CU3"/>
    </row>
    <row r="4" spans="1:99" x14ac:dyDescent="0.3">
      <c r="A4" s="1312">
        <v>3</v>
      </c>
      <c r="B4" s="254" t="s">
        <v>1202</v>
      </c>
      <c r="C4" s="1312" t="s">
        <v>1016</v>
      </c>
      <c r="D4" s="1312"/>
      <c r="E4" s="1312"/>
      <c r="F4" s="1312"/>
      <c r="G4" s="1312">
        <v>185</v>
      </c>
      <c r="H4" s="1312">
        <v>37.5</v>
      </c>
      <c r="I4" s="1312">
        <v>755</v>
      </c>
      <c r="J4" s="1312">
        <v>365</v>
      </c>
      <c r="K4" s="1312">
        <v>390</v>
      </c>
      <c r="L4" s="1312">
        <v>150</v>
      </c>
      <c r="M4" s="1312" t="s">
        <v>1179</v>
      </c>
      <c r="N4" s="254" t="s">
        <v>6</v>
      </c>
      <c r="O4" s="1641" t="s">
        <v>1977</v>
      </c>
      <c r="P4" t="s">
        <v>1773</v>
      </c>
      <c r="S4" s="1312">
        <v>3</v>
      </c>
      <c r="T4" s="1312" t="s">
        <v>1643</v>
      </c>
      <c r="U4" s="1312">
        <v>185</v>
      </c>
      <c r="V4" s="1312">
        <v>590</v>
      </c>
      <c r="W4" s="1350">
        <v>80</v>
      </c>
      <c r="X4" s="1312" t="s">
        <v>1644</v>
      </c>
      <c r="AD4" s="1312">
        <v>5</v>
      </c>
      <c r="AE4" s="1312">
        <v>730</v>
      </c>
      <c r="AF4" s="1312">
        <v>270</v>
      </c>
      <c r="AG4" s="1312">
        <v>460</v>
      </c>
      <c r="AH4" s="1312">
        <v>100</v>
      </c>
      <c r="AI4" s="1312">
        <v>110</v>
      </c>
      <c r="AJ4" s="1312">
        <v>166</v>
      </c>
      <c r="AK4" s="1312">
        <v>115</v>
      </c>
      <c r="AL4" s="1312">
        <v>125</v>
      </c>
      <c r="AM4" s="1312">
        <v>180</v>
      </c>
      <c r="AQ4" s="1312">
        <v>127</v>
      </c>
      <c r="AR4" s="1312">
        <v>1840</v>
      </c>
      <c r="AS4" s="1312">
        <v>510</v>
      </c>
      <c r="AT4" s="1312">
        <v>1330</v>
      </c>
      <c r="AU4" s="1312">
        <v>440</v>
      </c>
      <c r="AV4" s="1312">
        <v>455</v>
      </c>
      <c r="AW4" s="1312">
        <v>555</v>
      </c>
      <c r="AX4" s="1312">
        <v>80</v>
      </c>
      <c r="AY4" s="1312">
        <v>155</v>
      </c>
      <c r="AZ4" s="1312">
        <v>165</v>
      </c>
      <c r="BA4" s="1312">
        <v>240</v>
      </c>
      <c r="BB4" s="1312">
        <v>340</v>
      </c>
      <c r="BC4" s="1312">
        <v>170</v>
      </c>
      <c r="BD4" s="1312">
        <v>540</v>
      </c>
      <c r="BE4" s="1312">
        <v>500</v>
      </c>
      <c r="BF4" s="1312">
        <v>234</v>
      </c>
      <c r="BG4" s="1312">
        <v>44516</v>
      </c>
      <c r="BH4" s="254" t="s">
        <v>32</v>
      </c>
      <c r="BI4" s="1312">
        <v>874.6</v>
      </c>
      <c r="BJ4" s="1312">
        <v>507.1</v>
      </c>
      <c r="BK4" s="1312">
        <v>1381.7</v>
      </c>
      <c r="BL4" s="1312">
        <v>1436.9680000000001</v>
      </c>
      <c r="BM4" s="1352"/>
      <c r="BV4" s="1312">
        <v>55</v>
      </c>
      <c r="BW4" s="1312">
        <v>245</v>
      </c>
      <c r="BX4" s="1312">
        <v>140</v>
      </c>
      <c r="BY4">
        <v>115</v>
      </c>
      <c r="BZ4" s="1312">
        <v>7211867</v>
      </c>
      <c r="CA4" s="1352"/>
      <c r="CD4" s="1312">
        <v>115</v>
      </c>
      <c r="CE4" s="1312">
        <v>100</v>
      </c>
      <c r="CF4" s="254">
        <v>200</v>
      </c>
      <c r="CG4" s="1312">
        <v>155</v>
      </c>
      <c r="CH4" s="254">
        <v>185</v>
      </c>
      <c r="CI4">
        <v>320</v>
      </c>
      <c r="CJ4" s="1312" t="s">
        <v>1059</v>
      </c>
      <c r="CK4" s="1352"/>
      <c r="CM4" s="1351"/>
      <c r="CN4" s="1312">
        <v>510</v>
      </c>
      <c r="CO4" s="1312">
        <v>530</v>
      </c>
      <c r="CP4" s="1312">
        <v>330</v>
      </c>
      <c r="CQ4" s="1312">
        <v>566</v>
      </c>
      <c r="CR4" s="1352" t="s">
        <v>1614</v>
      </c>
      <c r="CS4" s="254"/>
      <c r="CT4" s="1312"/>
      <c r="CU4"/>
    </row>
    <row r="5" spans="1:99" ht="43.2" x14ac:dyDescent="0.3">
      <c r="A5" s="1312">
        <v>4</v>
      </c>
      <c r="B5" s="254" t="s">
        <v>1202</v>
      </c>
      <c r="C5" s="1312" t="s">
        <v>1017</v>
      </c>
      <c r="D5" s="1312"/>
      <c r="E5" s="1312"/>
      <c r="F5" s="1312"/>
      <c r="G5" s="1312">
        <v>225</v>
      </c>
      <c r="H5" s="1312">
        <v>42.5</v>
      </c>
      <c r="I5" s="1312">
        <v>1010</v>
      </c>
      <c r="J5" s="1312">
        <v>370</v>
      </c>
      <c r="K5" s="1312">
        <v>390</v>
      </c>
      <c r="L5" s="1312">
        <v>180</v>
      </c>
      <c r="M5" s="1312" t="s">
        <v>1203</v>
      </c>
      <c r="N5" s="254"/>
      <c r="O5" s="1641"/>
      <c r="P5" t="s">
        <v>1774</v>
      </c>
      <c r="S5" s="1312">
        <v>4</v>
      </c>
      <c r="T5" s="1312" t="s">
        <v>1645</v>
      </c>
      <c r="U5" s="1312">
        <v>210</v>
      </c>
      <c r="V5" s="1312">
        <v>660</v>
      </c>
      <c r="W5" s="1350">
        <v>80</v>
      </c>
      <c r="X5" s="1312"/>
      <c r="AD5" s="1312">
        <v>3</v>
      </c>
      <c r="AE5" s="1312">
        <v>750</v>
      </c>
      <c r="AF5" s="1312">
        <v>280</v>
      </c>
      <c r="AG5" s="1312">
        <v>470</v>
      </c>
      <c r="AH5" s="1312">
        <v>130</v>
      </c>
      <c r="AI5" s="1312">
        <v>140</v>
      </c>
      <c r="AJ5" s="1312">
        <v>200</v>
      </c>
      <c r="AK5" s="1312">
        <v>105</v>
      </c>
      <c r="AL5" s="1312">
        <v>110</v>
      </c>
      <c r="AM5" s="1312">
        <v>175</v>
      </c>
      <c r="AQ5" s="1312">
        <v>128</v>
      </c>
      <c r="AR5" s="1312">
        <v>1670</v>
      </c>
      <c r="AS5" s="1312">
        <v>420</v>
      </c>
      <c r="AT5" s="1312">
        <v>1250</v>
      </c>
      <c r="AU5" s="1312">
        <v>425</v>
      </c>
      <c r="AV5" s="1312">
        <v>440</v>
      </c>
      <c r="AW5" s="1312">
        <v>520</v>
      </c>
      <c r="AX5" s="1312">
        <v>45</v>
      </c>
      <c r="AY5" s="1312">
        <v>90</v>
      </c>
      <c r="AZ5" s="1312">
        <v>95</v>
      </c>
      <c r="BA5" s="1312">
        <v>155</v>
      </c>
      <c r="BB5" s="1312">
        <v>260</v>
      </c>
      <c r="BC5" s="1312">
        <v>145</v>
      </c>
      <c r="BD5" s="1312">
        <v>420</v>
      </c>
      <c r="BE5" s="1312">
        <v>420</v>
      </c>
      <c r="BF5" s="1312">
        <v>240</v>
      </c>
      <c r="BG5" s="1312">
        <v>44543</v>
      </c>
      <c r="BH5" s="254" t="s">
        <v>23</v>
      </c>
      <c r="BI5" s="1312">
        <v>690</v>
      </c>
      <c r="BJ5" s="1312">
        <v>489</v>
      </c>
      <c r="BK5" s="1312">
        <v>1179</v>
      </c>
      <c r="BL5" s="1312">
        <v>1226.1600000000001</v>
      </c>
      <c r="BM5" s="1352"/>
      <c r="BP5">
        <v>87.5</v>
      </c>
      <c r="BQ5" t="s">
        <v>363</v>
      </c>
      <c r="BV5" s="1312">
        <v>55</v>
      </c>
      <c r="BW5" s="1312">
        <v>245</v>
      </c>
      <c r="BX5" s="1312">
        <v>140</v>
      </c>
      <c r="BY5">
        <v>115</v>
      </c>
      <c r="BZ5" s="1312">
        <v>7211867</v>
      </c>
      <c r="CA5" s="1352"/>
      <c r="CD5" s="1312">
        <v>115</v>
      </c>
      <c r="CE5" s="1312">
        <v>105</v>
      </c>
      <c r="CF5" s="254">
        <v>200</v>
      </c>
      <c r="CG5" s="1312">
        <v>155</v>
      </c>
      <c r="CH5" s="254">
        <v>185</v>
      </c>
      <c r="CI5">
        <v>320</v>
      </c>
      <c r="CJ5" s="1312" t="s">
        <v>1059</v>
      </c>
      <c r="CK5" s="1352"/>
      <c r="CM5" s="1351"/>
      <c r="CN5" s="1312">
        <v>480</v>
      </c>
      <c r="CO5" s="1312">
        <v>510</v>
      </c>
      <c r="CP5" s="1312">
        <v>1100</v>
      </c>
      <c r="CQ5" s="1312">
        <v>566</v>
      </c>
      <c r="CR5" s="1352" t="s">
        <v>1615</v>
      </c>
      <c r="CS5" s="254" t="s">
        <v>1616</v>
      </c>
      <c r="CT5" s="1312"/>
      <c r="CU5"/>
    </row>
    <row r="6" spans="1:99" ht="72" x14ac:dyDescent="0.3">
      <c r="A6" s="1312">
        <v>5</v>
      </c>
      <c r="B6" s="254" t="s">
        <v>1202</v>
      </c>
      <c r="C6" s="1312" t="s">
        <v>1018</v>
      </c>
      <c r="D6" s="1312"/>
      <c r="E6" s="1312"/>
      <c r="F6" s="1312"/>
      <c r="G6" s="1312">
        <v>280</v>
      </c>
      <c r="H6" s="1312">
        <v>77.5</v>
      </c>
      <c r="I6" s="1312">
        <v>1225</v>
      </c>
      <c r="J6" s="1312">
        <v>465</v>
      </c>
      <c r="K6" s="1312">
        <v>490</v>
      </c>
      <c r="L6" s="1312">
        <v>165</v>
      </c>
      <c r="M6" s="1312" t="s">
        <v>1179</v>
      </c>
      <c r="N6" s="254"/>
      <c r="O6" s="1641"/>
      <c r="P6" t="s">
        <v>1775</v>
      </c>
      <c r="S6" s="1312">
        <v>5</v>
      </c>
      <c r="T6" s="1312"/>
      <c r="U6" s="1312">
        <v>220</v>
      </c>
      <c r="V6" s="1312">
        <v>620</v>
      </c>
      <c r="W6" s="1350">
        <v>80</v>
      </c>
      <c r="X6" s="1312"/>
      <c r="AD6" s="1312">
        <v>61</v>
      </c>
      <c r="AE6" s="1312">
        <v>590</v>
      </c>
      <c r="AF6" s="1312">
        <v>100</v>
      </c>
      <c r="AG6" s="1312">
        <v>490</v>
      </c>
      <c r="AH6" s="1312">
        <v>270</v>
      </c>
      <c r="AI6" s="1312">
        <v>285</v>
      </c>
      <c r="AJ6" s="1312">
        <v>310</v>
      </c>
      <c r="AK6" s="1312">
        <v>25</v>
      </c>
      <c r="AL6" s="1312">
        <v>33</v>
      </c>
      <c r="AM6" s="1312">
        <v>75</v>
      </c>
      <c r="AQ6" s="1312">
        <v>129</v>
      </c>
      <c r="AR6" s="1312">
        <v>1170</v>
      </c>
      <c r="AS6" s="1312">
        <v>320</v>
      </c>
      <c r="AT6" s="1312">
        <v>850</v>
      </c>
      <c r="AU6" s="1312">
        <v>315</v>
      </c>
      <c r="AV6" s="1312">
        <v>330</v>
      </c>
      <c r="AW6" s="1312">
        <v>390</v>
      </c>
      <c r="AX6" s="1312">
        <v>60</v>
      </c>
      <c r="AY6" s="1312">
        <v>90</v>
      </c>
      <c r="AZ6" s="1312">
        <v>100</v>
      </c>
      <c r="BA6" s="1312">
        <v>140</v>
      </c>
      <c r="BB6" s="1312">
        <v>220</v>
      </c>
      <c r="BC6" s="1312">
        <v>120</v>
      </c>
      <c r="BD6" s="1312">
        <v>290</v>
      </c>
      <c r="BE6" s="1312">
        <v>280</v>
      </c>
      <c r="BF6" s="1312">
        <v>164</v>
      </c>
      <c r="BG6" s="1312"/>
      <c r="BH6" s="254"/>
      <c r="BI6" s="1312">
        <v>1</v>
      </c>
      <c r="BJ6" s="1312">
        <v>1</v>
      </c>
      <c r="BK6" s="1312">
        <v>2</v>
      </c>
      <c r="BL6" s="1312">
        <v>2.08</v>
      </c>
      <c r="BM6" s="1352"/>
      <c r="BP6">
        <v>90</v>
      </c>
      <c r="BQ6" t="s">
        <v>364</v>
      </c>
      <c r="BV6" s="1312">
        <v>57.5</v>
      </c>
      <c r="BW6" s="1312">
        <v>245</v>
      </c>
      <c r="BX6" s="1312">
        <v>140</v>
      </c>
      <c r="BY6">
        <v>115</v>
      </c>
      <c r="BZ6" s="1312" t="s">
        <v>1579</v>
      </c>
      <c r="CA6" s="1352"/>
      <c r="CD6" s="1312">
        <v>135</v>
      </c>
      <c r="CE6" s="1312">
        <v>115</v>
      </c>
      <c r="CF6" s="254">
        <v>203</v>
      </c>
      <c r="CG6" s="1312">
        <v>160</v>
      </c>
      <c r="CH6" s="254">
        <v>185</v>
      </c>
      <c r="CI6">
        <v>320</v>
      </c>
      <c r="CJ6" s="1312" t="s">
        <v>1060</v>
      </c>
      <c r="CK6" s="1352"/>
      <c r="CM6" s="1351"/>
      <c r="CN6" s="1312">
        <v>430</v>
      </c>
      <c r="CO6" s="1312">
        <v>450</v>
      </c>
      <c r="CP6" s="1312">
        <v>1250</v>
      </c>
      <c r="CQ6" s="1312">
        <v>566</v>
      </c>
      <c r="CR6" s="1352" t="s">
        <v>2088</v>
      </c>
      <c r="CS6" s="254" t="s">
        <v>1616</v>
      </c>
      <c r="CT6" s="1312"/>
      <c r="CU6"/>
    </row>
    <row r="7" spans="1:99" x14ac:dyDescent="0.3">
      <c r="A7" s="1312">
        <v>6</v>
      </c>
      <c r="B7" s="254"/>
      <c r="C7" s="1312" t="s">
        <v>1776</v>
      </c>
      <c r="D7" s="1312">
        <v>310</v>
      </c>
      <c r="E7" s="1312">
        <v>2.5</v>
      </c>
      <c r="F7" s="1312">
        <v>110</v>
      </c>
      <c r="G7" s="1312">
        <v>285</v>
      </c>
      <c r="H7" s="1312">
        <v>5</v>
      </c>
      <c r="I7" s="1312">
        <v>410</v>
      </c>
      <c r="J7" s="1312">
        <v>340</v>
      </c>
      <c r="K7" s="1312">
        <v>355</v>
      </c>
      <c r="L7" s="1312">
        <v>100</v>
      </c>
      <c r="M7" s="1312"/>
      <c r="N7" s="254"/>
      <c r="O7" s="1641"/>
      <c r="P7" t="s">
        <v>1777</v>
      </c>
      <c r="S7" s="1312">
        <v>6</v>
      </c>
      <c r="T7" s="1312"/>
      <c r="U7" s="1312">
        <v>225</v>
      </c>
      <c r="V7" s="1312">
        <v>920</v>
      </c>
      <c r="W7" s="1350">
        <v>80</v>
      </c>
      <c r="X7" s="1312" t="s">
        <v>1646</v>
      </c>
      <c r="AD7" s="1312">
        <v>23</v>
      </c>
      <c r="AE7" s="1312">
        <v>590</v>
      </c>
      <c r="AF7" s="1312">
        <v>100</v>
      </c>
      <c r="AG7" s="1312">
        <v>490</v>
      </c>
      <c r="AH7" s="1312">
        <v>420</v>
      </c>
      <c r="AI7" s="1312">
        <v>432</v>
      </c>
      <c r="AJ7" s="1312">
        <v>455</v>
      </c>
      <c r="AK7" s="1312">
        <v>90</v>
      </c>
      <c r="AL7" s="1312">
        <v>100</v>
      </c>
      <c r="AM7" s="1312">
        <v>140</v>
      </c>
      <c r="AN7" s="1350" t="s">
        <v>1114</v>
      </c>
      <c r="AQ7" s="1312">
        <v>130</v>
      </c>
      <c r="AR7" s="1312">
        <v>1150</v>
      </c>
      <c r="AS7" s="1312">
        <v>350</v>
      </c>
      <c r="AT7" s="1312">
        <v>800</v>
      </c>
      <c r="AU7" s="1312">
        <v>300</v>
      </c>
      <c r="AV7" s="1312">
        <v>310</v>
      </c>
      <c r="AW7" s="1312">
        <v>390</v>
      </c>
      <c r="AX7" s="1312">
        <v>15</v>
      </c>
      <c r="AY7" s="1312">
        <v>95</v>
      </c>
      <c r="AZ7" s="1312">
        <v>100</v>
      </c>
      <c r="BA7" s="1312">
        <v>115</v>
      </c>
      <c r="BB7" s="1312">
        <v>190</v>
      </c>
      <c r="BC7" s="1312">
        <v>120</v>
      </c>
      <c r="BD7" s="1312">
        <v>260</v>
      </c>
      <c r="BE7" s="1312">
        <v>255</v>
      </c>
      <c r="BF7" s="1312">
        <v>152.5</v>
      </c>
      <c r="BG7" s="1312">
        <v>45189</v>
      </c>
      <c r="BH7" s="254" t="s">
        <v>23</v>
      </c>
      <c r="BI7" s="1312">
        <v>228</v>
      </c>
      <c r="BJ7" s="1312">
        <v>160</v>
      </c>
      <c r="BK7" s="1312">
        <v>388</v>
      </c>
      <c r="BL7" s="1312">
        <v>403.52000000000004</v>
      </c>
      <c r="BM7" s="1352" t="s">
        <v>1279</v>
      </c>
      <c r="BP7">
        <v>92.5</v>
      </c>
      <c r="BQ7" t="s">
        <v>365</v>
      </c>
      <c r="BV7" s="1312">
        <v>57.5</v>
      </c>
      <c r="BW7" s="1312">
        <v>245</v>
      </c>
      <c r="BX7" s="1312">
        <v>140</v>
      </c>
      <c r="BY7">
        <v>115</v>
      </c>
      <c r="BZ7" s="1312" t="s">
        <v>1579</v>
      </c>
      <c r="CA7" s="1352"/>
      <c r="CD7" s="1312">
        <v>160</v>
      </c>
      <c r="CE7" s="1312">
        <v>117.5</v>
      </c>
      <c r="CF7" s="254">
        <v>200</v>
      </c>
      <c r="CG7" s="1312">
        <v>150</v>
      </c>
      <c r="CH7" s="254">
        <v>285</v>
      </c>
      <c r="CI7">
        <v>320</v>
      </c>
      <c r="CJ7" s="1312">
        <v>24271231</v>
      </c>
      <c r="CK7" s="1352"/>
      <c r="CM7" s="1351"/>
      <c r="CN7" s="1312">
        <v>370</v>
      </c>
      <c r="CO7" s="1312">
        <v>400</v>
      </c>
      <c r="CP7" s="1312">
        <v>800</v>
      </c>
      <c r="CQ7" s="1312">
        <v>470</v>
      </c>
      <c r="CR7" s="1352"/>
      <c r="CS7" s="254" t="s">
        <v>1617</v>
      </c>
      <c r="CT7" s="1312"/>
      <c r="CU7"/>
    </row>
    <row r="8" spans="1:99" ht="28.8" x14ac:dyDescent="0.3">
      <c r="A8" s="1312">
        <v>7</v>
      </c>
      <c r="B8" s="254" t="s">
        <v>1202</v>
      </c>
      <c r="C8" s="1312" t="s">
        <v>1019</v>
      </c>
      <c r="D8" s="1312"/>
      <c r="E8" s="1312"/>
      <c r="F8" s="1312"/>
      <c r="G8" s="1312">
        <v>295</v>
      </c>
      <c r="H8" s="1312">
        <v>60</v>
      </c>
      <c r="I8" s="1312">
        <v>1340</v>
      </c>
      <c r="J8" s="1312">
        <v>550</v>
      </c>
      <c r="K8" s="1312">
        <v>575</v>
      </c>
      <c r="L8" s="1312">
        <v>130</v>
      </c>
      <c r="M8" s="1312"/>
      <c r="N8" s="254"/>
      <c r="O8" s="1641"/>
      <c r="P8" t="s">
        <v>1778</v>
      </c>
      <c r="S8" s="1312">
        <v>7</v>
      </c>
      <c r="T8" s="1312" t="s">
        <v>1266</v>
      </c>
      <c r="U8" s="1312">
        <v>245</v>
      </c>
      <c r="V8" s="1312">
        <v>650</v>
      </c>
      <c r="W8" s="1350">
        <v>80</v>
      </c>
      <c r="X8" s="1312"/>
      <c r="AD8" s="1312">
        <v>25</v>
      </c>
      <c r="AE8" s="1312">
        <v>670</v>
      </c>
      <c r="AF8" s="1312">
        <v>150</v>
      </c>
      <c r="AG8" s="1312">
        <v>520</v>
      </c>
      <c r="AH8" s="1312">
        <v>150</v>
      </c>
      <c r="AI8" s="1312">
        <v>157</v>
      </c>
      <c r="AJ8" s="1312">
        <v>190</v>
      </c>
      <c r="AK8" s="1312">
        <v>65</v>
      </c>
      <c r="AL8" s="1312">
        <v>77</v>
      </c>
      <c r="AM8" s="1312">
        <v>135</v>
      </c>
      <c r="AQ8" s="1312">
        <v>131</v>
      </c>
      <c r="AR8" s="1312">
        <v>1075</v>
      </c>
      <c r="AS8" s="1312">
        <v>330</v>
      </c>
      <c r="AT8" s="1312">
        <v>745</v>
      </c>
      <c r="AU8" s="1312">
        <v>260</v>
      </c>
      <c r="AV8" s="1312">
        <v>270</v>
      </c>
      <c r="AW8" s="1312">
        <v>335</v>
      </c>
      <c r="AX8" s="1312">
        <v>55</v>
      </c>
      <c r="AY8" s="1312">
        <v>75</v>
      </c>
      <c r="AZ8" s="1312">
        <v>85</v>
      </c>
      <c r="BA8" s="1312">
        <v>150</v>
      </c>
      <c r="BB8" s="1312">
        <v>220</v>
      </c>
      <c r="BC8" s="1312">
        <v>100</v>
      </c>
      <c r="BD8" s="1312">
        <v>260</v>
      </c>
      <c r="BE8" s="1312">
        <v>230</v>
      </c>
      <c r="BF8" s="1312">
        <v>129</v>
      </c>
      <c r="BG8" s="1312">
        <v>44622</v>
      </c>
      <c r="BH8" s="254" t="s">
        <v>23</v>
      </c>
      <c r="BI8" s="1312">
        <v>170</v>
      </c>
      <c r="BJ8" s="1312">
        <v>121.22</v>
      </c>
      <c r="BK8" s="1312">
        <v>291.22000000000003</v>
      </c>
      <c r="BL8" s="1312">
        <v>302.86880000000002</v>
      </c>
      <c r="BM8" s="1352"/>
      <c r="BP8">
        <v>95</v>
      </c>
      <c r="BQ8" t="s">
        <v>366</v>
      </c>
      <c r="BV8" s="1312">
        <v>60</v>
      </c>
      <c r="BW8" s="1312">
        <v>245</v>
      </c>
      <c r="BX8" s="1312">
        <v>140</v>
      </c>
      <c r="BY8">
        <v>115</v>
      </c>
      <c r="BZ8" s="1312" t="s">
        <v>1580</v>
      </c>
      <c r="CA8" s="1352"/>
      <c r="CD8" s="1312">
        <v>140</v>
      </c>
      <c r="CE8" s="1312">
        <v>120</v>
      </c>
      <c r="CF8" s="254">
        <v>200</v>
      </c>
      <c r="CG8" s="1312">
        <v>155</v>
      </c>
      <c r="CH8" s="254">
        <v>185</v>
      </c>
      <c r="CI8">
        <v>320</v>
      </c>
      <c r="CJ8" s="1312" t="s">
        <v>1061</v>
      </c>
      <c r="CK8" s="1352"/>
      <c r="CM8" s="1351"/>
      <c r="CN8" s="1312">
        <v>350</v>
      </c>
      <c r="CO8" s="1312">
        <v>356</v>
      </c>
      <c r="CP8" s="1312">
        <v>560</v>
      </c>
      <c r="CQ8" s="1312">
        <v>400</v>
      </c>
      <c r="CR8" s="1352" t="s">
        <v>1618</v>
      </c>
      <c r="CS8" s="254"/>
      <c r="CT8" s="1312"/>
      <c r="CU8"/>
    </row>
    <row r="9" spans="1:99" x14ac:dyDescent="0.3">
      <c r="A9" s="1312">
        <v>8</v>
      </c>
      <c r="B9" s="254" t="s">
        <v>946</v>
      </c>
      <c r="C9" s="1312" t="s">
        <v>1266</v>
      </c>
      <c r="D9" s="1312"/>
      <c r="E9" s="1312"/>
      <c r="F9" s="1312"/>
      <c r="G9" s="1312">
        <v>332</v>
      </c>
      <c r="H9" s="1312">
        <v>4</v>
      </c>
      <c r="I9" s="1312">
        <v>510</v>
      </c>
      <c r="J9" s="1312">
        <v>380</v>
      </c>
      <c r="K9" s="1312">
        <v>400</v>
      </c>
      <c r="L9" s="1312">
        <v>115</v>
      </c>
      <c r="M9" s="1312" t="s">
        <v>2031</v>
      </c>
      <c r="N9" s="254" t="s">
        <v>6</v>
      </c>
      <c r="O9" s="1641" t="s">
        <v>1978</v>
      </c>
      <c r="P9" t="s">
        <v>1756</v>
      </c>
      <c r="S9" s="1312">
        <v>8</v>
      </c>
      <c r="T9" s="1312"/>
      <c r="U9" s="1312">
        <v>250</v>
      </c>
      <c r="V9" s="1312">
        <v>660</v>
      </c>
      <c r="W9" s="1350">
        <v>80</v>
      </c>
      <c r="X9" s="1312" t="s">
        <v>1647</v>
      </c>
      <c r="AD9" s="1312">
        <v>64</v>
      </c>
      <c r="AE9" s="1312">
        <v>600</v>
      </c>
      <c r="AF9" s="1312">
        <v>75</v>
      </c>
      <c r="AG9" s="1312">
        <v>525</v>
      </c>
      <c r="AH9" s="1312">
        <v>200</v>
      </c>
      <c r="AI9" s="1312">
        <v>215</v>
      </c>
      <c r="AJ9" s="1312">
        <v>235</v>
      </c>
      <c r="AK9" s="1312">
        <v>20</v>
      </c>
      <c r="AL9" s="1312">
        <v>26</v>
      </c>
      <c r="AM9" s="1312">
        <v>60</v>
      </c>
      <c r="AQ9" s="1312">
        <v>132</v>
      </c>
      <c r="AR9" s="1312">
        <v>1045</v>
      </c>
      <c r="AS9" s="1312">
        <v>330</v>
      </c>
      <c r="AT9" s="1312">
        <v>715</v>
      </c>
      <c r="AU9" s="1312">
        <v>325</v>
      </c>
      <c r="AV9" s="1312">
        <v>340</v>
      </c>
      <c r="AW9" s="1312">
        <v>410</v>
      </c>
      <c r="AX9" s="1312">
        <v>75</v>
      </c>
      <c r="AY9" s="1312">
        <v>105</v>
      </c>
      <c r="AZ9" s="1312">
        <v>105</v>
      </c>
      <c r="BA9" s="1312">
        <v>180</v>
      </c>
      <c r="BB9" s="1312">
        <v>240</v>
      </c>
      <c r="BC9" s="1312">
        <v>125</v>
      </c>
      <c r="BD9" s="1312">
        <v>175</v>
      </c>
      <c r="BE9" s="1312">
        <v>160</v>
      </c>
      <c r="BF9" s="1312"/>
      <c r="BG9" s="1312"/>
      <c r="BH9" s="254"/>
      <c r="BI9" s="1312">
        <v>1</v>
      </c>
      <c r="BJ9" s="1312">
        <v>1</v>
      </c>
      <c r="BK9" s="1312">
        <v>2</v>
      </c>
      <c r="BL9" s="1312">
        <v>2.08</v>
      </c>
      <c r="BM9" s="1352"/>
      <c r="BP9">
        <v>100</v>
      </c>
      <c r="BQ9" t="s">
        <v>367</v>
      </c>
      <c r="BV9" s="1312">
        <v>60</v>
      </c>
      <c r="BW9" s="1312">
        <v>245</v>
      </c>
      <c r="BX9" s="1312">
        <v>140</v>
      </c>
      <c r="BY9">
        <v>115</v>
      </c>
      <c r="BZ9" s="1312" t="s">
        <v>1580</v>
      </c>
      <c r="CA9" s="1352"/>
      <c r="CD9" s="1312">
        <v>183</v>
      </c>
      <c r="CE9" s="1312">
        <v>130</v>
      </c>
      <c r="CF9" s="254">
        <v>200</v>
      </c>
      <c r="CG9" s="1312">
        <v>150</v>
      </c>
      <c r="CH9" s="254">
        <v>285</v>
      </c>
      <c r="CI9">
        <v>320</v>
      </c>
      <c r="CJ9" s="1312" t="s">
        <v>1062</v>
      </c>
      <c r="CK9" s="1352"/>
      <c r="CM9" s="1351"/>
      <c r="CN9" s="1312">
        <v>330</v>
      </c>
      <c r="CO9" s="1312">
        <v>370</v>
      </c>
      <c r="CP9" s="1312">
        <v>850</v>
      </c>
      <c r="CQ9" s="1312">
        <v>470</v>
      </c>
      <c r="CR9" s="1352"/>
      <c r="CS9" s="254" t="s">
        <v>1617</v>
      </c>
      <c r="CT9" s="1312"/>
      <c r="CU9"/>
    </row>
    <row r="10" spans="1:99" x14ac:dyDescent="0.3">
      <c r="A10" s="1312">
        <v>9</v>
      </c>
      <c r="B10" s="254" t="s">
        <v>1202</v>
      </c>
      <c r="C10" s="1312" t="s">
        <v>1020</v>
      </c>
      <c r="D10" s="1312"/>
      <c r="E10" s="1312"/>
      <c r="F10" s="1312"/>
      <c r="G10" s="1312">
        <v>350</v>
      </c>
      <c r="H10" s="1312">
        <v>60</v>
      </c>
      <c r="I10" s="1312">
        <v>1260</v>
      </c>
      <c r="J10" s="1312">
        <v>590</v>
      </c>
      <c r="K10" s="1312">
        <v>600</v>
      </c>
      <c r="L10" s="1312">
        <v>180</v>
      </c>
      <c r="M10" s="1312"/>
      <c r="N10" s="254" t="s">
        <v>20</v>
      </c>
      <c r="O10" s="1641" t="s">
        <v>1979</v>
      </c>
      <c r="P10" t="s">
        <v>1779</v>
      </c>
      <c r="S10" s="1312">
        <v>9</v>
      </c>
      <c r="T10" s="1312"/>
      <c r="U10" s="1312">
        <v>280</v>
      </c>
      <c r="V10" s="1312">
        <v>870</v>
      </c>
      <c r="W10" s="1350">
        <v>80</v>
      </c>
      <c r="X10" s="1312" t="s">
        <v>1648</v>
      </c>
      <c r="AD10" s="1312">
        <v>84</v>
      </c>
      <c r="AE10" s="1312">
        <v>680</v>
      </c>
      <c r="AF10" s="1312">
        <v>135</v>
      </c>
      <c r="AG10" s="1312">
        <v>545</v>
      </c>
      <c r="AH10" s="1312">
        <v>200</v>
      </c>
      <c r="AI10" s="1312">
        <v>212</v>
      </c>
      <c r="AJ10" s="1312">
        <v>250</v>
      </c>
      <c r="AK10" s="1312">
        <v>78</v>
      </c>
      <c r="AL10" s="1312">
        <v>80</v>
      </c>
      <c r="AM10" s="1312">
        <v>135</v>
      </c>
      <c r="AN10" s="1350" t="s">
        <v>1115</v>
      </c>
      <c r="AQ10" s="1312">
        <v>133</v>
      </c>
      <c r="AR10" s="1312">
        <v>1350</v>
      </c>
      <c r="AS10" s="1312">
        <v>370</v>
      </c>
      <c r="AT10" s="1312">
        <v>980</v>
      </c>
      <c r="AU10" s="1312">
        <v>340</v>
      </c>
      <c r="AV10" s="1312">
        <v>355</v>
      </c>
      <c r="AW10" s="1312">
        <v>420</v>
      </c>
      <c r="AX10" s="1312">
        <v>65</v>
      </c>
      <c r="AY10" s="1312">
        <v>110</v>
      </c>
      <c r="AZ10" s="1312">
        <v>115</v>
      </c>
      <c r="BA10" s="1312">
        <v>160</v>
      </c>
      <c r="BB10" s="1312">
        <v>250</v>
      </c>
      <c r="BC10" s="1312">
        <v>140</v>
      </c>
      <c r="BD10" s="1312">
        <v>350</v>
      </c>
      <c r="BE10" s="1312">
        <v>300</v>
      </c>
      <c r="BF10" s="1312">
        <v>197.5</v>
      </c>
      <c r="BG10" s="1312">
        <v>45190</v>
      </c>
      <c r="BH10" s="254" t="s">
        <v>23</v>
      </c>
      <c r="BI10" s="1312">
        <v>385.9</v>
      </c>
      <c r="BJ10" s="1312">
        <v>214.2</v>
      </c>
      <c r="BK10" s="1312">
        <v>600.09999999999991</v>
      </c>
      <c r="BL10" s="1312">
        <v>624.10399999999993</v>
      </c>
      <c r="BM10" s="1352"/>
      <c r="BP10">
        <v>102.5</v>
      </c>
      <c r="BQ10" t="s">
        <v>368</v>
      </c>
      <c r="BV10" s="1312">
        <v>60</v>
      </c>
      <c r="BW10" s="1312">
        <v>245</v>
      </c>
      <c r="BX10" s="1312">
        <v>140</v>
      </c>
      <c r="BY10">
        <v>115</v>
      </c>
      <c r="BZ10" s="1312" t="s">
        <v>1580</v>
      </c>
      <c r="CA10" s="1352"/>
      <c r="CD10" s="1312">
        <v>150</v>
      </c>
      <c r="CE10" s="1312">
        <v>135</v>
      </c>
      <c r="CF10" s="254">
        <v>193</v>
      </c>
      <c r="CG10" s="1312">
        <v>150</v>
      </c>
      <c r="CH10" s="254">
        <v>185</v>
      </c>
      <c r="CI10">
        <v>320</v>
      </c>
      <c r="CJ10" s="1312" t="s">
        <v>1063</v>
      </c>
      <c r="CK10" s="1352"/>
      <c r="CM10" s="1351"/>
      <c r="CN10" s="1312">
        <v>330</v>
      </c>
      <c r="CO10" s="1312">
        <v>330</v>
      </c>
      <c r="CP10" s="1312">
        <v>240</v>
      </c>
      <c r="CQ10" s="1312"/>
      <c r="CR10" s="1352"/>
      <c r="CS10" s="254"/>
      <c r="CT10" s="1312"/>
      <c r="CU10"/>
    </row>
    <row r="11" spans="1:99" x14ac:dyDescent="0.3">
      <c r="A11" s="1312">
        <v>10</v>
      </c>
      <c r="B11" s="254" t="s">
        <v>1183</v>
      </c>
      <c r="C11" s="1312" t="s">
        <v>1757</v>
      </c>
      <c r="D11" s="1312"/>
      <c r="E11" s="1312"/>
      <c r="F11" s="1312"/>
      <c r="G11" s="1312">
        <v>360</v>
      </c>
      <c r="H11" s="1312">
        <v>11</v>
      </c>
      <c r="I11" s="1312">
        <v>530</v>
      </c>
      <c r="J11" s="1312">
        <v>410</v>
      </c>
      <c r="K11" s="1312">
        <v>420</v>
      </c>
      <c r="L11" s="1312">
        <v>70</v>
      </c>
      <c r="M11" s="1312"/>
      <c r="N11" s="254"/>
      <c r="O11" s="1641"/>
      <c r="P11" t="s">
        <v>1780</v>
      </c>
      <c r="S11" s="1312">
        <v>10</v>
      </c>
      <c r="T11" s="1312" t="s">
        <v>1649</v>
      </c>
      <c r="U11" s="1312">
        <v>315</v>
      </c>
      <c r="V11" s="1312">
        <v>760</v>
      </c>
      <c r="W11" s="1350">
        <v>80</v>
      </c>
      <c r="X11" s="1312"/>
      <c r="AD11" s="1312">
        <v>141</v>
      </c>
      <c r="AE11" s="1312">
        <v>710</v>
      </c>
      <c r="AF11" s="1312">
        <v>150</v>
      </c>
      <c r="AG11" s="1312">
        <v>560</v>
      </c>
      <c r="AH11" s="1312">
        <v>1880</v>
      </c>
      <c r="AI11" s="1312">
        <v>1900</v>
      </c>
      <c r="AJ11" s="1312">
        <v>1920</v>
      </c>
      <c r="AK11" s="1312">
        <v>43</v>
      </c>
      <c r="AL11" s="1312">
        <v>60</v>
      </c>
      <c r="AM11" s="1312">
        <v>90</v>
      </c>
      <c r="AN11" s="1350" t="s">
        <v>1116</v>
      </c>
      <c r="AQ11" s="1312">
        <v>134</v>
      </c>
      <c r="AR11" s="1312">
        <v>1450</v>
      </c>
      <c r="AS11" s="1312">
        <v>390</v>
      </c>
      <c r="AT11" s="1312">
        <v>1060</v>
      </c>
      <c r="AU11" s="1312">
        <v>355</v>
      </c>
      <c r="AV11" s="1312">
        <v>380</v>
      </c>
      <c r="AW11" s="1312">
        <v>450</v>
      </c>
      <c r="AX11" s="1312">
        <v>83</v>
      </c>
      <c r="AY11" s="1312">
        <v>170</v>
      </c>
      <c r="AZ11" s="1312">
        <v>190</v>
      </c>
      <c r="BA11" s="1312">
        <v>180</v>
      </c>
      <c r="BB11" s="1312">
        <v>260</v>
      </c>
      <c r="BC11" s="1312">
        <v>150</v>
      </c>
      <c r="BD11" s="1312">
        <v>350</v>
      </c>
      <c r="BE11" s="1312">
        <v>320</v>
      </c>
      <c r="BF11" s="1312">
        <v>202.5</v>
      </c>
      <c r="BG11" s="1312">
        <v>45006</v>
      </c>
      <c r="BH11" s="254" t="s">
        <v>23</v>
      </c>
      <c r="BI11" s="1312">
        <v>438.3</v>
      </c>
      <c r="BJ11" s="1312">
        <v>246.3</v>
      </c>
      <c r="BK11" s="1312">
        <v>684.6</v>
      </c>
      <c r="BL11" s="1312">
        <v>711.98400000000004</v>
      </c>
      <c r="BM11" s="1352" t="s">
        <v>1280</v>
      </c>
      <c r="BP11">
        <v>105</v>
      </c>
      <c r="BQ11" t="s">
        <v>369</v>
      </c>
      <c r="BV11" s="1312">
        <v>60</v>
      </c>
      <c r="BW11" s="1312">
        <v>245</v>
      </c>
      <c r="BX11" s="1312">
        <v>140</v>
      </c>
      <c r="BY11">
        <v>115</v>
      </c>
      <c r="BZ11" s="1312" t="s">
        <v>1580</v>
      </c>
      <c r="CA11" s="1352"/>
      <c r="CD11" s="1312">
        <v>180</v>
      </c>
      <c r="CE11" s="1312">
        <v>135</v>
      </c>
      <c r="CF11" s="254">
        <v>200</v>
      </c>
      <c r="CG11" s="1312">
        <v>150</v>
      </c>
      <c r="CH11" s="254">
        <v>285</v>
      </c>
      <c r="CI11">
        <v>320</v>
      </c>
      <c r="CJ11" s="1312" t="s">
        <v>1062</v>
      </c>
      <c r="CK11" s="1352"/>
      <c r="CM11" s="1351"/>
      <c r="CN11" s="1312">
        <v>325</v>
      </c>
      <c r="CO11" s="1312">
        <v>370</v>
      </c>
      <c r="CP11" s="1312">
        <v>1000</v>
      </c>
      <c r="CQ11" s="1312">
        <v>470</v>
      </c>
      <c r="CR11" s="1352"/>
      <c r="CS11" s="254" t="s">
        <v>1619</v>
      </c>
      <c r="CT11" s="1312"/>
      <c r="CU11"/>
    </row>
    <row r="12" spans="1:99" ht="28.8" x14ac:dyDescent="0.3">
      <c r="A12" s="1312">
        <v>11</v>
      </c>
      <c r="B12" s="254"/>
      <c r="C12" s="1312" t="s">
        <v>1204</v>
      </c>
      <c r="D12" s="1312"/>
      <c r="E12" s="1312"/>
      <c r="F12" s="1312"/>
      <c r="G12" s="1312">
        <v>365</v>
      </c>
      <c r="H12" s="1312">
        <v>5</v>
      </c>
      <c r="I12" s="1312">
        <v>510</v>
      </c>
      <c r="J12" s="1312">
        <v>405</v>
      </c>
      <c r="K12" s="1312">
        <v>425</v>
      </c>
      <c r="L12" s="1312">
        <v>130</v>
      </c>
      <c r="M12" s="1312"/>
      <c r="N12" s="254"/>
      <c r="O12" s="1641"/>
      <c r="P12" t="s">
        <v>1758</v>
      </c>
      <c r="S12" s="1312">
        <v>11</v>
      </c>
      <c r="T12" s="1312" t="s">
        <v>1732</v>
      </c>
      <c r="U12" s="1312">
        <v>320</v>
      </c>
      <c r="V12" s="1312">
        <v>720</v>
      </c>
      <c r="W12" s="1350">
        <v>80</v>
      </c>
      <c r="X12" s="1312" t="s">
        <v>1651</v>
      </c>
      <c r="AD12" s="1312">
        <v>97</v>
      </c>
      <c r="AE12" s="1312">
        <v>680</v>
      </c>
      <c r="AF12" s="1312">
        <v>110</v>
      </c>
      <c r="AG12" s="1312">
        <v>570</v>
      </c>
      <c r="AH12" s="1312">
        <v>295</v>
      </c>
      <c r="AI12" s="1312">
        <v>305</v>
      </c>
      <c r="AJ12" s="1312">
        <v>355</v>
      </c>
      <c r="AK12" s="1312">
        <v>27</v>
      </c>
      <c r="AL12" s="1312">
        <v>38</v>
      </c>
      <c r="AM12" s="1312">
        <v>60</v>
      </c>
      <c r="AQ12" s="1312">
        <v>135</v>
      </c>
      <c r="AR12" s="1312">
        <v>1350</v>
      </c>
      <c r="AS12" s="1312">
        <v>380</v>
      </c>
      <c r="AT12" s="1312">
        <v>970</v>
      </c>
      <c r="AU12" s="1312">
        <v>340</v>
      </c>
      <c r="AV12" s="1312">
        <v>360</v>
      </c>
      <c r="AW12" s="1312">
        <v>430</v>
      </c>
      <c r="AX12" s="1312">
        <v>63</v>
      </c>
      <c r="AY12" s="1312">
        <v>108</v>
      </c>
      <c r="AZ12" s="1312">
        <v>118</v>
      </c>
      <c r="BA12" s="1312">
        <v>158</v>
      </c>
      <c r="BB12" s="1312">
        <v>248</v>
      </c>
      <c r="BC12" s="1312">
        <v>130</v>
      </c>
      <c r="BD12" s="1312">
        <v>350</v>
      </c>
      <c r="BE12" s="1312">
        <v>320</v>
      </c>
      <c r="BF12" s="1312">
        <v>168</v>
      </c>
      <c r="BG12" s="1312" t="s">
        <v>1281</v>
      </c>
      <c r="BH12" s="254" t="s">
        <v>23</v>
      </c>
      <c r="BI12" s="1312">
        <v>349</v>
      </c>
      <c r="BJ12" s="1312">
        <v>209.7</v>
      </c>
      <c r="BK12" s="1312">
        <v>558.70000000000005</v>
      </c>
      <c r="BL12" s="1312">
        <v>581.04800000000012</v>
      </c>
      <c r="BM12" s="1352"/>
      <c r="BP12">
        <v>107.5</v>
      </c>
      <c r="BQ12" t="s">
        <v>370</v>
      </c>
      <c r="BV12" s="1312">
        <v>60</v>
      </c>
      <c r="BW12" s="1312">
        <v>245</v>
      </c>
      <c r="BX12" s="1312">
        <v>140</v>
      </c>
      <c r="BY12">
        <v>115</v>
      </c>
      <c r="BZ12" s="1312" t="s">
        <v>1580</v>
      </c>
      <c r="CA12" s="1352"/>
      <c r="CD12" s="1312">
        <v>220</v>
      </c>
      <c r="CE12" s="1312">
        <v>135</v>
      </c>
      <c r="CF12" s="254">
        <v>320</v>
      </c>
      <c r="CG12" s="1312">
        <v>260</v>
      </c>
      <c r="CH12" s="254">
        <v>285</v>
      </c>
      <c r="CI12">
        <v>320</v>
      </c>
      <c r="CJ12" s="1312">
        <v>10256072</v>
      </c>
      <c r="CK12" s="1352"/>
      <c r="CM12" s="1351"/>
      <c r="CN12" s="1312">
        <v>310</v>
      </c>
      <c r="CO12" s="1312">
        <v>330</v>
      </c>
      <c r="CP12" s="1312">
        <v>800</v>
      </c>
      <c r="CQ12" s="1312">
        <v>400</v>
      </c>
      <c r="CR12" s="1352" t="s">
        <v>1620</v>
      </c>
      <c r="CS12" s="254"/>
      <c r="CT12" s="1312"/>
      <c r="CU12"/>
    </row>
    <row r="13" spans="1:99" x14ac:dyDescent="0.3">
      <c r="A13" s="1312">
        <v>13</v>
      </c>
      <c r="B13" s="254"/>
      <c r="C13" s="1312" t="s">
        <v>1254</v>
      </c>
      <c r="D13" s="1312">
        <v>405</v>
      </c>
      <c r="E13" s="1312">
        <v>2.5</v>
      </c>
      <c r="F13" s="1312">
        <v>100</v>
      </c>
      <c r="G13" s="1312">
        <v>380</v>
      </c>
      <c r="H13" s="1312">
        <v>8</v>
      </c>
      <c r="I13" s="1312">
        <v>525</v>
      </c>
      <c r="J13" s="1312">
        <v>445</v>
      </c>
      <c r="K13" s="1312">
        <v>460</v>
      </c>
      <c r="L13" s="1312">
        <v>150</v>
      </c>
      <c r="M13" s="1312"/>
      <c r="N13" s="254"/>
      <c r="O13" s="1641"/>
      <c r="P13"/>
      <c r="S13" s="1312">
        <v>12</v>
      </c>
      <c r="T13" s="1312" t="s">
        <v>1650</v>
      </c>
      <c r="U13" s="1312">
        <v>320</v>
      </c>
      <c r="V13" s="1312">
        <v>730</v>
      </c>
      <c r="W13" s="1350">
        <v>80</v>
      </c>
      <c r="X13" s="1312" t="s">
        <v>1733</v>
      </c>
      <c r="AD13" s="1312">
        <v>53</v>
      </c>
      <c r="AE13" s="1312">
        <v>690</v>
      </c>
      <c r="AF13" s="1312">
        <v>110</v>
      </c>
      <c r="AG13" s="1312">
        <v>580</v>
      </c>
      <c r="AH13" s="1312">
        <v>235</v>
      </c>
      <c r="AI13" s="1312">
        <v>247</v>
      </c>
      <c r="AJ13" s="1312">
        <v>265</v>
      </c>
      <c r="AK13" s="1312">
        <v>64</v>
      </c>
      <c r="AL13" s="1312">
        <v>74</v>
      </c>
      <c r="AM13" s="1312">
        <v>120</v>
      </c>
      <c r="AN13" s="1350" t="s">
        <v>1117</v>
      </c>
      <c r="AQ13" s="1312">
        <v>136</v>
      </c>
      <c r="AR13" s="1312">
        <v>1280</v>
      </c>
      <c r="AS13" s="1312">
        <v>380</v>
      </c>
      <c r="AT13" s="1312">
        <v>900</v>
      </c>
      <c r="AU13" s="1312">
        <v>405</v>
      </c>
      <c r="AV13" s="1312">
        <v>420</v>
      </c>
      <c r="AW13" s="1312">
        <v>500</v>
      </c>
      <c r="AX13" s="1312">
        <v>35</v>
      </c>
      <c r="AY13" s="1312">
        <v>65</v>
      </c>
      <c r="AZ13" s="1312">
        <v>75</v>
      </c>
      <c r="BA13" s="1312">
        <v>130</v>
      </c>
      <c r="BB13" s="1312">
        <v>200</v>
      </c>
      <c r="BC13" s="1312">
        <v>130</v>
      </c>
      <c r="BD13" s="1312">
        <v>310</v>
      </c>
      <c r="BE13" s="1312">
        <v>250</v>
      </c>
      <c r="BF13" s="1312">
        <v>164</v>
      </c>
      <c r="BG13" s="1312">
        <v>44592</v>
      </c>
      <c r="BH13" s="254" t="s">
        <v>23</v>
      </c>
      <c r="BI13" s="1312">
        <v>329</v>
      </c>
      <c r="BJ13" s="1312">
        <v>213</v>
      </c>
      <c r="BK13" s="1312">
        <v>542</v>
      </c>
      <c r="BL13" s="1312">
        <v>563.68000000000006</v>
      </c>
      <c r="BM13" s="1352"/>
      <c r="BP13">
        <v>110</v>
      </c>
      <c r="BQ13" t="s">
        <v>371</v>
      </c>
      <c r="BV13" s="1312">
        <v>60</v>
      </c>
      <c r="BW13" s="1312">
        <v>245</v>
      </c>
      <c r="BX13" s="1312">
        <v>140</v>
      </c>
      <c r="BY13">
        <v>115</v>
      </c>
      <c r="BZ13" s="1312" t="s">
        <v>1580</v>
      </c>
      <c r="CA13" s="1352"/>
      <c r="CD13" s="1312">
        <v>226</v>
      </c>
      <c r="CE13" s="1312">
        <v>140</v>
      </c>
      <c r="CF13" s="254">
        <v>265</v>
      </c>
      <c r="CG13" s="1312">
        <v>203</v>
      </c>
      <c r="CH13" s="254">
        <v>285</v>
      </c>
      <c r="CI13">
        <v>320</v>
      </c>
      <c r="CJ13" s="1312" t="s">
        <v>1064</v>
      </c>
      <c r="CK13" s="1352"/>
      <c r="CM13" s="1351"/>
      <c r="CN13" s="1312">
        <v>275</v>
      </c>
      <c r="CO13" s="1312">
        <v>290</v>
      </c>
      <c r="CP13" s="1312">
        <v>800</v>
      </c>
      <c r="CQ13" s="1312">
        <v>315</v>
      </c>
      <c r="CR13" s="1352" t="s">
        <v>1621</v>
      </c>
      <c r="CS13" s="254"/>
      <c r="CT13" s="1312"/>
      <c r="CU13"/>
    </row>
    <row r="14" spans="1:99" x14ac:dyDescent="0.3">
      <c r="A14" s="1312">
        <v>12</v>
      </c>
      <c r="B14" s="254"/>
      <c r="C14" s="1312" t="s">
        <v>1205</v>
      </c>
      <c r="D14" s="1312"/>
      <c r="E14" s="1312"/>
      <c r="F14" s="1312"/>
      <c r="G14" s="1312">
        <v>380</v>
      </c>
      <c r="H14" s="1312">
        <v>5</v>
      </c>
      <c r="I14" s="1312">
        <v>490</v>
      </c>
      <c r="J14" s="1312">
        <v>420</v>
      </c>
      <c r="K14" s="1312">
        <v>435</v>
      </c>
      <c r="L14" s="1312">
        <v>100</v>
      </c>
      <c r="M14" s="1312"/>
      <c r="N14" s="254"/>
      <c r="O14" s="1641"/>
      <c r="P14"/>
      <c r="S14" s="1312">
        <v>13</v>
      </c>
      <c r="T14" s="1312">
        <v>52427</v>
      </c>
      <c r="U14" s="1312">
        <v>330</v>
      </c>
      <c r="V14" s="1312">
        <v>1060</v>
      </c>
      <c r="W14" s="1350">
        <v>80</v>
      </c>
      <c r="X14" s="1312"/>
      <c r="AD14" s="1312">
        <v>113</v>
      </c>
      <c r="AE14" s="1312">
        <v>735</v>
      </c>
      <c r="AF14" s="1312">
        <v>150</v>
      </c>
      <c r="AG14" s="1312">
        <v>585</v>
      </c>
      <c r="AH14" s="1312">
        <v>115</v>
      </c>
      <c r="AI14" s="1312">
        <v>120</v>
      </c>
      <c r="AJ14" s="1312">
        <v>160</v>
      </c>
      <c r="AK14" s="1312">
        <v>70</v>
      </c>
      <c r="AL14" s="1312">
        <v>75</v>
      </c>
      <c r="AM14" s="1312">
        <v>140</v>
      </c>
      <c r="AN14" s="1350" t="s">
        <v>1118</v>
      </c>
      <c r="AQ14" s="1312">
        <v>137</v>
      </c>
      <c r="AR14" s="1312">
        <v>1770</v>
      </c>
      <c r="AS14" s="1312">
        <v>470</v>
      </c>
      <c r="AT14" s="1312">
        <v>1300</v>
      </c>
      <c r="AU14" s="1312">
        <v>480</v>
      </c>
      <c r="AV14" s="1312">
        <v>500</v>
      </c>
      <c r="AW14" s="1312">
        <v>555</v>
      </c>
      <c r="AX14" s="1312">
        <v>100</v>
      </c>
      <c r="AY14" s="1312">
        <v>160</v>
      </c>
      <c r="AZ14" s="1312">
        <v>170</v>
      </c>
      <c r="BA14" s="1312">
        <v>310</v>
      </c>
      <c r="BB14" s="1312">
        <v>430</v>
      </c>
      <c r="BC14" s="1312">
        <v>160</v>
      </c>
      <c r="BD14" s="1312">
        <v>400</v>
      </c>
      <c r="BE14" s="1312">
        <v>400</v>
      </c>
      <c r="BF14" s="1312">
        <v>177.5</v>
      </c>
      <c r="BG14" s="1312">
        <v>44624</v>
      </c>
      <c r="BH14" s="254" t="s">
        <v>23</v>
      </c>
      <c r="BI14" s="1312">
        <v>937.6</v>
      </c>
      <c r="BJ14" s="1312">
        <v>563.4</v>
      </c>
      <c r="BK14" s="1312">
        <v>1501</v>
      </c>
      <c r="BL14" s="1312">
        <v>1561.04</v>
      </c>
      <c r="BM14" s="1352"/>
      <c r="BP14">
        <v>112.5</v>
      </c>
      <c r="BQ14" t="s">
        <v>372</v>
      </c>
      <c r="BV14" s="1312">
        <v>60</v>
      </c>
      <c r="BW14" s="1312">
        <v>245</v>
      </c>
      <c r="BX14" s="1312">
        <v>140</v>
      </c>
      <c r="BY14">
        <v>115</v>
      </c>
      <c r="BZ14" s="1312" t="s">
        <v>1580</v>
      </c>
      <c r="CA14" s="1352"/>
      <c r="CD14" s="1312">
        <v>160</v>
      </c>
      <c r="CE14" s="1312">
        <v>142.5</v>
      </c>
      <c r="CF14" s="254">
        <v>200</v>
      </c>
      <c r="CG14" s="1312">
        <v>150</v>
      </c>
      <c r="CH14" s="254">
        <v>285</v>
      </c>
      <c r="CI14">
        <v>320</v>
      </c>
      <c r="CJ14" s="1312" t="s">
        <v>1065</v>
      </c>
      <c r="CK14" s="1352"/>
      <c r="CM14" s="1351"/>
      <c r="CN14" s="1312">
        <v>250</v>
      </c>
      <c r="CO14" s="1312">
        <v>270</v>
      </c>
      <c r="CP14" s="1312">
        <v>800</v>
      </c>
      <c r="CQ14" s="1312">
        <v>400</v>
      </c>
      <c r="CR14" s="1352"/>
      <c r="CS14" s="254" t="s">
        <v>1622</v>
      </c>
      <c r="CT14" s="1312"/>
      <c r="CU14"/>
    </row>
    <row r="15" spans="1:99" x14ac:dyDescent="0.3">
      <c r="A15" s="1312">
        <v>14</v>
      </c>
      <c r="B15" s="254" t="s">
        <v>1202</v>
      </c>
      <c r="C15" s="1312" t="s">
        <v>1022</v>
      </c>
      <c r="D15" s="1312"/>
      <c r="E15" s="1312"/>
      <c r="F15" s="1312"/>
      <c r="G15" s="1312">
        <v>395</v>
      </c>
      <c r="H15" s="1312">
        <v>73.5</v>
      </c>
      <c r="I15" s="1312">
        <v>1550</v>
      </c>
      <c r="J15" s="1312">
        <v>635</v>
      </c>
      <c r="K15" s="1312">
        <v>660</v>
      </c>
      <c r="L15" s="1312">
        <v>220</v>
      </c>
      <c r="M15" s="1312" t="s">
        <v>1206</v>
      </c>
      <c r="N15" s="254"/>
      <c r="O15" s="1641"/>
      <c r="P15"/>
      <c r="S15" s="1312">
        <v>14</v>
      </c>
      <c r="T15" s="1312" t="s">
        <v>2030</v>
      </c>
      <c r="U15" s="1312">
        <v>340</v>
      </c>
      <c r="V15" s="1312">
        <v>550</v>
      </c>
      <c r="W15" s="1350">
        <v>80</v>
      </c>
      <c r="X15" s="1312" t="s">
        <v>1861</v>
      </c>
      <c r="AD15" s="1312">
        <v>96</v>
      </c>
      <c r="AE15" s="1312">
        <v>735</v>
      </c>
      <c r="AF15" s="1312">
        <v>150</v>
      </c>
      <c r="AG15" s="1312">
        <v>585</v>
      </c>
      <c r="AH15" s="1312">
        <v>185</v>
      </c>
      <c r="AI15" s="1312">
        <v>195</v>
      </c>
      <c r="AJ15" s="1312">
        <v>235</v>
      </c>
      <c r="AK15" s="1312">
        <v>37</v>
      </c>
      <c r="AL15" s="1312">
        <v>45</v>
      </c>
      <c r="AM15" s="1312">
        <v>115</v>
      </c>
      <c r="BP15">
        <v>115</v>
      </c>
      <c r="BQ15" t="s">
        <v>373</v>
      </c>
      <c r="BV15" s="1312">
        <v>60</v>
      </c>
      <c r="BW15" s="1312">
        <v>245</v>
      </c>
      <c r="BX15" s="1312">
        <v>140</v>
      </c>
      <c r="BY15">
        <v>115</v>
      </c>
      <c r="BZ15" s="1312" t="s">
        <v>1580</v>
      </c>
      <c r="CA15" s="1352"/>
      <c r="CD15" s="1312">
        <v>161</v>
      </c>
      <c r="CE15" s="1312">
        <v>145</v>
      </c>
      <c r="CF15" s="254">
        <v>200</v>
      </c>
      <c r="CG15" s="1312">
        <v>150</v>
      </c>
      <c r="CH15" s="254">
        <v>285</v>
      </c>
      <c r="CI15">
        <v>320</v>
      </c>
      <c r="CJ15" s="1312" t="s">
        <v>1065</v>
      </c>
      <c r="CK15" s="1352"/>
      <c r="CM15" s="1351"/>
      <c r="CN15" s="1312">
        <v>250</v>
      </c>
      <c r="CO15" s="1312">
        <v>270</v>
      </c>
      <c r="CP15" s="1312">
        <v>800</v>
      </c>
      <c r="CQ15" s="1312">
        <v>400</v>
      </c>
      <c r="CR15" s="1352" t="s">
        <v>1623</v>
      </c>
      <c r="CS15" s="254" t="s">
        <v>1622</v>
      </c>
      <c r="CT15" s="1312"/>
      <c r="CU15"/>
    </row>
    <row r="16" spans="1:99" ht="28.8" x14ac:dyDescent="0.3">
      <c r="A16" s="1312">
        <v>15</v>
      </c>
      <c r="B16" s="254" t="s">
        <v>1202</v>
      </c>
      <c r="C16" s="1312" t="s">
        <v>1021</v>
      </c>
      <c r="D16" s="1312"/>
      <c r="E16" s="1312"/>
      <c r="F16" s="1312"/>
      <c r="G16" s="1312">
        <v>400</v>
      </c>
      <c r="H16" s="1312">
        <v>72.5</v>
      </c>
      <c r="I16" s="1312">
        <v>1550</v>
      </c>
      <c r="J16" s="1312">
        <v>640</v>
      </c>
      <c r="K16" s="1312">
        <v>670</v>
      </c>
      <c r="L16" s="1312">
        <v>180</v>
      </c>
      <c r="M16" s="1312" t="s">
        <v>1267</v>
      </c>
      <c r="N16" s="254" t="s">
        <v>20</v>
      </c>
      <c r="O16" s="1641" t="s">
        <v>1980</v>
      </c>
      <c r="P16" t="s">
        <v>1781</v>
      </c>
      <c r="S16" s="1312">
        <v>15</v>
      </c>
      <c r="T16" s="1312"/>
      <c r="U16" s="1312">
        <v>340</v>
      </c>
      <c r="V16" s="1312">
        <v>780</v>
      </c>
      <c r="W16" s="1350">
        <v>80</v>
      </c>
      <c r="X16" s="1312"/>
      <c r="AD16" s="1312">
        <v>50</v>
      </c>
      <c r="AE16" s="1312">
        <v>690</v>
      </c>
      <c r="AF16" s="1312">
        <v>100</v>
      </c>
      <c r="AG16" s="1312">
        <v>590</v>
      </c>
      <c r="AH16" s="1312">
        <v>227</v>
      </c>
      <c r="AI16" s="1312">
        <v>240</v>
      </c>
      <c r="AJ16" s="1312">
        <v>270</v>
      </c>
      <c r="AK16" s="1312">
        <v>28</v>
      </c>
      <c r="AL16" s="1312">
        <v>38</v>
      </c>
      <c r="AM16" s="1312">
        <v>80</v>
      </c>
      <c r="BP16">
        <v>117.5</v>
      </c>
      <c r="BQ16" t="s">
        <v>374</v>
      </c>
      <c r="BV16" s="1312">
        <v>60</v>
      </c>
      <c r="BW16" s="1312">
        <v>242</v>
      </c>
      <c r="BX16" s="1312">
        <v>140</v>
      </c>
      <c r="BY16">
        <v>115</v>
      </c>
      <c r="BZ16" s="1312" t="s">
        <v>1580</v>
      </c>
      <c r="CA16" s="1352"/>
      <c r="CD16" s="1312">
        <v>161</v>
      </c>
      <c r="CE16" s="1312">
        <v>145</v>
      </c>
      <c r="CF16" s="254">
        <v>200</v>
      </c>
      <c r="CG16" s="1312">
        <v>148</v>
      </c>
      <c r="CH16" s="254">
        <v>285</v>
      </c>
      <c r="CI16">
        <v>320</v>
      </c>
      <c r="CJ16" s="1312" t="s">
        <v>1065</v>
      </c>
      <c r="CK16" s="1352"/>
      <c r="CM16" s="1351"/>
      <c r="CN16" s="1312">
        <v>240</v>
      </c>
      <c r="CO16" s="1312">
        <v>250</v>
      </c>
      <c r="CP16" s="1312">
        <v>800</v>
      </c>
      <c r="CQ16" s="1312">
        <v>315</v>
      </c>
      <c r="CR16" s="1352" t="s">
        <v>2137</v>
      </c>
      <c r="CS16" s="254"/>
      <c r="CT16" s="1312"/>
      <c r="CU16"/>
    </row>
    <row r="17" spans="1:99" x14ac:dyDescent="0.3">
      <c r="A17" s="1312">
        <v>16</v>
      </c>
      <c r="B17" s="254"/>
      <c r="C17" s="1312"/>
      <c r="D17" s="1312">
        <v>465</v>
      </c>
      <c r="E17" s="1312">
        <v>3.5</v>
      </c>
      <c r="F17" s="1312">
        <v>150</v>
      </c>
      <c r="G17" s="1312">
        <v>405</v>
      </c>
      <c r="H17" s="1312">
        <v>2.5</v>
      </c>
      <c r="I17" s="1312">
        <v>200</v>
      </c>
      <c r="J17" s="1312">
        <v>525</v>
      </c>
      <c r="K17" s="1312">
        <v>545</v>
      </c>
      <c r="L17" s="1312">
        <v>150</v>
      </c>
      <c r="M17" s="1312"/>
      <c r="N17" s="254"/>
      <c r="O17" s="1641"/>
      <c r="P17"/>
      <c r="S17" s="1312">
        <v>16</v>
      </c>
      <c r="T17" s="1312"/>
      <c r="U17" s="1312">
        <v>350</v>
      </c>
      <c r="V17" s="1312">
        <v>740</v>
      </c>
      <c r="W17" s="1350">
        <v>80</v>
      </c>
      <c r="X17" s="1312"/>
      <c r="AD17" s="1312">
        <v>49</v>
      </c>
      <c r="AE17" s="1312">
        <v>780</v>
      </c>
      <c r="AF17" s="1312">
        <v>190</v>
      </c>
      <c r="AG17" s="1312">
        <v>590</v>
      </c>
      <c r="AH17" s="1312">
        <v>265</v>
      </c>
      <c r="AI17" s="1312">
        <v>270</v>
      </c>
      <c r="AJ17" s="1312">
        <v>320</v>
      </c>
      <c r="AK17" s="1312">
        <v>50</v>
      </c>
      <c r="AL17" s="1312">
        <v>60</v>
      </c>
      <c r="AM17" s="1312">
        <v>140</v>
      </c>
      <c r="AN17" s="1350" t="s">
        <v>1119</v>
      </c>
      <c r="BP17">
        <v>120</v>
      </c>
      <c r="BQ17" t="s">
        <v>375</v>
      </c>
      <c r="BV17" s="1312">
        <v>62.5</v>
      </c>
      <c r="BW17" s="1312">
        <v>245</v>
      </c>
      <c r="BX17" s="1312">
        <v>140</v>
      </c>
      <c r="BY17">
        <v>115</v>
      </c>
      <c r="BZ17" s="1312" t="s">
        <v>1581</v>
      </c>
      <c r="CA17" s="1352"/>
      <c r="CD17" s="1312">
        <v>160</v>
      </c>
      <c r="CE17" s="1312">
        <v>145</v>
      </c>
      <c r="CF17" s="254">
        <v>200</v>
      </c>
      <c r="CG17" s="1312">
        <v>150</v>
      </c>
      <c r="CH17" s="254">
        <v>285</v>
      </c>
      <c r="CI17">
        <v>320</v>
      </c>
      <c r="CJ17" s="1312" t="s">
        <v>1065</v>
      </c>
      <c r="CK17" s="1352"/>
      <c r="CM17" s="1351"/>
      <c r="CN17" s="1312">
        <v>220</v>
      </c>
      <c r="CO17" s="1312">
        <v>235</v>
      </c>
      <c r="CP17" s="1312">
        <v>420</v>
      </c>
      <c r="CQ17" s="1312">
        <v>305</v>
      </c>
      <c r="CR17" s="1352"/>
      <c r="CS17" s="254"/>
      <c r="CT17" s="1312"/>
      <c r="CU17"/>
    </row>
    <row r="18" spans="1:99" x14ac:dyDescent="0.3">
      <c r="A18" s="1312">
        <v>17</v>
      </c>
      <c r="B18" s="254" t="s">
        <v>1255</v>
      </c>
      <c r="C18" s="1312">
        <v>52427</v>
      </c>
      <c r="D18" s="1312">
        <v>427</v>
      </c>
      <c r="E18" s="1312">
        <v>2.5</v>
      </c>
      <c r="F18" s="1312">
        <v>185</v>
      </c>
      <c r="G18" s="1312">
        <v>410</v>
      </c>
      <c r="H18" s="1312">
        <v>2.5</v>
      </c>
      <c r="I18" s="1312">
        <v>660</v>
      </c>
      <c r="J18" s="1312">
        <v>470</v>
      </c>
      <c r="K18" s="1312">
        <v>500</v>
      </c>
      <c r="L18" s="1312">
        <v>165</v>
      </c>
      <c r="M18" s="1312">
        <v>45352</v>
      </c>
      <c r="N18" s="254" t="s">
        <v>20</v>
      </c>
      <c r="O18" s="1641" t="s">
        <v>1981</v>
      </c>
      <c r="P18" t="s">
        <v>1759</v>
      </c>
      <c r="S18" s="1312">
        <v>17</v>
      </c>
      <c r="T18" s="1312" t="s">
        <v>1268</v>
      </c>
      <c r="U18" s="1312">
        <v>350</v>
      </c>
      <c r="V18" s="1312">
        <v>560</v>
      </c>
      <c r="W18" s="1350">
        <v>80</v>
      </c>
      <c r="X18" s="1312" t="s">
        <v>2039</v>
      </c>
      <c r="AD18" s="1312">
        <v>52</v>
      </c>
      <c r="AE18" s="1312">
        <v>690</v>
      </c>
      <c r="AF18" s="1312">
        <v>100</v>
      </c>
      <c r="AG18" s="1312">
        <v>590</v>
      </c>
      <c r="AH18" s="1312">
        <v>272</v>
      </c>
      <c r="AI18" s="1312">
        <v>285</v>
      </c>
      <c r="AJ18" s="1312">
        <v>295</v>
      </c>
      <c r="AK18" s="1312">
        <v>125</v>
      </c>
      <c r="AL18" s="1312">
        <v>130</v>
      </c>
      <c r="AM18" s="1312">
        <v>175</v>
      </c>
      <c r="AN18" s="1350" t="s">
        <v>1120</v>
      </c>
      <c r="BP18">
        <v>122.5</v>
      </c>
      <c r="BQ18" t="s">
        <v>376</v>
      </c>
      <c r="BV18" s="1312">
        <v>62.5</v>
      </c>
      <c r="BW18" s="1312">
        <v>245</v>
      </c>
      <c r="BX18" s="1312">
        <v>140</v>
      </c>
      <c r="BY18">
        <v>115</v>
      </c>
      <c r="BZ18" s="1312" t="s">
        <v>1581</v>
      </c>
      <c r="CA18" s="1352"/>
      <c r="CD18" s="1312">
        <v>181</v>
      </c>
      <c r="CE18" s="1312">
        <v>150</v>
      </c>
      <c r="CF18" s="254">
        <v>200</v>
      </c>
      <c r="CG18" s="1312">
        <v>147</v>
      </c>
      <c r="CH18" s="254">
        <v>285</v>
      </c>
      <c r="CI18">
        <v>320</v>
      </c>
      <c r="CJ18" s="1312" t="s">
        <v>1066</v>
      </c>
      <c r="CK18" s="1352"/>
      <c r="CM18" s="1351"/>
      <c r="CN18" s="1312">
        <v>200</v>
      </c>
      <c r="CO18" s="1312">
        <v>213</v>
      </c>
      <c r="CP18" s="1312">
        <v>400</v>
      </c>
      <c r="CQ18" s="1312">
        <v>310</v>
      </c>
      <c r="CR18" s="1352"/>
      <c r="CS18" s="254"/>
      <c r="CT18" s="1312"/>
      <c r="CU18"/>
    </row>
    <row r="19" spans="1:99" ht="57.6" x14ac:dyDescent="0.3">
      <c r="A19" s="1312">
        <v>18</v>
      </c>
      <c r="B19" s="254"/>
      <c r="C19" s="1312" t="s">
        <v>1207</v>
      </c>
      <c r="D19" s="1312"/>
      <c r="E19" s="1312"/>
      <c r="F19" s="1312"/>
      <c r="G19" s="1312">
        <v>415</v>
      </c>
      <c r="H19" s="1312">
        <v>5</v>
      </c>
      <c r="I19" s="1312">
        <v>555</v>
      </c>
      <c r="J19" s="1312">
        <v>470</v>
      </c>
      <c r="K19" s="1312">
        <v>490</v>
      </c>
      <c r="L19" s="1312">
        <v>135</v>
      </c>
      <c r="M19" s="1312"/>
      <c r="N19" s="254" t="s">
        <v>6</v>
      </c>
      <c r="O19" s="1641"/>
      <c r="P19"/>
      <c r="S19" s="1312">
        <v>18</v>
      </c>
      <c r="T19" s="1312"/>
      <c r="U19" s="1312">
        <v>355</v>
      </c>
      <c r="V19" s="1312">
        <v>890</v>
      </c>
      <c r="W19" s="1350">
        <v>80</v>
      </c>
      <c r="X19" s="1312"/>
      <c r="AD19" s="1312">
        <v>83</v>
      </c>
      <c r="AE19" s="1312">
        <v>715</v>
      </c>
      <c r="AF19" s="1312">
        <v>120</v>
      </c>
      <c r="AG19" s="1312">
        <v>595</v>
      </c>
      <c r="AH19" s="1312">
        <v>280</v>
      </c>
      <c r="AI19" s="1312">
        <v>290</v>
      </c>
      <c r="AJ19" s="1312">
        <v>325</v>
      </c>
      <c r="AK19" s="1312">
        <v>32</v>
      </c>
      <c r="AL19" s="1312">
        <v>41</v>
      </c>
      <c r="AM19" s="1312">
        <v>95</v>
      </c>
      <c r="BP19">
        <v>125</v>
      </c>
      <c r="BQ19" t="s">
        <v>377</v>
      </c>
      <c r="BV19" s="1312">
        <v>62.5</v>
      </c>
      <c r="BW19" s="1312">
        <v>240</v>
      </c>
      <c r="BX19" s="1312">
        <v>140</v>
      </c>
      <c r="BY19">
        <v>115</v>
      </c>
      <c r="BZ19" s="1312" t="s">
        <v>1581</v>
      </c>
      <c r="CA19" s="1352"/>
      <c r="CD19" s="1312">
        <v>180</v>
      </c>
      <c r="CE19" s="1312">
        <v>157.5</v>
      </c>
      <c r="CF19" s="254">
        <v>200</v>
      </c>
      <c r="CG19" s="1312">
        <v>143</v>
      </c>
      <c r="CH19" s="254">
        <v>285</v>
      </c>
      <c r="CI19">
        <v>320</v>
      </c>
      <c r="CJ19" s="1312" t="s">
        <v>1067</v>
      </c>
      <c r="CK19" s="1352"/>
      <c r="CM19" s="1351"/>
      <c r="CN19" s="1312">
        <v>200</v>
      </c>
      <c r="CO19" s="1312">
        <v>226</v>
      </c>
      <c r="CP19" s="1312">
        <v>780</v>
      </c>
      <c r="CQ19" s="1312">
        <v>315</v>
      </c>
      <c r="CR19" s="1352" t="s">
        <v>2138</v>
      </c>
      <c r="CS19" s="254" t="s">
        <v>1624</v>
      </c>
      <c r="CT19" s="1312"/>
      <c r="CU19"/>
    </row>
    <row r="20" spans="1:99" x14ac:dyDescent="0.3">
      <c r="A20" s="1312">
        <v>19</v>
      </c>
      <c r="B20" s="254"/>
      <c r="C20" s="1312" t="s">
        <v>2030</v>
      </c>
      <c r="D20" s="1312"/>
      <c r="E20" s="1312"/>
      <c r="F20" s="1312"/>
      <c r="G20" s="1312">
        <v>430</v>
      </c>
      <c r="H20" s="1312">
        <v>7</v>
      </c>
      <c r="I20" s="1312">
        <v>410</v>
      </c>
      <c r="J20" s="1312">
        <v>485</v>
      </c>
      <c r="K20" s="1312">
        <v>500</v>
      </c>
      <c r="L20" s="1312">
        <v>120</v>
      </c>
      <c r="M20" s="1312"/>
      <c r="N20" s="254" t="s">
        <v>6</v>
      </c>
      <c r="O20" s="1641" t="s">
        <v>1982</v>
      </c>
      <c r="P20" t="s">
        <v>1760</v>
      </c>
      <c r="S20" s="1312">
        <v>19</v>
      </c>
      <c r="T20" s="1312" t="s">
        <v>1734</v>
      </c>
      <c r="U20" s="1312">
        <v>375</v>
      </c>
      <c r="V20" s="1312">
        <v>1100</v>
      </c>
      <c r="W20" s="1350">
        <v>80</v>
      </c>
      <c r="X20" s="1312" t="s">
        <v>1862</v>
      </c>
      <c r="AD20" s="1312">
        <v>80</v>
      </c>
      <c r="AE20" s="1312">
        <v>755</v>
      </c>
      <c r="AF20" s="1312">
        <v>150</v>
      </c>
      <c r="AG20" s="1312">
        <v>605</v>
      </c>
      <c r="AH20" s="1312">
        <v>160</v>
      </c>
      <c r="AI20" s="1312">
        <v>175</v>
      </c>
      <c r="AJ20" s="1312">
        <v>210</v>
      </c>
      <c r="AK20" s="1312">
        <v>52</v>
      </c>
      <c r="AL20" s="1312">
        <v>60</v>
      </c>
      <c r="AM20" s="1312">
        <v>115</v>
      </c>
      <c r="AN20" s="1350" t="s">
        <v>1121</v>
      </c>
      <c r="BP20">
        <v>127.5</v>
      </c>
      <c r="BQ20" t="s">
        <v>378</v>
      </c>
      <c r="BV20" s="1312">
        <v>65</v>
      </c>
      <c r="BW20" s="1312">
        <v>245</v>
      </c>
      <c r="BX20" s="1312">
        <v>140</v>
      </c>
      <c r="BY20">
        <v>115</v>
      </c>
      <c r="BZ20" s="1312" t="s">
        <v>1582</v>
      </c>
      <c r="CA20" s="1352"/>
      <c r="CD20" s="1312">
        <v>182</v>
      </c>
      <c r="CE20" s="1312">
        <v>160</v>
      </c>
      <c r="CF20" s="254">
        <v>200</v>
      </c>
      <c r="CG20" s="1312">
        <v>145</v>
      </c>
      <c r="CH20" s="254">
        <v>285</v>
      </c>
      <c r="CI20">
        <v>320</v>
      </c>
      <c r="CJ20" s="1312" t="s">
        <v>1067</v>
      </c>
      <c r="CK20" s="1352"/>
      <c r="CM20" s="1351"/>
      <c r="CN20" s="1312">
        <v>195</v>
      </c>
      <c r="CO20" s="1312">
        <v>213</v>
      </c>
      <c r="CP20" s="1312">
        <v>785</v>
      </c>
      <c r="CQ20" s="1312">
        <v>310</v>
      </c>
      <c r="CR20" s="1352"/>
      <c r="CS20" s="254" t="s">
        <v>1625</v>
      </c>
      <c r="CT20" s="1312"/>
      <c r="CU20"/>
    </row>
    <row r="21" spans="1:99" x14ac:dyDescent="0.3">
      <c r="A21" s="1312">
        <v>20</v>
      </c>
      <c r="B21" s="254"/>
      <c r="C21" s="1312" t="s">
        <v>1268</v>
      </c>
      <c r="D21" s="1312"/>
      <c r="E21" s="1312"/>
      <c r="F21" s="1312"/>
      <c r="G21" s="1312">
        <v>430</v>
      </c>
      <c r="H21" s="1312">
        <v>4</v>
      </c>
      <c r="I21" s="1312">
        <v>410</v>
      </c>
      <c r="J21" s="1312">
        <v>465</v>
      </c>
      <c r="K21" s="1312">
        <v>485</v>
      </c>
      <c r="L21" s="1312">
        <v>130</v>
      </c>
      <c r="M21" s="1312">
        <v>45536</v>
      </c>
      <c r="N21" s="254" t="s">
        <v>6</v>
      </c>
      <c r="O21" s="1641"/>
      <c r="P21"/>
      <c r="S21" s="1312">
        <v>20</v>
      </c>
      <c r="T21" s="1312" t="s">
        <v>1269</v>
      </c>
      <c r="U21" s="1312">
        <v>380</v>
      </c>
      <c r="V21" s="1312">
        <v>1160</v>
      </c>
      <c r="W21" s="1350">
        <v>80</v>
      </c>
      <c r="X21" s="1312" t="s">
        <v>1733</v>
      </c>
      <c r="AD21" s="1312">
        <v>95</v>
      </c>
      <c r="AE21" s="1312">
        <v>825</v>
      </c>
      <c r="AF21" s="1312">
        <v>220</v>
      </c>
      <c r="AG21" s="1312">
        <v>605</v>
      </c>
      <c r="AH21" s="1312">
        <v>325</v>
      </c>
      <c r="AI21" s="1312">
        <v>340</v>
      </c>
      <c r="AJ21" s="1312">
        <v>385</v>
      </c>
      <c r="AK21" s="1312">
        <v>55</v>
      </c>
      <c r="AL21" s="1312">
        <v>65</v>
      </c>
      <c r="AM21" s="1312">
        <v>140</v>
      </c>
      <c r="BP21">
        <v>130</v>
      </c>
      <c r="BQ21" t="s">
        <v>379</v>
      </c>
      <c r="BV21" s="1312">
        <v>65</v>
      </c>
      <c r="BW21" s="1312">
        <v>245</v>
      </c>
      <c r="BX21" s="1312">
        <v>140</v>
      </c>
      <c r="BY21">
        <v>115</v>
      </c>
      <c r="BZ21" s="1312" t="s">
        <v>1582</v>
      </c>
      <c r="CA21" s="1352"/>
      <c r="CD21" s="1312">
        <v>250</v>
      </c>
      <c r="CE21" s="1312">
        <v>160</v>
      </c>
      <c r="CF21" s="254">
        <v>380</v>
      </c>
      <c r="CG21" s="1312">
        <v>295</v>
      </c>
      <c r="CH21" s="254">
        <v>285</v>
      </c>
      <c r="CI21">
        <v>320</v>
      </c>
      <c r="CJ21" s="1312" t="s">
        <v>1068</v>
      </c>
      <c r="CK21" s="1352"/>
      <c r="CM21" s="1351"/>
      <c r="CN21" s="1312">
        <v>170</v>
      </c>
      <c r="CO21" s="1312">
        <v>177</v>
      </c>
      <c r="CP21" s="1312">
        <v>400</v>
      </c>
      <c r="CQ21" s="1312"/>
      <c r="CR21" s="1352"/>
      <c r="CS21" s="254" t="s">
        <v>1626</v>
      </c>
      <c r="CT21" s="1312"/>
      <c r="CU21"/>
    </row>
    <row r="22" spans="1:99" x14ac:dyDescent="0.3">
      <c r="A22" s="1312">
        <v>21</v>
      </c>
      <c r="B22" s="254"/>
      <c r="C22" s="1312" t="s">
        <v>1761</v>
      </c>
      <c r="D22" s="1312"/>
      <c r="E22" s="1312"/>
      <c r="F22" s="1312"/>
      <c r="G22" s="1312">
        <v>460</v>
      </c>
      <c r="H22" s="1312">
        <v>10</v>
      </c>
      <c r="I22" s="1312">
        <v>875</v>
      </c>
      <c r="J22" s="1312">
        <v>530</v>
      </c>
      <c r="K22" s="1312">
        <v>555</v>
      </c>
      <c r="L22" s="1312">
        <v>165</v>
      </c>
      <c r="M22" s="1312"/>
      <c r="N22" s="254"/>
      <c r="O22" s="1641"/>
      <c r="P22" t="s">
        <v>1762</v>
      </c>
      <c r="S22" s="1312">
        <v>21</v>
      </c>
      <c r="T22" s="1312"/>
      <c r="U22" s="1312">
        <v>390</v>
      </c>
      <c r="V22" s="1312">
        <v>1080</v>
      </c>
      <c r="W22" s="1350">
        <v>80</v>
      </c>
      <c r="X22" s="1312"/>
      <c r="AD22" s="1312">
        <v>30</v>
      </c>
      <c r="AE22" s="1312">
        <v>745</v>
      </c>
      <c r="AF22" s="1312">
        <v>130</v>
      </c>
      <c r="AG22" s="1312">
        <v>615</v>
      </c>
      <c r="AH22" s="1312">
        <v>295</v>
      </c>
      <c r="AI22" s="1312">
        <v>305</v>
      </c>
      <c r="AJ22" s="1312">
        <v>340</v>
      </c>
      <c r="AK22" s="1312">
        <v>30</v>
      </c>
      <c r="AL22" s="1312">
        <v>40</v>
      </c>
      <c r="AM22" s="1312">
        <v>95</v>
      </c>
      <c r="BP22">
        <v>132.5</v>
      </c>
      <c r="BQ22" t="s">
        <v>380</v>
      </c>
      <c r="BV22" s="1312">
        <v>65</v>
      </c>
      <c r="BW22" s="1312">
        <v>240</v>
      </c>
      <c r="BX22" s="1312">
        <v>140</v>
      </c>
      <c r="BY22">
        <v>115</v>
      </c>
      <c r="BZ22" s="1312" t="s">
        <v>1582</v>
      </c>
      <c r="CA22" s="1352"/>
      <c r="CD22" s="1312">
        <v>242</v>
      </c>
      <c r="CE22" s="1312">
        <v>162.5</v>
      </c>
      <c r="CF22" s="254">
        <v>265</v>
      </c>
      <c r="CG22" s="1312">
        <v>215</v>
      </c>
      <c r="CH22" s="254">
        <v>285</v>
      </c>
      <c r="CI22">
        <v>320</v>
      </c>
      <c r="CJ22" s="1312" t="s">
        <v>1069</v>
      </c>
      <c r="CK22" s="1352"/>
      <c r="CM22" s="1351"/>
      <c r="CN22" s="1312">
        <v>160</v>
      </c>
      <c r="CO22" s="1312">
        <v>167</v>
      </c>
      <c r="CP22" s="1312">
        <v>400</v>
      </c>
      <c r="CQ22" s="1312">
        <v>315</v>
      </c>
      <c r="CR22" s="1352"/>
      <c r="CS22" s="254" t="s">
        <v>1627</v>
      </c>
      <c r="CT22" s="1312"/>
      <c r="CU22"/>
    </row>
    <row r="23" spans="1:99" x14ac:dyDescent="0.3">
      <c r="A23" s="1312">
        <v>22</v>
      </c>
      <c r="B23" s="254"/>
      <c r="C23" s="1312" t="s">
        <v>1269</v>
      </c>
      <c r="D23" s="1312"/>
      <c r="E23" s="1312"/>
      <c r="F23" s="1312"/>
      <c r="G23" s="1312">
        <v>460</v>
      </c>
      <c r="H23" s="1312">
        <v>7</v>
      </c>
      <c r="I23" s="1312">
        <v>900</v>
      </c>
      <c r="J23" s="1312">
        <v>510</v>
      </c>
      <c r="K23" s="1312">
        <v>535</v>
      </c>
      <c r="L23" s="1312">
        <v>115</v>
      </c>
      <c r="M23" s="1312">
        <v>45352</v>
      </c>
      <c r="N23" s="254" t="s">
        <v>6</v>
      </c>
      <c r="O23" s="1641" t="s">
        <v>1983</v>
      </c>
      <c r="P23" t="s">
        <v>1763</v>
      </c>
      <c r="S23" s="1312">
        <v>22</v>
      </c>
      <c r="T23" s="1312" t="s">
        <v>1653</v>
      </c>
      <c r="U23" s="1312">
        <v>390</v>
      </c>
      <c r="V23" s="1312">
        <v>920</v>
      </c>
      <c r="W23" s="1350">
        <v>80</v>
      </c>
      <c r="X23" s="1312" t="s">
        <v>1654</v>
      </c>
      <c r="AD23" s="1312" t="s">
        <v>1721</v>
      </c>
      <c r="AE23" s="1312">
        <v>825</v>
      </c>
      <c r="AF23" s="1312">
        <v>205</v>
      </c>
      <c r="AG23" s="1312">
        <v>620</v>
      </c>
      <c r="AH23" s="1312">
        <v>1300</v>
      </c>
      <c r="AI23" s="1312">
        <v>1325</v>
      </c>
      <c r="AJ23" s="1312">
        <v>1335</v>
      </c>
      <c r="AK23" s="1312">
        <v>65</v>
      </c>
      <c r="AL23" s="1312">
        <v>75</v>
      </c>
      <c r="AM23" s="1312">
        <v>130</v>
      </c>
      <c r="AN23" s="1350" t="s">
        <v>1122</v>
      </c>
      <c r="BP23">
        <v>135</v>
      </c>
      <c r="BQ23" t="s">
        <v>381</v>
      </c>
      <c r="BV23" s="1312">
        <v>65</v>
      </c>
      <c r="BW23" s="1312">
        <v>245</v>
      </c>
      <c r="BX23" s="1312">
        <v>140</v>
      </c>
      <c r="BY23">
        <v>115</v>
      </c>
      <c r="BZ23" s="1312" t="s">
        <v>1582</v>
      </c>
      <c r="CA23" s="1352"/>
      <c r="CD23" s="1312">
        <v>250</v>
      </c>
      <c r="CE23" s="1312">
        <v>167.5</v>
      </c>
      <c r="CF23" s="254">
        <v>265</v>
      </c>
      <c r="CG23" s="1312">
        <v>230</v>
      </c>
      <c r="CH23" s="254">
        <v>285</v>
      </c>
      <c r="CI23">
        <v>320</v>
      </c>
      <c r="CJ23" s="1312" t="s">
        <v>1070</v>
      </c>
      <c r="CK23" s="1352"/>
      <c r="CM23" s="1351"/>
      <c r="CN23" s="1312">
        <v>140</v>
      </c>
      <c r="CO23" s="1312">
        <v>170</v>
      </c>
      <c r="CP23" s="1312">
        <v>380</v>
      </c>
      <c r="CQ23" s="1312">
        <v>310</v>
      </c>
      <c r="CR23" s="1352"/>
      <c r="CS23" s="254"/>
      <c r="CT23" s="1312"/>
      <c r="CU23"/>
    </row>
    <row r="24" spans="1:99" x14ac:dyDescent="0.3">
      <c r="A24" s="1312">
        <v>23</v>
      </c>
      <c r="B24" s="254" t="s">
        <v>1053</v>
      </c>
      <c r="C24" s="1312"/>
      <c r="D24" s="1312">
        <v>515</v>
      </c>
      <c r="E24" s="1312">
        <v>2.5</v>
      </c>
      <c r="F24" s="1312">
        <v>80</v>
      </c>
      <c r="G24" s="1312">
        <v>475</v>
      </c>
      <c r="H24" s="1312">
        <v>7.5</v>
      </c>
      <c r="I24" s="1312">
        <v>650</v>
      </c>
      <c r="J24" s="1312">
        <v>560</v>
      </c>
      <c r="K24" s="1312">
        <v>580</v>
      </c>
      <c r="L24" s="1312">
        <v>120</v>
      </c>
      <c r="M24" s="1312" t="s">
        <v>1256</v>
      </c>
      <c r="N24" s="254"/>
      <c r="O24" s="1641"/>
      <c r="P24"/>
      <c r="S24" s="1312">
        <v>23</v>
      </c>
      <c r="T24" s="1312" t="s">
        <v>1652</v>
      </c>
      <c r="U24" s="1312">
        <v>400</v>
      </c>
      <c r="V24" s="1312">
        <v>1080</v>
      </c>
      <c r="W24" s="1350">
        <v>80</v>
      </c>
      <c r="X24" s="1312"/>
      <c r="AD24" s="1312">
        <v>98</v>
      </c>
      <c r="AE24" s="1312">
        <v>730</v>
      </c>
      <c r="AF24" s="1312">
        <v>105</v>
      </c>
      <c r="AG24" s="1312">
        <v>625</v>
      </c>
      <c r="AH24" s="1312">
        <v>280</v>
      </c>
      <c r="AI24" s="1312">
        <v>287</v>
      </c>
      <c r="AJ24" s="1312">
        <v>315</v>
      </c>
      <c r="AK24" s="1312">
        <v>40</v>
      </c>
      <c r="AL24" s="1312">
        <v>50</v>
      </c>
      <c r="AM24" s="1312">
        <v>100</v>
      </c>
      <c r="AN24" s="1350" t="s">
        <v>1123</v>
      </c>
      <c r="BP24">
        <v>137.5</v>
      </c>
      <c r="BQ24" t="s">
        <v>382</v>
      </c>
      <c r="BV24" s="1312">
        <v>65</v>
      </c>
      <c r="BW24" s="1312">
        <v>245</v>
      </c>
      <c r="BX24" s="1312">
        <v>140</v>
      </c>
      <c r="BY24">
        <v>115</v>
      </c>
      <c r="BZ24" s="1312" t="s">
        <v>1582</v>
      </c>
      <c r="CA24" s="1352"/>
      <c r="CD24" s="1312">
        <v>248</v>
      </c>
      <c r="CE24" s="1312">
        <v>167.5</v>
      </c>
      <c r="CF24" s="254">
        <v>265</v>
      </c>
      <c r="CG24" s="1312">
        <v>230</v>
      </c>
      <c r="CH24" s="254">
        <v>285</v>
      </c>
      <c r="CI24">
        <v>320</v>
      </c>
      <c r="CJ24" s="1312" t="s">
        <v>1070</v>
      </c>
      <c r="CK24" s="1352"/>
      <c r="CM24" s="1351"/>
      <c r="CN24" s="1312">
        <v>140</v>
      </c>
      <c r="CO24" s="1312">
        <v>170</v>
      </c>
      <c r="CP24" s="1312">
        <v>675</v>
      </c>
      <c r="CQ24" s="1312">
        <v>310</v>
      </c>
      <c r="CR24" s="1352"/>
      <c r="CS24" s="254" t="s">
        <v>1628</v>
      </c>
      <c r="CT24" s="1312"/>
      <c r="CU24"/>
    </row>
    <row r="25" spans="1:99" x14ac:dyDescent="0.3">
      <c r="A25" s="1312">
        <v>24</v>
      </c>
      <c r="B25" s="254"/>
      <c r="C25" s="1312" t="s">
        <v>1208</v>
      </c>
      <c r="D25" s="1312"/>
      <c r="E25" s="1312"/>
      <c r="F25" s="1312"/>
      <c r="G25" s="1312">
        <v>480</v>
      </c>
      <c r="H25" s="1312">
        <v>7</v>
      </c>
      <c r="I25" s="1312">
        <v>580</v>
      </c>
      <c r="J25" s="1312">
        <v>530</v>
      </c>
      <c r="K25" s="1312">
        <v>545</v>
      </c>
      <c r="L25" s="1312">
        <v>125</v>
      </c>
      <c r="M25" s="1312"/>
      <c r="N25" s="254"/>
      <c r="O25" s="1641"/>
      <c r="P25"/>
      <c r="S25" s="1312">
        <v>24</v>
      </c>
      <c r="T25" s="1312"/>
      <c r="U25" s="1312">
        <v>405</v>
      </c>
      <c r="V25" s="1312">
        <v>750</v>
      </c>
      <c r="W25" s="1350">
        <v>80</v>
      </c>
      <c r="X25" s="1312"/>
      <c r="AD25" s="1312">
        <v>63</v>
      </c>
      <c r="AE25" s="1312">
        <v>790</v>
      </c>
      <c r="AF25" s="1312">
        <v>160</v>
      </c>
      <c r="AG25" s="1312">
        <v>630</v>
      </c>
      <c r="AH25" s="1312">
        <v>360</v>
      </c>
      <c r="AI25" s="1312">
        <v>373</v>
      </c>
      <c r="AJ25" s="1312">
        <v>410</v>
      </c>
      <c r="AK25" s="1312">
        <v>34</v>
      </c>
      <c r="AL25" s="1312">
        <v>45</v>
      </c>
      <c r="AM25" s="1312">
        <v>110</v>
      </c>
      <c r="BP25">
        <v>140</v>
      </c>
      <c r="BQ25" t="s">
        <v>383</v>
      </c>
      <c r="BV25" s="1312">
        <v>67.5</v>
      </c>
      <c r="BW25" s="1312">
        <v>243</v>
      </c>
      <c r="BX25" s="1312">
        <v>140</v>
      </c>
      <c r="BY25">
        <v>115</v>
      </c>
      <c r="BZ25" s="1312" t="s">
        <v>1583</v>
      </c>
      <c r="CA25" s="1352"/>
      <c r="CD25" s="1312">
        <v>250</v>
      </c>
      <c r="CE25" s="1312">
        <v>170</v>
      </c>
      <c r="CF25" s="254">
        <v>265</v>
      </c>
      <c r="CG25" s="1312">
        <v>230</v>
      </c>
      <c r="CH25" s="254">
        <v>285</v>
      </c>
      <c r="CI25">
        <v>320</v>
      </c>
      <c r="CJ25" s="1312" t="s">
        <v>1070</v>
      </c>
      <c r="CK25" s="1352"/>
      <c r="CM25" s="1351"/>
      <c r="CN25" s="1312">
        <v>140</v>
      </c>
      <c r="CO25" s="1312">
        <v>150</v>
      </c>
      <c r="CP25" s="1312">
        <v>380</v>
      </c>
      <c r="CQ25" s="1312">
        <v>315</v>
      </c>
      <c r="CR25" s="1352"/>
      <c r="CS25" s="254" t="s">
        <v>1629</v>
      </c>
      <c r="CT25" s="1312"/>
      <c r="CU25"/>
    </row>
    <row r="26" spans="1:99" x14ac:dyDescent="0.3">
      <c r="A26" s="1312">
        <v>25</v>
      </c>
      <c r="B26" s="254"/>
      <c r="C26" s="1312" t="s">
        <v>1764</v>
      </c>
      <c r="D26" s="1312"/>
      <c r="E26" s="1312"/>
      <c r="F26" s="1312"/>
      <c r="G26" s="1312">
        <v>480</v>
      </c>
      <c r="H26" s="1312">
        <v>8</v>
      </c>
      <c r="I26" s="1312">
        <v>910</v>
      </c>
      <c r="J26" s="1312">
        <v>498</v>
      </c>
      <c r="K26" s="1312">
        <v>545</v>
      </c>
      <c r="L26" s="1312">
        <v>120</v>
      </c>
      <c r="M26" s="1312" t="s">
        <v>1271</v>
      </c>
      <c r="N26" s="254" t="s">
        <v>6</v>
      </c>
      <c r="O26" s="1641" t="s">
        <v>1984</v>
      </c>
      <c r="P26"/>
      <c r="S26" s="1312">
        <v>25</v>
      </c>
      <c r="T26" s="1312" t="s">
        <v>1209</v>
      </c>
      <c r="U26" s="1312">
        <v>430</v>
      </c>
      <c r="V26" s="1312">
        <v>920</v>
      </c>
      <c r="W26" s="1350">
        <v>80</v>
      </c>
      <c r="X26" s="1312"/>
      <c r="AD26" s="1312">
        <v>59</v>
      </c>
      <c r="AE26" s="1312">
        <v>775</v>
      </c>
      <c r="AF26" s="1312">
        <v>140</v>
      </c>
      <c r="AG26" s="1312">
        <v>635</v>
      </c>
      <c r="AH26" s="1312">
        <v>340</v>
      </c>
      <c r="AI26" s="1312">
        <v>357</v>
      </c>
      <c r="AJ26" s="1312">
        <v>372</v>
      </c>
      <c r="AK26" s="1312">
        <v>28</v>
      </c>
      <c r="AL26" s="1312">
        <v>35</v>
      </c>
      <c r="AM26" s="1312">
        <v>75</v>
      </c>
      <c r="BP26">
        <v>142.5</v>
      </c>
      <c r="BQ26" t="s">
        <v>384</v>
      </c>
      <c r="BV26" s="1312">
        <v>67.5</v>
      </c>
      <c r="BW26" s="1312">
        <v>245</v>
      </c>
      <c r="BX26" s="1312">
        <v>140</v>
      </c>
      <c r="BY26">
        <v>115</v>
      </c>
      <c r="BZ26" s="1312" t="s">
        <v>1583</v>
      </c>
      <c r="CA26" s="1352"/>
      <c r="CD26" s="1312">
        <v>250</v>
      </c>
      <c r="CE26" s="1312">
        <v>170</v>
      </c>
      <c r="CF26" s="254">
        <v>265</v>
      </c>
      <c r="CG26" s="1312">
        <v>235</v>
      </c>
      <c r="CH26" s="254">
        <v>285</v>
      </c>
      <c r="CI26">
        <v>320</v>
      </c>
      <c r="CJ26" s="1312" t="s">
        <v>1070</v>
      </c>
      <c r="CK26" s="1352" t="s">
        <v>1605</v>
      </c>
      <c r="CM26" s="1351"/>
      <c r="CN26" s="1312">
        <v>135</v>
      </c>
      <c r="CO26" s="1312">
        <v>145</v>
      </c>
      <c r="CP26" s="1312">
        <v>330</v>
      </c>
      <c r="CQ26" s="1312">
        <v>295</v>
      </c>
      <c r="CR26" s="1352"/>
      <c r="CS26" s="254"/>
      <c r="CT26" s="1312"/>
      <c r="CU26"/>
    </row>
    <row r="27" spans="1:99" x14ac:dyDescent="0.3">
      <c r="A27" s="1312">
        <v>26</v>
      </c>
      <c r="B27" s="254"/>
      <c r="C27" s="1312" t="s">
        <v>1270</v>
      </c>
      <c r="D27" s="1312"/>
      <c r="E27" s="1312"/>
      <c r="F27" s="1312"/>
      <c r="G27" s="1312">
        <v>485</v>
      </c>
      <c r="H27" s="1312">
        <v>4.5</v>
      </c>
      <c r="I27" s="1312">
        <v>910</v>
      </c>
      <c r="J27" s="1312">
        <v>535</v>
      </c>
      <c r="K27" s="1312">
        <v>545</v>
      </c>
      <c r="L27" s="1312">
        <v>115</v>
      </c>
      <c r="M27" s="1312"/>
      <c r="N27" s="254" t="s">
        <v>6</v>
      </c>
      <c r="O27" s="1641" t="s">
        <v>1984</v>
      </c>
      <c r="P27" t="s">
        <v>1782</v>
      </c>
      <c r="S27" s="1312">
        <v>26</v>
      </c>
      <c r="T27" s="1312" t="s">
        <v>1655</v>
      </c>
      <c r="U27" s="1312">
        <v>435</v>
      </c>
      <c r="V27" s="1312">
        <v>780</v>
      </c>
      <c r="W27" s="1350">
        <v>80</v>
      </c>
      <c r="X27" s="1312" t="s">
        <v>1656</v>
      </c>
      <c r="AD27" s="1312">
        <v>4</v>
      </c>
      <c r="AE27" s="1312">
        <v>1185</v>
      </c>
      <c r="AF27" s="1312">
        <v>545</v>
      </c>
      <c r="AG27" s="1312">
        <v>640</v>
      </c>
      <c r="AH27" s="1312">
        <v>223</v>
      </c>
      <c r="AI27" s="1312">
        <v>230</v>
      </c>
      <c r="AJ27" s="1312">
        <v>345</v>
      </c>
      <c r="AK27" s="1312">
        <v>173</v>
      </c>
      <c r="AL27" s="1312">
        <v>185</v>
      </c>
      <c r="AM27" s="1312">
        <v>305</v>
      </c>
      <c r="BP27">
        <v>145</v>
      </c>
      <c r="BQ27" t="s">
        <v>385</v>
      </c>
      <c r="BV27" s="1312">
        <v>67.5</v>
      </c>
      <c r="BW27" s="1312">
        <v>245</v>
      </c>
      <c r="BX27" s="1312">
        <v>140</v>
      </c>
      <c r="BY27">
        <v>115</v>
      </c>
      <c r="BZ27" s="1312" t="s">
        <v>1583</v>
      </c>
      <c r="CA27" s="1352"/>
      <c r="CD27" s="1312">
        <v>251</v>
      </c>
      <c r="CE27" s="1312">
        <v>170</v>
      </c>
      <c r="CF27" s="254">
        <v>265</v>
      </c>
      <c r="CG27" s="1312">
        <v>230</v>
      </c>
      <c r="CH27" s="254">
        <v>285</v>
      </c>
      <c r="CI27">
        <v>320</v>
      </c>
      <c r="CJ27" s="1312" t="s">
        <v>1070</v>
      </c>
      <c r="CK27" s="1352"/>
      <c r="CM27" s="1351"/>
      <c r="CN27" s="1312">
        <v>130</v>
      </c>
      <c r="CO27" s="1312">
        <v>160</v>
      </c>
      <c r="CP27" s="1312">
        <v>400</v>
      </c>
      <c r="CQ27" s="1312"/>
      <c r="CR27" s="1352"/>
      <c r="CS27" s="254"/>
      <c r="CT27" s="1312"/>
      <c r="CU27"/>
    </row>
    <row r="28" spans="1:99" x14ac:dyDescent="0.3">
      <c r="A28" s="1312">
        <v>27</v>
      </c>
      <c r="B28" s="254"/>
      <c r="C28" s="1312"/>
      <c r="D28" s="1312"/>
      <c r="E28" s="1312"/>
      <c r="F28" s="1312"/>
      <c r="G28" s="1312">
        <v>495</v>
      </c>
      <c r="H28" s="1312">
        <v>5</v>
      </c>
      <c r="I28" s="1312">
        <v>900</v>
      </c>
      <c r="J28" s="1312">
        <v>540</v>
      </c>
      <c r="K28" s="1312">
        <v>560</v>
      </c>
      <c r="L28" s="1312">
        <v>135</v>
      </c>
      <c r="M28" s="1312" t="s">
        <v>1179</v>
      </c>
      <c r="N28" s="254"/>
      <c r="O28" s="1641"/>
      <c r="P28"/>
      <c r="S28" s="1312">
        <v>27</v>
      </c>
      <c r="T28" s="1312" t="s">
        <v>1657</v>
      </c>
      <c r="U28" s="1312">
        <v>435</v>
      </c>
      <c r="V28" s="1312">
        <v>570</v>
      </c>
      <c r="W28" s="1350">
        <v>80</v>
      </c>
      <c r="X28" s="1312"/>
      <c r="AD28" s="1312">
        <v>76</v>
      </c>
      <c r="AE28" s="1312">
        <v>765</v>
      </c>
      <c r="AF28" s="1312">
        <v>125</v>
      </c>
      <c r="AG28" s="1312">
        <v>640</v>
      </c>
      <c r="AH28" s="1312">
        <v>235</v>
      </c>
      <c r="AI28" s="1312">
        <v>252</v>
      </c>
      <c r="AJ28" s="1312">
        <v>290</v>
      </c>
      <c r="AK28" s="1312">
        <v>27</v>
      </c>
      <c r="AL28" s="1312">
        <v>37</v>
      </c>
      <c r="AM28" s="1312">
        <v>90</v>
      </c>
      <c r="BP28">
        <v>147.5</v>
      </c>
      <c r="BQ28" t="s">
        <v>386</v>
      </c>
      <c r="BV28" s="1312">
        <v>67.5</v>
      </c>
      <c r="BW28" s="1312">
        <v>245</v>
      </c>
      <c r="BX28" s="1312">
        <v>140</v>
      </c>
      <c r="BY28">
        <v>115</v>
      </c>
      <c r="BZ28" s="1312" t="s">
        <v>1583</v>
      </c>
      <c r="CA28" s="1352"/>
      <c r="CD28" s="1312">
        <v>190</v>
      </c>
      <c r="CE28" s="1312">
        <v>170</v>
      </c>
      <c r="CF28" s="254">
        <v>263</v>
      </c>
      <c r="CG28" s="1312">
        <v>213</v>
      </c>
      <c r="CH28" s="254">
        <v>285</v>
      </c>
      <c r="CI28">
        <v>320</v>
      </c>
      <c r="CJ28" s="1312" t="s">
        <v>1071</v>
      </c>
      <c r="CK28" s="1352"/>
      <c r="CM28" s="1351"/>
      <c r="CN28" s="1312">
        <v>125</v>
      </c>
      <c r="CO28" s="1312">
        <v>125</v>
      </c>
      <c r="CP28" s="1312">
        <v>400</v>
      </c>
      <c r="CQ28" s="1312"/>
      <c r="CR28" s="1352" t="s">
        <v>1630</v>
      </c>
      <c r="CS28" s="254" t="s">
        <v>1631</v>
      </c>
      <c r="CT28" s="1312"/>
      <c r="CU28"/>
    </row>
    <row r="29" spans="1:99" ht="43.2" x14ac:dyDescent="0.3">
      <c r="A29" s="1312">
        <v>28</v>
      </c>
      <c r="B29" s="254"/>
      <c r="C29" s="1312"/>
      <c r="D29" s="1312"/>
      <c r="E29" s="1312"/>
      <c r="F29" s="1312"/>
      <c r="G29" s="1312">
        <v>500</v>
      </c>
      <c r="H29" s="1312">
        <v>10</v>
      </c>
      <c r="I29" s="1312">
        <v>440</v>
      </c>
      <c r="J29" s="1312">
        <v>545</v>
      </c>
      <c r="K29" s="1312">
        <v>560</v>
      </c>
      <c r="L29" s="1312">
        <v>100</v>
      </c>
      <c r="M29" s="1312"/>
      <c r="N29" s="254"/>
      <c r="O29" s="1641"/>
      <c r="P29"/>
      <c r="S29" s="1312">
        <v>28</v>
      </c>
      <c r="T29" s="1312" t="s">
        <v>1658</v>
      </c>
      <c r="U29" s="1312">
        <v>455</v>
      </c>
      <c r="V29" s="1312">
        <v>1020</v>
      </c>
      <c r="W29" s="1350">
        <v>80</v>
      </c>
      <c r="X29" s="1312"/>
      <c r="AD29" s="1312">
        <v>78</v>
      </c>
      <c r="AE29" s="1312">
        <v>745</v>
      </c>
      <c r="AF29" s="1312">
        <v>105</v>
      </c>
      <c r="AG29" s="1312">
        <v>640</v>
      </c>
      <c r="AH29" s="1312">
        <v>240</v>
      </c>
      <c r="AI29" s="1312">
        <v>247</v>
      </c>
      <c r="AJ29" s="1312">
        <v>280</v>
      </c>
      <c r="AK29" s="1312">
        <v>27</v>
      </c>
      <c r="AL29" s="1312">
        <v>35</v>
      </c>
      <c r="AM29" s="1312">
        <v>80</v>
      </c>
      <c r="BP29">
        <v>150</v>
      </c>
      <c r="BQ29" t="s">
        <v>387</v>
      </c>
      <c r="BV29" s="1312">
        <v>67.5</v>
      </c>
      <c r="BW29" s="1312">
        <v>245</v>
      </c>
      <c r="BX29" s="1312">
        <v>140</v>
      </c>
      <c r="BY29">
        <v>115</v>
      </c>
      <c r="BZ29" s="1312" t="s">
        <v>1583</v>
      </c>
      <c r="CA29" s="1352"/>
      <c r="CD29" s="1312">
        <v>250</v>
      </c>
      <c r="CE29" s="1312">
        <v>170</v>
      </c>
      <c r="CF29" s="254">
        <v>260</v>
      </c>
      <c r="CG29" s="1312">
        <v>200</v>
      </c>
      <c r="CH29" s="254">
        <v>285</v>
      </c>
      <c r="CI29">
        <v>320</v>
      </c>
      <c r="CJ29" s="1312" t="s">
        <v>1070</v>
      </c>
      <c r="CK29" s="1352"/>
      <c r="CM29" s="1351"/>
      <c r="CN29" s="1312">
        <v>120</v>
      </c>
      <c r="CO29" s="1312">
        <v>120</v>
      </c>
      <c r="CP29" s="1312">
        <v>300</v>
      </c>
      <c r="CQ29" s="1312"/>
      <c r="CR29" s="1352" t="s">
        <v>1632</v>
      </c>
      <c r="CS29" s="254" t="s">
        <v>1631</v>
      </c>
      <c r="CT29" s="1312"/>
      <c r="CU29"/>
    </row>
    <row r="30" spans="1:99" ht="28.8" x14ac:dyDescent="0.3">
      <c r="A30" s="1312">
        <v>29</v>
      </c>
      <c r="B30" s="254" t="s">
        <v>1257</v>
      </c>
      <c r="C30" s="1312"/>
      <c r="D30" s="1312">
        <v>590</v>
      </c>
      <c r="E30" s="1312">
        <v>2</v>
      </c>
      <c r="F30" s="1312">
        <v>120</v>
      </c>
      <c r="G30" s="1312">
        <v>510</v>
      </c>
      <c r="H30" s="1312">
        <v>6</v>
      </c>
      <c r="I30" s="1312">
        <v>510</v>
      </c>
      <c r="J30" s="1312">
        <v>594</v>
      </c>
      <c r="K30" s="1312">
        <v>660</v>
      </c>
      <c r="L30" s="1312">
        <v>315</v>
      </c>
      <c r="M30" s="1312"/>
      <c r="N30" s="254"/>
      <c r="O30" s="1641"/>
      <c r="P30"/>
      <c r="S30" s="1312">
        <v>29</v>
      </c>
      <c r="T30" s="1312"/>
      <c r="U30" s="1312">
        <v>455</v>
      </c>
      <c r="V30" s="1312">
        <v>920</v>
      </c>
      <c r="W30" s="1350">
        <v>80</v>
      </c>
      <c r="X30" s="1312"/>
      <c r="AD30" s="1312" t="s">
        <v>1124</v>
      </c>
      <c r="AE30" s="1312">
        <v>890</v>
      </c>
      <c r="AF30" s="1312">
        <v>250</v>
      </c>
      <c r="AG30" s="1312">
        <v>640</v>
      </c>
      <c r="AH30" s="1312">
        <v>240</v>
      </c>
      <c r="AI30" s="1312">
        <v>240</v>
      </c>
      <c r="AJ30" s="1312">
        <v>260</v>
      </c>
      <c r="AK30" s="1312">
        <v>104</v>
      </c>
      <c r="AL30" s="1312">
        <v>104</v>
      </c>
      <c r="AM30" s="1312">
        <v>160</v>
      </c>
      <c r="AN30" s="1350" t="s">
        <v>1125</v>
      </c>
      <c r="BP30">
        <v>155</v>
      </c>
      <c r="BQ30" t="s">
        <v>388</v>
      </c>
      <c r="BV30" s="1312">
        <v>67.5</v>
      </c>
      <c r="BW30" s="1312">
        <v>245</v>
      </c>
      <c r="BX30" s="1312">
        <v>140</v>
      </c>
      <c r="BY30">
        <v>115</v>
      </c>
      <c r="BZ30" s="1312" t="s">
        <v>1583</v>
      </c>
      <c r="CA30" s="1352"/>
      <c r="CD30" s="1312">
        <v>250</v>
      </c>
      <c r="CE30" s="1312">
        <v>170</v>
      </c>
      <c r="CF30" s="254">
        <v>265</v>
      </c>
      <c r="CG30" s="1312">
        <v>230</v>
      </c>
      <c r="CH30" s="254">
        <v>285</v>
      </c>
      <c r="CI30">
        <v>320</v>
      </c>
      <c r="CJ30" s="1312" t="s">
        <v>1070</v>
      </c>
      <c r="CK30" s="1352"/>
      <c r="CM30" s="1351"/>
      <c r="CN30" s="1312">
        <v>115</v>
      </c>
      <c r="CO30" s="1312">
        <v>115</v>
      </c>
      <c r="CP30" s="1312">
        <v>400</v>
      </c>
      <c r="CQ30" s="1312"/>
      <c r="CR30" s="1352" t="s">
        <v>2087</v>
      </c>
      <c r="CS30" s="254"/>
      <c r="CT30" s="1312"/>
      <c r="CU30"/>
    </row>
    <row r="31" spans="1:99" ht="28.8" x14ac:dyDescent="0.3">
      <c r="A31" s="1312">
        <v>30</v>
      </c>
      <c r="B31" s="254"/>
      <c r="C31" s="1312" t="s">
        <v>1209</v>
      </c>
      <c r="D31" s="1312"/>
      <c r="E31" s="1312"/>
      <c r="F31" s="1312"/>
      <c r="G31" s="1312">
        <v>515</v>
      </c>
      <c r="H31" s="1312">
        <v>3.5</v>
      </c>
      <c r="I31" s="1312">
        <v>750</v>
      </c>
      <c r="J31" s="1312">
        <v>555</v>
      </c>
      <c r="K31" s="1312">
        <v>580</v>
      </c>
      <c r="L31" s="1312">
        <v>140</v>
      </c>
      <c r="M31" s="1312"/>
      <c r="N31" s="254"/>
      <c r="O31" s="1641"/>
      <c r="P31"/>
      <c r="S31" s="1312">
        <v>30</v>
      </c>
      <c r="T31" s="1312" t="s">
        <v>1659</v>
      </c>
      <c r="U31" s="1312">
        <v>460</v>
      </c>
      <c r="V31" s="1312">
        <v>890</v>
      </c>
      <c r="W31" s="1350">
        <v>80</v>
      </c>
      <c r="X31" s="1312"/>
      <c r="AD31" s="1312">
        <v>89</v>
      </c>
      <c r="AE31" s="1312">
        <v>760</v>
      </c>
      <c r="AF31" s="1312">
        <v>120</v>
      </c>
      <c r="AG31" s="1312">
        <v>640</v>
      </c>
      <c r="AH31" s="1312">
        <v>275</v>
      </c>
      <c r="AI31" s="1312">
        <v>285</v>
      </c>
      <c r="AJ31" s="1312">
        <v>310</v>
      </c>
      <c r="AK31" s="1312">
        <v>37</v>
      </c>
      <c r="AL31" s="1312">
        <v>45</v>
      </c>
      <c r="AM31" s="1312">
        <v>190</v>
      </c>
      <c r="AN31" s="1350" t="s">
        <v>1126</v>
      </c>
      <c r="BP31">
        <v>157.5</v>
      </c>
      <c r="BQ31" t="s">
        <v>389</v>
      </c>
      <c r="BV31" s="1312">
        <v>67.5</v>
      </c>
      <c r="BW31" s="1312">
        <v>245</v>
      </c>
      <c r="BX31" s="1312">
        <v>140</v>
      </c>
      <c r="BY31">
        <v>115</v>
      </c>
      <c r="BZ31" s="1312" t="s">
        <v>1583</v>
      </c>
      <c r="CA31" s="1352"/>
      <c r="CD31" s="1312">
        <v>190</v>
      </c>
      <c r="CE31" s="1312">
        <v>172.5</v>
      </c>
      <c r="CF31" s="254">
        <v>265</v>
      </c>
      <c r="CG31" s="1312">
        <v>215</v>
      </c>
      <c r="CH31" s="254">
        <v>285</v>
      </c>
      <c r="CI31">
        <v>320</v>
      </c>
      <c r="CJ31" s="1312" t="s">
        <v>1071</v>
      </c>
      <c r="CK31" s="1352"/>
      <c r="CM31" s="1351"/>
      <c r="CN31" s="1312">
        <v>110</v>
      </c>
      <c r="CO31" s="1312">
        <v>115</v>
      </c>
      <c r="CP31" s="1312">
        <v>400</v>
      </c>
      <c r="CQ31" s="1312"/>
      <c r="CR31" s="1352" t="s">
        <v>1633</v>
      </c>
      <c r="CS31" s="254" t="s">
        <v>1631</v>
      </c>
      <c r="CT31" s="1312"/>
      <c r="CU31"/>
    </row>
    <row r="32" spans="1:99" x14ac:dyDescent="0.3">
      <c r="A32" s="1312">
        <v>31</v>
      </c>
      <c r="B32" s="254"/>
      <c r="C32" s="1312"/>
      <c r="D32" s="1312"/>
      <c r="E32" s="1312"/>
      <c r="F32" s="1312"/>
      <c r="G32" s="1312">
        <v>520</v>
      </c>
      <c r="H32" s="1312">
        <v>12.5</v>
      </c>
      <c r="I32" s="1312">
        <v>600</v>
      </c>
      <c r="J32" s="1312">
        <v>575</v>
      </c>
      <c r="K32" s="1312">
        <v>600</v>
      </c>
      <c r="L32" s="1312">
        <v>130</v>
      </c>
      <c r="M32" s="1312"/>
      <c r="N32" s="254"/>
      <c r="O32" s="1641"/>
      <c r="P32"/>
      <c r="S32" s="1312">
        <v>31</v>
      </c>
      <c r="T32" s="1312"/>
      <c r="U32" s="1312">
        <v>470</v>
      </c>
      <c r="V32" s="1312">
        <v>1230</v>
      </c>
      <c r="W32" s="1350">
        <v>100</v>
      </c>
      <c r="X32" s="1312"/>
      <c r="AD32" s="1312">
        <v>85</v>
      </c>
      <c r="AE32" s="1312">
        <v>940</v>
      </c>
      <c r="AF32" s="1312">
        <v>300</v>
      </c>
      <c r="AG32" s="1312">
        <v>640</v>
      </c>
      <c r="AH32" s="1312">
        <v>290</v>
      </c>
      <c r="AI32" s="1312">
        <v>310</v>
      </c>
      <c r="AJ32" s="1312">
        <v>375</v>
      </c>
      <c r="AK32" s="1312">
        <v>75</v>
      </c>
      <c r="AL32" s="1312">
        <v>85</v>
      </c>
      <c r="AM32" s="1312">
        <v>200</v>
      </c>
      <c r="AN32" s="1350" t="s">
        <v>1127</v>
      </c>
      <c r="BP32">
        <v>160</v>
      </c>
      <c r="BQ32" t="s">
        <v>390</v>
      </c>
      <c r="BV32" s="1312">
        <v>67.5</v>
      </c>
      <c r="BW32" s="1312">
        <v>243</v>
      </c>
      <c r="BX32" s="1312">
        <v>140</v>
      </c>
      <c r="BY32">
        <v>115</v>
      </c>
      <c r="BZ32" s="1312" t="s">
        <v>1583</v>
      </c>
      <c r="CA32" s="1352"/>
      <c r="CD32" s="1312">
        <v>250</v>
      </c>
      <c r="CE32" s="1312">
        <v>177.5</v>
      </c>
      <c r="CF32" s="254">
        <v>265</v>
      </c>
      <c r="CG32" s="1312">
        <v>215</v>
      </c>
      <c r="CH32" s="254">
        <v>285</v>
      </c>
      <c r="CI32">
        <v>320</v>
      </c>
      <c r="CJ32" s="1312" t="s">
        <v>1072</v>
      </c>
      <c r="CK32" s="1352"/>
      <c r="CM32" s="1351"/>
      <c r="CN32" s="1312">
        <v>105</v>
      </c>
      <c r="CO32" s="1312">
        <v>115</v>
      </c>
      <c r="CP32" s="1312">
        <v>440</v>
      </c>
      <c r="CQ32" s="1312"/>
      <c r="CR32" s="1352" t="s">
        <v>1634</v>
      </c>
      <c r="CS32" s="254"/>
      <c r="CT32" s="1312"/>
      <c r="CU32"/>
    </row>
    <row r="33" spans="1:99" ht="57.6" x14ac:dyDescent="0.3">
      <c r="A33" s="1312">
        <v>32</v>
      </c>
      <c r="B33" s="254"/>
      <c r="C33" s="1312" t="s">
        <v>1765</v>
      </c>
      <c r="D33" s="1312"/>
      <c r="E33" s="1312"/>
      <c r="F33" s="1312"/>
      <c r="G33" s="1312">
        <v>560</v>
      </c>
      <c r="H33" s="1312">
        <v>7.5</v>
      </c>
      <c r="I33" s="1312">
        <v>740</v>
      </c>
      <c r="J33" s="1312">
        <v>595</v>
      </c>
      <c r="K33" s="1312">
        <v>620</v>
      </c>
      <c r="L33" s="1312">
        <v>140</v>
      </c>
      <c r="M33" s="1312"/>
      <c r="N33" s="254"/>
      <c r="O33" s="1641"/>
      <c r="P33" t="s">
        <v>1766</v>
      </c>
      <c r="S33" s="1312">
        <v>32</v>
      </c>
      <c r="T33" s="1312" t="s">
        <v>1232</v>
      </c>
      <c r="U33" s="1312">
        <v>470</v>
      </c>
      <c r="V33" s="1312">
        <v>1030</v>
      </c>
      <c r="W33" s="1350">
        <v>80</v>
      </c>
      <c r="X33" s="1312"/>
      <c r="AD33" s="1312">
        <v>79</v>
      </c>
      <c r="AE33" s="1312">
        <v>795</v>
      </c>
      <c r="AF33" s="1312">
        <v>150</v>
      </c>
      <c r="AG33" s="1312">
        <v>645</v>
      </c>
      <c r="AH33" s="1312">
        <v>137</v>
      </c>
      <c r="AI33" s="1312">
        <v>150</v>
      </c>
      <c r="AJ33" s="1312">
        <v>185</v>
      </c>
      <c r="AK33" s="1312">
        <v>37</v>
      </c>
      <c r="AL33" s="1312">
        <v>50</v>
      </c>
      <c r="AM33" s="1312">
        <v>105</v>
      </c>
      <c r="AN33" s="1350" t="s">
        <v>1128</v>
      </c>
      <c r="BP33">
        <v>162.5</v>
      </c>
      <c r="BQ33" t="s">
        <v>391</v>
      </c>
      <c r="BV33" s="1312">
        <v>67.5</v>
      </c>
      <c r="BW33" s="1312">
        <v>245</v>
      </c>
      <c r="BX33" s="1312">
        <v>140</v>
      </c>
      <c r="BY33">
        <v>115</v>
      </c>
      <c r="BZ33" s="1312" t="s">
        <v>1583</v>
      </c>
      <c r="CA33" s="1352"/>
      <c r="CD33" s="1312">
        <v>232</v>
      </c>
      <c r="CE33" s="1312">
        <v>180</v>
      </c>
      <c r="CF33" s="254">
        <v>265</v>
      </c>
      <c r="CG33" s="1312">
        <v>205</v>
      </c>
      <c r="CH33" s="254">
        <v>285</v>
      </c>
      <c r="CI33">
        <v>320</v>
      </c>
      <c r="CJ33" s="1312" t="s">
        <v>1072</v>
      </c>
      <c r="CK33" s="1352"/>
      <c r="CM33" s="1351"/>
      <c r="CN33" s="1312">
        <v>105</v>
      </c>
      <c r="CO33" s="1312">
        <v>105</v>
      </c>
      <c r="CP33" s="1312">
        <v>400</v>
      </c>
      <c r="CQ33" s="1312"/>
      <c r="CR33" s="1352" t="s">
        <v>2139</v>
      </c>
      <c r="CS33" s="254" t="s">
        <v>1631</v>
      </c>
      <c r="CT33" s="1312"/>
      <c r="CU33"/>
    </row>
    <row r="34" spans="1:99" ht="28.8" x14ac:dyDescent="0.3">
      <c r="A34" s="1312">
        <v>33</v>
      </c>
      <c r="B34" s="254"/>
      <c r="C34" s="1312"/>
      <c r="D34" s="1312"/>
      <c r="E34" s="1312"/>
      <c r="F34" s="1312"/>
      <c r="G34" s="1312">
        <v>560</v>
      </c>
      <c r="H34" s="1312">
        <v>8.5</v>
      </c>
      <c r="I34" s="1312">
        <v>830</v>
      </c>
      <c r="J34" s="1312">
        <v>610</v>
      </c>
      <c r="K34" s="1312">
        <v>630</v>
      </c>
      <c r="L34" s="1312">
        <v>140</v>
      </c>
      <c r="M34" s="1312"/>
      <c r="N34" s="254"/>
      <c r="O34" s="1641"/>
      <c r="P34"/>
      <c r="S34" s="1312">
        <v>33</v>
      </c>
      <c r="T34" s="1312" t="s">
        <v>1660</v>
      </c>
      <c r="U34" s="1312">
        <v>480</v>
      </c>
      <c r="V34" s="1312">
        <v>900</v>
      </c>
      <c r="W34" s="1350">
        <v>80</v>
      </c>
      <c r="X34" s="1312"/>
      <c r="AD34" s="1312">
        <v>11</v>
      </c>
      <c r="AE34" s="1312">
        <v>810</v>
      </c>
      <c r="AF34" s="1312">
        <v>165</v>
      </c>
      <c r="AG34" s="1312">
        <v>645</v>
      </c>
      <c r="AH34" s="1312">
        <v>195</v>
      </c>
      <c r="AI34" s="1312">
        <v>210</v>
      </c>
      <c r="AJ34" s="1312">
        <v>245</v>
      </c>
      <c r="AK34" s="1312">
        <v>40</v>
      </c>
      <c r="AL34" s="1312">
        <v>47</v>
      </c>
      <c r="AM34" s="1312">
        <v>120</v>
      </c>
      <c r="BP34">
        <v>165</v>
      </c>
      <c r="BQ34" t="s">
        <v>392</v>
      </c>
      <c r="BV34" s="1312">
        <v>67.5</v>
      </c>
      <c r="BW34" s="1312">
        <v>245</v>
      </c>
      <c r="BX34" s="1312">
        <v>140</v>
      </c>
      <c r="BY34">
        <v>115</v>
      </c>
      <c r="BZ34" s="1312" t="s">
        <v>1583</v>
      </c>
      <c r="CA34" s="1352"/>
      <c r="CD34" s="1312">
        <v>230</v>
      </c>
      <c r="CE34" s="1312">
        <v>180</v>
      </c>
      <c r="CF34" s="254">
        <v>265</v>
      </c>
      <c r="CG34" s="1312">
        <v>210</v>
      </c>
      <c r="CH34" s="254">
        <v>285</v>
      </c>
      <c r="CI34">
        <v>320</v>
      </c>
      <c r="CJ34" s="1312" t="s">
        <v>1072</v>
      </c>
      <c r="CK34" s="1352"/>
      <c r="CM34" s="1351"/>
      <c r="CN34" s="1312">
        <v>100</v>
      </c>
      <c r="CO34" s="1312">
        <v>100</v>
      </c>
      <c r="CP34" s="1312">
        <v>400</v>
      </c>
      <c r="CQ34" s="1312"/>
      <c r="CR34" s="1352" t="s">
        <v>1633</v>
      </c>
      <c r="CS34" s="254" t="s">
        <v>1631</v>
      </c>
      <c r="CT34" s="1312"/>
      <c r="CU34"/>
    </row>
    <row r="35" spans="1:99" x14ac:dyDescent="0.3">
      <c r="A35" s="1312">
        <v>34</v>
      </c>
      <c r="B35" s="254"/>
      <c r="C35" s="1312"/>
      <c r="D35" s="1312"/>
      <c r="E35" s="1312"/>
      <c r="F35" s="1312"/>
      <c r="G35" s="1312">
        <v>565</v>
      </c>
      <c r="H35" s="1312">
        <v>5</v>
      </c>
      <c r="I35" s="1312">
        <v>740</v>
      </c>
      <c r="J35" s="1312">
        <v>595</v>
      </c>
      <c r="K35" s="1312">
        <v>620</v>
      </c>
      <c r="L35" s="1312">
        <v>140</v>
      </c>
      <c r="M35" s="1312" t="s">
        <v>1180</v>
      </c>
      <c r="N35" s="254"/>
      <c r="O35" s="1641"/>
      <c r="P35"/>
      <c r="S35" s="1312">
        <v>34</v>
      </c>
      <c r="T35" s="1312"/>
      <c r="U35" s="1312">
        <v>485</v>
      </c>
      <c r="V35" s="1312">
        <v>1160</v>
      </c>
      <c r="W35" s="1350">
        <v>100</v>
      </c>
      <c r="X35" s="1312" t="s">
        <v>1661</v>
      </c>
      <c r="AD35" s="1312">
        <v>77</v>
      </c>
      <c r="AE35" s="1312">
        <v>740</v>
      </c>
      <c r="AF35" s="1312">
        <v>95</v>
      </c>
      <c r="AG35" s="1312">
        <v>645</v>
      </c>
      <c r="AH35" s="1312">
        <v>215</v>
      </c>
      <c r="AI35" s="1312">
        <v>225</v>
      </c>
      <c r="AJ35" s="1312">
        <v>250</v>
      </c>
      <c r="AK35" s="1312">
        <v>25</v>
      </c>
      <c r="AL35" s="1312">
        <v>33</v>
      </c>
      <c r="AM35" s="1312">
        <v>70</v>
      </c>
      <c r="BP35">
        <v>167.5</v>
      </c>
      <c r="BQ35" t="s">
        <v>393</v>
      </c>
      <c r="BV35" s="1312">
        <v>70</v>
      </c>
      <c r="BW35" s="1312">
        <v>245</v>
      </c>
      <c r="BX35" s="1312">
        <v>140</v>
      </c>
      <c r="BY35">
        <v>115</v>
      </c>
      <c r="BZ35" s="1312" t="s">
        <v>1584</v>
      </c>
      <c r="CA35" s="1352"/>
      <c r="CD35" s="1312">
        <v>220</v>
      </c>
      <c r="CE35" s="1312">
        <v>190</v>
      </c>
      <c r="CF35" s="254">
        <v>200</v>
      </c>
      <c r="CG35" s="1312">
        <v>145</v>
      </c>
      <c r="CH35" s="254">
        <v>285</v>
      </c>
      <c r="CI35">
        <v>320</v>
      </c>
      <c r="CJ35" s="1312" t="s">
        <v>1073</v>
      </c>
      <c r="CK35" s="1352"/>
      <c r="CM35" s="1351"/>
      <c r="CN35" s="1312">
        <v>95</v>
      </c>
      <c r="CO35" s="1312">
        <v>95</v>
      </c>
      <c r="CP35" s="1312">
        <v>400</v>
      </c>
      <c r="CQ35" s="1312"/>
      <c r="CR35" s="1352"/>
      <c r="CS35" s="254" t="s">
        <v>1631</v>
      </c>
      <c r="CT35" s="1312"/>
      <c r="CU35"/>
    </row>
    <row r="36" spans="1:99" x14ac:dyDescent="0.3">
      <c r="A36" s="1312">
        <v>35</v>
      </c>
      <c r="B36" s="254"/>
      <c r="C36" s="1312" t="s">
        <v>1767</v>
      </c>
      <c r="D36" s="1312"/>
      <c r="E36" s="1312"/>
      <c r="F36" s="1312"/>
      <c r="G36" s="1312">
        <v>570</v>
      </c>
      <c r="H36" s="1312">
        <v>2.5</v>
      </c>
      <c r="I36" s="1312">
        <v>570</v>
      </c>
      <c r="J36" s="1312"/>
      <c r="K36" s="1312"/>
      <c r="L36" s="1312"/>
      <c r="M36" s="1312" t="s">
        <v>1210</v>
      </c>
      <c r="N36" s="254"/>
      <c r="O36" s="1641"/>
      <c r="P36" t="s">
        <v>1783</v>
      </c>
      <c r="S36" s="1312">
        <v>35</v>
      </c>
      <c r="T36" s="1312"/>
      <c r="U36" s="1312">
        <v>500</v>
      </c>
      <c r="V36" s="1312">
        <v>830</v>
      </c>
      <c r="W36" s="1350">
        <v>80</v>
      </c>
      <c r="X36" s="1312" t="s">
        <v>1662</v>
      </c>
      <c r="AD36" s="1312">
        <v>75</v>
      </c>
      <c r="AE36" s="1312">
        <v>760</v>
      </c>
      <c r="AF36" s="1312">
        <v>110</v>
      </c>
      <c r="AG36" s="1312">
        <v>650</v>
      </c>
      <c r="AH36" s="1312">
        <v>237</v>
      </c>
      <c r="AI36" s="1312">
        <v>247</v>
      </c>
      <c r="AJ36" s="1312">
        <v>275</v>
      </c>
      <c r="AK36" s="1312">
        <v>29</v>
      </c>
      <c r="AL36" s="1312">
        <v>35</v>
      </c>
      <c r="AM36" s="1312">
        <v>75</v>
      </c>
      <c r="AQ36" t="s">
        <v>545</v>
      </c>
      <c r="AR36" t="s">
        <v>2</v>
      </c>
      <c r="AS36" t="s">
        <v>1041</v>
      </c>
      <c r="AT36" t="s">
        <v>1051</v>
      </c>
      <c r="AU36" t="s">
        <v>1042</v>
      </c>
      <c r="AV36" t="s">
        <v>1052</v>
      </c>
      <c r="AW36" t="s">
        <v>1043</v>
      </c>
      <c r="AX36" t="s">
        <v>1044</v>
      </c>
      <c r="BP36">
        <v>170</v>
      </c>
      <c r="BQ36" t="s">
        <v>394</v>
      </c>
      <c r="BV36" s="1312">
        <v>70</v>
      </c>
      <c r="BW36" s="1312">
        <v>240</v>
      </c>
      <c r="BX36" s="1312">
        <v>140</v>
      </c>
      <c r="BY36">
        <v>115</v>
      </c>
      <c r="BZ36" s="1312" t="s">
        <v>1584</v>
      </c>
      <c r="CA36" s="1352"/>
      <c r="CD36" s="1312">
        <v>250</v>
      </c>
      <c r="CE36" s="1312">
        <v>190</v>
      </c>
      <c r="CF36" s="254">
        <v>265</v>
      </c>
      <c r="CG36" s="1312">
        <v>228</v>
      </c>
      <c r="CH36" s="254">
        <v>285</v>
      </c>
      <c r="CI36">
        <v>320</v>
      </c>
      <c r="CJ36" s="1312" t="s">
        <v>1070</v>
      </c>
      <c r="CK36" s="1352"/>
      <c r="CM36" s="1351"/>
      <c r="CN36" s="1312">
        <v>90</v>
      </c>
      <c r="CO36" s="1312">
        <v>90</v>
      </c>
      <c r="CP36" s="1312">
        <v>400</v>
      </c>
      <c r="CQ36" s="1312"/>
      <c r="CR36" s="1352"/>
      <c r="CS36" s="254" t="s">
        <v>1631</v>
      </c>
      <c r="CT36" s="1312"/>
      <c r="CU36"/>
    </row>
    <row r="37" spans="1:99" x14ac:dyDescent="0.3">
      <c r="A37" s="1312">
        <v>36</v>
      </c>
      <c r="B37" s="254" t="s">
        <v>1784</v>
      </c>
      <c r="C37" s="1312" t="s">
        <v>1785</v>
      </c>
      <c r="D37" s="1312"/>
      <c r="E37" s="1312"/>
      <c r="F37" s="1312"/>
      <c r="G37" s="1312">
        <v>570</v>
      </c>
      <c r="H37" s="1312">
        <v>0</v>
      </c>
      <c r="I37" s="1312">
        <v>185</v>
      </c>
      <c r="J37" s="1312">
        <v>150</v>
      </c>
      <c r="K37" s="1312">
        <v>350</v>
      </c>
      <c r="L37" s="1312">
        <v>350</v>
      </c>
      <c r="M37" s="1312"/>
      <c r="N37" s="254" t="s">
        <v>16</v>
      </c>
      <c r="O37" s="1641" t="s">
        <v>1985</v>
      </c>
      <c r="P37"/>
      <c r="S37" s="1312">
        <v>36</v>
      </c>
      <c r="T37" s="1312" t="s">
        <v>1272</v>
      </c>
      <c r="U37" s="1312">
        <v>510</v>
      </c>
      <c r="V37" s="1312">
        <v>1290</v>
      </c>
      <c r="W37" s="1350">
        <v>100</v>
      </c>
      <c r="X37" s="1312"/>
      <c r="AD37" s="1312">
        <v>88</v>
      </c>
      <c r="AE37" s="1312">
        <v>800</v>
      </c>
      <c r="AF37" s="1312">
        <v>150</v>
      </c>
      <c r="AG37" s="1312">
        <v>650</v>
      </c>
      <c r="AH37" s="1312">
        <v>305</v>
      </c>
      <c r="AI37" s="1312">
        <v>318</v>
      </c>
      <c r="AJ37" s="1312">
        <v>345</v>
      </c>
      <c r="AK37" s="1312">
        <v>35</v>
      </c>
      <c r="AL37" s="1312">
        <v>43</v>
      </c>
      <c r="AM37" s="1312">
        <v>110</v>
      </c>
      <c r="AQ37" s="1312">
        <v>5</v>
      </c>
      <c r="AR37" s="1312"/>
      <c r="AS37" s="1312">
        <v>575</v>
      </c>
      <c r="AT37" s="1312">
        <v>2.5</v>
      </c>
      <c r="AU37" s="1312">
        <v>125</v>
      </c>
      <c r="AV37" s="1312">
        <v>2.5</v>
      </c>
      <c r="AW37" s="1312">
        <v>125</v>
      </c>
      <c r="AX37" s="254" t="s">
        <v>1284</v>
      </c>
      <c r="BP37">
        <v>172.5</v>
      </c>
      <c r="BQ37" t="s">
        <v>395</v>
      </c>
      <c r="BV37" s="1312">
        <v>70</v>
      </c>
      <c r="BW37" s="1312">
        <v>245</v>
      </c>
      <c r="BX37" s="1312">
        <v>140</v>
      </c>
      <c r="BY37">
        <v>115</v>
      </c>
      <c r="BZ37" s="1312" t="s">
        <v>1584</v>
      </c>
      <c r="CA37" s="1352"/>
      <c r="CD37" s="1312">
        <v>280</v>
      </c>
      <c r="CE37" s="1312">
        <v>190</v>
      </c>
      <c r="CF37" s="254">
        <v>320</v>
      </c>
      <c r="CG37" s="1312">
        <v>265</v>
      </c>
      <c r="CH37" s="254">
        <v>375</v>
      </c>
      <c r="CI37">
        <v>450</v>
      </c>
      <c r="CJ37" s="1312" t="s">
        <v>1074</v>
      </c>
      <c r="CK37" s="1352"/>
      <c r="CM37" s="1351"/>
      <c r="CN37" s="1312">
        <v>87</v>
      </c>
      <c r="CO37" s="1312">
        <v>105</v>
      </c>
      <c r="CP37" s="1312">
        <v>440</v>
      </c>
      <c r="CQ37" s="1312"/>
      <c r="CR37" s="1352"/>
      <c r="CS37" s="254"/>
      <c r="CT37" s="1312"/>
      <c r="CU37"/>
    </row>
    <row r="38" spans="1:99" x14ac:dyDescent="0.3">
      <c r="A38" s="1312">
        <v>37</v>
      </c>
      <c r="B38" s="254" t="s">
        <v>1053</v>
      </c>
      <c r="C38" s="1312"/>
      <c r="D38" s="1312">
        <v>620</v>
      </c>
      <c r="E38" s="1312">
        <v>4</v>
      </c>
      <c r="F38" s="1312">
        <v>120</v>
      </c>
      <c r="G38" s="1312">
        <v>575</v>
      </c>
      <c r="H38" s="1312">
        <v>4</v>
      </c>
      <c r="I38" s="1312">
        <v>420</v>
      </c>
      <c r="J38" s="1312">
        <v>670</v>
      </c>
      <c r="K38" s="1312">
        <v>705</v>
      </c>
      <c r="L38" s="1312">
        <v>200</v>
      </c>
      <c r="M38" s="1312" t="s">
        <v>1258</v>
      </c>
      <c r="N38" s="254"/>
      <c r="O38" s="1641"/>
      <c r="P38"/>
      <c r="S38" s="1312">
        <v>37</v>
      </c>
      <c r="T38" s="1312" t="s">
        <v>1273</v>
      </c>
      <c r="U38" s="1312">
        <v>520</v>
      </c>
      <c r="V38" s="1312">
        <v>860</v>
      </c>
      <c r="W38" s="1350">
        <v>80</v>
      </c>
      <c r="X38" s="1312"/>
      <c r="AD38" s="1312">
        <v>55</v>
      </c>
      <c r="AE38" s="1312">
        <v>795</v>
      </c>
      <c r="AF38" s="1312">
        <v>140</v>
      </c>
      <c r="AG38" s="1312">
        <v>655</v>
      </c>
      <c r="AH38" s="1312">
        <v>292</v>
      </c>
      <c r="AI38" s="1312">
        <v>310</v>
      </c>
      <c r="AJ38" s="1312">
        <v>345</v>
      </c>
      <c r="AK38" s="1312">
        <v>100</v>
      </c>
      <c r="AL38" s="1312">
        <v>115</v>
      </c>
      <c r="AM38" s="1312">
        <v>220</v>
      </c>
      <c r="AN38" s="1350" t="s">
        <v>1129</v>
      </c>
      <c r="AQ38" s="1312">
        <v>6</v>
      </c>
      <c r="AR38" s="1312"/>
      <c r="AS38" s="1312">
        <v>580</v>
      </c>
      <c r="AT38" s="1312">
        <v>1</v>
      </c>
      <c r="AU38" s="1312">
        <v>220</v>
      </c>
      <c r="AV38" s="1312">
        <v>1</v>
      </c>
      <c r="AW38" s="1312">
        <v>125</v>
      </c>
      <c r="AX38" s="254" t="s">
        <v>1285</v>
      </c>
      <c r="BP38">
        <v>175</v>
      </c>
      <c r="BQ38" t="s">
        <v>396</v>
      </c>
      <c r="BV38" s="1312">
        <v>70</v>
      </c>
      <c r="BW38" s="1312">
        <v>245</v>
      </c>
      <c r="BX38" s="1312">
        <v>140</v>
      </c>
      <c r="BY38">
        <v>115</v>
      </c>
      <c r="BZ38" s="1312" t="s">
        <v>1584</v>
      </c>
      <c r="CA38" s="1352"/>
      <c r="CD38" s="1312">
        <v>240</v>
      </c>
      <c r="CE38" s="1312">
        <v>192.5</v>
      </c>
      <c r="CF38" s="254">
        <v>260</v>
      </c>
      <c r="CG38" s="1312">
        <v>205</v>
      </c>
      <c r="CH38" s="254">
        <v>375</v>
      </c>
      <c r="CI38">
        <v>450</v>
      </c>
      <c r="CJ38" s="1312" t="s">
        <v>1075</v>
      </c>
      <c r="CK38" s="1352"/>
      <c r="CM38" s="1351"/>
      <c r="CN38" s="1312">
        <v>85</v>
      </c>
      <c r="CO38" s="1312">
        <v>85</v>
      </c>
      <c r="CP38" s="1312">
        <v>400</v>
      </c>
      <c r="CQ38" s="1312"/>
      <c r="CR38" s="1352" t="s">
        <v>1635</v>
      </c>
      <c r="CS38" s="254" t="s">
        <v>1631</v>
      </c>
      <c r="CT38" s="1312"/>
      <c r="CU38"/>
    </row>
    <row r="39" spans="1:99" x14ac:dyDescent="0.3">
      <c r="A39" s="1312">
        <v>38</v>
      </c>
      <c r="B39" s="254"/>
      <c r="C39" s="1312"/>
      <c r="D39" s="1312"/>
      <c r="E39" s="1312"/>
      <c r="F39" s="1312"/>
      <c r="G39" s="1312">
        <v>580</v>
      </c>
      <c r="H39" s="1312">
        <v>7.5</v>
      </c>
      <c r="I39" s="1312">
        <v>1000</v>
      </c>
      <c r="J39" s="1312">
        <v>640</v>
      </c>
      <c r="K39" s="1312">
        <v>665</v>
      </c>
      <c r="L39" s="1312">
        <v>160</v>
      </c>
      <c r="M39" s="1312"/>
      <c r="N39" s="254"/>
      <c r="O39" s="1641"/>
      <c r="P39"/>
      <c r="S39" s="1312">
        <v>38</v>
      </c>
      <c r="T39" s="1312" t="s">
        <v>1211</v>
      </c>
      <c r="U39" s="1312">
        <v>530</v>
      </c>
      <c r="V39" s="1312">
        <v>580</v>
      </c>
      <c r="W39" s="1350">
        <v>80</v>
      </c>
      <c r="X39" s="1312"/>
      <c r="AD39" s="1312">
        <v>101</v>
      </c>
      <c r="AE39" s="1312">
        <v>800</v>
      </c>
      <c r="AF39" s="1312">
        <v>140</v>
      </c>
      <c r="AG39" s="1312">
        <v>660</v>
      </c>
      <c r="AH39" s="1312">
        <v>155</v>
      </c>
      <c r="AI39" s="1312">
        <v>167</v>
      </c>
      <c r="AJ39" s="1312">
        <v>200</v>
      </c>
      <c r="AK39" s="1312">
        <v>40</v>
      </c>
      <c r="AL39" s="1312">
        <v>55</v>
      </c>
      <c r="AM39" s="1312">
        <v>120</v>
      </c>
      <c r="AN39" s="1350" t="s">
        <v>1130</v>
      </c>
      <c r="AQ39" s="1312">
        <v>4</v>
      </c>
      <c r="AR39" s="1312" t="s">
        <v>1283</v>
      </c>
      <c r="AS39" s="1312">
        <v>720</v>
      </c>
      <c r="AT39" s="1312">
        <v>2.5</v>
      </c>
      <c r="AU39" s="1312">
        <v>510</v>
      </c>
      <c r="AV39" s="1312">
        <v>7.5</v>
      </c>
      <c r="AW39" s="1312">
        <v>150</v>
      </c>
      <c r="AX39" s="254"/>
      <c r="BP39">
        <v>177.5</v>
      </c>
      <c r="BQ39" t="s">
        <v>397</v>
      </c>
      <c r="BV39" s="1312">
        <v>70</v>
      </c>
      <c r="BW39" s="1312">
        <v>240</v>
      </c>
      <c r="BX39" s="1312">
        <v>140</v>
      </c>
      <c r="BY39">
        <v>115</v>
      </c>
      <c r="BZ39" s="1312" t="s">
        <v>1584</v>
      </c>
      <c r="CA39" s="1352"/>
      <c r="CD39" s="1312">
        <v>358</v>
      </c>
      <c r="CE39" s="1312">
        <v>210</v>
      </c>
      <c r="CF39" s="254">
        <v>320</v>
      </c>
      <c r="CG39" s="1312">
        <v>282</v>
      </c>
      <c r="CH39" s="254">
        <v>375</v>
      </c>
      <c r="CI39">
        <v>450</v>
      </c>
      <c r="CJ39" s="1312" t="s">
        <v>1076</v>
      </c>
      <c r="CK39" s="1352"/>
      <c r="CM39" s="1351"/>
      <c r="CN39" s="1312">
        <v>80</v>
      </c>
      <c r="CO39" s="1312">
        <v>100</v>
      </c>
      <c r="CP39" s="1312">
        <v>440</v>
      </c>
      <c r="CQ39" s="1312"/>
      <c r="CR39" s="1352" t="s">
        <v>1634</v>
      </c>
      <c r="CS39" s="254"/>
      <c r="CT39" s="1312"/>
      <c r="CU39"/>
    </row>
    <row r="40" spans="1:99" x14ac:dyDescent="0.3">
      <c r="A40" s="1312">
        <v>39</v>
      </c>
      <c r="B40" s="254" t="s">
        <v>1183</v>
      </c>
      <c r="C40" s="1312" t="s">
        <v>1272</v>
      </c>
      <c r="D40" s="1312">
        <v>625</v>
      </c>
      <c r="E40" s="1312">
        <v>2.5</v>
      </c>
      <c r="F40" s="1312">
        <v>300</v>
      </c>
      <c r="G40" s="1312">
        <v>595</v>
      </c>
      <c r="H40" s="1312">
        <v>5</v>
      </c>
      <c r="I40" s="1312">
        <v>800</v>
      </c>
      <c r="J40" s="1312">
        <v>735</v>
      </c>
      <c r="K40" s="1312">
        <v>755</v>
      </c>
      <c r="L40" s="1312">
        <v>155</v>
      </c>
      <c r="M40" s="1312"/>
      <c r="N40" s="254" t="s">
        <v>20</v>
      </c>
      <c r="O40" s="1641" t="s">
        <v>1986</v>
      </c>
      <c r="P40" t="s">
        <v>1786</v>
      </c>
      <c r="S40" s="1312">
        <v>39</v>
      </c>
      <c r="T40" s="1312" t="s">
        <v>1663</v>
      </c>
      <c r="U40" s="1312">
        <v>530</v>
      </c>
      <c r="V40" s="1312">
        <v>1110</v>
      </c>
      <c r="W40" s="1350">
        <v>80</v>
      </c>
      <c r="X40" s="1312" t="s">
        <v>1642</v>
      </c>
      <c r="AD40" s="1312">
        <v>102</v>
      </c>
      <c r="AE40" s="1312">
        <v>800</v>
      </c>
      <c r="AF40" s="1312">
        <v>140</v>
      </c>
      <c r="AG40" s="1312">
        <v>660</v>
      </c>
      <c r="AH40" s="1312">
        <v>155</v>
      </c>
      <c r="AI40" s="1312">
        <v>170</v>
      </c>
      <c r="AJ40" s="1312">
        <v>190</v>
      </c>
      <c r="AK40" s="1312">
        <v>40</v>
      </c>
      <c r="AL40" s="1312">
        <v>55</v>
      </c>
      <c r="AM40" s="1312">
        <v>110</v>
      </c>
      <c r="AN40" s="1350" t="s">
        <v>1131</v>
      </c>
      <c r="AQ40" s="1312">
        <v>8</v>
      </c>
      <c r="AR40" s="1312" t="s">
        <v>1288</v>
      </c>
      <c r="AS40" s="1312">
        <v>720</v>
      </c>
      <c r="AT40" s="1312">
        <v>5</v>
      </c>
      <c r="AU40" s="1312">
        <v>345</v>
      </c>
      <c r="AV40" s="1312">
        <v>2.5</v>
      </c>
      <c r="AW40" s="1312">
        <v>150</v>
      </c>
      <c r="AX40" s="254" t="s">
        <v>1289</v>
      </c>
      <c r="BP40">
        <v>180</v>
      </c>
      <c r="BQ40" t="s">
        <v>398</v>
      </c>
      <c r="BV40" s="1312">
        <v>70</v>
      </c>
      <c r="BW40" s="1312">
        <v>245</v>
      </c>
      <c r="BX40" s="1312">
        <v>140</v>
      </c>
      <c r="BY40">
        <v>115</v>
      </c>
      <c r="BZ40" s="1312" t="s">
        <v>1584</v>
      </c>
      <c r="CA40" s="1352"/>
      <c r="CD40" s="1312">
        <v>315</v>
      </c>
      <c r="CE40" s="1312">
        <v>220</v>
      </c>
      <c r="CF40" s="254">
        <v>320</v>
      </c>
      <c r="CG40" s="1312">
        <v>280</v>
      </c>
      <c r="CH40" s="254">
        <v>375</v>
      </c>
      <c r="CI40">
        <v>450</v>
      </c>
      <c r="CJ40" s="1312">
        <v>10255226</v>
      </c>
      <c r="CK40" s="1352"/>
      <c r="CM40" s="1351"/>
      <c r="CN40" s="1312">
        <v>80</v>
      </c>
      <c r="CO40" s="1312">
        <v>80</v>
      </c>
      <c r="CP40" s="1312">
        <v>400</v>
      </c>
      <c r="CQ40" s="1312"/>
      <c r="CR40" s="1352" t="s">
        <v>1635</v>
      </c>
      <c r="CS40" s="254" t="s">
        <v>1631</v>
      </c>
      <c r="CT40" s="1312"/>
      <c r="CU40"/>
    </row>
    <row r="41" spans="1:99" ht="28.8" x14ac:dyDescent="0.3">
      <c r="A41" s="1312">
        <v>40</v>
      </c>
      <c r="B41" s="254"/>
      <c r="C41" s="1312" t="s">
        <v>1211</v>
      </c>
      <c r="D41" s="1312"/>
      <c r="E41" s="1312"/>
      <c r="F41" s="1312"/>
      <c r="G41" s="1312">
        <v>600</v>
      </c>
      <c r="H41" s="1312">
        <v>5</v>
      </c>
      <c r="I41" s="1312">
        <v>450</v>
      </c>
      <c r="J41" s="1312">
        <v>635</v>
      </c>
      <c r="K41" s="1312">
        <v>645</v>
      </c>
      <c r="L41" s="1312">
        <v>90</v>
      </c>
      <c r="M41" s="1312"/>
      <c r="N41" s="254" t="s">
        <v>6</v>
      </c>
      <c r="O41" s="1641" t="s">
        <v>1987</v>
      </c>
      <c r="P41" t="s">
        <v>1787</v>
      </c>
      <c r="S41" s="1312">
        <v>40</v>
      </c>
      <c r="T41" s="1312"/>
      <c r="U41" s="1312">
        <v>545</v>
      </c>
      <c r="V41" s="1312">
        <v>1970</v>
      </c>
      <c r="W41" s="1350">
        <v>70</v>
      </c>
      <c r="X41" s="1312"/>
      <c r="AD41" s="1312">
        <v>22</v>
      </c>
      <c r="AE41" s="1312">
        <v>840</v>
      </c>
      <c r="AF41" s="1312">
        <v>180</v>
      </c>
      <c r="AG41" s="1312">
        <v>660</v>
      </c>
      <c r="AH41" s="1312">
        <v>294</v>
      </c>
      <c r="AI41" s="1312">
        <v>310</v>
      </c>
      <c r="AJ41" s="1312">
        <v>350</v>
      </c>
      <c r="AK41" s="1312">
        <v>107</v>
      </c>
      <c r="AL41" s="1312">
        <v>117</v>
      </c>
      <c r="AM41" s="1312">
        <v>185</v>
      </c>
      <c r="AN41" s="1350" t="s">
        <v>1132</v>
      </c>
      <c r="AQ41" s="1312">
        <v>9</v>
      </c>
      <c r="AR41" s="1312" t="s">
        <v>1290</v>
      </c>
      <c r="AS41" s="1312">
        <v>720</v>
      </c>
      <c r="AT41" s="1312">
        <v>2.5</v>
      </c>
      <c r="AU41" s="1312">
        <v>510</v>
      </c>
      <c r="AV41" s="1312">
        <v>2.5</v>
      </c>
      <c r="AW41" s="1312">
        <v>150</v>
      </c>
      <c r="AX41" s="254"/>
      <c r="BP41">
        <v>182.5</v>
      </c>
      <c r="BQ41" t="s">
        <v>399</v>
      </c>
      <c r="BV41" s="1312">
        <v>70</v>
      </c>
      <c r="BW41" s="1312">
        <v>240</v>
      </c>
      <c r="BX41" s="1312">
        <v>140</v>
      </c>
      <c r="BY41">
        <v>115</v>
      </c>
      <c r="BZ41" s="1312" t="s">
        <v>1584</v>
      </c>
      <c r="CA41" s="1352"/>
      <c r="CD41" s="1312">
        <v>311</v>
      </c>
      <c r="CE41" s="1312">
        <v>222.5</v>
      </c>
      <c r="CF41" s="254">
        <v>320</v>
      </c>
      <c r="CG41" s="1312">
        <v>280</v>
      </c>
      <c r="CH41" s="254">
        <v>375</v>
      </c>
      <c r="CI41">
        <v>450</v>
      </c>
      <c r="CJ41" s="1312" t="s">
        <v>1077</v>
      </c>
      <c r="CK41" s="1352"/>
      <c r="CM41" s="1351"/>
      <c r="CN41" s="1312">
        <v>78</v>
      </c>
      <c r="CO41" s="1312">
        <v>97</v>
      </c>
      <c r="CP41" s="1312">
        <v>440</v>
      </c>
      <c r="CQ41" s="1312"/>
      <c r="CR41" s="1352" t="s">
        <v>2140</v>
      </c>
      <c r="CS41" s="254"/>
      <c r="CT41" s="1312"/>
      <c r="CU41"/>
    </row>
    <row r="42" spans="1:99" x14ac:dyDescent="0.3">
      <c r="A42" s="1312">
        <v>41</v>
      </c>
      <c r="B42" s="254"/>
      <c r="C42" s="1312" t="s">
        <v>1212</v>
      </c>
      <c r="D42" s="1312"/>
      <c r="E42" s="1312"/>
      <c r="F42" s="1312"/>
      <c r="G42" s="1312">
        <v>602</v>
      </c>
      <c r="H42" s="1312">
        <v>2</v>
      </c>
      <c r="I42" s="1312">
        <v>110</v>
      </c>
      <c r="J42" s="1312">
        <v>680</v>
      </c>
      <c r="K42" s="1312">
        <v>700</v>
      </c>
      <c r="L42" s="1312">
        <v>190</v>
      </c>
      <c r="M42" s="1312" t="s">
        <v>1213</v>
      </c>
      <c r="N42" s="254" t="s">
        <v>6</v>
      </c>
      <c r="O42" s="1641" t="s">
        <v>1988</v>
      </c>
      <c r="P42" t="s">
        <v>1788</v>
      </c>
      <c r="S42" s="1312">
        <v>41</v>
      </c>
      <c r="T42" s="1312" t="s">
        <v>1214</v>
      </c>
      <c r="U42" s="1312">
        <v>550</v>
      </c>
      <c r="V42" s="1312">
        <v>1340</v>
      </c>
      <c r="W42" s="1350">
        <v>150</v>
      </c>
      <c r="X42" s="1312"/>
      <c r="AD42" s="1312">
        <v>13</v>
      </c>
      <c r="AE42" s="1312">
        <v>825</v>
      </c>
      <c r="AF42" s="1312">
        <v>165</v>
      </c>
      <c r="AG42" s="1312">
        <v>660</v>
      </c>
      <c r="AH42" s="1312">
        <v>325</v>
      </c>
      <c r="AI42" s="1312">
        <v>338</v>
      </c>
      <c r="AJ42" s="1312">
        <v>375</v>
      </c>
      <c r="AK42" s="1312">
        <v>80</v>
      </c>
      <c r="AL42" s="1312">
        <v>90</v>
      </c>
      <c r="AM42" s="1312">
        <v>155</v>
      </c>
      <c r="AN42" s="1350" t="s">
        <v>1133</v>
      </c>
      <c r="AQ42" s="1312">
        <v>10</v>
      </c>
      <c r="AR42" s="1312"/>
      <c r="AS42" s="1312">
        <v>730</v>
      </c>
      <c r="AT42" s="1312">
        <v>2.5</v>
      </c>
      <c r="AU42" s="1312">
        <v>545</v>
      </c>
      <c r="AV42" s="1312">
        <v>2.5</v>
      </c>
      <c r="AW42" s="1312">
        <v>180</v>
      </c>
      <c r="AX42" s="254"/>
      <c r="BP42">
        <v>185</v>
      </c>
      <c r="BQ42" t="s">
        <v>400</v>
      </c>
      <c r="BV42" s="1312">
        <v>72.5</v>
      </c>
      <c r="BW42" s="1312">
        <v>245</v>
      </c>
      <c r="BX42" s="1312">
        <v>140</v>
      </c>
      <c r="BY42">
        <v>115</v>
      </c>
      <c r="BZ42" s="1312" t="s">
        <v>1585</v>
      </c>
      <c r="CA42" s="1352"/>
      <c r="CD42" s="1312">
        <v>317</v>
      </c>
      <c r="CE42" s="1312">
        <v>227.5</v>
      </c>
      <c r="CF42" s="254">
        <v>378</v>
      </c>
      <c r="CG42" s="1312">
        <v>313</v>
      </c>
      <c r="CH42" s="254">
        <v>375</v>
      </c>
      <c r="CI42">
        <v>450</v>
      </c>
      <c r="CJ42" s="1312" t="s">
        <v>1078</v>
      </c>
      <c r="CK42" s="1352"/>
      <c r="CM42" s="1351"/>
      <c r="CN42" s="1312">
        <v>70</v>
      </c>
      <c r="CO42" s="1312">
        <v>70</v>
      </c>
      <c r="CP42" s="1312">
        <v>400</v>
      </c>
      <c r="CQ42" s="1312"/>
      <c r="CR42" s="1352"/>
      <c r="CS42" s="254" t="s">
        <v>1636</v>
      </c>
      <c r="CT42" s="1312"/>
      <c r="CU42"/>
    </row>
    <row r="43" spans="1:99" x14ac:dyDescent="0.3">
      <c r="A43" s="1312">
        <v>42</v>
      </c>
      <c r="B43" s="254"/>
      <c r="C43" s="1312" t="s">
        <v>1273</v>
      </c>
      <c r="D43" s="1312"/>
      <c r="E43" s="1312"/>
      <c r="F43" s="1312"/>
      <c r="G43" s="1312">
        <v>625</v>
      </c>
      <c r="H43" s="1312">
        <v>5</v>
      </c>
      <c r="I43" s="1312">
        <v>650</v>
      </c>
      <c r="J43" s="1312">
        <v>677</v>
      </c>
      <c r="K43" s="1312">
        <v>710</v>
      </c>
      <c r="L43" s="1312">
        <v>210</v>
      </c>
      <c r="M43" s="1312" t="s">
        <v>1274</v>
      </c>
      <c r="N43" s="254" t="s">
        <v>6</v>
      </c>
      <c r="O43" s="1641" t="s">
        <v>1989</v>
      </c>
      <c r="P43" t="s">
        <v>1789</v>
      </c>
      <c r="S43" s="1312">
        <v>42</v>
      </c>
      <c r="T43" s="1312" t="s">
        <v>1664</v>
      </c>
      <c r="U43" s="1312">
        <v>550</v>
      </c>
      <c r="V43" s="1312">
        <v>970</v>
      </c>
      <c r="W43" s="1350">
        <v>80</v>
      </c>
      <c r="X43" s="1312"/>
      <c r="AD43" s="1312">
        <v>94</v>
      </c>
      <c r="AE43" s="1312">
        <v>805</v>
      </c>
      <c r="AF43" s="1312">
        <v>140</v>
      </c>
      <c r="AG43" s="1312">
        <v>665</v>
      </c>
      <c r="AH43" s="1312">
        <v>160</v>
      </c>
      <c r="AI43" s="1312">
        <v>180</v>
      </c>
      <c r="AJ43" s="1312">
        <v>200</v>
      </c>
      <c r="AK43" s="1312">
        <v>28</v>
      </c>
      <c r="AL43" s="1312">
        <v>41</v>
      </c>
      <c r="AM43" s="1312">
        <v>100</v>
      </c>
      <c r="AQ43" s="1312">
        <v>3</v>
      </c>
      <c r="AR43" s="1312"/>
      <c r="AS43" s="1312">
        <v>795</v>
      </c>
      <c r="AT43" s="1312">
        <v>2.5</v>
      </c>
      <c r="AU43" s="1312">
        <v>540</v>
      </c>
      <c r="AV43" s="1312">
        <v>0</v>
      </c>
      <c r="AW43" s="1312">
        <v>165</v>
      </c>
      <c r="AX43" s="254"/>
      <c r="BP43">
        <v>187.5</v>
      </c>
      <c r="BQ43" t="s">
        <v>401</v>
      </c>
      <c r="BV43" s="1312">
        <v>72.5</v>
      </c>
      <c r="BW43" s="1312">
        <v>245</v>
      </c>
      <c r="BX43" s="1312">
        <v>140</v>
      </c>
      <c r="BY43">
        <v>115</v>
      </c>
      <c r="BZ43" s="1312" t="s">
        <v>1585</v>
      </c>
      <c r="CA43" s="1352"/>
      <c r="CD43" s="1312">
        <v>319</v>
      </c>
      <c r="CE43" s="1312">
        <v>230</v>
      </c>
      <c r="CF43" s="254">
        <v>380</v>
      </c>
      <c r="CG43" s="1312">
        <v>315</v>
      </c>
      <c r="CH43" s="254">
        <v>375</v>
      </c>
      <c r="CI43">
        <v>450</v>
      </c>
      <c r="CJ43" s="1312" t="s">
        <v>1079</v>
      </c>
      <c r="CK43" s="1352"/>
      <c r="CM43" s="1351"/>
      <c r="CN43" s="1312">
        <v>50</v>
      </c>
      <c r="CO43" s="1312">
        <v>50</v>
      </c>
      <c r="CP43" s="1312">
        <v>400</v>
      </c>
      <c r="CQ43" s="1312"/>
      <c r="CR43" s="1352"/>
      <c r="CS43" s="254" t="s">
        <v>1722</v>
      </c>
      <c r="CT43" s="1312"/>
      <c r="CU43"/>
    </row>
    <row r="44" spans="1:99" x14ac:dyDescent="0.3">
      <c r="A44" s="1312">
        <v>43</v>
      </c>
      <c r="B44" s="254"/>
      <c r="C44" s="1312"/>
      <c r="D44" s="1312"/>
      <c r="E44" s="1312"/>
      <c r="F44" s="1312"/>
      <c r="G44" s="1312">
        <v>630</v>
      </c>
      <c r="H44" s="1312">
        <v>8</v>
      </c>
      <c r="I44" s="1312">
        <v>490</v>
      </c>
      <c r="J44" s="1312">
        <v>775</v>
      </c>
      <c r="K44" s="1312">
        <v>795</v>
      </c>
      <c r="L44" s="1312">
        <v>355</v>
      </c>
      <c r="M44" s="1312" t="s">
        <v>1181</v>
      </c>
      <c r="N44" s="254"/>
      <c r="O44" s="1641"/>
      <c r="P44"/>
      <c r="S44" s="1312">
        <v>43</v>
      </c>
      <c r="T44" s="1312"/>
      <c r="U44" s="1312">
        <v>555</v>
      </c>
      <c r="V44" s="1312">
        <v>1070</v>
      </c>
      <c r="W44" s="1350">
        <v>80</v>
      </c>
      <c r="X44" s="1312"/>
      <c r="AD44" s="1312">
        <v>65</v>
      </c>
      <c r="AE44" s="1312">
        <v>825</v>
      </c>
      <c r="AF44" s="1312">
        <v>160</v>
      </c>
      <c r="AG44" s="1312">
        <v>665</v>
      </c>
      <c r="AH44" s="1312">
        <v>265</v>
      </c>
      <c r="AI44" s="1312">
        <v>278</v>
      </c>
      <c r="AJ44" s="1312">
        <v>320</v>
      </c>
      <c r="AK44" s="1312">
        <v>52</v>
      </c>
      <c r="AL44" s="1312">
        <v>60</v>
      </c>
      <c r="AM44" s="1312">
        <v>135</v>
      </c>
      <c r="AN44" s="1350" t="s">
        <v>1134</v>
      </c>
      <c r="AQ44" s="1312">
        <v>1</v>
      </c>
      <c r="AR44" s="1312"/>
      <c r="AS44" s="1312">
        <v>820</v>
      </c>
      <c r="AT44" s="1312">
        <v>5</v>
      </c>
      <c r="AU44" s="1312">
        <v>570</v>
      </c>
      <c r="AV44" s="1312">
        <v>0</v>
      </c>
      <c r="AW44" s="1312">
        <v>235</v>
      </c>
      <c r="AX44" s="254" t="s">
        <v>1282</v>
      </c>
      <c r="BP44">
        <v>190</v>
      </c>
      <c r="BQ44" t="s">
        <v>402</v>
      </c>
      <c r="BV44" s="1312">
        <v>72.5</v>
      </c>
      <c r="BW44" s="1312">
        <v>245</v>
      </c>
      <c r="BX44" s="1312">
        <v>140</v>
      </c>
      <c r="BY44">
        <v>115</v>
      </c>
      <c r="BZ44" s="1312" t="s">
        <v>1585</v>
      </c>
      <c r="CA44" s="1352"/>
      <c r="CD44" s="1312">
        <v>270</v>
      </c>
      <c r="CE44" s="1312">
        <v>230</v>
      </c>
      <c r="CF44" s="254">
        <v>258</v>
      </c>
      <c r="CG44" s="1312">
        <v>208</v>
      </c>
      <c r="CH44" s="254">
        <v>375</v>
      </c>
      <c r="CI44">
        <v>450</v>
      </c>
      <c r="CJ44" s="1312" t="s">
        <v>1080</v>
      </c>
      <c r="CK44" s="1352"/>
      <c r="CM44" s="1351"/>
      <c r="CN44" s="1312">
        <v>35</v>
      </c>
      <c r="CO44" s="1312"/>
      <c r="CP44" s="1312">
        <v>400</v>
      </c>
      <c r="CQ44" s="1312"/>
      <c r="CR44" s="1352"/>
      <c r="CS44" s="254" t="s">
        <v>1723</v>
      </c>
      <c r="CT44" s="1312"/>
      <c r="CU44"/>
    </row>
    <row r="45" spans="1:99" x14ac:dyDescent="0.3">
      <c r="A45" s="1312">
        <v>44</v>
      </c>
      <c r="B45" s="254" t="s">
        <v>1183</v>
      </c>
      <c r="C45" s="1312" t="s">
        <v>1214</v>
      </c>
      <c r="D45" s="1312"/>
      <c r="E45" s="1312"/>
      <c r="F45" s="1312"/>
      <c r="G45" s="1312">
        <v>640</v>
      </c>
      <c r="H45" s="1312">
        <v>15</v>
      </c>
      <c r="I45" s="1312">
        <v>1130</v>
      </c>
      <c r="J45" s="1312">
        <v>790</v>
      </c>
      <c r="K45" s="1312">
        <v>800</v>
      </c>
      <c r="L45" s="1312">
        <v>190</v>
      </c>
      <c r="M45" s="1312"/>
      <c r="N45" s="254" t="s">
        <v>20</v>
      </c>
      <c r="O45" s="1641" t="s">
        <v>1990</v>
      </c>
      <c r="P45" t="s">
        <v>1790</v>
      </c>
      <c r="S45" s="1312">
        <v>44</v>
      </c>
      <c r="T45" s="1312" t="s">
        <v>1220</v>
      </c>
      <c r="U45" s="1312">
        <v>560</v>
      </c>
      <c r="V45" s="1312">
        <v>770</v>
      </c>
      <c r="W45" s="1350">
        <v>80</v>
      </c>
      <c r="X45" s="1312"/>
      <c r="AD45" s="1312">
        <v>100</v>
      </c>
      <c r="AE45" s="1312">
        <v>835</v>
      </c>
      <c r="AF45" s="1312">
        <v>170</v>
      </c>
      <c r="AG45" s="1312">
        <v>665</v>
      </c>
      <c r="AH45" s="1312">
        <v>353</v>
      </c>
      <c r="AI45" s="1312">
        <v>355</v>
      </c>
      <c r="AJ45" s="1312">
        <v>395</v>
      </c>
      <c r="AK45" s="1312">
        <v>35</v>
      </c>
      <c r="AL45" s="1312">
        <v>48</v>
      </c>
      <c r="AM45" s="1312">
        <v>110</v>
      </c>
      <c r="AQ45" s="1312">
        <v>7</v>
      </c>
      <c r="AR45" s="1312" t="s">
        <v>1286</v>
      </c>
      <c r="AS45" s="1312">
        <v>900</v>
      </c>
      <c r="AT45" s="1312">
        <v>2.5</v>
      </c>
      <c r="AU45" s="1312">
        <v>660</v>
      </c>
      <c r="AV45" s="1312">
        <v>2.5</v>
      </c>
      <c r="AW45" s="1312">
        <v>170</v>
      </c>
      <c r="AX45" s="254" t="s">
        <v>1287</v>
      </c>
      <c r="BP45">
        <v>192.5</v>
      </c>
      <c r="BQ45" t="s">
        <v>403</v>
      </c>
      <c r="BV45" s="1312">
        <v>72.5</v>
      </c>
      <c r="BW45" s="1312">
        <v>240</v>
      </c>
      <c r="BX45" s="1312">
        <v>140</v>
      </c>
      <c r="BY45">
        <v>115</v>
      </c>
      <c r="BZ45" s="1312" t="s">
        <v>1585</v>
      </c>
      <c r="CA45" s="1352"/>
      <c r="CD45" s="1312">
        <v>321</v>
      </c>
      <c r="CE45" s="1312">
        <v>230</v>
      </c>
      <c r="CF45" s="254">
        <v>318</v>
      </c>
      <c r="CG45" s="1312">
        <v>255</v>
      </c>
      <c r="CH45" s="254">
        <v>375</v>
      </c>
      <c r="CI45">
        <v>450</v>
      </c>
      <c r="CJ45" s="1312" t="s">
        <v>1081</v>
      </c>
      <c r="CK45" s="1352"/>
      <c r="CM45" s="1351"/>
      <c r="CN45" s="1312">
        <v>45</v>
      </c>
      <c r="CO45" s="1312"/>
      <c r="CP45" s="1312">
        <v>400</v>
      </c>
      <c r="CQ45" s="1312"/>
      <c r="CR45" s="1352"/>
      <c r="CS45" s="254" t="s">
        <v>1723</v>
      </c>
      <c r="CT45" s="1312"/>
      <c r="CU45"/>
    </row>
    <row r="46" spans="1:99" x14ac:dyDescent="0.3">
      <c r="A46" s="1312">
        <v>45</v>
      </c>
      <c r="B46" s="254"/>
      <c r="C46" s="1312" t="s">
        <v>1259</v>
      </c>
      <c r="D46" s="1312">
        <v>675</v>
      </c>
      <c r="E46" s="1312">
        <v>1.5</v>
      </c>
      <c r="F46" s="1312">
        <v>100</v>
      </c>
      <c r="G46" s="1312">
        <v>650</v>
      </c>
      <c r="H46" s="1312">
        <v>2.5</v>
      </c>
      <c r="I46" s="1312">
        <v>75</v>
      </c>
      <c r="J46" s="1312">
        <v>710</v>
      </c>
      <c r="K46" s="1312">
        <v>720</v>
      </c>
      <c r="L46" s="1312">
        <v>100</v>
      </c>
      <c r="M46" s="1312"/>
      <c r="N46" s="254"/>
      <c r="O46" s="1641"/>
      <c r="P46"/>
      <c r="S46" s="1312">
        <v>45</v>
      </c>
      <c r="T46" s="1312" t="s">
        <v>1220</v>
      </c>
      <c r="U46" s="1312">
        <v>565</v>
      </c>
      <c r="V46" s="1312">
        <v>770</v>
      </c>
      <c r="W46" s="1350">
        <v>80</v>
      </c>
      <c r="X46" s="1312"/>
      <c r="AD46" s="1312">
        <v>21</v>
      </c>
      <c r="AE46" s="1312">
        <v>840</v>
      </c>
      <c r="AF46" s="1312">
        <v>170</v>
      </c>
      <c r="AG46" s="1312">
        <v>670</v>
      </c>
      <c r="AH46" s="1312">
        <v>355</v>
      </c>
      <c r="AI46" s="1312">
        <v>365</v>
      </c>
      <c r="AJ46" s="1312">
        <v>400</v>
      </c>
      <c r="AK46" s="1312">
        <v>40</v>
      </c>
      <c r="AL46" s="1312">
        <v>48</v>
      </c>
      <c r="AM46" s="1312">
        <v>110</v>
      </c>
      <c r="AQ46" s="1312">
        <v>11</v>
      </c>
      <c r="AR46" s="1312" t="s">
        <v>1291</v>
      </c>
      <c r="AS46" s="1312">
        <v>910</v>
      </c>
      <c r="AT46" s="1312">
        <v>2.5</v>
      </c>
      <c r="AU46" s="1312">
        <v>660</v>
      </c>
      <c r="AV46" s="1312">
        <v>5</v>
      </c>
      <c r="AW46" s="1312">
        <v>195</v>
      </c>
      <c r="AX46" s="254" t="s">
        <v>1292</v>
      </c>
      <c r="BP46">
        <v>195</v>
      </c>
      <c r="BQ46" t="s">
        <v>404</v>
      </c>
      <c r="BV46" s="1312">
        <v>72.5</v>
      </c>
      <c r="BW46" s="1312">
        <v>245</v>
      </c>
      <c r="BX46" s="1312">
        <v>140</v>
      </c>
      <c r="BY46">
        <v>115</v>
      </c>
      <c r="BZ46" s="1312" t="s">
        <v>1585</v>
      </c>
      <c r="CA46" s="1352"/>
      <c r="CD46" s="1312">
        <v>317</v>
      </c>
      <c r="CE46" s="1312">
        <v>230</v>
      </c>
      <c r="CF46" s="254">
        <v>320</v>
      </c>
      <c r="CG46" s="1312">
        <v>260</v>
      </c>
      <c r="CH46" s="254">
        <v>360</v>
      </c>
      <c r="CI46">
        <v>450</v>
      </c>
      <c r="CJ46" s="1312" t="s">
        <v>1081</v>
      </c>
      <c r="CK46" s="1352"/>
      <c r="CM46" s="1351"/>
      <c r="CN46" s="1312"/>
      <c r="CO46" s="1312"/>
      <c r="CP46" s="1312"/>
      <c r="CQ46" s="1312"/>
      <c r="CR46" s="1352"/>
      <c r="CS46" s="254"/>
      <c r="CT46" s="1312"/>
      <c r="CU46"/>
    </row>
    <row r="47" spans="1:99" x14ac:dyDescent="0.3">
      <c r="A47" s="1312">
        <v>46</v>
      </c>
      <c r="B47" s="254"/>
      <c r="C47" s="1312"/>
      <c r="D47" s="1312"/>
      <c r="E47" s="1312"/>
      <c r="F47" s="1312"/>
      <c r="G47" s="1312">
        <v>650</v>
      </c>
      <c r="H47" s="1312">
        <v>2.5</v>
      </c>
      <c r="I47" s="1312">
        <v>180</v>
      </c>
      <c r="J47" s="1312">
        <v>690</v>
      </c>
      <c r="K47" s="1312">
        <v>700</v>
      </c>
      <c r="L47" s="1312">
        <v>90</v>
      </c>
      <c r="M47" s="1312" t="s">
        <v>1182</v>
      </c>
      <c r="N47" s="254"/>
      <c r="O47" s="1641"/>
      <c r="P47"/>
      <c r="S47" s="1312">
        <v>46</v>
      </c>
      <c r="T47" s="1312" t="s">
        <v>1665</v>
      </c>
      <c r="U47" s="1312">
        <v>570</v>
      </c>
      <c r="V47" s="1312">
        <v>750</v>
      </c>
      <c r="W47" s="1350">
        <v>80</v>
      </c>
      <c r="X47" s="1312"/>
      <c r="AD47" s="1312">
        <v>16</v>
      </c>
      <c r="AE47" s="1312">
        <v>835</v>
      </c>
      <c r="AF47" s="1312">
        <v>165</v>
      </c>
      <c r="AG47" s="1312">
        <v>670</v>
      </c>
      <c r="AH47" s="1312">
        <v>520</v>
      </c>
      <c r="AI47" s="1312">
        <v>533</v>
      </c>
      <c r="AJ47" s="1312">
        <v>580</v>
      </c>
      <c r="AK47" s="1312">
        <v>58</v>
      </c>
      <c r="AL47" s="1312">
        <v>66</v>
      </c>
      <c r="AM47" s="1312">
        <v>135</v>
      </c>
      <c r="AN47" s="1350" t="s">
        <v>1135</v>
      </c>
      <c r="AQ47" s="1312">
        <v>13</v>
      </c>
      <c r="AR47" s="1312"/>
      <c r="AS47" s="1312">
        <v>1020</v>
      </c>
      <c r="AT47" s="1312">
        <v>2.5</v>
      </c>
      <c r="AU47" s="1312">
        <v>620</v>
      </c>
      <c r="AV47" s="1312">
        <v>5</v>
      </c>
      <c r="AW47" s="1312">
        <v>210</v>
      </c>
      <c r="AX47" s="254"/>
      <c r="BP47">
        <v>197.5</v>
      </c>
      <c r="BQ47" t="s">
        <v>405</v>
      </c>
      <c r="BV47" s="1312">
        <v>72.5</v>
      </c>
      <c r="BW47" s="1312">
        <v>244</v>
      </c>
      <c r="BX47" s="1312">
        <v>140</v>
      </c>
      <c r="BY47">
        <v>115</v>
      </c>
      <c r="BZ47" s="1312" t="s">
        <v>1585</v>
      </c>
      <c r="CA47" s="1352"/>
      <c r="CD47" s="1312">
        <v>318</v>
      </c>
      <c r="CE47" s="1312">
        <v>232.5</v>
      </c>
      <c r="CF47" s="254">
        <v>380</v>
      </c>
      <c r="CG47" s="1312">
        <v>320</v>
      </c>
      <c r="CH47" s="254">
        <v>375</v>
      </c>
      <c r="CI47">
        <v>450</v>
      </c>
      <c r="CJ47" s="1312" t="s">
        <v>1082</v>
      </c>
      <c r="CK47" s="1352"/>
      <c r="CM47" s="1351"/>
      <c r="CN47" s="1312"/>
      <c r="CO47" s="1312"/>
      <c r="CP47" s="1312"/>
      <c r="CQ47" s="1312"/>
      <c r="CR47" s="1352"/>
      <c r="CS47" s="254"/>
      <c r="CT47" s="1312"/>
      <c r="CU47"/>
    </row>
    <row r="48" spans="1:99" x14ac:dyDescent="0.3">
      <c r="A48" s="1312">
        <v>47</v>
      </c>
      <c r="B48" s="254"/>
      <c r="C48" s="1312"/>
      <c r="D48" s="1312"/>
      <c r="E48" s="1312"/>
      <c r="F48" s="1312"/>
      <c r="G48" s="1312">
        <v>650</v>
      </c>
      <c r="H48" s="1312">
        <v>7.5</v>
      </c>
      <c r="I48" s="1312">
        <v>600</v>
      </c>
      <c r="J48" s="1312">
        <v>700</v>
      </c>
      <c r="K48" s="1312">
        <v>715</v>
      </c>
      <c r="L48" s="1312">
        <v>115</v>
      </c>
      <c r="M48" s="1312"/>
      <c r="N48" s="254"/>
      <c r="O48" s="1641"/>
      <c r="P48"/>
      <c r="S48" s="1312">
        <v>47</v>
      </c>
      <c r="T48" s="1312"/>
      <c r="U48" s="1312">
        <v>570</v>
      </c>
      <c r="V48" s="1312">
        <v>560</v>
      </c>
      <c r="W48" s="1350">
        <v>80</v>
      </c>
      <c r="X48" s="1312"/>
      <c r="AD48" s="1312">
        <v>18</v>
      </c>
      <c r="AE48" s="1312">
        <v>835</v>
      </c>
      <c r="AF48" s="1312">
        <v>165</v>
      </c>
      <c r="AG48" s="1312">
        <v>670</v>
      </c>
      <c r="AH48" s="1312">
        <v>550</v>
      </c>
      <c r="AI48" s="1312">
        <v>560</v>
      </c>
      <c r="AJ48" s="1312">
        <v>605</v>
      </c>
      <c r="AK48" s="1312">
        <v>37</v>
      </c>
      <c r="AL48" s="1312">
        <v>50</v>
      </c>
      <c r="AM48" s="1312">
        <v>105</v>
      </c>
      <c r="AQ48" s="1312">
        <v>2</v>
      </c>
      <c r="AR48" s="1312"/>
      <c r="AS48" s="1312">
        <v>1080</v>
      </c>
      <c r="AT48" s="1312">
        <v>2.5</v>
      </c>
      <c r="AU48" s="1312">
        <v>990</v>
      </c>
      <c r="AV48" s="1312">
        <v>12.5</v>
      </c>
      <c r="AW48" s="1312">
        <v>150</v>
      </c>
      <c r="AX48" s="254"/>
      <c r="BP48">
        <v>200</v>
      </c>
      <c r="BQ48" t="s">
        <v>406</v>
      </c>
      <c r="BV48" s="1312">
        <v>75</v>
      </c>
      <c r="BW48" s="1312">
        <v>245</v>
      </c>
      <c r="BX48" s="1312">
        <v>140</v>
      </c>
      <c r="BY48">
        <v>115</v>
      </c>
      <c r="BZ48" s="1312" t="s">
        <v>1586</v>
      </c>
      <c r="CA48" s="1352"/>
      <c r="CD48" s="1312">
        <v>270</v>
      </c>
      <c r="CE48" s="1312">
        <v>232.5</v>
      </c>
      <c r="CF48" s="254">
        <v>260</v>
      </c>
      <c r="CG48" s="1312">
        <v>210</v>
      </c>
      <c r="CH48" s="254">
        <v>375</v>
      </c>
      <c r="CI48">
        <v>450</v>
      </c>
      <c r="CJ48" s="1312" t="s">
        <v>1080</v>
      </c>
      <c r="CK48" s="1352"/>
      <c r="CM48" s="1351"/>
      <c r="CN48"/>
      <c r="CR48" s="1350"/>
      <c r="CU48"/>
    </row>
    <row r="49" spans="1:99" x14ac:dyDescent="0.3">
      <c r="A49" s="1312">
        <v>48</v>
      </c>
      <c r="B49" s="254" t="s">
        <v>1791</v>
      </c>
      <c r="C49" s="1312" t="s">
        <v>1792</v>
      </c>
      <c r="D49" s="1312"/>
      <c r="E49" s="1312"/>
      <c r="F49" s="1312"/>
      <c r="G49" s="1312">
        <v>655</v>
      </c>
      <c r="H49" s="1312">
        <v>10</v>
      </c>
      <c r="I49" s="1312">
        <v>1760</v>
      </c>
      <c r="J49" s="1312">
        <v>745</v>
      </c>
      <c r="K49" s="1312">
        <v>770</v>
      </c>
      <c r="L49" s="1312">
        <v>160</v>
      </c>
      <c r="M49" s="1312"/>
      <c r="N49" s="254"/>
      <c r="O49" s="1641"/>
      <c r="P49" t="s">
        <v>1793</v>
      </c>
      <c r="S49" s="1312">
        <v>48</v>
      </c>
      <c r="T49" s="1312"/>
      <c r="U49" s="1312">
        <v>570</v>
      </c>
      <c r="V49" s="1312">
        <v>760</v>
      </c>
      <c r="W49" s="1350">
        <v>80</v>
      </c>
      <c r="X49" s="1312" t="s">
        <v>1863</v>
      </c>
      <c r="AD49" s="1312">
        <v>6</v>
      </c>
      <c r="AE49" s="1312">
        <v>780</v>
      </c>
      <c r="AF49" s="1312">
        <v>105</v>
      </c>
      <c r="AG49" s="1312">
        <v>675</v>
      </c>
      <c r="AH49" s="1312">
        <v>127</v>
      </c>
      <c r="AI49" s="1312">
        <v>137</v>
      </c>
      <c r="AJ49" s="1312">
        <v>160</v>
      </c>
      <c r="AK49" s="1312">
        <v>30</v>
      </c>
      <c r="AL49" s="1312">
        <v>35</v>
      </c>
      <c r="AM49" s="1312">
        <v>77</v>
      </c>
      <c r="AQ49" s="1312">
        <v>15</v>
      </c>
      <c r="AR49" s="1312"/>
      <c r="AS49" s="1312">
        <v>1185</v>
      </c>
      <c r="AT49" s="1312">
        <v>2.5</v>
      </c>
      <c r="AU49" s="1312">
        <v>725</v>
      </c>
      <c r="AV49" s="1312">
        <v>2.5</v>
      </c>
      <c r="AW49" s="1312">
        <v>285</v>
      </c>
      <c r="AX49" s="254" t="s">
        <v>1294</v>
      </c>
      <c r="BP49">
        <v>202.5</v>
      </c>
      <c r="BQ49" t="s">
        <v>407</v>
      </c>
      <c r="BV49" s="1312">
        <v>75</v>
      </c>
      <c r="BW49" s="1312">
        <v>243</v>
      </c>
      <c r="BX49" s="1312">
        <v>140</v>
      </c>
      <c r="BY49">
        <v>115</v>
      </c>
      <c r="BZ49" s="1312" t="s">
        <v>1586</v>
      </c>
      <c r="CA49" s="1352"/>
      <c r="CD49" s="1312">
        <v>312</v>
      </c>
      <c r="CE49" s="1312">
        <v>237.5</v>
      </c>
      <c r="CF49" s="254">
        <v>320</v>
      </c>
      <c r="CG49" s="1312">
        <v>275</v>
      </c>
      <c r="CH49" s="254">
        <v>375</v>
      </c>
      <c r="CI49">
        <v>450</v>
      </c>
      <c r="CJ49" s="1312" t="s">
        <v>1083</v>
      </c>
      <c r="CK49" s="1352"/>
      <c r="CM49" s="1351"/>
      <c r="CN49"/>
      <c r="CR49" s="1350"/>
      <c r="CU49"/>
    </row>
    <row r="50" spans="1:99" x14ac:dyDescent="0.3">
      <c r="A50" s="1312">
        <v>51</v>
      </c>
      <c r="B50" s="254"/>
      <c r="C50" s="1312" t="s">
        <v>1260</v>
      </c>
      <c r="D50" s="1312">
        <v>697</v>
      </c>
      <c r="E50" s="1312">
        <v>4</v>
      </c>
      <c r="F50" s="1312">
        <v>130</v>
      </c>
      <c r="G50" s="1312">
        <v>660</v>
      </c>
      <c r="H50" s="1312">
        <v>8.5</v>
      </c>
      <c r="I50" s="1312">
        <v>685</v>
      </c>
      <c r="J50" s="1312">
        <v>750</v>
      </c>
      <c r="K50" s="1312">
        <v>770</v>
      </c>
      <c r="L50" s="1312">
        <v>170</v>
      </c>
      <c r="M50" s="1312"/>
      <c r="N50" s="254"/>
      <c r="O50" s="1641"/>
      <c r="P50"/>
      <c r="S50" s="1312">
        <v>49</v>
      </c>
      <c r="T50" s="1312" t="s">
        <v>1666</v>
      </c>
      <c r="U50" s="1312">
        <v>580</v>
      </c>
      <c r="V50" s="1312">
        <v>770</v>
      </c>
      <c r="W50" s="1350">
        <v>80</v>
      </c>
      <c r="X50" s="1312" t="s">
        <v>1667</v>
      </c>
      <c r="AD50" s="1312">
        <v>36</v>
      </c>
      <c r="AE50" s="1312">
        <v>845</v>
      </c>
      <c r="AF50" s="1312">
        <v>170</v>
      </c>
      <c r="AG50" s="1312">
        <v>675</v>
      </c>
      <c r="AH50" s="1312">
        <v>360</v>
      </c>
      <c r="AI50" s="1312">
        <v>370</v>
      </c>
      <c r="AJ50" s="1312">
        <v>405</v>
      </c>
      <c r="AK50" s="1312">
        <v>40</v>
      </c>
      <c r="AL50" s="1312">
        <v>51</v>
      </c>
      <c r="AM50" s="1312">
        <v>110</v>
      </c>
      <c r="AQ50" s="1312">
        <v>12</v>
      </c>
      <c r="AR50" s="1312"/>
      <c r="AS50" s="1312">
        <v>1270</v>
      </c>
      <c r="AT50" s="1312">
        <v>5</v>
      </c>
      <c r="AU50" s="1312">
        <v>950</v>
      </c>
      <c r="AV50" s="1312">
        <v>2.5</v>
      </c>
      <c r="AW50" s="1312">
        <v>200</v>
      </c>
      <c r="AX50" s="254" t="s">
        <v>1293</v>
      </c>
      <c r="BP50">
        <v>205</v>
      </c>
      <c r="BQ50" t="s">
        <v>408</v>
      </c>
      <c r="BV50" s="1312">
        <v>75</v>
      </c>
      <c r="BW50" s="1312">
        <v>240</v>
      </c>
      <c r="BX50" s="1312">
        <v>140</v>
      </c>
      <c r="BY50">
        <v>115</v>
      </c>
      <c r="BZ50" s="1312" t="s">
        <v>1586</v>
      </c>
      <c r="CA50" s="1352"/>
      <c r="CD50" s="1312">
        <v>370</v>
      </c>
      <c r="CE50" s="1312">
        <v>237.5</v>
      </c>
      <c r="CF50" s="254">
        <v>200</v>
      </c>
      <c r="CG50" s="1312">
        <v>135</v>
      </c>
      <c r="CH50" s="254">
        <v>415</v>
      </c>
      <c r="CI50">
        <v>450</v>
      </c>
      <c r="CJ50" s="1312">
        <v>7249591</v>
      </c>
      <c r="CK50" s="1352"/>
      <c r="CM50" s="1351"/>
      <c r="CN50"/>
      <c r="CR50" s="1350"/>
      <c r="CU50"/>
    </row>
    <row r="51" spans="1:99" x14ac:dyDescent="0.3">
      <c r="A51" s="1312">
        <v>49</v>
      </c>
      <c r="B51" s="254"/>
      <c r="C51" s="1312" t="s">
        <v>1215</v>
      </c>
      <c r="D51" s="1312"/>
      <c r="E51" s="1312"/>
      <c r="F51" s="1312"/>
      <c r="G51" s="1312">
        <v>660</v>
      </c>
      <c r="H51" s="1312">
        <v>2.5</v>
      </c>
      <c r="I51" s="1312">
        <v>80</v>
      </c>
      <c r="J51" s="1312">
        <v>680</v>
      </c>
      <c r="K51" s="1312">
        <v>700</v>
      </c>
      <c r="L51" s="1312">
        <v>110</v>
      </c>
      <c r="M51" s="1312" t="s">
        <v>1179</v>
      </c>
      <c r="N51" s="254"/>
      <c r="O51" s="1641"/>
      <c r="P51"/>
      <c r="S51" s="1312">
        <v>50</v>
      </c>
      <c r="T51" s="1312"/>
      <c r="U51" s="1312">
        <v>580</v>
      </c>
      <c r="V51" s="1312">
        <v>790</v>
      </c>
      <c r="W51" s="1350">
        <v>80</v>
      </c>
      <c r="X51" s="1312" t="s">
        <v>1668</v>
      </c>
      <c r="AD51" s="1312">
        <v>20</v>
      </c>
      <c r="AE51" s="1312">
        <v>840</v>
      </c>
      <c r="AF51" s="1312">
        <v>165</v>
      </c>
      <c r="AG51" s="1312">
        <v>675</v>
      </c>
      <c r="AH51" s="1312">
        <v>525</v>
      </c>
      <c r="AI51" s="1312">
        <v>532</v>
      </c>
      <c r="AJ51" s="1312">
        <v>570</v>
      </c>
      <c r="AK51" s="1312">
        <v>55</v>
      </c>
      <c r="AL51" s="1312">
        <v>65</v>
      </c>
      <c r="AM51" s="1312">
        <v>130</v>
      </c>
      <c r="AN51" s="1350" t="s">
        <v>1136</v>
      </c>
      <c r="AQ51" s="1312">
        <v>17</v>
      </c>
      <c r="AR51" s="1312"/>
      <c r="AS51" s="1312">
        <v>1310</v>
      </c>
      <c r="AT51" s="1312">
        <v>2.5</v>
      </c>
      <c r="AU51" s="1312">
        <v>945</v>
      </c>
      <c r="AV51" s="1312">
        <v>2.5</v>
      </c>
      <c r="AW51" s="1312">
        <v>240</v>
      </c>
      <c r="AX51" s="254" t="s">
        <v>1296</v>
      </c>
      <c r="BP51">
        <v>207.5</v>
      </c>
      <c r="BQ51" t="s">
        <v>409</v>
      </c>
      <c r="BV51" s="1312">
        <v>75</v>
      </c>
      <c r="BW51" s="1312">
        <v>245</v>
      </c>
      <c r="BX51" s="1312">
        <v>140</v>
      </c>
      <c r="BY51">
        <v>115</v>
      </c>
      <c r="BZ51" s="1312" t="s">
        <v>1586</v>
      </c>
      <c r="CA51" s="1352"/>
      <c r="CD51" s="1312">
        <v>290</v>
      </c>
      <c r="CE51" s="1312">
        <v>240</v>
      </c>
      <c r="CF51" s="254">
        <v>260</v>
      </c>
      <c r="CG51" s="1312">
        <v>205</v>
      </c>
      <c r="CH51" s="254">
        <v>375</v>
      </c>
      <c r="CI51">
        <v>450</v>
      </c>
      <c r="CJ51" s="1312">
        <v>7245893</v>
      </c>
      <c r="CK51" s="1352"/>
      <c r="CM51" s="1351"/>
      <c r="CN51"/>
      <c r="CR51" s="1350"/>
      <c r="CU51"/>
    </row>
    <row r="52" spans="1:99" x14ac:dyDescent="0.3">
      <c r="A52" s="1312">
        <v>50</v>
      </c>
      <c r="B52" s="254"/>
      <c r="C52" s="1312" t="s">
        <v>1216</v>
      </c>
      <c r="D52" s="1312"/>
      <c r="E52" s="1312"/>
      <c r="F52" s="1312"/>
      <c r="G52" s="1312">
        <v>660</v>
      </c>
      <c r="H52" s="1312">
        <v>6</v>
      </c>
      <c r="I52" s="1312">
        <v>520</v>
      </c>
      <c r="J52" s="1312">
        <v>710</v>
      </c>
      <c r="K52" s="1312">
        <v>725</v>
      </c>
      <c r="L52" s="1312">
        <v>100</v>
      </c>
      <c r="M52" s="1312" t="s">
        <v>1217</v>
      </c>
      <c r="N52" s="254"/>
      <c r="O52" s="1641"/>
      <c r="P52"/>
      <c r="S52" s="1312">
        <v>51</v>
      </c>
      <c r="T52" s="1312" t="s">
        <v>1669</v>
      </c>
      <c r="U52" s="1312">
        <v>590</v>
      </c>
      <c r="V52" s="1312">
        <v>425</v>
      </c>
      <c r="W52" s="1350">
        <v>80</v>
      </c>
      <c r="X52" s="1312"/>
      <c r="AD52" s="1312">
        <v>19</v>
      </c>
      <c r="AE52" s="1312">
        <v>850</v>
      </c>
      <c r="AF52" s="1312">
        <v>170</v>
      </c>
      <c r="AG52" s="1312">
        <v>680</v>
      </c>
      <c r="AH52" s="1312">
        <v>545</v>
      </c>
      <c r="AI52" s="1312">
        <v>560</v>
      </c>
      <c r="AJ52" s="1312">
        <v>600</v>
      </c>
      <c r="AK52" s="1312">
        <v>37</v>
      </c>
      <c r="AL52" s="1312">
        <v>45</v>
      </c>
      <c r="AM52" s="1312">
        <v>110</v>
      </c>
      <c r="AQ52" s="1312">
        <v>16</v>
      </c>
      <c r="AR52" s="1312"/>
      <c r="AS52" s="1312">
        <v>1340</v>
      </c>
      <c r="AT52" s="1312">
        <v>5</v>
      </c>
      <c r="AU52" s="1312">
        <v>970</v>
      </c>
      <c r="AV52" s="1312">
        <v>2.5</v>
      </c>
      <c r="AW52" s="1312">
        <v>245</v>
      </c>
      <c r="AX52" s="254" t="s">
        <v>1295</v>
      </c>
      <c r="BP52">
        <v>210</v>
      </c>
      <c r="BQ52" t="s">
        <v>410</v>
      </c>
      <c r="BV52" s="1312">
        <v>77.5</v>
      </c>
      <c r="BW52" s="1312">
        <v>240</v>
      </c>
      <c r="BX52" s="1312">
        <v>140</v>
      </c>
      <c r="BY52">
        <v>115</v>
      </c>
      <c r="BZ52" s="1312" t="s">
        <v>1587</v>
      </c>
      <c r="CA52" s="1352"/>
      <c r="CD52" s="1312">
        <v>281</v>
      </c>
      <c r="CE52" s="1312">
        <v>242.5</v>
      </c>
      <c r="CF52" s="254">
        <v>260</v>
      </c>
      <c r="CG52" s="1312">
        <v>200</v>
      </c>
      <c r="CH52" s="254">
        <v>375</v>
      </c>
      <c r="CI52">
        <v>450</v>
      </c>
      <c r="CJ52" s="1312" t="s">
        <v>1084</v>
      </c>
      <c r="CK52" s="1352"/>
      <c r="CM52" s="1351"/>
      <c r="CN52"/>
      <c r="CR52" s="1350"/>
      <c r="CU52"/>
    </row>
    <row r="53" spans="1:99" x14ac:dyDescent="0.3">
      <c r="A53" s="1312">
        <v>52</v>
      </c>
      <c r="B53" s="254"/>
      <c r="C53" s="1312" t="s">
        <v>1218</v>
      </c>
      <c r="D53" s="1312"/>
      <c r="E53" s="1312"/>
      <c r="F53" s="1312"/>
      <c r="G53" s="1312">
        <v>665</v>
      </c>
      <c r="H53" s="1312">
        <v>7</v>
      </c>
      <c r="I53" s="1312">
        <v>630</v>
      </c>
      <c r="J53" s="1312">
        <v>710</v>
      </c>
      <c r="K53" s="1312">
        <v>730</v>
      </c>
      <c r="L53" s="1312">
        <v>105</v>
      </c>
      <c r="M53" s="1312" t="s">
        <v>1219</v>
      </c>
      <c r="N53" s="254"/>
      <c r="O53" s="1641"/>
      <c r="P53"/>
      <c r="S53" s="1312">
        <v>52</v>
      </c>
      <c r="T53" s="1312"/>
      <c r="U53" s="1312">
        <v>600</v>
      </c>
      <c r="V53" s="1312">
        <v>600</v>
      </c>
      <c r="W53" s="1350">
        <v>80</v>
      </c>
      <c r="X53" s="1312"/>
      <c r="AD53" s="1312">
        <v>87</v>
      </c>
      <c r="AE53" s="1312">
        <v>835</v>
      </c>
      <c r="AF53" s="1312">
        <v>150</v>
      </c>
      <c r="AG53" s="1312">
        <v>685</v>
      </c>
      <c r="AH53" s="1312">
        <v>250</v>
      </c>
      <c r="AI53" s="1312">
        <v>265</v>
      </c>
      <c r="AJ53" s="1312">
        <v>295</v>
      </c>
      <c r="AK53" s="1312">
        <v>35</v>
      </c>
      <c r="AL53" s="1312">
        <v>44</v>
      </c>
      <c r="AM53" s="1312">
        <v>105</v>
      </c>
      <c r="AQ53" s="1312">
        <v>19</v>
      </c>
      <c r="AR53" s="1312"/>
      <c r="AS53" s="1312">
        <v>1445</v>
      </c>
      <c r="AT53" s="1312">
        <v>2.5</v>
      </c>
      <c r="AU53" s="1312">
        <v>1105</v>
      </c>
      <c r="AV53" s="1312">
        <v>2.5</v>
      </c>
      <c r="AW53" s="1312">
        <v>380</v>
      </c>
      <c r="AX53" s="254" t="s">
        <v>1298</v>
      </c>
      <c r="BP53">
        <v>212.5</v>
      </c>
      <c r="BQ53" t="s">
        <v>411</v>
      </c>
      <c r="BV53" s="1312">
        <v>77.5</v>
      </c>
      <c r="BW53" s="1312">
        <v>240</v>
      </c>
      <c r="BX53" s="1312">
        <v>140</v>
      </c>
      <c r="BY53">
        <v>115</v>
      </c>
      <c r="BZ53" s="1312" t="s">
        <v>1587</v>
      </c>
      <c r="CA53" s="1352"/>
      <c r="CD53" s="1312">
        <v>279</v>
      </c>
      <c r="CE53" s="1312">
        <v>245</v>
      </c>
      <c r="CF53" s="254">
        <v>260</v>
      </c>
      <c r="CG53" s="1312">
        <v>210</v>
      </c>
      <c r="CH53" s="254">
        <v>375</v>
      </c>
      <c r="CI53">
        <v>450</v>
      </c>
      <c r="CJ53" s="1312" t="s">
        <v>1084</v>
      </c>
      <c r="CK53" s="1352"/>
      <c r="CM53" s="1351"/>
      <c r="CN53"/>
      <c r="CR53" s="1350"/>
      <c r="CU53"/>
    </row>
    <row r="54" spans="1:99" x14ac:dyDescent="0.3">
      <c r="A54" s="1312">
        <v>54</v>
      </c>
      <c r="B54" s="254" t="s">
        <v>1053</v>
      </c>
      <c r="C54" s="1312" t="s">
        <v>1795</v>
      </c>
      <c r="D54" s="1312">
        <v>730</v>
      </c>
      <c r="E54" s="1312">
        <v>2.5</v>
      </c>
      <c r="F54" s="1312">
        <v>120</v>
      </c>
      <c r="G54" s="1312">
        <v>670</v>
      </c>
      <c r="H54" s="1312">
        <v>5</v>
      </c>
      <c r="I54" s="1312">
        <v>590</v>
      </c>
      <c r="J54" s="1312">
        <v>810</v>
      </c>
      <c r="K54" s="1312">
        <v>840</v>
      </c>
      <c r="L54" s="1312">
        <v>250</v>
      </c>
      <c r="M54" s="1312" t="s">
        <v>1258</v>
      </c>
      <c r="N54" s="254"/>
      <c r="O54" s="1641"/>
      <c r="P54"/>
      <c r="S54" s="1312">
        <v>53</v>
      </c>
      <c r="T54" s="1312" t="s">
        <v>1670</v>
      </c>
      <c r="U54" s="1312">
        <v>600</v>
      </c>
      <c r="V54" s="1312">
        <v>900</v>
      </c>
      <c r="W54" s="1350">
        <v>80</v>
      </c>
      <c r="X54" s="1312" t="s">
        <v>1671</v>
      </c>
      <c r="AD54" s="1312">
        <v>28</v>
      </c>
      <c r="AE54" s="1312">
        <v>845</v>
      </c>
      <c r="AF54" s="1312">
        <v>150</v>
      </c>
      <c r="AG54" s="1312">
        <v>695</v>
      </c>
      <c r="AH54" s="1312">
        <v>405</v>
      </c>
      <c r="AI54" s="1312">
        <v>420</v>
      </c>
      <c r="AJ54" s="1312">
        <v>450</v>
      </c>
      <c r="AK54" s="1312">
        <v>46</v>
      </c>
      <c r="AL54" s="1312">
        <v>55</v>
      </c>
      <c r="AM54" s="1312">
        <v>105</v>
      </c>
      <c r="AN54" s="1350" t="s">
        <v>1137</v>
      </c>
      <c r="AQ54" s="1312">
        <v>18</v>
      </c>
      <c r="AR54" s="1312"/>
      <c r="AS54" s="1312">
        <v>1545</v>
      </c>
      <c r="AT54" s="1312">
        <v>5</v>
      </c>
      <c r="AU54" s="1312">
        <v>1270</v>
      </c>
      <c r="AV54" s="1312">
        <v>0</v>
      </c>
      <c r="AW54" s="1312">
        <v>195</v>
      </c>
      <c r="AX54" s="254" t="s">
        <v>1297</v>
      </c>
      <c r="BP54">
        <v>215</v>
      </c>
      <c r="BQ54" t="s">
        <v>412</v>
      </c>
      <c r="BV54" s="1312">
        <v>80</v>
      </c>
      <c r="BW54" s="1312">
        <v>245</v>
      </c>
      <c r="BX54" s="1312">
        <v>140</v>
      </c>
      <c r="BY54">
        <v>115</v>
      </c>
      <c r="BZ54" s="1312" t="s">
        <v>1588</v>
      </c>
      <c r="CA54" s="1352"/>
      <c r="CD54" s="1312">
        <v>279</v>
      </c>
      <c r="CE54" s="1312">
        <v>245</v>
      </c>
      <c r="CF54" s="254">
        <v>260</v>
      </c>
      <c r="CG54" s="1312">
        <v>210</v>
      </c>
      <c r="CH54" s="254">
        <v>375</v>
      </c>
      <c r="CI54">
        <v>450</v>
      </c>
      <c r="CJ54" s="1312" t="s">
        <v>1084</v>
      </c>
      <c r="CK54" s="1352"/>
      <c r="CM54" s="1351"/>
      <c r="CN54"/>
      <c r="CR54" s="1350"/>
      <c r="CU54"/>
    </row>
    <row r="55" spans="1:99" x14ac:dyDescent="0.3">
      <c r="A55" s="1312">
        <v>53</v>
      </c>
      <c r="B55" s="254"/>
      <c r="C55" s="1312" t="s">
        <v>1220</v>
      </c>
      <c r="D55" s="1312"/>
      <c r="E55" s="1312"/>
      <c r="F55" s="1312"/>
      <c r="G55" s="1312">
        <v>670</v>
      </c>
      <c r="H55" s="1312">
        <v>4</v>
      </c>
      <c r="I55" s="1312">
        <v>560</v>
      </c>
      <c r="J55" s="1312">
        <v>720</v>
      </c>
      <c r="K55" s="1312">
        <v>740</v>
      </c>
      <c r="L55" s="1312">
        <v>130</v>
      </c>
      <c r="M55" s="1312"/>
      <c r="N55" s="254"/>
      <c r="O55" s="1641"/>
      <c r="P55" t="s">
        <v>1794</v>
      </c>
      <c r="S55" s="1312">
        <v>54</v>
      </c>
      <c r="T55" s="1312" t="s">
        <v>1223</v>
      </c>
      <c r="U55" s="1312">
        <v>600</v>
      </c>
      <c r="V55" s="1312">
        <v>800</v>
      </c>
      <c r="W55" s="1350">
        <v>80</v>
      </c>
      <c r="X55" s="1312"/>
      <c r="AD55" s="1312">
        <v>51</v>
      </c>
      <c r="AE55" s="1312">
        <v>805</v>
      </c>
      <c r="AF55" s="1312">
        <v>105</v>
      </c>
      <c r="AG55" s="1312">
        <v>700</v>
      </c>
      <c r="AH55" s="1312">
        <v>165</v>
      </c>
      <c r="AI55" s="1312">
        <v>180</v>
      </c>
      <c r="AJ55" s="1312">
        <v>200</v>
      </c>
      <c r="AK55" s="1312">
        <v>29</v>
      </c>
      <c r="AL55" s="1312">
        <v>35</v>
      </c>
      <c r="AM55" s="1312">
        <v>80</v>
      </c>
      <c r="AQ55" s="1312">
        <v>22</v>
      </c>
      <c r="AR55" s="1312">
        <v>418</v>
      </c>
      <c r="AS55" s="1312">
        <v>1860</v>
      </c>
      <c r="AT55" s="1312">
        <v>10</v>
      </c>
      <c r="AU55" s="1312">
        <v>1560</v>
      </c>
      <c r="AV55" s="1312">
        <v>5</v>
      </c>
      <c r="AW55" s="1312">
        <v>220</v>
      </c>
      <c r="AX55" s="254"/>
      <c r="BP55">
        <v>217.5</v>
      </c>
      <c r="BQ55" t="s">
        <v>413</v>
      </c>
      <c r="BV55" s="1312">
        <v>80</v>
      </c>
      <c r="BW55" s="1312">
        <v>240</v>
      </c>
      <c r="BX55" s="1312">
        <v>140</v>
      </c>
      <c r="BY55">
        <v>115</v>
      </c>
      <c r="BZ55" s="1312" t="s">
        <v>1588</v>
      </c>
      <c r="CA55" s="1352"/>
      <c r="CD55" s="1312">
        <v>280</v>
      </c>
      <c r="CE55" s="1312">
        <v>245</v>
      </c>
      <c r="CF55" s="254">
        <v>260</v>
      </c>
      <c r="CG55" s="1312">
        <v>205</v>
      </c>
      <c r="CH55" s="254">
        <v>375</v>
      </c>
      <c r="CI55">
        <v>450</v>
      </c>
      <c r="CJ55" s="1312" t="s">
        <v>1084</v>
      </c>
      <c r="CK55" s="1352"/>
      <c r="CM55" s="1351"/>
      <c r="CN55"/>
      <c r="CR55" s="1350"/>
      <c r="CU55"/>
    </row>
    <row r="56" spans="1:99" x14ac:dyDescent="0.3">
      <c r="A56" s="1312">
        <v>55</v>
      </c>
      <c r="B56" s="254"/>
      <c r="C56" s="1312" t="s">
        <v>1261</v>
      </c>
      <c r="D56" s="1312">
        <v>728</v>
      </c>
      <c r="E56" s="1312">
        <v>3.5</v>
      </c>
      <c r="F56" s="1312">
        <v>40</v>
      </c>
      <c r="G56" s="1312">
        <v>675</v>
      </c>
      <c r="H56" s="1312">
        <v>4.5</v>
      </c>
      <c r="I56" s="1312">
        <v>130</v>
      </c>
      <c r="J56" s="1312">
        <v>775</v>
      </c>
      <c r="K56" s="1312">
        <v>800</v>
      </c>
      <c r="L56" s="1312">
        <v>150</v>
      </c>
      <c r="M56" s="1312"/>
      <c r="N56" s="254"/>
      <c r="O56" s="1641"/>
      <c r="P56"/>
      <c r="S56" s="1312">
        <v>55</v>
      </c>
      <c r="T56" s="1312"/>
      <c r="U56" s="1312">
        <v>605</v>
      </c>
      <c r="V56" s="1312">
        <v>460</v>
      </c>
      <c r="W56" s="1350">
        <v>80</v>
      </c>
      <c r="X56" s="1312"/>
      <c r="AD56" s="1312">
        <v>43</v>
      </c>
      <c r="AE56" s="1312">
        <v>850</v>
      </c>
      <c r="AF56" s="1312">
        <v>150</v>
      </c>
      <c r="AG56" s="1312">
        <v>700</v>
      </c>
      <c r="AH56" s="1312">
        <v>363</v>
      </c>
      <c r="AI56" s="1312">
        <v>385</v>
      </c>
      <c r="AJ56" s="1312">
        <v>410</v>
      </c>
      <c r="AK56" s="1312">
        <v>32</v>
      </c>
      <c r="AL56" s="1312">
        <v>45</v>
      </c>
      <c r="AM56" s="1312">
        <v>100</v>
      </c>
      <c r="AQ56" s="1312">
        <v>14</v>
      </c>
      <c r="AR56" s="1312"/>
      <c r="AS56" s="1312">
        <v>1930</v>
      </c>
      <c r="AT56" s="1312">
        <v>5</v>
      </c>
      <c r="AU56" s="1312">
        <v>1540</v>
      </c>
      <c r="AV56" s="1312">
        <v>5</v>
      </c>
      <c r="AW56" s="1312">
        <v>305</v>
      </c>
      <c r="AX56" s="254"/>
      <c r="BP56">
        <v>220</v>
      </c>
      <c r="BQ56" t="s">
        <v>414</v>
      </c>
      <c r="BV56" s="1312">
        <v>80</v>
      </c>
      <c r="BW56" s="1312">
        <v>240</v>
      </c>
      <c r="BX56" s="1312">
        <v>140</v>
      </c>
      <c r="BY56">
        <v>115</v>
      </c>
      <c r="BZ56" s="1312" t="s">
        <v>1588</v>
      </c>
      <c r="CA56" s="1352"/>
      <c r="CD56" s="1312">
        <v>345</v>
      </c>
      <c r="CE56" s="1312">
        <v>245</v>
      </c>
      <c r="CF56" s="254">
        <v>260</v>
      </c>
      <c r="CG56" s="1312">
        <v>190</v>
      </c>
      <c r="CH56" s="254">
        <v>375</v>
      </c>
      <c r="CI56">
        <v>450</v>
      </c>
      <c r="CJ56" s="1312" t="s">
        <v>1084</v>
      </c>
      <c r="CK56" s="1352"/>
      <c r="CM56" s="1351"/>
      <c r="CN56"/>
      <c r="CR56" s="1350"/>
      <c r="CU56"/>
    </row>
    <row r="57" spans="1:99" x14ac:dyDescent="0.3">
      <c r="A57" s="1312">
        <v>56</v>
      </c>
      <c r="B57" s="254"/>
      <c r="C57" s="1312"/>
      <c r="D57" s="1312"/>
      <c r="E57" s="1312"/>
      <c r="F57" s="1312"/>
      <c r="G57" s="1312">
        <v>680</v>
      </c>
      <c r="H57" s="1312">
        <v>12</v>
      </c>
      <c r="I57" s="1312">
        <v>500</v>
      </c>
      <c r="J57" s="1312">
        <v>680</v>
      </c>
      <c r="K57" s="1312">
        <v>710</v>
      </c>
      <c r="L57" s="1312">
        <v>305</v>
      </c>
      <c r="M57" s="1312" t="s">
        <v>1184</v>
      </c>
      <c r="N57" s="254"/>
      <c r="O57" s="1641"/>
      <c r="P57"/>
      <c r="S57" s="1312">
        <v>56</v>
      </c>
      <c r="T57" s="1312" t="s">
        <v>1276</v>
      </c>
      <c r="U57" s="1312">
        <v>605</v>
      </c>
      <c r="V57" s="1312">
        <v>1570</v>
      </c>
      <c r="W57" s="1350">
        <v>150</v>
      </c>
      <c r="X57" s="1312" t="s">
        <v>1661</v>
      </c>
      <c r="AD57" s="1312">
        <v>31</v>
      </c>
      <c r="AE57" s="1312">
        <v>880</v>
      </c>
      <c r="AF57" s="1312">
        <v>165</v>
      </c>
      <c r="AG57" s="1312">
        <v>715</v>
      </c>
      <c r="AH57" s="1312">
        <v>295</v>
      </c>
      <c r="AI57" s="1312">
        <v>315</v>
      </c>
      <c r="AJ57" s="1312">
        <v>355</v>
      </c>
      <c r="AK57" s="1312">
        <v>55</v>
      </c>
      <c r="AL57" s="1312">
        <v>70</v>
      </c>
      <c r="AM57" s="1312">
        <v>135</v>
      </c>
      <c r="AN57" s="1350" t="s">
        <v>1138</v>
      </c>
      <c r="AQ57" s="1312">
        <v>21</v>
      </c>
      <c r="AR57" s="1312"/>
      <c r="AS57" s="1312">
        <v>2165</v>
      </c>
      <c r="AT57" s="1312">
        <v>7.5</v>
      </c>
      <c r="AU57" s="1312">
        <v>1690</v>
      </c>
      <c r="AV57" s="1312">
        <v>5</v>
      </c>
      <c r="AW57" s="1312">
        <v>200</v>
      </c>
      <c r="AX57" s="254"/>
      <c r="BP57">
        <v>222.5</v>
      </c>
      <c r="BQ57" t="s">
        <v>415</v>
      </c>
      <c r="BV57" s="1312">
        <v>80</v>
      </c>
      <c r="BW57" s="1312">
        <v>245</v>
      </c>
      <c r="BX57" s="1312">
        <v>140</v>
      </c>
      <c r="BY57">
        <v>115</v>
      </c>
      <c r="BZ57" s="1312" t="s">
        <v>1588</v>
      </c>
      <c r="CA57" s="1352"/>
      <c r="CD57" s="1312">
        <v>281</v>
      </c>
      <c r="CE57" s="1312">
        <v>250</v>
      </c>
      <c r="CF57" s="254">
        <v>260</v>
      </c>
      <c r="CG57" s="1312">
        <v>210</v>
      </c>
      <c r="CH57" s="254">
        <v>375</v>
      </c>
      <c r="CI57">
        <v>450</v>
      </c>
      <c r="CJ57" s="1312" t="s">
        <v>1085</v>
      </c>
      <c r="CK57" s="1352"/>
      <c r="CM57" s="1351"/>
      <c r="CN57"/>
      <c r="CR57" s="1350"/>
      <c r="CU57"/>
    </row>
    <row r="58" spans="1:99" x14ac:dyDescent="0.3">
      <c r="A58" s="1312">
        <v>57</v>
      </c>
      <c r="B58" s="254"/>
      <c r="C58" s="1312" t="s">
        <v>1221</v>
      </c>
      <c r="D58" s="1312"/>
      <c r="E58" s="1312"/>
      <c r="F58" s="1312"/>
      <c r="G58" s="1312">
        <v>680</v>
      </c>
      <c r="H58" s="1312">
        <v>8</v>
      </c>
      <c r="I58" s="1312">
        <v>520</v>
      </c>
      <c r="J58" s="1312">
        <v>735</v>
      </c>
      <c r="K58" s="1312">
        <v>745</v>
      </c>
      <c r="L58" s="1312">
        <v>95</v>
      </c>
      <c r="M58" s="1312" t="s">
        <v>1222</v>
      </c>
      <c r="N58" s="254"/>
      <c r="O58" s="1641"/>
      <c r="P58" t="s">
        <v>1796</v>
      </c>
      <c r="S58" s="1312">
        <v>57</v>
      </c>
      <c r="T58" s="1312" t="s">
        <v>1672</v>
      </c>
      <c r="U58" s="1312">
        <v>610</v>
      </c>
      <c r="V58" s="1312">
        <v>700</v>
      </c>
      <c r="W58" s="1350">
        <v>80</v>
      </c>
      <c r="X58" s="1312" t="s">
        <v>1673</v>
      </c>
      <c r="AD58" s="1312">
        <v>91</v>
      </c>
      <c r="AE58" s="1312">
        <v>895</v>
      </c>
      <c r="AF58" s="1312">
        <v>175</v>
      </c>
      <c r="AG58" s="1312">
        <v>720</v>
      </c>
      <c r="AH58" s="1312">
        <v>180</v>
      </c>
      <c r="AI58" s="1312">
        <v>234</v>
      </c>
      <c r="AJ58" s="1312">
        <v>270</v>
      </c>
      <c r="AK58" s="1312">
        <v>45</v>
      </c>
      <c r="AL58" s="1312">
        <v>60</v>
      </c>
      <c r="AM58" s="1312">
        <v>125</v>
      </c>
      <c r="AN58" s="1350" t="s">
        <v>1139</v>
      </c>
      <c r="AQ58" s="1312">
        <v>20</v>
      </c>
      <c r="AR58" s="1312"/>
      <c r="AS58" s="1312">
        <v>2400</v>
      </c>
      <c r="AT58" s="1312">
        <v>10</v>
      </c>
      <c r="AU58" s="1312">
        <v>2040</v>
      </c>
      <c r="AV58" s="1312">
        <v>5</v>
      </c>
      <c r="AW58" s="1312">
        <v>330</v>
      </c>
      <c r="AX58" s="254"/>
      <c r="BP58">
        <v>225</v>
      </c>
      <c r="BQ58" t="s">
        <v>416</v>
      </c>
      <c r="BV58" s="1312">
        <v>80</v>
      </c>
      <c r="BW58" s="1312">
        <v>245</v>
      </c>
      <c r="BX58" s="1312">
        <v>140</v>
      </c>
      <c r="BY58">
        <v>115</v>
      </c>
      <c r="BZ58" s="1312" t="s">
        <v>1588</v>
      </c>
      <c r="CA58" s="1352"/>
      <c r="CD58" s="1312">
        <v>280</v>
      </c>
      <c r="CE58" s="1312">
        <v>250</v>
      </c>
      <c r="CF58" s="254">
        <v>320</v>
      </c>
      <c r="CG58" s="1312">
        <v>265</v>
      </c>
      <c r="CH58" s="254">
        <v>375</v>
      </c>
      <c r="CI58">
        <v>450</v>
      </c>
      <c r="CJ58" s="1312">
        <v>7248613</v>
      </c>
      <c r="CK58" s="1352"/>
      <c r="CM58" s="1351"/>
      <c r="CN58"/>
      <c r="CR58" s="1350"/>
      <c r="CU58"/>
    </row>
    <row r="59" spans="1:99" x14ac:dyDescent="0.3">
      <c r="A59" s="1312">
        <v>58</v>
      </c>
      <c r="B59" s="254"/>
      <c r="C59" s="1312" t="s">
        <v>1223</v>
      </c>
      <c r="D59" s="1312"/>
      <c r="E59" s="1312"/>
      <c r="F59" s="1312"/>
      <c r="G59" s="1312">
        <v>685</v>
      </c>
      <c r="H59" s="1312">
        <v>4</v>
      </c>
      <c r="I59" s="1312">
        <v>600</v>
      </c>
      <c r="J59" s="1312">
        <v>735</v>
      </c>
      <c r="K59" s="1312">
        <v>750</v>
      </c>
      <c r="L59" s="1312">
        <v>150</v>
      </c>
      <c r="M59" s="1312"/>
      <c r="N59" s="254"/>
      <c r="O59" s="1641"/>
      <c r="P59"/>
      <c r="S59" s="1312">
        <v>58</v>
      </c>
      <c r="T59" s="1312" t="s">
        <v>1674</v>
      </c>
      <c r="U59" s="1312">
        <v>615</v>
      </c>
      <c r="V59" s="1312">
        <v>1600</v>
      </c>
      <c r="W59" s="1350">
        <v>150</v>
      </c>
      <c r="X59" s="1312"/>
      <c r="AD59" s="1312">
        <v>107</v>
      </c>
      <c r="AE59" s="1312">
        <v>880</v>
      </c>
      <c r="AF59" s="1312">
        <v>150</v>
      </c>
      <c r="AG59" s="1312">
        <v>730</v>
      </c>
      <c r="AH59" s="1312">
        <v>210</v>
      </c>
      <c r="AI59" s="1312">
        <v>225</v>
      </c>
      <c r="AJ59" s="1312">
        <v>260</v>
      </c>
      <c r="AK59" s="1312">
        <v>31</v>
      </c>
      <c r="AL59" s="1312">
        <v>44</v>
      </c>
      <c r="AM59" s="1312">
        <v>110</v>
      </c>
      <c r="AQ59" s="1312"/>
      <c r="AR59" s="1312"/>
      <c r="AS59" s="1312"/>
      <c r="AT59" s="1312"/>
      <c r="AU59" s="1312"/>
      <c r="AV59" s="1312"/>
      <c r="AW59" s="254"/>
      <c r="BP59">
        <v>227.5</v>
      </c>
      <c r="BQ59" t="s">
        <v>417</v>
      </c>
      <c r="BV59" s="1312">
        <v>80</v>
      </c>
      <c r="BW59" s="1312">
        <v>245</v>
      </c>
      <c r="BX59" s="1312">
        <v>140</v>
      </c>
      <c r="BY59">
        <v>115</v>
      </c>
      <c r="BZ59" s="1312" t="s">
        <v>1588</v>
      </c>
      <c r="CA59" s="1352"/>
      <c r="CD59" s="1312">
        <v>282</v>
      </c>
      <c r="CE59" s="1312">
        <v>252.5</v>
      </c>
      <c r="CF59" s="254">
        <v>320</v>
      </c>
      <c r="CG59" s="1312">
        <v>260</v>
      </c>
      <c r="CH59" s="254">
        <v>375</v>
      </c>
      <c r="CI59">
        <v>450</v>
      </c>
      <c r="CJ59" s="1312" t="s">
        <v>1086</v>
      </c>
      <c r="CK59" s="1352"/>
      <c r="CM59" s="1351"/>
      <c r="CN59"/>
      <c r="CR59" s="1350"/>
      <c r="CU59"/>
    </row>
    <row r="60" spans="1:99" x14ac:dyDescent="0.3">
      <c r="A60" s="1312">
        <v>59</v>
      </c>
      <c r="B60" s="254"/>
      <c r="C60" s="1312" t="s">
        <v>1224</v>
      </c>
      <c r="D60" s="1312"/>
      <c r="E60" s="1312"/>
      <c r="F60" s="1312"/>
      <c r="G60" s="1312">
        <v>690</v>
      </c>
      <c r="H60" s="1312">
        <v>5</v>
      </c>
      <c r="I60" s="1312">
        <v>625</v>
      </c>
      <c r="J60" s="1312">
        <v>740</v>
      </c>
      <c r="K60" s="1312">
        <v>755</v>
      </c>
      <c r="L60" s="1312">
        <v>125</v>
      </c>
      <c r="M60" s="1312"/>
      <c r="N60" s="254"/>
      <c r="O60" s="1641"/>
      <c r="P60"/>
      <c r="S60" s="1312">
        <v>59</v>
      </c>
      <c r="T60" s="1312"/>
      <c r="U60" s="1312">
        <v>615</v>
      </c>
      <c r="V60" s="1312">
        <v>730</v>
      </c>
      <c r="W60" s="1350">
        <v>80</v>
      </c>
      <c r="X60" s="1312"/>
      <c r="AD60" s="1312">
        <v>54</v>
      </c>
      <c r="AE60" s="1312">
        <v>900</v>
      </c>
      <c r="AF60" s="1312">
        <v>165</v>
      </c>
      <c r="AG60" s="1312">
        <v>735</v>
      </c>
      <c r="AH60" s="1312">
        <v>235</v>
      </c>
      <c r="AI60" s="1312">
        <v>250</v>
      </c>
      <c r="AJ60" s="1312">
        <v>305</v>
      </c>
      <c r="AK60" s="1312">
        <v>130</v>
      </c>
      <c r="AL60" s="1312">
        <v>140</v>
      </c>
      <c r="AM60" s="1312">
        <v>215</v>
      </c>
      <c r="AN60" s="1350" t="s">
        <v>1140</v>
      </c>
      <c r="AQ60" s="1312"/>
      <c r="AR60" s="1312"/>
      <c r="AS60" s="1312"/>
      <c r="AT60" s="1312"/>
      <c r="AU60" s="1312"/>
      <c r="AV60" s="1312"/>
      <c r="AW60" s="254"/>
      <c r="BP60">
        <v>230</v>
      </c>
      <c r="BQ60" t="s">
        <v>418</v>
      </c>
      <c r="BV60" s="1312">
        <v>80</v>
      </c>
      <c r="BW60" s="1312">
        <v>245</v>
      </c>
      <c r="BX60" s="1312">
        <v>140</v>
      </c>
      <c r="BY60">
        <v>115</v>
      </c>
      <c r="BZ60" s="1312" t="s">
        <v>1588</v>
      </c>
      <c r="CA60" s="1352"/>
      <c r="CD60" s="1312">
        <v>298</v>
      </c>
      <c r="CE60" s="1312">
        <v>252.5</v>
      </c>
      <c r="CF60" s="254">
        <v>318</v>
      </c>
      <c r="CG60" s="1312">
        <v>197</v>
      </c>
      <c r="CH60" s="254">
        <v>375</v>
      </c>
      <c r="CI60">
        <v>450</v>
      </c>
      <c r="CJ60" s="1312" t="s">
        <v>1086</v>
      </c>
      <c r="CK60" s="1352"/>
      <c r="CM60" s="1351"/>
      <c r="CN60"/>
      <c r="CR60" s="1350"/>
      <c r="CU60"/>
    </row>
    <row r="61" spans="1:99" x14ac:dyDescent="0.3">
      <c r="A61" s="1312">
        <v>60</v>
      </c>
      <c r="B61" s="254"/>
      <c r="C61" s="1312" t="s">
        <v>1225</v>
      </c>
      <c r="D61" s="1312"/>
      <c r="E61" s="1312"/>
      <c r="F61" s="1312"/>
      <c r="G61" s="1312">
        <v>695</v>
      </c>
      <c r="H61" s="1312">
        <v>6</v>
      </c>
      <c r="I61" s="1312">
        <v>460</v>
      </c>
      <c r="J61" s="1312">
        <v>740</v>
      </c>
      <c r="K61" s="1312">
        <v>750</v>
      </c>
      <c r="L61" s="1312">
        <v>100</v>
      </c>
      <c r="M61" s="1312" t="s">
        <v>1226</v>
      </c>
      <c r="N61" s="254"/>
      <c r="O61" s="1641"/>
      <c r="P61"/>
      <c r="S61" s="1312">
        <v>60</v>
      </c>
      <c r="T61" s="1312" t="s">
        <v>1675</v>
      </c>
      <c r="U61" s="1312">
        <v>625</v>
      </c>
      <c r="V61" s="1312">
        <v>560</v>
      </c>
      <c r="W61" s="1350">
        <v>80</v>
      </c>
      <c r="X61" s="1312"/>
      <c r="AD61" s="1312">
        <v>47</v>
      </c>
      <c r="AE61" s="1312">
        <v>940</v>
      </c>
      <c r="AF61" s="1312">
        <v>200</v>
      </c>
      <c r="AG61" s="1312">
        <v>740</v>
      </c>
      <c r="AH61" s="1312">
        <v>200</v>
      </c>
      <c r="AI61" s="1312">
        <v>215</v>
      </c>
      <c r="AJ61" s="1312">
        <v>267</v>
      </c>
      <c r="AK61" s="1312">
        <v>46</v>
      </c>
      <c r="AL61" s="1312">
        <v>55</v>
      </c>
      <c r="AM61" s="1312">
        <v>140</v>
      </c>
      <c r="AQ61" s="1312"/>
      <c r="AR61" s="1312"/>
      <c r="AS61" s="1312"/>
      <c r="AT61" s="1312"/>
      <c r="AU61" s="1312"/>
      <c r="AV61" s="1312"/>
      <c r="AW61" s="254"/>
      <c r="BP61">
        <v>232.5</v>
      </c>
      <c r="BQ61" t="s">
        <v>419</v>
      </c>
      <c r="BV61" s="1312">
        <v>80</v>
      </c>
      <c r="BW61" s="1312">
        <v>245</v>
      </c>
      <c r="BX61" s="1312">
        <v>140</v>
      </c>
      <c r="BY61">
        <v>115</v>
      </c>
      <c r="BZ61" s="1312" t="s">
        <v>1588</v>
      </c>
      <c r="CA61" s="1352"/>
      <c r="CD61" s="1312">
        <v>297</v>
      </c>
      <c r="CE61" s="1312">
        <v>260</v>
      </c>
      <c r="CF61" s="254">
        <v>315</v>
      </c>
      <c r="CG61" s="1312">
        <v>190</v>
      </c>
      <c r="CH61" s="254">
        <v>375</v>
      </c>
      <c r="CI61">
        <v>450</v>
      </c>
      <c r="CJ61" s="1312" t="s">
        <v>1087</v>
      </c>
      <c r="CK61" s="1352"/>
      <c r="CM61" s="1351"/>
      <c r="CN61"/>
      <c r="CR61" s="1350"/>
      <c r="CU61"/>
    </row>
    <row r="62" spans="1:99" x14ac:dyDescent="0.3">
      <c r="A62" s="1312">
        <v>61</v>
      </c>
      <c r="B62" s="254"/>
      <c r="C62" s="1312" t="s">
        <v>1866</v>
      </c>
      <c r="D62" s="1312"/>
      <c r="E62" s="1312"/>
      <c r="F62" s="1312"/>
      <c r="G62" s="1312">
        <v>705</v>
      </c>
      <c r="H62" s="1312">
        <v>5</v>
      </c>
      <c r="I62" s="1312">
        <v>560</v>
      </c>
      <c r="J62" s="1312">
        <v>745</v>
      </c>
      <c r="K62" s="1312">
        <v>770</v>
      </c>
      <c r="L62" s="1312">
        <v>120</v>
      </c>
      <c r="M62" s="1312"/>
      <c r="N62" s="254" t="s">
        <v>6</v>
      </c>
      <c r="O62" s="1641" t="s">
        <v>1991</v>
      </c>
      <c r="P62"/>
      <c r="S62" s="1312">
        <v>61</v>
      </c>
      <c r="T62" s="1312"/>
      <c r="U62" s="1312">
        <v>630</v>
      </c>
      <c r="V62" s="1312">
        <v>400</v>
      </c>
      <c r="W62" s="1350">
        <v>80</v>
      </c>
      <c r="X62" s="1312"/>
      <c r="AD62" s="1312">
        <v>62</v>
      </c>
      <c r="AE62" s="1312">
        <v>910</v>
      </c>
      <c r="AF62" s="1312">
        <v>170</v>
      </c>
      <c r="AG62" s="1312">
        <v>740</v>
      </c>
      <c r="AH62" s="1312">
        <v>237</v>
      </c>
      <c r="AI62" s="1312">
        <v>245</v>
      </c>
      <c r="AJ62" s="1312">
        <v>295</v>
      </c>
      <c r="AK62" s="1312">
        <v>47</v>
      </c>
      <c r="AL62" s="1312">
        <v>52</v>
      </c>
      <c r="AM62" s="1312">
        <v>120</v>
      </c>
      <c r="AN62" s="1350" t="s">
        <v>1141</v>
      </c>
      <c r="AQ62" s="1312"/>
      <c r="AR62" s="1312"/>
      <c r="AS62" s="1312"/>
      <c r="AT62" s="1312"/>
      <c r="AU62" s="1312"/>
      <c r="AV62" s="1312"/>
      <c r="AW62" s="254"/>
      <c r="BP62">
        <v>235</v>
      </c>
      <c r="BQ62" t="s">
        <v>420</v>
      </c>
      <c r="BV62" s="1312">
        <v>80</v>
      </c>
      <c r="BW62" s="1312">
        <v>245</v>
      </c>
      <c r="BX62" s="1312">
        <v>140</v>
      </c>
      <c r="BY62">
        <v>115</v>
      </c>
      <c r="BZ62" s="1312" t="s">
        <v>1588</v>
      </c>
      <c r="CA62" s="1352"/>
      <c r="CD62" s="1312">
        <v>328</v>
      </c>
      <c r="CE62" s="1312">
        <v>260</v>
      </c>
      <c r="CF62" s="254">
        <v>375</v>
      </c>
      <c r="CG62" s="1312">
        <v>340</v>
      </c>
      <c r="CH62" s="254">
        <v>375</v>
      </c>
      <c r="CI62">
        <v>450</v>
      </c>
      <c r="CJ62" s="1312">
        <v>7233150</v>
      </c>
      <c r="CK62" s="1352"/>
      <c r="CM62" s="1351"/>
      <c r="CN62" t="s">
        <v>330</v>
      </c>
      <c r="CO62" t="s">
        <v>806</v>
      </c>
      <c r="CP62" t="s">
        <v>807</v>
      </c>
      <c r="CQ62" t="s">
        <v>808</v>
      </c>
      <c r="CR62" s="1350" t="s">
        <v>809</v>
      </c>
      <c r="CS62" s="1350" t="s">
        <v>612</v>
      </c>
      <c r="CT62" s="1350" t="s">
        <v>2136</v>
      </c>
      <c r="CU62" t="s">
        <v>613</v>
      </c>
    </row>
    <row r="63" spans="1:99" x14ac:dyDescent="0.3">
      <c r="A63" s="1312">
        <v>62</v>
      </c>
      <c r="B63" s="254"/>
      <c r="C63" s="1312"/>
      <c r="D63" s="1312"/>
      <c r="E63" s="1312"/>
      <c r="F63" s="1312"/>
      <c r="G63" s="1312">
        <v>710</v>
      </c>
      <c r="H63" s="1312">
        <v>5</v>
      </c>
      <c r="I63" s="1312">
        <v>160</v>
      </c>
      <c r="J63" s="1312">
        <v>730</v>
      </c>
      <c r="K63" s="1312">
        <v>745</v>
      </c>
      <c r="L63" s="1312">
        <v>95</v>
      </c>
      <c r="M63" s="1312" t="s">
        <v>1179</v>
      </c>
      <c r="N63" s="254"/>
      <c r="O63" s="1641"/>
      <c r="P63"/>
      <c r="S63" s="1312">
        <v>62</v>
      </c>
      <c r="T63" s="1312" t="s">
        <v>1676</v>
      </c>
      <c r="U63" s="1312">
        <v>635</v>
      </c>
      <c r="V63" s="1312">
        <v>980</v>
      </c>
      <c r="W63" s="1350">
        <v>100</v>
      </c>
      <c r="X63" s="1312"/>
      <c r="AD63" s="1312">
        <v>120</v>
      </c>
      <c r="AE63" s="1312">
        <v>940</v>
      </c>
      <c r="AF63" s="1312">
        <v>200</v>
      </c>
      <c r="AG63" s="1312">
        <v>740</v>
      </c>
      <c r="AH63" s="1312">
        <v>340</v>
      </c>
      <c r="AI63" s="1312">
        <v>355</v>
      </c>
      <c r="AJ63" s="1312">
        <v>395</v>
      </c>
      <c r="AK63" s="1312">
        <v>50</v>
      </c>
      <c r="AL63" s="1312">
        <v>60</v>
      </c>
      <c r="AM63" s="1312">
        <v>135</v>
      </c>
      <c r="BP63">
        <v>237.5</v>
      </c>
      <c r="BQ63" t="s">
        <v>421</v>
      </c>
      <c r="BV63" s="1312">
        <v>80</v>
      </c>
      <c r="BW63" s="1312">
        <v>245</v>
      </c>
      <c r="BX63" s="1312">
        <v>140</v>
      </c>
      <c r="BY63">
        <v>115</v>
      </c>
      <c r="BZ63" s="1312" t="s">
        <v>1588</v>
      </c>
      <c r="CA63" s="1352"/>
      <c r="CD63" s="1312">
        <v>382</v>
      </c>
      <c r="CE63" s="1312">
        <v>260</v>
      </c>
      <c r="CF63" s="254">
        <v>200</v>
      </c>
      <c r="CG63" s="1312">
        <v>100</v>
      </c>
      <c r="CH63" s="254">
        <v>450</v>
      </c>
      <c r="CI63">
        <v>450</v>
      </c>
      <c r="CJ63" s="1312">
        <v>10247608</v>
      </c>
      <c r="CK63" s="1352"/>
      <c r="CM63" s="1351"/>
      <c r="CN63" s="254" t="s">
        <v>614</v>
      </c>
      <c r="CO63" s="254" t="s">
        <v>810</v>
      </c>
      <c r="CP63" s="1312">
        <v>200</v>
      </c>
      <c r="CQ63" s="1312">
        <v>170</v>
      </c>
      <c r="CR63" s="1312">
        <v>185</v>
      </c>
      <c r="CS63" s="1312">
        <v>230</v>
      </c>
      <c r="CT63" s="1312"/>
      <c r="CU63" s="1312">
        <v>46.368434154468751</v>
      </c>
    </row>
    <row r="64" spans="1:99" x14ac:dyDescent="0.3">
      <c r="A64" s="1312">
        <v>63</v>
      </c>
      <c r="B64" s="254"/>
      <c r="C64" s="1312" t="s">
        <v>1275</v>
      </c>
      <c r="D64" s="1312"/>
      <c r="E64" s="1312"/>
      <c r="F64" s="1312"/>
      <c r="G64" s="1312">
        <v>710</v>
      </c>
      <c r="H64" s="1312">
        <v>5</v>
      </c>
      <c r="I64" s="1312">
        <v>570</v>
      </c>
      <c r="J64" s="1312">
        <v>750</v>
      </c>
      <c r="K64" s="1312">
        <v>765</v>
      </c>
      <c r="L64" s="1312">
        <v>105</v>
      </c>
      <c r="M64" s="1312"/>
      <c r="N64" s="254" t="s">
        <v>6</v>
      </c>
      <c r="O64" s="1641" t="s">
        <v>1992</v>
      </c>
      <c r="P64"/>
      <c r="S64" s="1312">
        <v>63</v>
      </c>
      <c r="T64" s="1312">
        <v>5838345</v>
      </c>
      <c r="U64" s="1312">
        <v>635</v>
      </c>
      <c r="V64" s="1312">
        <v>880</v>
      </c>
      <c r="W64" s="1350">
        <v>80</v>
      </c>
      <c r="X64" s="1312"/>
      <c r="AD64" s="1312">
        <v>15</v>
      </c>
      <c r="AE64" s="1312">
        <v>925</v>
      </c>
      <c r="AF64" s="1312">
        <v>180</v>
      </c>
      <c r="AG64" s="1312">
        <v>745</v>
      </c>
      <c r="AH64" s="1312">
        <v>360</v>
      </c>
      <c r="AI64" s="1312">
        <v>380</v>
      </c>
      <c r="AJ64" s="1312">
        <v>405</v>
      </c>
      <c r="AK64" s="1312">
        <v>85</v>
      </c>
      <c r="AL64" s="1312">
        <v>98</v>
      </c>
      <c r="AM64" s="1312">
        <v>160</v>
      </c>
      <c r="AN64" s="1350" t="s">
        <v>1133</v>
      </c>
      <c r="BP64">
        <v>240</v>
      </c>
      <c r="BQ64" t="s">
        <v>422</v>
      </c>
      <c r="BV64" s="1312">
        <v>80</v>
      </c>
      <c r="BW64" s="1312">
        <v>245</v>
      </c>
      <c r="BX64" s="1312">
        <v>140</v>
      </c>
      <c r="BY64">
        <v>115</v>
      </c>
      <c r="BZ64" s="1312" t="s">
        <v>1588</v>
      </c>
      <c r="CA64" s="1352"/>
      <c r="CD64" s="1312">
        <v>382</v>
      </c>
      <c r="CE64" s="1312">
        <v>260</v>
      </c>
      <c r="CF64" s="254">
        <v>200</v>
      </c>
      <c r="CG64" s="1312">
        <v>105</v>
      </c>
      <c r="CH64" s="254">
        <v>450</v>
      </c>
      <c r="CI64">
        <v>450</v>
      </c>
      <c r="CJ64" s="1312">
        <v>10247608</v>
      </c>
      <c r="CK64" s="1352"/>
      <c r="CM64" s="1351"/>
      <c r="CN64" s="254" t="s">
        <v>615</v>
      </c>
      <c r="CO64" s="254" t="s">
        <v>811</v>
      </c>
      <c r="CP64" s="1312">
        <v>250</v>
      </c>
      <c r="CQ64" s="1312">
        <v>210</v>
      </c>
      <c r="CR64" s="1312">
        <v>230</v>
      </c>
      <c r="CS64" s="1312">
        <v>300</v>
      </c>
      <c r="CT64" s="1312"/>
      <c r="CU64" s="1312">
        <v>93.482014803749991</v>
      </c>
    </row>
    <row r="65" spans="1:99" x14ac:dyDescent="0.3">
      <c r="A65" s="1312">
        <v>64</v>
      </c>
      <c r="B65" s="254" t="s">
        <v>1183</v>
      </c>
      <c r="C65" s="1312" t="s">
        <v>1276</v>
      </c>
      <c r="D65" s="1312"/>
      <c r="E65" s="1312"/>
      <c r="F65" s="1312"/>
      <c r="G65" s="1312">
        <v>710</v>
      </c>
      <c r="H65" s="1312">
        <v>17.5</v>
      </c>
      <c r="I65" s="1312">
        <v>1340</v>
      </c>
      <c r="J65" s="1312">
        <v>840</v>
      </c>
      <c r="K65" s="1312">
        <v>850</v>
      </c>
      <c r="L65" s="1312">
        <v>195</v>
      </c>
      <c r="M65" s="1312"/>
      <c r="N65" s="254" t="s">
        <v>20</v>
      </c>
      <c r="O65" s="1641" t="s">
        <v>1993</v>
      </c>
      <c r="P65" t="s">
        <v>1797</v>
      </c>
      <c r="S65" s="1312">
        <v>64</v>
      </c>
      <c r="T65" s="1312" t="s">
        <v>1677</v>
      </c>
      <c r="U65" s="1312">
        <v>635</v>
      </c>
      <c r="V65" s="1312">
        <v>880</v>
      </c>
      <c r="W65" s="1350">
        <v>80</v>
      </c>
      <c r="X65" s="1312"/>
      <c r="AD65" s="1312">
        <v>17</v>
      </c>
      <c r="AE65" s="1312">
        <v>925</v>
      </c>
      <c r="AF65" s="1312">
        <v>180</v>
      </c>
      <c r="AG65" s="1312">
        <v>745</v>
      </c>
      <c r="AH65" s="1312">
        <v>540</v>
      </c>
      <c r="AI65" s="1312">
        <v>555</v>
      </c>
      <c r="AJ65" s="1312">
        <v>595</v>
      </c>
      <c r="AK65" s="1312">
        <v>37</v>
      </c>
      <c r="AL65" s="1312">
        <v>48</v>
      </c>
      <c r="AM65" s="1312">
        <v>110</v>
      </c>
      <c r="BP65">
        <v>242.5</v>
      </c>
      <c r="BQ65" t="s">
        <v>423</v>
      </c>
      <c r="BV65" s="1312">
        <v>80</v>
      </c>
      <c r="BW65" s="1312">
        <v>245</v>
      </c>
      <c r="BX65" s="1312">
        <v>140</v>
      </c>
      <c r="BY65">
        <v>115</v>
      </c>
      <c r="BZ65" s="1312" t="s">
        <v>1588</v>
      </c>
      <c r="CA65" s="1352"/>
      <c r="CD65" s="1312">
        <v>330</v>
      </c>
      <c r="CE65" s="1312">
        <v>260</v>
      </c>
      <c r="CF65" s="254">
        <v>380</v>
      </c>
      <c r="CG65" s="1312">
        <v>315</v>
      </c>
      <c r="CH65" s="254">
        <v>375</v>
      </c>
      <c r="CI65">
        <v>450</v>
      </c>
      <c r="CJ65" s="1312">
        <v>7233150</v>
      </c>
      <c r="CK65" s="1352"/>
      <c r="CM65" s="1351"/>
      <c r="CN65" s="254" t="s">
        <v>616</v>
      </c>
      <c r="CO65" s="254" t="s">
        <v>812</v>
      </c>
      <c r="CP65" s="1312">
        <v>350</v>
      </c>
      <c r="CQ65" s="1312">
        <v>300</v>
      </c>
      <c r="CR65" s="1312">
        <v>325</v>
      </c>
      <c r="CS65" s="1312">
        <v>350</v>
      </c>
      <c r="CT65" s="1312"/>
      <c r="CU65" s="1312">
        <v>217.76390893359374</v>
      </c>
    </row>
    <row r="66" spans="1:99" x14ac:dyDescent="0.3">
      <c r="A66" s="1312">
        <v>65</v>
      </c>
      <c r="B66" s="254"/>
      <c r="C66" s="1312" t="s">
        <v>1227</v>
      </c>
      <c r="D66" s="1312"/>
      <c r="E66" s="1312"/>
      <c r="F66" s="1312"/>
      <c r="G66" s="1312">
        <v>715</v>
      </c>
      <c r="H66" s="1312">
        <v>3</v>
      </c>
      <c r="I66" s="1312">
        <v>255</v>
      </c>
      <c r="J66" s="1312">
        <v>740</v>
      </c>
      <c r="K66" s="1312">
        <v>755</v>
      </c>
      <c r="L66" s="1312">
        <v>105</v>
      </c>
      <c r="M66" s="1312" t="s">
        <v>1228</v>
      </c>
      <c r="N66" s="254"/>
      <c r="O66" s="1641"/>
      <c r="P66"/>
      <c r="S66" s="1312">
        <v>65</v>
      </c>
      <c r="T66" s="1312" t="s">
        <v>1678</v>
      </c>
      <c r="U66" s="1312">
        <v>640</v>
      </c>
      <c r="V66" s="1312">
        <v>440</v>
      </c>
      <c r="W66" s="1350">
        <v>80</v>
      </c>
      <c r="X66" s="1312"/>
      <c r="AD66" s="1312">
        <v>103</v>
      </c>
      <c r="AE66" s="1312">
        <v>880</v>
      </c>
      <c r="AF66" s="1312">
        <v>130</v>
      </c>
      <c r="AG66" s="1312">
        <v>750</v>
      </c>
      <c r="AH66" s="1312">
        <v>315</v>
      </c>
      <c r="AI66" s="1312">
        <v>330</v>
      </c>
      <c r="AJ66" s="1312">
        <v>365</v>
      </c>
      <c r="AK66" s="1312">
        <v>57</v>
      </c>
      <c r="AL66" s="1312">
        <v>68</v>
      </c>
      <c r="AM66" s="1312">
        <v>115</v>
      </c>
      <c r="AN66" s="1350" t="s">
        <v>1142</v>
      </c>
      <c r="BP66">
        <v>245</v>
      </c>
      <c r="BQ66" t="s">
        <v>424</v>
      </c>
      <c r="BV66" s="1312">
        <v>80</v>
      </c>
      <c r="BW66" s="1312">
        <v>245</v>
      </c>
      <c r="BX66" s="1312">
        <v>140</v>
      </c>
      <c r="BY66">
        <v>115</v>
      </c>
      <c r="BZ66" s="1312" t="s">
        <v>1588</v>
      </c>
      <c r="CA66" s="1352"/>
      <c r="CD66" s="1312">
        <v>330</v>
      </c>
      <c r="CE66" s="1312">
        <v>260</v>
      </c>
      <c r="CF66" s="254">
        <v>380</v>
      </c>
      <c r="CG66" s="1312">
        <v>300</v>
      </c>
      <c r="CH66" s="254">
        <v>375</v>
      </c>
      <c r="CI66">
        <v>450</v>
      </c>
      <c r="CJ66" s="1312">
        <v>7233150</v>
      </c>
      <c r="CK66" s="1352"/>
      <c r="CM66" s="1351"/>
      <c r="CN66" s="254" t="s">
        <v>617</v>
      </c>
      <c r="CO66" s="254" t="s">
        <v>813</v>
      </c>
      <c r="CP66" s="1312">
        <v>430</v>
      </c>
      <c r="CQ66" s="1312">
        <v>335</v>
      </c>
      <c r="CR66" s="1312">
        <v>382.5</v>
      </c>
      <c r="CS66" s="1312">
        <v>380</v>
      </c>
      <c r="CT66" s="1312"/>
      <c r="CU66" s="1312">
        <v>327.48967553779693</v>
      </c>
    </row>
    <row r="67" spans="1:99" x14ac:dyDescent="0.3">
      <c r="A67" s="1312">
        <v>66</v>
      </c>
      <c r="B67" s="254"/>
      <c r="C67" s="1312" t="s">
        <v>1229</v>
      </c>
      <c r="D67" s="1312"/>
      <c r="E67" s="1312"/>
      <c r="F67" s="1312"/>
      <c r="G67" s="1312">
        <v>715</v>
      </c>
      <c r="H67" s="1312">
        <v>4.5</v>
      </c>
      <c r="I67" s="1312">
        <v>575</v>
      </c>
      <c r="J67" s="1312">
        <v>750</v>
      </c>
      <c r="K67" s="1312">
        <v>770</v>
      </c>
      <c r="L67" s="1312">
        <v>105</v>
      </c>
      <c r="M67" s="1312"/>
      <c r="N67" s="254"/>
      <c r="O67" s="1641"/>
      <c r="P67"/>
      <c r="S67" s="1312">
        <v>66</v>
      </c>
      <c r="T67" s="1312" t="s">
        <v>1229</v>
      </c>
      <c r="U67" s="1312">
        <v>640</v>
      </c>
      <c r="V67" s="1312">
        <v>700</v>
      </c>
      <c r="W67" s="1350">
        <v>80</v>
      </c>
      <c r="X67" s="1312"/>
      <c r="AD67" s="1312">
        <v>38</v>
      </c>
      <c r="AE67" s="1312">
        <v>950</v>
      </c>
      <c r="AF67" s="1312">
        <v>195</v>
      </c>
      <c r="AG67" s="1312">
        <v>755</v>
      </c>
      <c r="AH67" s="1312">
        <v>345</v>
      </c>
      <c r="AI67" s="1312">
        <v>355</v>
      </c>
      <c r="AJ67" s="1312">
        <v>440</v>
      </c>
      <c r="AK67" s="1312">
        <v>50</v>
      </c>
      <c r="AL67" s="1312">
        <v>60</v>
      </c>
      <c r="AM67" s="1312">
        <v>100</v>
      </c>
      <c r="BP67">
        <v>247.5</v>
      </c>
      <c r="BQ67" t="s">
        <v>425</v>
      </c>
      <c r="BV67" s="1312">
        <v>82.5</v>
      </c>
      <c r="BW67" s="1312">
        <v>243</v>
      </c>
      <c r="BX67" s="1312">
        <v>140</v>
      </c>
      <c r="BY67">
        <v>115</v>
      </c>
      <c r="BZ67" s="1312" t="s">
        <v>1589</v>
      </c>
      <c r="CA67" s="1352"/>
      <c r="CD67" s="1312">
        <v>353</v>
      </c>
      <c r="CE67" s="1312">
        <v>260</v>
      </c>
      <c r="CF67" s="254">
        <v>380</v>
      </c>
      <c r="CG67" s="1312">
        <v>310</v>
      </c>
      <c r="CH67" s="254">
        <v>375</v>
      </c>
      <c r="CI67">
        <v>450</v>
      </c>
      <c r="CJ67" s="1312">
        <v>7233150</v>
      </c>
      <c r="CK67" s="1352"/>
      <c r="CM67" s="1351"/>
      <c r="CN67" s="254" t="s">
        <v>618</v>
      </c>
      <c r="CO67" s="254" t="s">
        <v>814</v>
      </c>
      <c r="CP67" s="1312">
        <v>620</v>
      </c>
      <c r="CQ67" s="1312">
        <v>360</v>
      </c>
      <c r="CR67" s="1312">
        <v>490</v>
      </c>
      <c r="CS67" s="1312">
        <v>525</v>
      </c>
      <c r="CT67" s="1312"/>
      <c r="CU67" s="1312">
        <v>742.51050227156247</v>
      </c>
    </row>
    <row r="68" spans="1:99" x14ac:dyDescent="0.3">
      <c r="A68" s="1312">
        <v>67</v>
      </c>
      <c r="B68" s="254"/>
      <c r="C68" s="1312"/>
      <c r="D68" s="1312"/>
      <c r="E68" s="1312"/>
      <c r="F68" s="1312"/>
      <c r="G68" s="1312">
        <v>715</v>
      </c>
      <c r="H68" s="1312">
        <v>3.5</v>
      </c>
      <c r="I68" s="1312">
        <v>690</v>
      </c>
      <c r="J68" s="1312">
        <v>760</v>
      </c>
      <c r="K68" s="1312">
        <v>770</v>
      </c>
      <c r="L68" s="1312">
        <v>120</v>
      </c>
      <c r="M68" s="1312" t="s">
        <v>1180</v>
      </c>
      <c r="N68" s="254"/>
      <c r="O68" s="1641"/>
      <c r="P68"/>
      <c r="S68" s="1312">
        <v>67</v>
      </c>
      <c r="T68" s="1312"/>
      <c r="U68" s="1312">
        <v>640</v>
      </c>
      <c r="V68" s="1312">
        <v>400</v>
      </c>
      <c r="W68" s="1350">
        <v>80</v>
      </c>
      <c r="X68" s="1312"/>
      <c r="AD68" s="1312">
        <v>72</v>
      </c>
      <c r="AE68" s="1312">
        <v>920</v>
      </c>
      <c r="AF68" s="1312">
        <v>160</v>
      </c>
      <c r="AG68" s="1312">
        <v>760</v>
      </c>
      <c r="AH68" s="1312">
        <v>467</v>
      </c>
      <c r="AI68" s="1312">
        <v>488</v>
      </c>
      <c r="AJ68" s="1312">
        <v>525</v>
      </c>
      <c r="AK68" s="1312">
        <v>46</v>
      </c>
      <c r="AL68" s="1312">
        <v>60</v>
      </c>
      <c r="AM68" s="1312">
        <v>130</v>
      </c>
      <c r="AN68" s="1350" t="s">
        <v>1143</v>
      </c>
      <c r="BP68">
        <v>250</v>
      </c>
      <c r="BQ68" t="s">
        <v>426</v>
      </c>
      <c r="BV68" s="1312">
        <v>82.5</v>
      </c>
      <c r="BW68" s="1312">
        <v>240</v>
      </c>
      <c r="BX68" s="1312">
        <v>140</v>
      </c>
      <c r="BY68">
        <v>115</v>
      </c>
      <c r="BZ68" s="1312" t="s">
        <v>1589</v>
      </c>
      <c r="CA68" s="1352"/>
      <c r="CD68" s="1312">
        <v>304</v>
      </c>
      <c r="CE68" s="1312">
        <v>260</v>
      </c>
      <c r="CF68" s="254">
        <v>310</v>
      </c>
      <c r="CG68" s="1312">
        <v>200</v>
      </c>
      <c r="CH68" s="254">
        <v>375</v>
      </c>
      <c r="CI68">
        <v>450</v>
      </c>
      <c r="CJ68" s="1312" t="s">
        <v>1087</v>
      </c>
      <c r="CK68" s="1352"/>
      <c r="CM68" s="1351"/>
      <c r="CN68" s="254" t="s">
        <v>619</v>
      </c>
      <c r="CO68" s="254" t="s">
        <v>815</v>
      </c>
      <c r="CP68" s="1312">
        <v>805</v>
      </c>
      <c r="CQ68" s="1312">
        <v>624</v>
      </c>
      <c r="CR68" s="1312">
        <v>714.5</v>
      </c>
      <c r="CS68" s="1312">
        <v>305</v>
      </c>
      <c r="CT68" s="1312"/>
      <c r="CU68" s="1312">
        <v>917.18183101006082</v>
      </c>
    </row>
    <row r="69" spans="1:99" x14ac:dyDescent="0.3">
      <c r="A69" s="1312">
        <v>68</v>
      </c>
      <c r="B69" s="254" t="s">
        <v>1798</v>
      </c>
      <c r="C69" s="1312"/>
      <c r="D69" s="1312"/>
      <c r="E69" s="1312"/>
      <c r="F69" s="1312"/>
      <c r="G69" s="1312">
        <v>715</v>
      </c>
      <c r="H69" s="1312">
        <v>6</v>
      </c>
      <c r="I69" s="1312">
        <v>860</v>
      </c>
      <c r="J69" s="1312">
        <v>825</v>
      </c>
      <c r="K69" s="1312">
        <v>870</v>
      </c>
      <c r="L69" s="1312">
        <v>290</v>
      </c>
      <c r="M69" s="1312"/>
      <c r="N69" s="254"/>
      <c r="O69" s="1641"/>
      <c r="P69" t="s">
        <v>1799</v>
      </c>
      <c r="S69" s="1312">
        <v>68</v>
      </c>
      <c r="T69" s="1312"/>
      <c r="U69" s="1312">
        <v>650</v>
      </c>
      <c r="V69" s="1312">
        <v>1000</v>
      </c>
      <c r="W69" s="1350">
        <v>80</v>
      </c>
      <c r="X69" s="1312"/>
      <c r="AD69" s="1312">
        <v>33</v>
      </c>
      <c r="AE69" s="1312">
        <v>980</v>
      </c>
      <c r="AF69" s="1312">
        <v>215</v>
      </c>
      <c r="AG69" s="1312">
        <v>765</v>
      </c>
      <c r="AH69" s="1312">
        <v>300</v>
      </c>
      <c r="AI69" s="1312">
        <v>325</v>
      </c>
      <c r="AJ69" s="1312">
        <v>375</v>
      </c>
      <c r="AK69" s="1312">
        <v>55</v>
      </c>
      <c r="AL69" s="1312">
        <v>66</v>
      </c>
      <c r="AM69" s="1312">
        <v>165</v>
      </c>
      <c r="BP69">
        <v>252.5</v>
      </c>
      <c r="BQ69" t="s">
        <v>427</v>
      </c>
      <c r="BV69" s="1312">
        <v>82.5</v>
      </c>
      <c r="BW69" s="1312">
        <v>245</v>
      </c>
      <c r="BX69" s="1312">
        <v>140</v>
      </c>
      <c r="BY69">
        <v>115</v>
      </c>
      <c r="BZ69" s="1312" t="s">
        <v>1589</v>
      </c>
      <c r="CA69" s="1352"/>
      <c r="CD69" s="1312">
        <v>288</v>
      </c>
      <c r="CE69" s="1312">
        <v>262.5</v>
      </c>
      <c r="CF69" s="254">
        <v>320</v>
      </c>
      <c r="CG69" s="1312">
        <v>200</v>
      </c>
      <c r="CH69" s="254">
        <v>375</v>
      </c>
      <c r="CI69">
        <v>450</v>
      </c>
      <c r="CJ69" s="1312" t="s">
        <v>1088</v>
      </c>
      <c r="CK69" s="1352"/>
      <c r="CM69" s="1351"/>
      <c r="CN69" s="254"/>
      <c r="CO69" s="254"/>
      <c r="CP69" s="1312"/>
      <c r="CQ69" s="1312"/>
      <c r="CR69" s="1312"/>
      <c r="CS69" s="1312"/>
      <c r="CT69" s="1312"/>
      <c r="CU69" s="1312"/>
    </row>
    <row r="70" spans="1:99" x14ac:dyDescent="0.3">
      <c r="A70" s="1312">
        <v>70</v>
      </c>
      <c r="B70" s="254"/>
      <c r="C70" s="1312"/>
      <c r="D70" s="1312">
        <v>830</v>
      </c>
      <c r="E70" s="1312">
        <v>2.5</v>
      </c>
      <c r="F70" s="1312">
        <v>110</v>
      </c>
      <c r="G70" s="1312">
        <v>720</v>
      </c>
      <c r="H70" s="1312">
        <v>2.5</v>
      </c>
      <c r="I70" s="1312">
        <v>735</v>
      </c>
      <c r="J70" s="1312">
        <v>890</v>
      </c>
      <c r="K70" s="1312">
        <v>915</v>
      </c>
      <c r="L70" s="1312">
        <v>190</v>
      </c>
      <c r="M70" s="1312"/>
      <c r="N70" s="254"/>
      <c r="O70" s="1641"/>
      <c r="P70"/>
      <c r="S70" s="1312">
        <v>69</v>
      </c>
      <c r="T70" s="1312" t="s">
        <v>1679</v>
      </c>
      <c r="U70" s="1312">
        <v>660</v>
      </c>
      <c r="V70" s="1312">
        <v>730</v>
      </c>
      <c r="W70" s="1350">
        <v>80</v>
      </c>
      <c r="X70" s="1312"/>
      <c r="AD70" s="1312">
        <v>34</v>
      </c>
      <c r="AE70" s="1312">
        <v>950</v>
      </c>
      <c r="AF70" s="1312">
        <v>185</v>
      </c>
      <c r="AG70" s="1312">
        <v>765</v>
      </c>
      <c r="AH70" s="1312">
        <v>355</v>
      </c>
      <c r="AI70" s="1312">
        <v>365</v>
      </c>
      <c r="AJ70" s="1312">
        <v>405</v>
      </c>
      <c r="AK70" s="1312">
        <v>45</v>
      </c>
      <c r="AL70" s="1312">
        <v>54</v>
      </c>
      <c r="AM70" s="1312">
        <v>135</v>
      </c>
      <c r="BP70">
        <v>255</v>
      </c>
      <c r="BQ70" t="s">
        <v>428</v>
      </c>
      <c r="BV70" s="1312">
        <v>82.5</v>
      </c>
      <c r="BW70" s="1312">
        <v>245</v>
      </c>
      <c r="BX70" s="1312">
        <v>140</v>
      </c>
      <c r="BY70">
        <v>115</v>
      </c>
      <c r="BZ70" s="1312" t="s">
        <v>1589</v>
      </c>
      <c r="CA70" s="1352"/>
      <c r="CD70" s="1312">
        <v>298</v>
      </c>
      <c r="CE70" s="1312">
        <v>262.5</v>
      </c>
      <c r="CF70" s="254">
        <v>317</v>
      </c>
      <c r="CG70" s="1312">
        <v>195</v>
      </c>
      <c r="CH70" s="254">
        <v>375</v>
      </c>
      <c r="CI70">
        <v>450</v>
      </c>
      <c r="CJ70" s="1312" t="s">
        <v>1088</v>
      </c>
      <c r="CK70" s="1352"/>
      <c r="CM70" s="1351"/>
      <c r="CN70"/>
      <c r="CS70"/>
      <c r="CT70" s="1312"/>
      <c r="CU70"/>
    </row>
    <row r="71" spans="1:99" x14ac:dyDescent="0.3">
      <c r="A71" s="1312">
        <v>69</v>
      </c>
      <c r="B71" s="254"/>
      <c r="C71" s="1312" t="s">
        <v>1800</v>
      </c>
      <c r="D71" s="1312"/>
      <c r="E71" s="1312"/>
      <c r="F71" s="1312"/>
      <c r="G71" s="1312">
        <v>720</v>
      </c>
      <c r="H71" s="1312">
        <v>2.5</v>
      </c>
      <c r="I71" s="1312">
        <v>570</v>
      </c>
      <c r="J71" s="1312">
        <v>755</v>
      </c>
      <c r="K71" s="1312">
        <v>765</v>
      </c>
      <c r="L71" s="1312">
        <v>105</v>
      </c>
      <c r="M71" s="1312" t="s">
        <v>1180</v>
      </c>
      <c r="N71" s="254"/>
      <c r="O71" s="1641"/>
      <c r="P71" t="s">
        <v>1801</v>
      </c>
      <c r="S71" s="1312">
        <v>70</v>
      </c>
      <c r="T71" s="1312"/>
      <c r="U71" s="1312">
        <v>680</v>
      </c>
      <c r="V71" s="1312">
        <v>1180</v>
      </c>
      <c r="W71" s="1350">
        <v>80</v>
      </c>
      <c r="X71" s="1312"/>
      <c r="AD71" s="1312">
        <v>114</v>
      </c>
      <c r="AE71" s="1312">
        <v>930</v>
      </c>
      <c r="AF71" s="1312">
        <v>150</v>
      </c>
      <c r="AG71" s="1312">
        <v>780</v>
      </c>
      <c r="AH71" s="1312">
        <v>160</v>
      </c>
      <c r="AI71" s="1312">
        <v>175</v>
      </c>
      <c r="AJ71" s="1312">
        <v>240</v>
      </c>
      <c r="AK71" s="1312">
        <v>85</v>
      </c>
      <c r="AL71" s="1312">
        <v>95</v>
      </c>
      <c r="AM71" s="1312">
        <v>150</v>
      </c>
      <c r="AN71" s="1350" t="s">
        <v>1144</v>
      </c>
      <c r="BP71">
        <v>257.5</v>
      </c>
      <c r="BQ71" t="s">
        <v>429</v>
      </c>
      <c r="BV71" s="1312">
        <v>82.5</v>
      </c>
      <c r="BW71" s="1312">
        <v>245</v>
      </c>
      <c r="BX71" s="1312">
        <v>140</v>
      </c>
      <c r="BY71">
        <v>115</v>
      </c>
      <c r="BZ71" s="1312" t="s">
        <v>1589</v>
      </c>
      <c r="CA71" s="1352"/>
      <c r="CD71" s="1312">
        <v>298</v>
      </c>
      <c r="CE71" s="1312">
        <v>265</v>
      </c>
      <c r="CF71" s="254">
        <v>318</v>
      </c>
      <c r="CG71" s="1312">
        <v>200</v>
      </c>
      <c r="CH71" s="254">
        <v>375</v>
      </c>
      <c r="CI71">
        <v>450</v>
      </c>
      <c r="CJ71" s="1312" t="s">
        <v>1089</v>
      </c>
      <c r="CK71" s="1352"/>
      <c r="CM71" s="1351"/>
      <c r="CN71"/>
      <c r="CS71"/>
      <c r="CT71" s="1312"/>
      <c r="CU71"/>
    </row>
    <row r="72" spans="1:99" x14ac:dyDescent="0.3">
      <c r="A72" s="1312">
        <v>71</v>
      </c>
      <c r="B72" s="254" t="s">
        <v>1976</v>
      </c>
      <c r="C72" s="1312"/>
      <c r="D72" s="1312"/>
      <c r="E72" s="1312"/>
      <c r="F72" s="1312"/>
      <c r="G72" s="1312">
        <v>720</v>
      </c>
      <c r="H72" s="1312">
        <v>12.5</v>
      </c>
      <c r="I72" s="1312">
        <v>860</v>
      </c>
      <c r="J72" s="1312">
        <v>825</v>
      </c>
      <c r="K72" s="1312">
        <v>845</v>
      </c>
      <c r="L72" s="1312">
        <v>180</v>
      </c>
      <c r="M72" s="1312" t="s">
        <v>1185</v>
      </c>
      <c r="N72" s="254"/>
      <c r="O72" s="1641"/>
      <c r="P72" t="s">
        <v>1802</v>
      </c>
      <c r="S72" s="1312">
        <v>71</v>
      </c>
      <c r="T72" s="1312" t="s">
        <v>1680</v>
      </c>
      <c r="U72" s="1312">
        <v>680</v>
      </c>
      <c r="V72" s="1312">
        <v>1100</v>
      </c>
      <c r="W72" s="1350">
        <v>80</v>
      </c>
      <c r="X72" s="1312"/>
      <c r="AD72" s="1312">
        <v>90</v>
      </c>
      <c r="AE72" s="1312">
        <v>915</v>
      </c>
      <c r="AF72" s="1312">
        <v>130</v>
      </c>
      <c r="AG72" s="1312">
        <v>785</v>
      </c>
      <c r="AH72" s="1312">
        <v>210</v>
      </c>
      <c r="AI72" s="1312">
        <v>230</v>
      </c>
      <c r="AJ72" s="1312">
        <v>260</v>
      </c>
      <c r="AK72" s="1312">
        <v>30</v>
      </c>
      <c r="AL72" s="1312">
        <v>40</v>
      </c>
      <c r="AM72" s="1312">
        <v>100</v>
      </c>
      <c r="BP72">
        <v>260</v>
      </c>
      <c r="BQ72" t="s">
        <v>430</v>
      </c>
      <c r="BV72" s="1312">
        <v>82.5</v>
      </c>
      <c r="BW72" s="1312">
        <v>245</v>
      </c>
      <c r="BX72" s="1312">
        <v>140</v>
      </c>
      <c r="BY72">
        <v>115</v>
      </c>
      <c r="BZ72" s="1312" t="s">
        <v>1589</v>
      </c>
      <c r="CA72" s="1352"/>
      <c r="CD72" s="1312">
        <v>302</v>
      </c>
      <c r="CE72" s="1312">
        <v>267.5</v>
      </c>
      <c r="CF72" s="254">
        <v>317</v>
      </c>
      <c r="CG72" s="1312">
        <v>197</v>
      </c>
      <c r="CH72" s="254">
        <v>375</v>
      </c>
      <c r="CI72">
        <v>450</v>
      </c>
      <c r="CJ72" s="1312" t="s">
        <v>1090</v>
      </c>
      <c r="CK72" s="1352"/>
      <c r="CM72" s="1351"/>
      <c r="CN72"/>
      <c r="CS72"/>
      <c r="CT72" s="1312"/>
      <c r="CU72"/>
    </row>
    <row r="73" spans="1:99" x14ac:dyDescent="0.3">
      <c r="A73" s="1312">
        <v>72</v>
      </c>
      <c r="B73" s="254" t="s">
        <v>1183</v>
      </c>
      <c r="C73" s="1312" t="s">
        <v>1230</v>
      </c>
      <c r="D73" s="1312"/>
      <c r="E73" s="1312"/>
      <c r="F73" s="1312"/>
      <c r="G73" s="1312">
        <v>720</v>
      </c>
      <c r="H73" s="1312">
        <v>23.5</v>
      </c>
      <c r="I73" s="1312">
        <v>1360</v>
      </c>
      <c r="J73" s="1312">
        <v>850</v>
      </c>
      <c r="K73" s="1312">
        <v>870</v>
      </c>
      <c r="L73" s="1312">
        <v>175</v>
      </c>
      <c r="M73" s="1312" t="s">
        <v>1179</v>
      </c>
      <c r="N73" s="254"/>
      <c r="O73" s="1641"/>
      <c r="P73" t="s">
        <v>1803</v>
      </c>
      <c r="S73" s="1312">
        <v>72</v>
      </c>
      <c r="T73" s="1312" t="s">
        <v>1681</v>
      </c>
      <c r="U73" s="1312">
        <v>700</v>
      </c>
      <c r="V73" s="1312">
        <v>830</v>
      </c>
      <c r="W73" s="1350">
        <v>80</v>
      </c>
      <c r="X73" s="1312"/>
      <c r="AD73" s="1312">
        <v>10</v>
      </c>
      <c r="AE73" s="1312">
        <v>1115</v>
      </c>
      <c r="AF73" s="1312">
        <v>130</v>
      </c>
      <c r="AG73" s="1312">
        <v>785</v>
      </c>
      <c r="AH73" s="1312">
        <v>345</v>
      </c>
      <c r="AI73" s="1312">
        <v>380</v>
      </c>
      <c r="AJ73" s="1312">
        <v>430</v>
      </c>
      <c r="AK73" s="1312">
        <v>50</v>
      </c>
      <c r="AL73" s="1312">
        <v>60</v>
      </c>
      <c r="AM73" s="1312">
        <v>130</v>
      </c>
      <c r="AN73" s="1350" t="s">
        <v>1145</v>
      </c>
      <c r="BP73">
        <v>262.5</v>
      </c>
      <c r="BQ73" t="s">
        <v>431</v>
      </c>
      <c r="BV73" s="1312">
        <v>82.5</v>
      </c>
      <c r="BW73" s="1312">
        <v>245</v>
      </c>
      <c r="BX73" s="1312">
        <v>140</v>
      </c>
      <c r="BY73">
        <v>115</v>
      </c>
      <c r="BZ73" s="1312" t="s">
        <v>1589</v>
      </c>
      <c r="CA73" s="1352"/>
      <c r="CD73" s="1312">
        <v>358</v>
      </c>
      <c r="CE73" s="1312">
        <v>270</v>
      </c>
      <c r="CF73" s="254">
        <v>405</v>
      </c>
      <c r="CG73" s="1312">
        <v>335</v>
      </c>
      <c r="CH73" s="254">
        <v>400</v>
      </c>
      <c r="CI73">
        <v>400</v>
      </c>
      <c r="CJ73" s="1312" t="s">
        <v>1091</v>
      </c>
      <c r="CK73" s="1352"/>
      <c r="CM73" s="1351"/>
      <c r="CN73"/>
      <c r="CR73" s="1350"/>
      <c r="CU73"/>
    </row>
    <row r="74" spans="1:99" ht="43.2" x14ac:dyDescent="0.3">
      <c r="A74" s="1312">
        <v>73</v>
      </c>
      <c r="B74" s="254" t="s">
        <v>1183</v>
      </c>
      <c r="C74" s="1312" t="s">
        <v>1867</v>
      </c>
      <c r="D74" s="1312"/>
      <c r="E74" s="1312"/>
      <c r="F74" s="1312"/>
      <c r="G74" s="1312">
        <v>720</v>
      </c>
      <c r="H74" s="1312">
        <v>24</v>
      </c>
      <c r="I74" s="1312">
        <v>1320</v>
      </c>
      <c r="J74" s="1312">
        <v>840</v>
      </c>
      <c r="K74" s="1312">
        <v>860</v>
      </c>
      <c r="L74" s="1312">
        <v>230</v>
      </c>
      <c r="M74" s="1312"/>
      <c r="N74" s="254"/>
      <c r="O74" s="1641"/>
      <c r="P74"/>
      <c r="S74" s="1312">
        <v>73</v>
      </c>
      <c r="T74" s="1312" t="s">
        <v>1241</v>
      </c>
      <c r="U74" s="1312">
        <v>700</v>
      </c>
      <c r="V74" s="1312">
        <v>790</v>
      </c>
      <c r="W74" s="1350">
        <v>80</v>
      </c>
      <c r="X74" s="1312" t="s">
        <v>1682</v>
      </c>
      <c r="AD74" s="1312">
        <v>14</v>
      </c>
      <c r="AE74" s="1312">
        <v>948</v>
      </c>
      <c r="AF74" s="1312">
        <v>160</v>
      </c>
      <c r="AG74" s="1312">
        <v>788</v>
      </c>
      <c r="AH74" s="1312">
        <v>200</v>
      </c>
      <c r="AI74" s="1312">
        <v>215</v>
      </c>
      <c r="AJ74" s="1312">
        <v>255</v>
      </c>
      <c r="AK74" s="1312">
        <v>50</v>
      </c>
      <c r="AL74" s="1312">
        <v>58</v>
      </c>
      <c r="AM74" s="1312">
        <v>120</v>
      </c>
      <c r="AN74" s="1350" t="s">
        <v>1146</v>
      </c>
      <c r="BP74">
        <v>265</v>
      </c>
      <c r="BQ74" t="s">
        <v>432</v>
      </c>
      <c r="BV74" s="1312">
        <v>82.5</v>
      </c>
      <c r="BW74" s="1312">
        <v>240</v>
      </c>
      <c r="BX74" s="1312">
        <v>140</v>
      </c>
      <c r="BY74">
        <v>115</v>
      </c>
      <c r="BZ74" s="1312" t="s">
        <v>1589</v>
      </c>
      <c r="CA74" s="1352"/>
      <c r="CD74" s="1312">
        <v>358</v>
      </c>
      <c r="CE74" s="1312">
        <v>280</v>
      </c>
      <c r="CF74" s="254">
        <v>420</v>
      </c>
      <c r="CG74" s="1312">
        <v>360</v>
      </c>
      <c r="CH74" s="254"/>
      <c r="CI74">
        <v>450</v>
      </c>
      <c r="CJ74" s="1312" t="s">
        <v>1092</v>
      </c>
      <c r="CK74" s="1352" t="s">
        <v>1606</v>
      </c>
      <c r="CM74" s="1351"/>
      <c r="CN74"/>
      <c r="CR74" s="1350"/>
      <c r="CU74"/>
    </row>
    <row r="75" spans="1:99" ht="43.2" x14ac:dyDescent="0.3">
      <c r="A75" s="1312">
        <v>74</v>
      </c>
      <c r="B75" s="254"/>
      <c r="C75" s="1312" t="s">
        <v>1231</v>
      </c>
      <c r="D75" s="1312"/>
      <c r="E75" s="1312"/>
      <c r="F75" s="1312"/>
      <c r="G75" s="1312">
        <v>740</v>
      </c>
      <c r="H75" s="1312">
        <v>4.5</v>
      </c>
      <c r="I75" s="1312">
        <v>250</v>
      </c>
      <c r="J75" s="1312">
        <v>760</v>
      </c>
      <c r="K75" s="1312">
        <v>780</v>
      </c>
      <c r="L75" s="1312">
        <v>110</v>
      </c>
      <c r="M75" s="1312" t="s">
        <v>1180</v>
      </c>
      <c r="N75" s="254"/>
      <c r="O75" s="1641"/>
      <c r="P75"/>
      <c r="S75" s="1312">
        <v>74</v>
      </c>
      <c r="T75" s="1312" t="s">
        <v>1683</v>
      </c>
      <c r="U75" s="1312">
        <v>710</v>
      </c>
      <c r="V75" s="1312">
        <v>1135</v>
      </c>
      <c r="W75" s="1350">
        <v>80</v>
      </c>
      <c r="X75" s="1312"/>
      <c r="AD75" s="1312">
        <v>71</v>
      </c>
      <c r="AE75" s="1312">
        <v>920</v>
      </c>
      <c r="AF75" s="1312">
        <v>130</v>
      </c>
      <c r="AG75" s="1312">
        <v>790</v>
      </c>
      <c r="AH75" s="1312">
        <v>200</v>
      </c>
      <c r="AI75" s="1312">
        <v>210</v>
      </c>
      <c r="AJ75" s="1312">
        <v>240</v>
      </c>
      <c r="AK75" s="1312">
        <v>30</v>
      </c>
      <c r="AL75" s="1312">
        <v>40</v>
      </c>
      <c r="AM75" s="1312">
        <v>95</v>
      </c>
      <c r="BP75">
        <v>267.5</v>
      </c>
      <c r="BQ75" t="s">
        <v>433</v>
      </c>
      <c r="BV75" s="1312">
        <v>82.5</v>
      </c>
      <c r="BW75" s="1312">
        <v>245</v>
      </c>
      <c r="BX75" s="1312">
        <v>140</v>
      </c>
      <c r="BY75">
        <v>115</v>
      </c>
      <c r="BZ75" s="1312" t="s">
        <v>1589</v>
      </c>
      <c r="CA75" s="1352"/>
      <c r="CD75" s="1312">
        <v>308</v>
      </c>
      <c r="CE75" s="1312">
        <v>275</v>
      </c>
      <c r="CF75" s="254">
        <v>258</v>
      </c>
      <c r="CG75" s="1312">
        <v>198</v>
      </c>
      <c r="CH75" s="254">
        <v>375</v>
      </c>
      <c r="CI75">
        <v>450</v>
      </c>
      <c r="CJ75" s="1312" t="s">
        <v>1093</v>
      </c>
      <c r="CK75" s="1352" t="s">
        <v>1607</v>
      </c>
      <c r="CM75" s="1351"/>
      <c r="CN75"/>
      <c r="CR75" s="1350"/>
      <c r="CU75"/>
    </row>
    <row r="76" spans="1:99" x14ac:dyDescent="0.3">
      <c r="A76" s="1312">
        <v>75</v>
      </c>
      <c r="B76" s="254"/>
      <c r="C76" s="1312" t="s">
        <v>1232</v>
      </c>
      <c r="D76" s="1312"/>
      <c r="E76" s="1312"/>
      <c r="F76" s="1312"/>
      <c r="G76" s="1312">
        <v>740</v>
      </c>
      <c r="H76" s="1312">
        <v>5</v>
      </c>
      <c r="I76" s="1312">
        <v>660</v>
      </c>
      <c r="J76" s="1312">
        <v>860</v>
      </c>
      <c r="K76" s="1312">
        <v>920</v>
      </c>
      <c r="L76" s="1312">
        <v>350</v>
      </c>
      <c r="M76" s="1312"/>
      <c r="N76" s="254"/>
      <c r="O76" s="1641"/>
      <c r="P76"/>
      <c r="S76" s="1312">
        <v>75</v>
      </c>
      <c r="T76" s="1312">
        <v>1012168</v>
      </c>
      <c r="U76" s="1312">
        <v>730</v>
      </c>
      <c r="V76" s="1312">
        <v>980</v>
      </c>
      <c r="W76" s="1350">
        <v>80</v>
      </c>
      <c r="X76" s="1312"/>
      <c r="AD76" s="1312">
        <v>44</v>
      </c>
      <c r="AE76" s="1312">
        <v>980</v>
      </c>
      <c r="AF76" s="1312">
        <v>190</v>
      </c>
      <c r="AG76" s="1312">
        <v>790</v>
      </c>
      <c r="AH76" s="1312">
        <v>320</v>
      </c>
      <c r="AI76" s="1312">
        <v>330</v>
      </c>
      <c r="AJ76" s="1312">
        <v>375</v>
      </c>
      <c r="AK76" s="1312">
        <v>45</v>
      </c>
      <c r="AL76" s="1312">
        <v>55</v>
      </c>
      <c r="AM76" s="1312">
        <v>135</v>
      </c>
      <c r="BP76">
        <v>270</v>
      </c>
      <c r="BQ76" t="s">
        <v>434</v>
      </c>
      <c r="BU76" s="1312">
        <v>0</v>
      </c>
      <c r="BV76" s="1312">
        <v>82.5</v>
      </c>
      <c r="BW76" s="1312">
        <v>245</v>
      </c>
      <c r="BX76" s="1312">
        <v>140</v>
      </c>
      <c r="BY76">
        <v>115</v>
      </c>
      <c r="BZ76" s="1312" t="s">
        <v>1589</v>
      </c>
      <c r="CA76" s="1352"/>
      <c r="CD76" s="1312">
        <v>306</v>
      </c>
      <c r="CE76" s="1312">
        <v>277.5</v>
      </c>
      <c r="CF76" s="254">
        <v>260</v>
      </c>
      <c r="CG76" s="1312">
        <v>220</v>
      </c>
      <c r="CH76" s="254">
        <v>375</v>
      </c>
      <c r="CI76">
        <v>450</v>
      </c>
      <c r="CJ76" s="1312" t="s">
        <v>1094</v>
      </c>
      <c r="CK76" s="1352"/>
      <c r="CM76" s="1351"/>
      <c r="CN76"/>
      <c r="CR76" s="1350"/>
      <c r="CU76"/>
    </row>
    <row r="77" spans="1:99" x14ac:dyDescent="0.3">
      <c r="A77" s="1312">
        <v>76</v>
      </c>
      <c r="B77" s="254"/>
      <c r="C77" s="1312"/>
      <c r="D77" s="1312"/>
      <c r="E77" s="1312"/>
      <c r="F77" s="1312"/>
      <c r="G77" s="1312">
        <v>745</v>
      </c>
      <c r="H77" s="1312">
        <v>5</v>
      </c>
      <c r="I77" s="1312">
        <v>700</v>
      </c>
      <c r="J77" s="1312">
        <v>800</v>
      </c>
      <c r="K77" s="1312">
        <v>820</v>
      </c>
      <c r="L77" s="1312">
        <v>150</v>
      </c>
      <c r="M77" s="1312" t="s">
        <v>1186</v>
      </c>
      <c r="N77" s="254"/>
      <c r="O77" s="1641"/>
      <c r="P77"/>
      <c r="S77" s="1312">
        <v>76</v>
      </c>
      <c r="T77" s="1312" t="s">
        <v>1239</v>
      </c>
      <c r="U77" s="1312">
        <v>740</v>
      </c>
      <c r="V77" s="1312">
        <v>880</v>
      </c>
      <c r="W77" s="1350">
        <v>80</v>
      </c>
      <c r="X77" s="1312"/>
      <c r="AD77" s="1312">
        <v>104</v>
      </c>
      <c r="AE77" s="1312">
        <v>955</v>
      </c>
      <c r="AF77" s="1312">
        <v>150</v>
      </c>
      <c r="AG77" s="1312">
        <v>805</v>
      </c>
      <c r="AH77" s="1312">
        <v>265</v>
      </c>
      <c r="AI77" s="1312">
        <v>283</v>
      </c>
      <c r="AJ77" s="1312">
        <v>315</v>
      </c>
      <c r="AK77" s="1312">
        <v>33</v>
      </c>
      <c r="AL77" s="1312">
        <v>40</v>
      </c>
      <c r="AM77" s="1312">
        <v>105</v>
      </c>
      <c r="BP77">
        <v>275</v>
      </c>
      <c r="BQ77" t="s">
        <v>435</v>
      </c>
      <c r="BT77" s="164">
        <f>IF(MAX(BU77:BU1156)&lt;ROW(1:1),"",VLOOKUP(ROW(1:1),BU77:BV1156,2))</f>
        <v>85</v>
      </c>
      <c r="BU77" s="165">
        <f>IF(COUNTIF(BV$76:BV77,BV77)=1,MAX(BU$76:BU76)+1,"")</f>
        <v>1</v>
      </c>
      <c r="BV77" s="1312">
        <v>85</v>
      </c>
      <c r="BW77" s="1312">
        <v>240</v>
      </c>
      <c r="BX77" s="1312">
        <v>140</v>
      </c>
      <c r="BY77">
        <v>115</v>
      </c>
      <c r="BZ77" s="1312" t="s">
        <v>1311</v>
      </c>
      <c r="CA77" s="1352" t="s">
        <v>1591</v>
      </c>
      <c r="CD77" s="1312">
        <v>350</v>
      </c>
      <c r="CE77" s="1312">
        <v>277.5</v>
      </c>
      <c r="CF77" s="254">
        <v>420</v>
      </c>
      <c r="CG77" s="1312">
        <v>340</v>
      </c>
      <c r="CH77" s="254">
        <v>415</v>
      </c>
      <c r="CI77">
        <v>400</v>
      </c>
      <c r="CJ77" s="1312" t="s">
        <v>1095</v>
      </c>
      <c r="CK77" s="1352"/>
      <c r="CM77" s="1351"/>
      <c r="CN77"/>
      <c r="CR77" s="1350"/>
      <c r="CU77"/>
    </row>
    <row r="78" spans="1:99" x14ac:dyDescent="0.3">
      <c r="A78" s="1312">
        <v>77</v>
      </c>
      <c r="B78" s="254" t="s">
        <v>1183</v>
      </c>
      <c r="C78" s="1312" t="s">
        <v>1233</v>
      </c>
      <c r="D78" s="1312"/>
      <c r="E78" s="1312"/>
      <c r="F78" s="1312"/>
      <c r="G78" s="1312">
        <v>745</v>
      </c>
      <c r="H78" s="1312">
        <v>10</v>
      </c>
      <c r="I78" s="1312">
        <v>1460</v>
      </c>
      <c r="J78" s="1312">
        <v>840</v>
      </c>
      <c r="K78" s="1312">
        <v>890</v>
      </c>
      <c r="L78" s="1312">
        <v>180</v>
      </c>
      <c r="M78" s="1312" t="s">
        <v>1234</v>
      </c>
      <c r="N78" s="254"/>
      <c r="O78" s="1641"/>
      <c r="P78" t="s">
        <v>1804</v>
      </c>
      <c r="S78" s="1312">
        <v>77</v>
      </c>
      <c r="T78" s="1312" t="s">
        <v>1240</v>
      </c>
      <c r="U78" s="1312">
        <v>745</v>
      </c>
      <c r="V78" s="1312">
        <v>800</v>
      </c>
      <c r="W78" s="1350">
        <v>80</v>
      </c>
      <c r="X78" s="1312" t="s">
        <v>1684</v>
      </c>
      <c r="AD78" s="1312">
        <v>32</v>
      </c>
      <c r="AE78" s="1312">
        <v>1000</v>
      </c>
      <c r="AF78" s="1312">
        <v>185</v>
      </c>
      <c r="AG78" s="1312">
        <v>815</v>
      </c>
      <c r="AH78" s="1312">
        <v>275</v>
      </c>
      <c r="AI78" s="1312">
        <v>290</v>
      </c>
      <c r="AJ78" s="1312">
        <v>330</v>
      </c>
      <c r="AK78" s="1312">
        <v>37</v>
      </c>
      <c r="AL78" s="1312">
        <v>45</v>
      </c>
      <c r="AM78" s="1312">
        <v>140</v>
      </c>
      <c r="BP78">
        <v>277.5</v>
      </c>
      <c r="BQ78" t="s">
        <v>436</v>
      </c>
      <c r="BT78" s="164">
        <f>IF(MAX(BU78:BU1157)&lt;ROW(2:2),"",VLOOKUP(ROW(2:2),BU78:BV1157,2))</f>
        <v>87.5</v>
      </c>
      <c r="BU78" s="165" t="str">
        <f>IF(COUNTIF(BV$76:BV78,BV78)=1,MAX(BU$76:BU77)+1,"")</f>
        <v/>
      </c>
      <c r="BV78" s="1312">
        <v>85</v>
      </c>
      <c r="BW78" s="1312">
        <v>245</v>
      </c>
      <c r="BX78" s="1312">
        <v>140</v>
      </c>
      <c r="BY78">
        <v>115</v>
      </c>
      <c r="BZ78" s="1312" t="s">
        <v>1311</v>
      </c>
      <c r="CA78" s="1352"/>
      <c r="CD78" s="1312">
        <v>305</v>
      </c>
      <c r="CE78" s="1312">
        <v>277.5</v>
      </c>
      <c r="CF78" s="254">
        <v>257</v>
      </c>
      <c r="CG78" s="1312">
        <v>200</v>
      </c>
      <c r="CH78" s="254">
        <v>375</v>
      </c>
      <c r="CI78">
        <v>450</v>
      </c>
      <c r="CJ78" s="1312" t="s">
        <v>1094</v>
      </c>
      <c r="CK78" s="1352"/>
      <c r="CM78" s="1351"/>
      <c r="CN78"/>
      <c r="CS78"/>
      <c r="CT78"/>
      <c r="CU78"/>
    </row>
    <row r="79" spans="1:99" x14ac:dyDescent="0.3">
      <c r="A79" s="1312">
        <v>78</v>
      </c>
      <c r="B79" s="254"/>
      <c r="C79" s="1312" t="s">
        <v>1805</v>
      </c>
      <c r="D79" s="1312">
        <v>775</v>
      </c>
      <c r="E79" s="1312">
        <v>2.5</v>
      </c>
      <c r="F79" s="1312">
        <v>120</v>
      </c>
      <c r="G79" s="1312">
        <v>750</v>
      </c>
      <c r="H79" s="1312">
        <v>7.5</v>
      </c>
      <c r="I79" s="1312">
        <v>490</v>
      </c>
      <c r="J79" s="1312">
        <v>815</v>
      </c>
      <c r="K79" s="1312">
        <v>830</v>
      </c>
      <c r="L79" s="1312">
        <v>110</v>
      </c>
      <c r="M79" s="1312"/>
      <c r="N79" s="254"/>
      <c r="O79" s="1641"/>
      <c r="P79" t="s">
        <v>1806</v>
      </c>
      <c r="S79" s="1312">
        <v>78</v>
      </c>
      <c r="T79" s="1312" t="s">
        <v>1685</v>
      </c>
      <c r="U79" s="1312">
        <v>750</v>
      </c>
      <c r="V79" s="1312">
        <v>630</v>
      </c>
      <c r="W79" s="1350">
        <v>80</v>
      </c>
      <c r="X79" s="1312"/>
      <c r="AD79" s="1312">
        <v>86</v>
      </c>
      <c r="AE79" s="1312">
        <v>995</v>
      </c>
      <c r="AF79" s="1312">
        <v>160</v>
      </c>
      <c r="AG79" s="1312">
        <v>835</v>
      </c>
      <c r="AH79" s="1312">
        <v>200</v>
      </c>
      <c r="AI79" s="1312">
        <v>215</v>
      </c>
      <c r="AJ79" s="1312">
        <v>250</v>
      </c>
      <c r="AK79" s="1312">
        <v>85</v>
      </c>
      <c r="AL79" s="1312">
        <v>97</v>
      </c>
      <c r="AM79" s="1312">
        <v>155</v>
      </c>
      <c r="AN79" s="1350" t="s">
        <v>1147</v>
      </c>
      <c r="BP79">
        <v>280</v>
      </c>
      <c r="BQ79" t="s">
        <v>437</v>
      </c>
      <c r="BT79" s="164">
        <f>IF(MAX(BU79:BU1158)&lt;ROW(3:3),"",VLOOKUP(ROW(3:3),BU79:BV1158,2))</f>
        <v>90</v>
      </c>
      <c r="BU79" s="165" t="str">
        <f>IF(COUNTIF(BV$76:BV79,BV79)=1,MAX(BU$76:BU78)+1,"")</f>
        <v/>
      </c>
      <c r="BV79" s="1312">
        <v>85</v>
      </c>
      <c r="BW79" s="1312">
        <v>240</v>
      </c>
      <c r="BX79" s="1312">
        <v>140</v>
      </c>
      <c r="BY79">
        <v>115</v>
      </c>
      <c r="BZ79" s="1312" t="s">
        <v>1311</v>
      </c>
      <c r="CA79" s="1352"/>
      <c r="CD79" s="1312">
        <v>299</v>
      </c>
      <c r="CE79" s="1312">
        <v>277.5</v>
      </c>
      <c r="CF79" s="254">
        <v>260</v>
      </c>
      <c r="CG79" s="1312">
        <v>210</v>
      </c>
      <c r="CH79" s="254">
        <v>375</v>
      </c>
      <c r="CI79">
        <v>450</v>
      </c>
      <c r="CJ79" s="1312" t="s">
        <v>1094</v>
      </c>
      <c r="CK79" s="1352"/>
      <c r="CM79" s="1351"/>
      <c r="CN79"/>
      <c r="CS79"/>
      <c r="CT79"/>
      <c r="CU79"/>
    </row>
    <row r="80" spans="1:99" x14ac:dyDescent="0.3">
      <c r="A80" s="1312">
        <v>79</v>
      </c>
      <c r="B80" s="254"/>
      <c r="C80" s="1312" t="s">
        <v>1807</v>
      </c>
      <c r="D80" s="1312"/>
      <c r="E80" s="1312"/>
      <c r="F80" s="1312"/>
      <c r="G80" s="1312">
        <v>765</v>
      </c>
      <c r="H80" s="1312">
        <v>5</v>
      </c>
      <c r="I80" s="1312">
        <v>170</v>
      </c>
      <c r="J80" s="1312">
        <v>825</v>
      </c>
      <c r="K80" s="1312">
        <v>835</v>
      </c>
      <c r="L80" s="1312">
        <v>180</v>
      </c>
      <c r="M80" s="1312"/>
      <c r="N80" s="254"/>
      <c r="O80" s="1641"/>
      <c r="P80" t="s">
        <v>1808</v>
      </c>
      <c r="S80" s="1312">
        <v>79</v>
      </c>
      <c r="T80" s="1312" t="s">
        <v>1686</v>
      </c>
      <c r="U80" s="1312">
        <v>750</v>
      </c>
      <c r="V80" s="1312">
        <v>450</v>
      </c>
      <c r="W80" s="1350">
        <v>80</v>
      </c>
      <c r="X80" s="1312"/>
      <c r="AD80" s="1312">
        <v>92</v>
      </c>
      <c r="AE80" s="1312">
        <v>1015</v>
      </c>
      <c r="AF80" s="1312">
        <v>175</v>
      </c>
      <c r="AG80" s="1312">
        <v>840</v>
      </c>
      <c r="AH80" s="1312">
        <v>250</v>
      </c>
      <c r="AI80" s="1312">
        <v>260</v>
      </c>
      <c r="AJ80" s="1312">
        <v>310</v>
      </c>
      <c r="AK80" s="1312">
        <v>41</v>
      </c>
      <c r="AL80" s="1312">
        <v>50</v>
      </c>
      <c r="AM80" s="1312">
        <v>120</v>
      </c>
      <c r="AN80" s="1350" t="s">
        <v>1148</v>
      </c>
      <c r="BP80">
        <v>282.5</v>
      </c>
      <c r="BQ80" t="s">
        <v>438</v>
      </c>
      <c r="BT80" s="164">
        <f>IF(MAX(BU80:BU1159)&lt;ROW(4:4),"",VLOOKUP(ROW(4:4),BU80:BV1159,2))</f>
        <v>92.5</v>
      </c>
      <c r="BU80" s="165" t="str">
        <f>IF(COUNTIF(BV$76:BV80,BV80)=1,MAX(BU$76:BU79)+1,"")</f>
        <v/>
      </c>
      <c r="BV80" s="1312">
        <v>85</v>
      </c>
      <c r="BW80" s="1312">
        <v>245</v>
      </c>
      <c r="BX80" s="1312">
        <v>140</v>
      </c>
      <c r="BY80">
        <v>115</v>
      </c>
      <c r="BZ80" s="1312" t="s">
        <v>1311</v>
      </c>
      <c r="CA80" s="1352"/>
      <c r="CD80" s="1312">
        <v>310</v>
      </c>
      <c r="CE80" s="1312">
        <v>280</v>
      </c>
      <c r="CF80" s="254">
        <v>200</v>
      </c>
      <c r="CG80" s="1312">
        <v>130</v>
      </c>
      <c r="CH80" s="254">
        <v>375</v>
      </c>
      <c r="CI80">
        <v>450</v>
      </c>
      <c r="CJ80" s="1312">
        <v>7242060</v>
      </c>
      <c r="CK80" s="1352"/>
      <c r="CM80" s="1351"/>
      <c r="CN80" s="1312"/>
      <c r="CO80" s="1312"/>
      <c r="CP80" s="1312"/>
      <c r="CQ80" s="1312"/>
      <c r="CR80" s="1352"/>
      <c r="CS80" s="1352"/>
      <c r="CT80"/>
      <c r="CU80"/>
    </row>
    <row r="81" spans="1:99" x14ac:dyDescent="0.3">
      <c r="A81" s="1312">
        <v>81</v>
      </c>
      <c r="B81" s="254"/>
      <c r="C81" s="1312"/>
      <c r="D81" s="1312">
        <v>810</v>
      </c>
      <c r="E81" s="1312">
        <v>5</v>
      </c>
      <c r="F81" s="1312">
        <v>180</v>
      </c>
      <c r="G81" s="1312">
        <v>770</v>
      </c>
      <c r="H81" s="1312">
        <v>7</v>
      </c>
      <c r="I81" s="1312">
        <v>550</v>
      </c>
      <c r="J81" s="1312">
        <v>890</v>
      </c>
      <c r="K81" s="1312">
        <v>920</v>
      </c>
      <c r="L81" s="1312">
        <v>230</v>
      </c>
      <c r="M81" s="1312"/>
      <c r="N81" s="254"/>
      <c r="O81" s="1641"/>
      <c r="P81"/>
      <c r="S81" s="1312">
        <v>80</v>
      </c>
      <c r="T81" s="1312"/>
      <c r="U81" s="1312">
        <v>760</v>
      </c>
      <c r="V81" s="1312">
        <v>1090</v>
      </c>
      <c r="W81" s="1350">
        <v>80</v>
      </c>
      <c r="X81" s="1312"/>
      <c r="AD81" s="1312">
        <v>105</v>
      </c>
      <c r="AE81" s="1312">
        <v>990</v>
      </c>
      <c r="AF81" s="1312">
        <v>150</v>
      </c>
      <c r="AG81" s="1312">
        <v>840</v>
      </c>
      <c r="AH81" s="1312">
        <v>270</v>
      </c>
      <c r="AI81" s="1312">
        <v>290</v>
      </c>
      <c r="AJ81" s="1312">
        <v>320</v>
      </c>
      <c r="AK81" s="1312">
        <v>32</v>
      </c>
      <c r="AL81" s="1312">
        <v>40</v>
      </c>
      <c r="AM81" s="1312">
        <v>100</v>
      </c>
      <c r="BP81">
        <v>285</v>
      </c>
      <c r="BQ81" t="s">
        <v>439</v>
      </c>
      <c r="BT81" s="164">
        <f>IF(MAX(BU81:BU1160)&lt;ROW(5:5),"",VLOOKUP(ROW(5:5),BU81:BV1160,2))</f>
        <v>95</v>
      </c>
      <c r="BU81" s="165" t="str">
        <f>IF(COUNTIF(BV$76:BV81,BV81)=1,MAX(BU$76:BU80)+1,"")</f>
        <v/>
      </c>
      <c r="BV81" s="1312">
        <v>85</v>
      </c>
      <c r="BW81" s="1312">
        <v>245</v>
      </c>
      <c r="BX81" s="1312">
        <v>140</v>
      </c>
      <c r="BY81">
        <v>115</v>
      </c>
      <c r="BZ81" s="1312" t="s">
        <v>1311</v>
      </c>
      <c r="CA81" s="1352"/>
      <c r="CD81" s="1312">
        <v>313</v>
      </c>
      <c r="CE81" s="1312">
        <v>280</v>
      </c>
      <c r="CF81" s="254">
        <v>200</v>
      </c>
      <c r="CG81" s="1312">
        <v>135</v>
      </c>
      <c r="CH81" s="254">
        <v>375</v>
      </c>
      <c r="CI81">
        <v>450</v>
      </c>
      <c r="CJ81" s="1312">
        <v>7242060</v>
      </c>
      <c r="CK81" s="1352"/>
      <c r="CM81" s="1351"/>
      <c r="CN81" s="1312"/>
      <c r="CO81" s="1312"/>
      <c r="CP81" s="1312"/>
      <c r="CQ81" s="1312"/>
      <c r="CR81" s="1352"/>
      <c r="CS81" s="1352"/>
      <c r="CT81"/>
      <c r="CU81"/>
    </row>
    <row r="82" spans="1:99" x14ac:dyDescent="0.3">
      <c r="A82" s="1312">
        <v>80</v>
      </c>
      <c r="B82" s="254"/>
      <c r="C82" s="1312" t="s">
        <v>1235</v>
      </c>
      <c r="D82" s="1312"/>
      <c r="E82" s="1312"/>
      <c r="F82" s="1312"/>
      <c r="G82" s="1312">
        <v>770</v>
      </c>
      <c r="H82" s="1312">
        <v>2.5</v>
      </c>
      <c r="I82" s="1312">
        <v>190</v>
      </c>
      <c r="J82" s="1312">
        <v>825</v>
      </c>
      <c r="K82" s="1312">
        <v>840</v>
      </c>
      <c r="L82" s="1312">
        <v>110</v>
      </c>
      <c r="M82" s="1312" t="s">
        <v>1236</v>
      </c>
      <c r="N82" s="254"/>
      <c r="O82" s="1641"/>
      <c r="P82" t="s">
        <v>1809</v>
      </c>
      <c r="S82" s="1312">
        <v>81</v>
      </c>
      <c r="T82" s="1312"/>
      <c r="U82" s="1312">
        <v>765</v>
      </c>
      <c r="V82" s="1312">
        <v>430</v>
      </c>
      <c r="W82" s="1350">
        <v>80</v>
      </c>
      <c r="X82" s="1312"/>
      <c r="AD82" s="1312">
        <v>45</v>
      </c>
      <c r="AE82" s="1312">
        <v>1015</v>
      </c>
      <c r="AF82" s="1312">
        <v>170</v>
      </c>
      <c r="AG82" s="1312">
        <v>845</v>
      </c>
      <c r="AH82" s="1312">
        <v>170</v>
      </c>
      <c r="AI82" s="1312">
        <v>190</v>
      </c>
      <c r="AJ82" s="1312">
        <v>210</v>
      </c>
      <c r="AK82" s="1312">
        <v>41</v>
      </c>
      <c r="AL82" s="1312">
        <v>56</v>
      </c>
      <c r="AM82" s="1312">
        <v>125</v>
      </c>
      <c r="AN82" s="1350" t="s">
        <v>1149</v>
      </c>
      <c r="BP82">
        <v>287.5</v>
      </c>
      <c r="BQ82" t="s">
        <v>440</v>
      </c>
      <c r="BT82" s="164">
        <f>IF(MAX(BU82:BU1161)&lt;ROW(6:6),"",VLOOKUP(ROW(6:6),BU82:BV1161,2))</f>
        <v>100</v>
      </c>
      <c r="BU82" s="165" t="str">
        <f>IF(COUNTIF(BV$76:BV82,BV82)=1,MAX(BU$76:BU81)+1,"")</f>
        <v/>
      </c>
      <c r="BV82" s="1312">
        <v>85</v>
      </c>
      <c r="BW82" s="1312">
        <v>245</v>
      </c>
      <c r="BX82" s="1312">
        <v>140</v>
      </c>
      <c r="BY82">
        <v>115</v>
      </c>
      <c r="BZ82" s="1312" t="s">
        <v>1311</v>
      </c>
      <c r="CA82" s="1352"/>
      <c r="CD82" s="1312">
        <v>315</v>
      </c>
      <c r="CE82" s="1312">
        <v>285</v>
      </c>
      <c r="CF82" s="254">
        <v>378</v>
      </c>
      <c r="CG82" s="1312">
        <v>275</v>
      </c>
      <c r="CH82" s="254">
        <v>375</v>
      </c>
      <c r="CI82">
        <v>450</v>
      </c>
      <c r="CJ82" s="1312" t="s">
        <v>1096</v>
      </c>
      <c r="CK82" s="1352"/>
      <c r="CM82" s="1351"/>
      <c r="CN82" s="1312"/>
      <c r="CO82" s="1312"/>
      <c r="CP82" s="1312"/>
      <c r="CQ82" s="1312"/>
      <c r="CR82" s="1352"/>
      <c r="CS82" s="1352"/>
      <c r="CT82"/>
      <c r="CU82"/>
    </row>
    <row r="83" spans="1:99" x14ac:dyDescent="0.3">
      <c r="A83" s="1312">
        <v>82</v>
      </c>
      <c r="B83" s="254"/>
      <c r="C83" s="1312"/>
      <c r="D83" s="1312"/>
      <c r="E83" s="1312"/>
      <c r="F83" s="1312"/>
      <c r="G83" s="1312">
        <v>780</v>
      </c>
      <c r="H83" s="1312">
        <v>5</v>
      </c>
      <c r="I83" s="1312">
        <v>810</v>
      </c>
      <c r="J83" s="1312"/>
      <c r="K83" s="1312"/>
      <c r="L83" s="1312"/>
      <c r="M83" s="1312" t="s">
        <v>1187</v>
      </c>
      <c r="N83" s="254"/>
      <c r="O83" s="1641"/>
      <c r="P83"/>
      <c r="S83" s="1312">
        <v>82</v>
      </c>
      <c r="T83" s="1312" t="s">
        <v>1687</v>
      </c>
      <c r="U83" s="1312">
        <v>780</v>
      </c>
      <c r="V83" s="1312">
        <v>1090</v>
      </c>
      <c r="W83" s="1350">
        <v>80</v>
      </c>
      <c r="X83" s="1312"/>
      <c r="AD83" s="1312">
        <v>58</v>
      </c>
      <c r="AE83" s="1312">
        <v>1030</v>
      </c>
      <c r="AF83" s="1312">
        <v>180</v>
      </c>
      <c r="AG83" s="1312">
        <v>850</v>
      </c>
      <c r="AH83" s="1312">
        <v>145</v>
      </c>
      <c r="AI83" s="1312">
        <v>162</v>
      </c>
      <c r="AJ83" s="1312">
        <v>200</v>
      </c>
      <c r="AK83" s="1312">
        <v>90</v>
      </c>
      <c r="AL83" s="1312">
        <v>105</v>
      </c>
      <c r="AM83" s="1312">
        <v>180</v>
      </c>
      <c r="AN83" s="1350" t="s">
        <v>1151</v>
      </c>
      <c r="BP83">
        <v>290</v>
      </c>
      <c r="BQ83" t="s">
        <v>441</v>
      </c>
      <c r="BT83" s="164">
        <f>IF(MAX(BU83:BU1162)&lt;ROW(7:7),"",VLOOKUP(ROW(7:7),BU83:BV1162,2))</f>
        <v>102.5</v>
      </c>
      <c r="BU83" s="165" t="str">
        <f>IF(COUNTIF(BV$76:BV83,BV83)=1,MAX(BU$76:BU82)+1,"")</f>
        <v/>
      </c>
      <c r="BV83" s="1312">
        <v>85</v>
      </c>
      <c r="BW83" s="1312">
        <v>243</v>
      </c>
      <c r="BX83" s="1312">
        <v>140</v>
      </c>
      <c r="BY83">
        <v>115</v>
      </c>
      <c r="BZ83" s="1312" t="s">
        <v>1311</v>
      </c>
      <c r="CA83" s="1352"/>
      <c r="CD83" s="1312">
        <v>313</v>
      </c>
      <c r="CE83" s="1312">
        <v>285</v>
      </c>
      <c r="CF83" s="254">
        <v>380</v>
      </c>
      <c r="CG83" s="1312">
        <v>320</v>
      </c>
      <c r="CH83" s="254">
        <v>375</v>
      </c>
      <c r="CI83">
        <v>450</v>
      </c>
      <c r="CJ83" s="1312" t="s">
        <v>1096</v>
      </c>
      <c r="CK83" s="1352"/>
      <c r="CM83" s="1351"/>
      <c r="CN83" s="1312"/>
      <c r="CO83" s="1312"/>
      <c r="CP83" s="1312"/>
      <c r="CQ83" s="1312"/>
      <c r="CR83" s="1352"/>
      <c r="CS83" s="1352"/>
      <c r="CT83"/>
      <c r="CU83"/>
    </row>
    <row r="84" spans="1:99" x14ac:dyDescent="0.3">
      <c r="A84" s="1312">
        <v>83</v>
      </c>
      <c r="B84" s="254"/>
      <c r="C84" s="1312" t="s">
        <v>1262</v>
      </c>
      <c r="D84" s="1312">
        <v>825</v>
      </c>
      <c r="E84" s="1312">
        <v>5</v>
      </c>
      <c r="F84" s="1312">
        <v>120</v>
      </c>
      <c r="G84" s="1312">
        <v>790</v>
      </c>
      <c r="H84" s="1312">
        <v>2.5</v>
      </c>
      <c r="I84" s="1312">
        <v>735</v>
      </c>
      <c r="J84" s="1312">
        <v>880</v>
      </c>
      <c r="K84" s="1312">
        <v>910</v>
      </c>
      <c r="L84" s="1312">
        <v>190</v>
      </c>
      <c r="M84" s="1312"/>
      <c r="N84" s="254"/>
      <c r="O84" s="1641"/>
      <c r="P84" t="s">
        <v>1810</v>
      </c>
      <c r="S84" s="1312">
        <v>83</v>
      </c>
      <c r="T84" s="1312" t="s">
        <v>1243</v>
      </c>
      <c r="U84" s="1312">
        <v>780</v>
      </c>
      <c r="V84" s="1312">
        <v>940</v>
      </c>
      <c r="W84" s="1350">
        <v>80</v>
      </c>
      <c r="X84" s="1312"/>
      <c r="AD84" s="1312">
        <v>111</v>
      </c>
      <c r="AE84" s="1312">
        <v>1030</v>
      </c>
      <c r="AF84" s="1312">
        <v>180</v>
      </c>
      <c r="AG84" s="1312">
        <v>850</v>
      </c>
      <c r="AH84" s="1312">
        <v>145</v>
      </c>
      <c r="AI84" s="1312">
        <v>165</v>
      </c>
      <c r="AJ84" s="1312">
        <v>200</v>
      </c>
      <c r="AK84" s="1312">
        <v>50</v>
      </c>
      <c r="AL84" s="1312">
        <v>70</v>
      </c>
      <c r="AM84" s="1312">
        <v>140</v>
      </c>
      <c r="AN84" s="1350" t="s">
        <v>1150</v>
      </c>
      <c r="BP84">
        <v>292.5</v>
      </c>
      <c r="BQ84" t="s">
        <v>442</v>
      </c>
      <c r="BT84" s="164">
        <f>IF(MAX(BU84:BU1163)&lt;ROW(8:8),"",VLOOKUP(ROW(8:8),BU84:BV1163,2))</f>
        <v>105</v>
      </c>
      <c r="BU84" s="165" t="str">
        <f>IF(COUNTIF(BV$76:BV84,BV84)=1,MAX(BU$76:BU83)+1,"")</f>
        <v/>
      </c>
      <c r="BV84" s="1312">
        <v>85</v>
      </c>
      <c r="BW84" s="1312">
        <v>240</v>
      </c>
      <c r="BX84" s="1312">
        <v>140</v>
      </c>
      <c r="BY84">
        <v>115</v>
      </c>
      <c r="BZ84" s="1312" t="s">
        <v>1311</v>
      </c>
      <c r="CA84" s="1352"/>
      <c r="CD84" s="1312" t="s">
        <v>358</v>
      </c>
      <c r="CE84" s="1312" t="s">
        <v>359</v>
      </c>
      <c r="CF84" s="254">
        <v>205</v>
      </c>
      <c r="CG84" s="1312" t="s">
        <v>360</v>
      </c>
      <c r="CH84" s="254">
        <v>410</v>
      </c>
      <c r="CI84">
        <v>425</v>
      </c>
      <c r="CJ84" s="1312" t="s">
        <v>1097</v>
      </c>
      <c r="CK84" s="1352" t="s">
        <v>1608</v>
      </c>
      <c r="CM84" s="1351"/>
      <c r="CN84" s="1312"/>
      <c r="CO84" s="1312"/>
      <c r="CP84" s="1312"/>
      <c r="CQ84" s="1312"/>
      <c r="CR84" s="1352"/>
      <c r="CS84" s="1352"/>
      <c r="CT84"/>
      <c r="CU84"/>
    </row>
    <row r="85" spans="1:99" x14ac:dyDescent="0.3">
      <c r="A85" s="1312">
        <v>85</v>
      </c>
      <c r="B85" s="254"/>
      <c r="C85" s="1312"/>
      <c r="D85" s="1312">
        <v>900</v>
      </c>
      <c r="E85" s="1312">
        <v>5</v>
      </c>
      <c r="F85" s="1312">
        <v>130</v>
      </c>
      <c r="G85" s="1312">
        <v>795</v>
      </c>
      <c r="H85" s="1312">
        <v>7.5</v>
      </c>
      <c r="I85" s="1312">
        <v>970</v>
      </c>
      <c r="J85" s="1312">
        <v>985</v>
      </c>
      <c r="K85" s="1312">
        <v>1035</v>
      </c>
      <c r="L85" s="1312">
        <v>270</v>
      </c>
      <c r="M85" s="1312"/>
      <c r="N85" s="254"/>
      <c r="O85" s="1641"/>
      <c r="P85"/>
      <c r="S85" s="1312">
        <v>84</v>
      </c>
      <c r="T85" s="1312"/>
      <c r="U85" s="1312">
        <v>780</v>
      </c>
      <c r="V85" s="1312">
        <v>660</v>
      </c>
      <c r="W85" s="1350">
        <v>80</v>
      </c>
      <c r="X85" s="1312"/>
      <c r="AD85" s="1312">
        <v>70</v>
      </c>
      <c r="AE85" s="1312">
        <v>980</v>
      </c>
      <c r="AF85" s="1312">
        <v>130</v>
      </c>
      <c r="AG85" s="1312">
        <v>850</v>
      </c>
      <c r="AH85" s="1312">
        <v>180</v>
      </c>
      <c r="AI85" s="1312">
        <v>196</v>
      </c>
      <c r="AJ85" s="1312">
        <v>230</v>
      </c>
      <c r="AK85" s="1312">
        <v>30</v>
      </c>
      <c r="AL85" s="1312">
        <v>35</v>
      </c>
      <c r="AM85" s="1312">
        <v>85</v>
      </c>
      <c r="BP85">
        <v>295</v>
      </c>
      <c r="BQ85" t="s">
        <v>442</v>
      </c>
      <c r="BT85" s="164">
        <f>IF(MAX(BU85:BU1164)&lt;ROW(9:9),"",VLOOKUP(ROW(9:9),BU85:BV1164,2))</f>
        <v>107.5</v>
      </c>
      <c r="BU85" s="165" t="str">
        <f>IF(COUNTIF(BV$76:BV85,BV85)=1,MAX(BU$76:BU84)+1,"")</f>
        <v/>
      </c>
      <c r="BV85" s="1312">
        <v>85</v>
      </c>
      <c r="BW85" s="1312">
        <v>240</v>
      </c>
      <c r="BX85" s="1312">
        <v>140</v>
      </c>
      <c r="BY85">
        <v>115</v>
      </c>
      <c r="BZ85" s="1312" t="s">
        <v>1311</v>
      </c>
      <c r="CA85" s="1352"/>
      <c r="CD85" s="1312">
        <v>355</v>
      </c>
      <c r="CE85" s="1312">
        <v>295</v>
      </c>
      <c r="CF85" s="254">
        <v>517</v>
      </c>
      <c r="CG85" s="1312">
        <v>450</v>
      </c>
      <c r="CH85" s="254">
        <v>470</v>
      </c>
      <c r="CI85">
        <v>400</v>
      </c>
      <c r="CJ85" s="1312" t="s">
        <v>1098</v>
      </c>
      <c r="CK85" s="1352"/>
      <c r="CM85" s="1351"/>
      <c r="CN85" s="1312"/>
      <c r="CO85" s="1312"/>
      <c r="CP85" s="1312"/>
      <c r="CQ85" s="1312"/>
      <c r="CR85" s="1352"/>
      <c r="CS85" s="1352"/>
      <c r="CT85"/>
      <c r="CU85"/>
    </row>
    <row r="86" spans="1:99" x14ac:dyDescent="0.3">
      <c r="A86" s="1312">
        <v>84</v>
      </c>
      <c r="B86" s="254"/>
      <c r="C86" s="1312"/>
      <c r="D86" s="1312"/>
      <c r="E86" s="1312"/>
      <c r="F86" s="1312"/>
      <c r="G86" s="1312">
        <v>795</v>
      </c>
      <c r="H86" s="1312">
        <v>5</v>
      </c>
      <c r="I86" s="1312">
        <v>640</v>
      </c>
      <c r="J86" s="1312"/>
      <c r="K86" s="1312"/>
      <c r="L86" s="1312"/>
      <c r="M86" s="1312" t="s">
        <v>1187</v>
      </c>
      <c r="N86" s="254"/>
      <c r="O86" s="1641"/>
      <c r="P86"/>
      <c r="S86" s="1312">
        <v>85</v>
      </c>
      <c r="T86" s="1312" t="s">
        <v>1245</v>
      </c>
      <c r="U86" s="1312">
        <v>780</v>
      </c>
      <c r="V86" s="1312">
        <v>980</v>
      </c>
      <c r="W86" s="1350">
        <v>80</v>
      </c>
      <c r="X86" s="1312"/>
      <c r="AD86" s="1312">
        <v>99</v>
      </c>
      <c r="AE86" s="1312">
        <v>1150</v>
      </c>
      <c r="AF86" s="1312">
        <v>300</v>
      </c>
      <c r="AG86" s="1312">
        <v>850</v>
      </c>
      <c r="AH86" s="1312">
        <v>185</v>
      </c>
      <c r="AI86" s="1312">
        <v>195</v>
      </c>
      <c r="AJ86" s="1312">
        <v>250</v>
      </c>
      <c r="AK86" s="1312">
        <v>110</v>
      </c>
      <c r="AL86" s="1312">
        <v>120</v>
      </c>
      <c r="AM86" s="1312">
        <v>220</v>
      </c>
      <c r="AN86" s="1350" t="s">
        <v>1152</v>
      </c>
      <c r="BP86">
        <v>297.5</v>
      </c>
      <c r="BQ86" t="s">
        <v>443</v>
      </c>
      <c r="BT86" s="164">
        <f>IF(MAX(BU86:BU1165)&lt;ROW(10:10),"",VLOOKUP(ROW(10:10),BU86:BV1165,2))</f>
        <v>110</v>
      </c>
      <c r="BU86" s="165" t="str">
        <f>IF(COUNTIF(BV$76:BV86,BV86)=1,MAX(BU$76:BU85)+1,"")</f>
        <v/>
      </c>
      <c r="BV86" s="1312">
        <v>85</v>
      </c>
      <c r="BW86" s="1312">
        <v>245</v>
      </c>
      <c r="BX86" s="1312">
        <v>140</v>
      </c>
      <c r="BY86">
        <v>115</v>
      </c>
      <c r="BZ86" s="1312" t="s">
        <v>1311</v>
      </c>
      <c r="CA86" s="1352"/>
      <c r="CD86" s="1312">
        <v>324</v>
      </c>
      <c r="CE86" s="1312">
        <v>295</v>
      </c>
      <c r="CF86" s="254">
        <v>320</v>
      </c>
      <c r="CG86" s="1312">
        <v>195</v>
      </c>
      <c r="CH86" s="254">
        <v>415</v>
      </c>
      <c r="CI86">
        <v>450</v>
      </c>
      <c r="CJ86" s="1312">
        <v>7249282</v>
      </c>
      <c r="CK86" s="1352"/>
      <c r="CM86" s="1351"/>
      <c r="CN86" s="1312"/>
      <c r="CO86" s="1312"/>
      <c r="CP86" s="1312"/>
      <c r="CQ86" s="1312"/>
      <c r="CR86" s="1352"/>
      <c r="CS86" s="1352"/>
      <c r="CT86"/>
      <c r="CU86"/>
    </row>
    <row r="87" spans="1:99" x14ac:dyDescent="0.3">
      <c r="A87" s="1312">
        <v>86</v>
      </c>
      <c r="B87" s="254"/>
      <c r="C87" s="1312"/>
      <c r="D87" s="1312"/>
      <c r="E87" s="1312"/>
      <c r="F87" s="1312"/>
      <c r="G87" s="1312">
        <v>800</v>
      </c>
      <c r="H87" s="1312">
        <v>4</v>
      </c>
      <c r="I87" s="1312">
        <v>220</v>
      </c>
      <c r="J87" s="1312">
        <v>865</v>
      </c>
      <c r="K87" s="1312">
        <v>895</v>
      </c>
      <c r="L87" s="1312">
        <v>180</v>
      </c>
      <c r="M87" s="1312"/>
      <c r="N87" s="254"/>
      <c r="O87" s="1641"/>
      <c r="P87"/>
      <c r="S87" s="1312">
        <v>86</v>
      </c>
      <c r="T87" s="1312"/>
      <c r="U87" s="1312">
        <v>780</v>
      </c>
      <c r="V87" s="1312">
        <v>700</v>
      </c>
      <c r="W87" s="1350">
        <v>80</v>
      </c>
      <c r="X87" s="1312"/>
      <c r="AD87" s="1312">
        <v>106</v>
      </c>
      <c r="AE87" s="1312">
        <v>1005</v>
      </c>
      <c r="AF87" s="1312">
        <v>150</v>
      </c>
      <c r="AG87" s="1312">
        <v>855</v>
      </c>
      <c r="AH87" s="1312">
        <v>280</v>
      </c>
      <c r="AI87" s="1312">
        <v>290</v>
      </c>
      <c r="AJ87" s="1312">
        <v>330</v>
      </c>
      <c r="AK87" s="1312">
        <v>33</v>
      </c>
      <c r="AL87" s="1312">
        <v>45</v>
      </c>
      <c r="AM87" s="1312">
        <v>110</v>
      </c>
      <c r="BP87">
        <v>300</v>
      </c>
      <c r="BQ87" t="s">
        <v>444</v>
      </c>
      <c r="BT87" s="164">
        <f>IF(MAX(BU87:BU1166)&lt;ROW(11:11),"",VLOOKUP(ROW(11:11),BU87:BV1166,2))</f>
        <v>112.5</v>
      </c>
      <c r="BU87" s="165">
        <f>IF(COUNTIF(BV$76:BV87,BV87)=1,MAX(BU$76:BU86)+1,"")</f>
        <v>2</v>
      </c>
      <c r="BV87" s="1312">
        <v>87.5</v>
      </c>
      <c r="BW87" s="1312">
        <v>245</v>
      </c>
      <c r="BX87" s="1312">
        <v>140</v>
      </c>
      <c r="BY87">
        <v>115</v>
      </c>
      <c r="BZ87" s="1312" t="s">
        <v>1312</v>
      </c>
      <c r="CA87" s="1352"/>
      <c r="CD87" s="1312">
        <v>320</v>
      </c>
      <c r="CE87" s="1312">
        <v>295</v>
      </c>
      <c r="CF87" s="254">
        <v>320</v>
      </c>
      <c r="CG87" s="1312">
        <v>190</v>
      </c>
      <c r="CH87" s="254">
        <v>415</v>
      </c>
      <c r="CI87">
        <v>450</v>
      </c>
      <c r="CJ87" s="1312">
        <v>7249282</v>
      </c>
      <c r="CK87" s="1352"/>
      <c r="CM87" s="1351"/>
      <c r="CN87" s="1312"/>
      <c r="CO87" s="1312"/>
      <c r="CP87" s="1312"/>
      <c r="CQ87" s="1312"/>
      <c r="CR87" s="1352"/>
      <c r="CS87" s="1352"/>
      <c r="CT87"/>
      <c r="CU87"/>
    </row>
    <row r="88" spans="1:99" x14ac:dyDescent="0.3">
      <c r="A88" s="1312">
        <v>87</v>
      </c>
      <c r="B88" s="254"/>
      <c r="C88" s="1312"/>
      <c r="D88" s="1312"/>
      <c r="E88" s="1312"/>
      <c r="F88" s="1312"/>
      <c r="G88" s="1312">
        <v>805</v>
      </c>
      <c r="H88" s="1312">
        <v>12</v>
      </c>
      <c r="I88" s="1312">
        <v>520</v>
      </c>
      <c r="J88" s="1312"/>
      <c r="K88" s="1312"/>
      <c r="L88" s="1312"/>
      <c r="M88" s="1312" t="s">
        <v>1188</v>
      </c>
      <c r="N88" s="254"/>
      <c r="O88" s="1641"/>
      <c r="P88"/>
      <c r="S88" s="1312">
        <v>87</v>
      </c>
      <c r="T88" s="1312"/>
      <c r="U88" s="1312">
        <v>785</v>
      </c>
      <c r="V88" s="1312">
        <v>390</v>
      </c>
      <c r="W88" s="1350">
        <v>80</v>
      </c>
      <c r="X88" s="1312"/>
      <c r="AD88" s="1312">
        <v>110</v>
      </c>
      <c r="AE88" s="1312">
        <v>1030</v>
      </c>
      <c r="AF88" s="1312">
        <v>170</v>
      </c>
      <c r="AG88" s="1312">
        <v>860</v>
      </c>
      <c r="AH88" s="1312">
        <v>143</v>
      </c>
      <c r="AI88" s="1312">
        <v>163</v>
      </c>
      <c r="AJ88" s="1312">
        <v>200</v>
      </c>
      <c r="AK88" s="1312">
        <v>37</v>
      </c>
      <c r="AL88" s="1312">
        <v>57</v>
      </c>
      <c r="AM88" s="1312">
        <v>130</v>
      </c>
      <c r="BP88">
        <v>302.5</v>
      </c>
      <c r="BQ88" t="s">
        <v>448</v>
      </c>
      <c r="BT88" s="164">
        <f>IF(MAX(BU88:BU1167)&lt;ROW(12:12),"",VLOOKUP(ROW(12:12),BU88:BV1167,2))</f>
        <v>115</v>
      </c>
      <c r="BU88" s="165" t="str">
        <f>IF(COUNTIF(BV$76:BV88,BV88)=1,MAX(BU$76:BU87)+1,"")</f>
        <v/>
      </c>
      <c r="BV88" s="1312">
        <v>87.5</v>
      </c>
      <c r="BW88" s="1312">
        <v>245</v>
      </c>
      <c r="BX88" s="1312">
        <v>140</v>
      </c>
      <c r="BY88">
        <v>115</v>
      </c>
      <c r="BZ88" s="1312" t="s">
        <v>1312</v>
      </c>
      <c r="CA88" s="1352"/>
      <c r="CD88" s="1312">
        <v>380</v>
      </c>
      <c r="CE88" s="1312">
        <v>312.5</v>
      </c>
      <c r="CF88" s="254">
        <v>420</v>
      </c>
      <c r="CG88" s="1312">
        <v>325</v>
      </c>
      <c r="CH88" s="254">
        <v>470</v>
      </c>
      <c r="CI88">
        <v>400</v>
      </c>
      <c r="CJ88" s="1312">
        <v>10249696</v>
      </c>
      <c r="CK88" s="1352"/>
      <c r="CM88" s="1351"/>
      <c r="CN88" s="1312"/>
      <c r="CO88" s="1312"/>
      <c r="CP88" s="1312"/>
      <c r="CQ88" s="1312"/>
      <c r="CR88" s="1352"/>
      <c r="CS88" s="1352"/>
      <c r="CT88"/>
      <c r="CU88"/>
    </row>
    <row r="89" spans="1:99" x14ac:dyDescent="0.3">
      <c r="A89" s="1312">
        <v>88</v>
      </c>
      <c r="B89" s="254"/>
      <c r="C89" s="1312" t="s">
        <v>1237</v>
      </c>
      <c r="D89" s="1312"/>
      <c r="E89" s="1312"/>
      <c r="F89" s="1312"/>
      <c r="G89" s="1312">
        <v>825</v>
      </c>
      <c r="H89" s="1312">
        <v>3.5</v>
      </c>
      <c r="I89" s="1312">
        <v>225</v>
      </c>
      <c r="J89" s="1312">
        <v>832</v>
      </c>
      <c r="K89" s="1312">
        <v>885</v>
      </c>
      <c r="L89" s="1312">
        <v>120</v>
      </c>
      <c r="M89" s="1312" t="s">
        <v>1238</v>
      </c>
      <c r="N89" s="254"/>
      <c r="O89" s="1641"/>
      <c r="P89"/>
      <c r="S89" s="1312">
        <v>88</v>
      </c>
      <c r="T89" s="1312" t="s">
        <v>1263</v>
      </c>
      <c r="U89" s="1312">
        <v>790</v>
      </c>
      <c r="V89" s="1312">
        <v>890</v>
      </c>
      <c r="W89" s="1350">
        <v>80</v>
      </c>
      <c r="X89" s="1312"/>
      <c r="AD89" s="1312">
        <v>82</v>
      </c>
      <c r="AE89" s="1312">
        <v>1020</v>
      </c>
      <c r="AF89" s="1312">
        <v>160</v>
      </c>
      <c r="AG89" s="1312">
        <v>860</v>
      </c>
      <c r="AH89" s="1312">
        <v>330</v>
      </c>
      <c r="AI89" s="1312">
        <v>345</v>
      </c>
      <c r="AJ89" s="1312">
        <v>375</v>
      </c>
      <c r="AK89" s="1312">
        <v>34</v>
      </c>
      <c r="AL89" s="1312">
        <v>45</v>
      </c>
      <c r="AM89" s="1312">
        <v>105</v>
      </c>
      <c r="AQ89" t="s">
        <v>2</v>
      </c>
      <c r="AR89" t="s">
        <v>1041</v>
      </c>
      <c r="AS89" t="s">
        <v>1042</v>
      </c>
      <c r="AT89" t="s">
        <v>1043</v>
      </c>
      <c r="AU89" t="s">
        <v>623</v>
      </c>
      <c r="AV89" t="s">
        <v>748</v>
      </c>
      <c r="AW89" t="s">
        <v>749</v>
      </c>
      <c r="AX89" t="s">
        <v>750</v>
      </c>
      <c r="AY89" t="s">
        <v>1044</v>
      </c>
      <c r="BP89">
        <v>305</v>
      </c>
      <c r="BQ89" t="s">
        <v>449</v>
      </c>
      <c r="BT89" s="164">
        <f>IF(MAX(BU89:BU1168)&lt;ROW(13:13),"",VLOOKUP(ROW(13:13),BU89:BV1168,2))</f>
        <v>117.5</v>
      </c>
      <c r="BU89" s="165" t="str">
        <f>IF(COUNTIF(BV$76:BV89,BV89)=1,MAX(BU$76:BU88)+1,"")</f>
        <v/>
      </c>
      <c r="BV89" s="1312">
        <v>87.5</v>
      </c>
      <c r="BW89" s="1312">
        <v>245</v>
      </c>
      <c r="BX89" s="1312">
        <v>140</v>
      </c>
      <c r="BY89">
        <v>115</v>
      </c>
      <c r="BZ89" s="1312" t="s">
        <v>1312</v>
      </c>
      <c r="CA89" s="1352"/>
      <c r="CD89" s="1312">
        <v>382</v>
      </c>
      <c r="CE89" s="1312">
        <v>312.5</v>
      </c>
      <c r="CF89" s="254">
        <v>420</v>
      </c>
      <c r="CG89" s="1312">
        <v>330</v>
      </c>
      <c r="CH89" s="254">
        <v>470</v>
      </c>
      <c r="CI89">
        <v>400</v>
      </c>
      <c r="CJ89" s="1312">
        <v>10249696</v>
      </c>
      <c r="CK89" s="1352"/>
      <c r="CM89" s="1351"/>
      <c r="CN89" s="1312"/>
      <c r="CO89" s="1312"/>
      <c r="CP89" s="1312"/>
      <c r="CQ89" s="1312"/>
      <c r="CR89" s="1352"/>
      <c r="CS89" s="1352"/>
      <c r="CT89"/>
      <c r="CU89"/>
    </row>
    <row r="90" spans="1:99" x14ac:dyDescent="0.3">
      <c r="A90" s="1312">
        <v>89</v>
      </c>
      <c r="B90" s="254"/>
      <c r="C90" s="1312"/>
      <c r="D90" s="1312"/>
      <c r="E90" s="1312"/>
      <c r="F90" s="1312"/>
      <c r="G90" s="1312">
        <v>825</v>
      </c>
      <c r="H90" s="1312">
        <v>7.5</v>
      </c>
      <c r="I90" s="1312">
        <v>490</v>
      </c>
      <c r="J90" s="1312">
        <v>880</v>
      </c>
      <c r="K90" s="1312">
        <v>900</v>
      </c>
      <c r="L90" s="1312">
        <v>100</v>
      </c>
      <c r="M90" s="1312"/>
      <c r="N90" s="254"/>
      <c r="O90" s="1641"/>
      <c r="P90"/>
      <c r="S90" s="1312">
        <v>89</v>
      </c>
      <c r="T90" s="1312"/>
      <c r="U90" s="1312">
        <v>790</v>
      </c>
      <c r="V90" s="1312">
        <v>520</v>
      </c>
      <c r="W90" s="1350">
        <v>80</v>
      </c>
      <c r="X90" s="1312"/>
      <c r="AD90" s="1312">
        <v>137</v>
      </c>
      <c r="AE90" s="1312">
        <v>1035</v>
      </c>
      <c r="AF90" s="1312">
        <v>175</v>
      </c>
      <c r="AG90" s="1312">
        <v>860</v>
      </c>
      <c r="AH90" s="1312">
        <v>395</v>
      </c>
      <c r="AI90" s="1312">
        <v>405</v>
      </c>
      <c r="AJ90" s="1312">
        <v>445</v>
      </c>
      <c r="AK90" s="1312">
        <v>70</v>
      </c>
      <c r="AL90" s="1312">
        <v>80</v>
      </c>
      <c r="AM90" s="1312">
        <v>150</v>
      </c>
      <c r="AN90" s="1350" t="s">
        <v>1153</v>
      </c>
      <c r="AQ90" s="254" t="s">
        <v>2133</v>
      </c>
      <c r="AR90" s="1312">
        <v>760</v>
      </c>
      <c r="AS90" s="1312">
        <v>545</v>
      </c>
      <c r="AT90" s="1312">
        <v>60</v>
      </c>
      <c r="AU90" s="1312"/>
      <c r="AV90" s="1312"/>
      <c r="AW90" s="1312"/>
      <c r="AX90" s="1312"/>
      <c r="AY90" s="254"/>
      <c r="BP90">
        <v>307.5</v>
      </c>
      <c r="BQ90" t="s">
        <v>450</v>
      </c>
      <c r="BT90" s="164">
        <f>IF(MAX(BU90:BU1169)&lt;ROW(14:14),"",VLOOKUP(ROW(14:14),BU90:BV1169,2))</f>
        <v>120</v>
      </c>
      <c r="BU90" s="165">
        <f>IF(COUNTIF(BV$76:BV90,BV90)=1,MAX(BU$76:BU89)+1,"")</f>
        <v>3</v>
      </c>
      <c r="BV90" s="1312">
        <v>90</v>
      </c>
      <c r="BW90" s="1312">
        <v>240</v>
      </c>
      <c r="BX90" s="1312">
        <v>140</v>
      </c>
      <c r="BY90">
        <v>115</v>
      </c>
      <c r="BZ90" s="1312" t="s">
        <v>1313</v>
      </c>
      <c r="CA90" s="1352"/>
      <c r="CD90" s="1312">
        <v>375</v>
      </c>
      <c r="CE90" s="1312">
        <v>315</v>
      </c>
      <c r="CF90" s="254">
        <v>420</v>
      </c>
      <c r="CG90" s="1312">
        <v>350</v>
      </c>
      <c r="CH90" s="254"/>
      <c r="CI90">
        <v>450</v>
      </c>
      <c r="CJ90" s="1312" t="s">
        <v>1099</v>
      </c>
      <c r="CK90" s="1352"/>
      <c r="CM90" s="1351"/>
      <c r="CN90" s="1312"/>
      <c r="CO90" s="1312"/>
      <c r="CP90" s="1312"/>
      <c r="CQ90" s="1312"/>
      <c r="CR90" s="1352"/>
      <c r="CS90" s="1352"/>
      <c r="CT90"/>
      <c r="CU90"/>
    </row>
    <row r="91" spans="1:99" x14ac:dyDescent="0.3">
      <c r="A91" s="1312">
        <v>90</v>
      </c>
      <c r="B91" s="254"/>
      <c r="C91" s="1312" t="s">
        <v>1239</v>
      </c>
      <c r="D91" s="1312"/>
      <c r="E91" s="1312"/>
      <c r="F91" s="1312"/>
      <c r="G91" s="1312">
        <v>825</v>
      </c>
      <c r="H91" s="1312">
        <v>7.5</v>
      </c>
      <c r="I91" s="1312">
        <v>720</v>
      </c>
      <c r="J91" s="1312">
        <v>880</v>
      </c>
      <c r="K91" s="1312">
        <v>900</v>
      </c>
      <c r="L91" s="1312">
        <v>115</v>
      </c>
      <c r="M91" s="1312"/>
      <c r="N91" s="254"/>
      <c r="O91" s="1641"/>
      <c r="P91"/>
      <c r="S91" s="1312">
        <v>90</v>
      </c>
      <c r="T91" s="1312" t="s">
        <v>1688</v>
      </c>
      <c r="U91" s="1312">
        <v>800</v>
      </c>
      <c r="V91" s="1312">
        <v>620</v>
      </c>
      <c r="W91" s="1350">
        <v>80</v>
      </c>
      <c r="X91" s="1312"/>
      <c r="AD91" s="1312">
        <v>93</v>
      </c>
      <c r="AE91" s="1312">
        <v>1030</v>
      </c>
      <c r="AF91" s="1312">
        <v>165</v>
      </c>
      <c r="AG91" s="1312">
        <v>865</v>
      </c>
      <c r="AH91" s="1312">
        <v>240</v>
      </c>
      <c r="AI91" s="1312">
        <v>256</v>
      </c>
      <c r="AJ91" s="1312">
        <v>295</v>
      </c>
      <c r="AK91" s="1312">
        <v>38</v>
      </c>
      <c r="AL91" s="1312">
        <v>48</v>
      </c>
      <c r="AM91" s="1312">
        <v>120</v>
      </c>
      <c r="AQ91" s="254" t="s">
        <v>2134</v>
      </c>
      <c r="AR91" s="1312">
        <v>790</v>
      </c>
      <c r="AS91" s="1312">
        <v>450</v>
      </c>
      <c r="AT91" s="1312">
        <v>90</v>
      </c>
      <c r="AU91" s="1312"/>
      <c r="AV91" s="1312"/>
      <c r="AW91" s="1312"/>
      <c r="AX91" s="1312"/>
      <c r="AY91" s="254" t="s">
        <v>1309</v>
      </c>
      <c r="BP91">
        <v>310</v>
      </c>
      <c r="BQ91" t="s">
        <v>451</v>
      </c>
      <c r="BT91" s="164">
        <f>IF(MAX(BU91:BU1170)&lt;ROW(15:15),"",VLOOKUP(ROW(15:15),BU91:BV1170,2))</f>
        <v>122.5</v>
      </c>
      <c r="BU91" s="165" t="str">
        <f>IF(COUNTIF(BV$76:BV91,BV91)=1,MAX(BU$76:BU90)+1,"")</f>
        <v/>
      </c>
      <c r="BV91" s="1312">
        <v>90</v>
      </c>
      <c r="BW91" s="1312">
        <v>243</v>
      </c>
      <c r="BX91" s="1312">
        <v>140</v>
      </c>
      <c r="BY91">
        <v>115</v>
      </c>
      <c r="BZ91" s="1312" t="s">
        <v>1313</v>
      </c>
      <c r="CA91" s="1352"/>
      <c r="CD91" s="1312">
        <v>435</v>
      </c>
      <c r="CE91" s="1312">
        <v>315</v>
      </c>
      <c r="CF91" s="254">
        <v>495</v>
      </c>
      <c r="CG91" s="1312">
        <v>430</v>
      </c>
      <c r="CH91" s="254">
        <v>470</v>
      </c>
      <c r="CI91">
        <v>400</v>
      </c>
      <c r="CJ91" s="1312">
        <v>10255800</v>
      </c>
      <c r="CK91" s="1352"/>
      <c r="CM91" s="1351"/>
      <c r="CN91" s="1312"/>
      <c r="CO91" s="1312"/>
      <c r="CP91" s="1312"/>
      <c r="CQ91" s="1312"/>
      <c r="CR91" s="1352"/>
      <c r="CS91" s="1352"/>
      <c r="CT91"/>
      <c r="CU91"/>
    </row>
    <row r="92" spans="1:99" x14ac:dyDescent="0.3">
      <c r="A92" s="1312">
        <v>91</v>
      </c>
      <c r="B92" s="254"/>
      <c r="C92" s="1312"/>
      <c r="D92" s="1312"/>
      <c r="E92" s="1312"/>
      <c r="F92" s="1312"/>
      <c r="G92" s="1312">
        <v>830</v>
      </c>
      <c r="H92" s="1312">
        <v>7</v>
      </c>
      <c r="I92" s="1312">
        <v>680</v>
      </c>
      <c r="J92" s="1312">
        <v>885</v>
      </c>
      <c r="K92" s="1312">
        <v>910</v>
      </c>
      <c r="L92" s="1312">
        <v>160</v>
      </c>
      <c r="M92" s="1312"/>
      <c r="N92" s="254"/>
      <c r="O92" s="1641"/>
      <c r="P92"/>
      <c r="S92" s="1312">
        <v>91</v>
      </c>
      <c r="T92" s="1312" t="s">
        <v>1689</v>
      </c>
      <c r="U92" s="1312">
        <v>820</v>
      </c>
      <c r="V92" s="1312">
        <v>1200</v>
      </c>
      <c r="W92" s="1350">
        <v>100</v>
      </c>
      <c r="X92" s="1312" t="s">
        <v>1690</v>
      </c>
      <c r="AD92" s="1312">
        <v>73</v>
      </c>
      <c r="AE92" s="1312">
        <v>1065</v>
      </c>
      <c r="AF92" s="1312">
        <v>200</v>
      </c>
      <c r="AG92" s="1312">
        <v>865</v>
      </c>
      <c r="AH92" s="1312">
        <v>425</v>
      </c>
      <c r="AI92" s="1312">
        <v>435</v>
      </c>
      <c r="AJ92" s="1312">
        <v>490</v>
      </c>
      <c r="AK92" s="1312">
        <v>49</v>
      </c>
      <c r="AL92" s="1312">
        <v>54</v>
      </c>
      <c r="AM92" s="1312">
        <v>130</v>
      </c>
      <c r="AQ92" s="254" t="s">
        <v>1299</v>
      </c>
      <c r="AR92" s="1312">
        <v>800</v>
      </c>
      <c r="AS92" s="1312">
        <v>535</v>
      </c>
      <c r="AT92" s="1312">
        <v>65</v>
      </c>
      <c r="AU92" s="1312"/>
      <c r="AV92" s="1312"/>
      <c r="AW92" s="1312"/>
      <c r="AX92" s="1312"/>
      <c r="AY92" s="254" t="s">
        <v>1300</v>
      </c>
      <c r="BP92">
        <v>312.5</v>
      </c>
      <c r="BQ92" t="s">
        <v>452</v>
      </c>
      <c r="BT92" s="164">
        <f>IF(MAX(BU92:BU1171)&lt;ROW(16:16),"",VLOOKUP(ROW(16:16),BU92:BV1171,2))</f>
        <v>125</v>
      </c>
      <c r="BU92" s="165" t="str">
        <f>IF(COUNTIF(BV$76:BV92,BV92)=1,MAX(BU$76:BU91)+1,"")</f>
        <v/>
      </c>
      <c r="BV92" s="1312">
        <v>90</v>
      </c>
      <c r="BW92" s="1312">
        <v>245</v>
      </c>
      <c r="BX92" s="1312">
        <v>140</v>
      </c>
      <c r="BY92">
        <v>115</v>
      </c>
      <c r="BZ92" s="1312" t="s">
        <v>1313</v>
      </c>
      <c r="CA92" s="1352"/>
      <c r="CD92" s="1312">
        <v>340</v>
      </c>
      <c r="CE92" s="1312">
        <v>317.5</v>
      </c>
      <c r="CF92" s="254">
        <v>425</v>
      </c>
      <c r="CG92" s="1312">
        <v>360</v>
      </c>
      <c r="CH92" s="254">
        <v>415</v>
      </c>
      <c r="CI92">
        <v>400</v>
      </c>
      <c r="CJ92" s="1312">
        <v>10241656</v>
      </c>
      <c r="CK92" s="1352"/>
      <c r="CM92" s="1351"/>
      <c r="CN92" s="1312"/>
      <c r="CO92" s="1312"/>
      <c r="CP92" s="1312"/>
      <c r="CQ92" s="1312"/>
      <c r="CR92" s="1352"/>
      <c r="CS92" s="1352"/>
      <c r="CT92"/>
      <c r="CU92"/>
    </row>
    <row r="93" spans="1:99" x14ac:dyDescent="0.3">
      <c r="A93" s="1312">
        <v>92</v>
      </c>
      <c r="B93" s="254"/>
      <c r="C93" s="1312" t="s">
        <v>1240</v>
      </c>
      <c r="D93" s="1312"/>
      <c r="E93" s="1312"/>
      <c r="F93" s="1312"/>
      <c r="G93" s="1312">
        <v>835</v>
      </c>
      <c r="H93" s="1312">
        <v>5</v>
      </c>
      <c r="I93" s="1312">
        <v>640</v>
      </c>
      <c r="J93" s="1312">
        <v>865</v>
      </c>
      <c r="K93" s="1312">
        <v>890</v>
      </c>
      <c r="L93" s="1312">
        <v>120</v>
      </c>
      <c r="M93" s="1312"/>
      <c r="N93" s="254"/>
      <c r="O93" s="1641"/>
      <c r="P93" t="s">
        <v>1811</v>
      </c>
      <c r="S93" s="1312">
        <v>92</v>
      </c>
      <c r="T93" s="1312" t="s">
        <v>1691</v>
      </c>
      <c r="U93" s="1312">
        <v>845</v>
      </c>
      <c r="V93" s="1312">
        <v>620</v>
      </c>
      <c r="W93" s="1350">
        <v>80</v>
      </c>
      <c r="X93" s="1312"/>
      <c r="AD93" s="1312">
        <v>69</v>
      </c>
      <c r="AE93" s="1312">
        <v>1000</v>
      </c>
      <c r="AF93" s="1312">
        <v>130</v>
      </c>
      <c r="AG93" s="1312">
        <v>870</v>
      </c>
      <c r="AH93" s="1312">
        <v>283</v>
      </c>
      <c r="AI93" s="1312">
        <v>305</v>
      </c>
      <c r="AJ93" s="1312">
        <v>330</v>
      </c>
      <c r="AK93" s="1312">
        <v>27</v>
      </c>
      <c r="AL93" s="1312">
        <v>40</v>
      </c>
      <c r="AM93" s="1312">
        <v>100</v>
      </c>
      <c r="AQ93" s="254" t="s">
        <v>2135</v>
      </c>
      <c r="AR93" s="1312">
        <v>800</v>
      </c>
      <c r="AS93" s="1312">
        <v>670</v>
      </c>
      <c r="AT93" s="1312">
        <v>70</v>
      </c>
      <c r="AU93" s="1312"/>
      <c r="AV93" s="1312"/>
      <c r="AW93" s="1312"/>
      <c r="AX93" s="1312"/>
      <c r="AY93" s="254" t="s">
        <v>1310</v>
      </c>
      <c r="BP93">
        <v>315</v>
      </c>
      <c r="BQ93" t="s">
        <v>453</v>
      </c>
      <c r="BT93" s="164">
        <f>IF(MAX(BU93:BU1172)&lt;ROW(17:17),"",VLOOKUP(ROW(17:17),BU93:BV1172,2))</f>
        <v>127.5</v>
      </c>
      <c r="BU93" s="165" t="str">
        <f>IF(COUNTIF(BV$76:BV93,BV93)=1,MAX(BU$76:BU92)+1,"")</f>
        <v/>
      </c>
      <c r="BV93" s="1312">
        <v>90</v>
      </c>
      <c r="BW93" s="1312">
        <v>245</v>
      </c>
      <c r="BX93" s="1312">
        <v>140</v>
      </c>
      <c r="BY93">
        <v>115</v>
      </c>
      <c r="BZ93" s="1312" t="s">
        <v>1313</v>
      </c>
      <c r="CA93" s="1352"/>
      <c r="CD93" s="1312">
        <v>355</v>
      </c>
      <c r="CE93" s="1312">
        <v>320</v>
      </c>
      <c r="CF93" s="254">
        <v>395</v>
      </c>
      <c r="CG93" s="1312">
        <v>325</v>
      </c>
      <c r="CH93" s="254">
        <v>415</v>
      </c>
      <c r="CI93">
        <v>400</v>
      </c>
      <c r="CJ93" s="1312">
        <v>7242409</v>
      </c>
      <c r="CK93" s="1352"/>
      <c r="CM93" s="1351"/>
      <c r="CN93" s="1312"/>
      <c r="CO93" s="1312"/>
      <c r="CP93" s="1312"/>
      <c r="CQ93" s="1312"/>
      <c r="CR93" s="1352"/>
      <c r="CS93" s="1352"/>
      <c r="CT93"/>
      <c r="CU93"/>
    </row>
    <row r="94" spans="1:99" x14ac:dyDescent="0.3">
      <c r="A94" s="1312">
        <v>93</v>
      </c>
      <c r="B94" s="254"/>
      <c r="C94" s="1312"/>
      <c r="D94" s="1312"/>
      <c r="E94" s="1312"/>
      <c r="F94" s="1312"/>
      <c r="G94" s="1312">
        <v>840</v>
      </c>
      <c r="H94" s="1312">
        <v>25</v>
      </c>
      <c r="I94" s="1312">
        <v>870</v>
      </c>
      <c r="J94" s="1312">
        <v>945</v>
      </c>
      <c r="K94" s="1312">
        <v>975</v>
      </c>
      <c r="L94" s="1312">
        <v>210</v>
      </c>
      <c r="M94" s="1312" t="s">
        <v>1189</v>
      </c>
      <c r="N94" s="254"/>
      <c r="O94" s="1641"/>
      <c r="P94"/>
      <c r="S94" s="1312">
        <v>93</v>
      </c>
      <c r="T94" s="1312" t="s">
        <v>1247</v>
      </c>
      <c r="U94" s="1312">
        <v>860</v>
      </c>
      <c r="V94" s="1312">
        <v>910</v>
      </c>
      <c r="W94" s="1350">
        <v>80</v>
      </c>
      <c r="X94" s="1312"/>
      <c r="AD94" s="1312">
        <v>42</v>
      </c>
      <c r="AE94" s="1312">
        <v>995</v>
      </c>
      <c r="AF94" s="1312">
        <v>120</v>
      </c>
      <c r="AG94" s="1312">
        <v>875</v>
      </c>
      <c r="AH94" s="1312">
        <v>310</v>
      </c>
      <c r="AI94" s="1312">
        <v>330</v>
      </c>
      <c r="AJ94" s="1312">
        <v>380</v>
      </c>
      <c r="AK94" s="1312">
        <v>30</v>
      </c>
      <c r="AL94" s="1312">
        <v>42</v>
      </c>
      <c r="AM94" s="1312">
        <v>90</v>
      </c>
      <c r="AQ94" s="254" t="s">
        <v>1050</v>
      </c>
      <c r="AR94" s="1312">
        <v>1010</v>
      </c>
      <c r="AS94" s="1312">
        <v>405</v>
      </c>
      <c r="AT94" s="1312">
        <v>100</v>
      </c>
      <c r="AU94" s="1312">
        <v>295</v>
      </c>
      <c r="AV94" s="1312">
        <v>590</v>
      </c>
      <c r="AW94" s="1312">
        <v>890</v>
      </c>
      <c r="AX94" s="1312">
        <v>926</v>
      </c>
      <c r="AY94" s="254"/>
      <c r="BP94">
        <v>317.5</v>
      </c>
      <c r="BQ94" t="s">
        <v>454</v>
      </c>
      <c r="BT94" s="164">
        <f>IF(MAX(BU94:BU1173)&lt;ROW(18:18),"",VLOOKUP(ROW(18:18),BU94:BV1173,2))</f>
        <v>130</v>
      </c>
      <c r="BU94" s="165" t="str">
        <f>IF(COUNTIF(BV$76:BV94,BV94)=1,MAX(BU$76:BU93)+1,"")</f>
        <v/>
      </c>
      <c r="BV94" s="1312">
        <v>90</v>
      </c>
      <c r="BW94" s="1312">
        <v>243</v>
      </c>
      <c r="BX94" s="1312">
        <v>140</v>
      </c>
      <c r="BY94">
        <v>115</v>
      </c>
      <c r="BZ94" s="1312" t="s">
        <v>1313</v>
      </c>
      <c r="CA94" s="1352"/>
      <c r="CD94" s="1312">
        <v>352</v>
      </c>
      <c r="CE94" s="1312">
        <v>325</v>
      </c>
      <c r="CF94" s="254">
        <v>517</v>
      </c>
      <c r="CG94" s="1312">
        <v>465</v>
      </c>
      <c r="CH94" s="254">
        <v>470</v>
      </c>
      <c r="CI94">
        <v>400</v>
      </c>
      <c r="CJ94" s="1312" t="s">
        <v>1100</v>
      </c>
      <c r="CK94" s="1352"/>
      <c r="CM94" s="1351"/>
      <c r="CN94" s="1312"/>
      <c r="CO94" s="1312"/>
      <c r="CP94" s="1312"/>
      <c r="CQ94" s="1312"/>
      <c r="CR94" s="1352"/>
      <c r="CS94" s="1352"/>
      <c r="CT94"/>
      <c r="CU94"/>
    </row>
    <row r="95" spans="1:99" x14ac:dyDescent="0.3">
      <c r="A95" s="1312">
        <v>94</v>
      </c>
      <c r="B95" s="254"/>
      <c r="C95" s="1312" t="s">
        <v>1812</v>
      </c>
      <c r="D95" s="1312"/>
      <c r="E95" s="1312"/>
      <c r="F95" s="1312"/>
      <c r="G95" s="1312">
        <v>845</v>
      </c>
      <c r="H95" s="1312">
        <v>5</v>
      </c>
      <c r="I95" s="1312">
        <v>1000</v>
      </c>
      <c r="J95" s="1312">
        <v>895</v>
      </c>
      <c r="K95" s="1312">
        <v>915</v>
      </c>
      <c r="L95" s="1312">
        <v>120</v>
      </c>
      <c r="M95" s="1312"/>
      <c r="N95" s="254"/>
      <c r="O95" s="1641"/>
      <c r="P95" t="s">
        <v>1813</v>
      </c>
      <c r="S95" s="1312">
        <v>94</v>
      </c>
      <c r="T95" s="1312"/>
      <c r="U95" s="1312">
        <v>860</v>
      </c>
      <c r="V95" s="1312">
        <v>760</v>
      </c>
      <c r="W95" s="1350">
        <v>80</v>
      </c>
      <c r="X95" s="1312"/>
      <c r="AD95" s="1312">
        <v>57</v>
      </c>
      <c r="AE95" s="1312">
        <v>1050</v>
      </c>
      <c r="AF95" s="1312">
        <v>155</v>
      </c>
      <c r="AG95" s="1312">
        <v>895</v>
      </c>
      <c r="AH95" s="1312">
        <v>190</v>
      </c>
      <c r="AI95" s="1312">
        <v>200</v>
      </c>
      <c r="AJ95" s="1312">
        <v>240</v>
      </c>
      <c r="AK95" s="1312">
        <v>32</v>
      </c>
      <c r="AL95" s="1312">
        <v>45</v>
      </c>
      <c r="AM95" s="1312">
        <v>100</v>
      </c>
      <c r="AQ95" s="254" t="s">
        <v>1304</v>
      </c>
      <c r="AR95" s="1312">
        <v>1040</v>
      </c>
      <c r="AS95" s="1312">
        <v>775</v>
      </c>
      <c r="AT95" s="1312">
        <v>95</v>
      </c>
      <c r="AU95" s="1312">
        <v>124</v>
      </c>
      <c r="AV95" s="1312">
        <v>315</v>
      </c>
      <c r="AW95" s="1312">
        <v>515</v>
      </c>
      <c r="AX95" s="1312">
        <v>540</v>
      </c>
      <c r="AY95" s="254"/>
      <c r="BP95">
        <v>320</v>
      </c>
      <c r="BQ95" t="s">
        <v>455</v>
      </c>
      <c r="BT95" s="164">
        <f>IF(MAX(BU95:BU1174)&lt;ROW(19:19),"",VLOOKUP(ROW(19:19),BU95:BV1174,2))</f>
        <v>132.5</v>
      </c>
      <c r="BU95" s="165">
        <f>IF(COUNTIF(BV$76:BV95,BV95)=1,MAX(BU$76:BU94)+1,"")</f>
        <v>4</v>
      </c>
      <c r="BV95" s="1312">
        <v>92.5</v>
      </c>
      <c r="BW95" s="1312">
        <v>240</v>
      </c>
      <c r="BX95" s="1312">
        <v>140</v>
      </c>
      <c r="BY95">
        <v>115</v>
      </c>
      <c r="BZ95" s="1312" t="s">
        <v>1314</v>
      </c>
      <c r="CA95" s="1352"/>
      <c r="CD95" s="1312">
        <v>347</v>
      </c>
      <c r="CE95" s="1312">
        <v>327.5</v>
      </c>
      <c r="CF95" s="254">
        <v>520</v>
      </c>
      <c r="CG95" s="1312">
        <v>470</v>
      </c>
      <c r="CH95" s="254">
        <v>470</v>
      </c>
      <c r="CI95">
        <v>400</v>
      </c>
      <c r="CJ95" s="1312" t="s">
        <v>1100</v>
      </c>
      <c r="CK95" s="1352"/>
      <c r="CM95" s="1351"/>
      <c r="CN95" s="1312"/>
      <c r="CO95" s="1312"/>
      <c r="CP95" s="1312"/>
      <c r="CQ95" s="1312"/>
      <c r="CR95" s="1352"/>
      <c r="CS95" s="1352"/>
      <c r="CT95"/>
      <c r="CU95"/>
    </row>
    <row r="96" spans="1:99" x14ac:dyDescent="0.3">
      <c r="A96" s="1312">
        <v>95</v>
      </c>
      <c r="B96" s="254"/>
      <c r="C96" s="1312"/>
      <c r="D96" s="1312">
        <v>895</v>
      </c>
      <c r="E96" s="1312">
        <v>5</v>
      </c>
      <c r="F96" s="1312">
        <v>180</v>
      </c>
      <c r="G96" s="1312">
        <v>855</v>
      </c>
      <c r="H96" s="1312">
        <v>2.5</v>
      </c>
      <c r="I96" s="1312">
        <v>380</v>
      </c>
      <c r="J96" s="1312">
        <v>950</v>
      </c>
      <c r="K96" s="1312">
        <v>985</v>
      </c>
      <c r="L96" s="1312">
        <v>200</v>
      </c>
      <c r="M96" s="1312"/>
      <c r="N96" s="254"/>
      <c r="O96" s="1641"/>
      <c r="P96"/>
      <c r="S96" s="1312">
        <v>95</v>
      </c>
      <c r="T96" s="1312"/>
      <c r="U96" s="1312">
        <v>870</v>
      </c>
      <c r="V96" s="1312">
        <v>1320</v>
      </c>
      <c r="W96" s="1350">
        <v>100</v>
      </c>
      <c r="X96" s="1312"/>
      <c r="AD96" s="1312">
        <v>60</v>
      </c>
      <c r="AE96" s="1312">
        <v>1105</v>
      </c>
      <c r="AF96" s="1312">
        <v>200</v>
      </c>
      <c r="AG96" s="1312">
        <v>905</v>
      </c>
      <c r="AH96" s="1312">
        <v>145</v>
      </c>
      <c r="AI96" s="1312">
        <v>157</v>
      </c>
      <c r="AJ96" s="1312">
        <v>200</v>
      </c>
      <c r="AK96" s="1312">
        <v>40</v>
      </c>
      <c r="AL96" s="1312">
        <v>50</v>
      </c>
      <c r="AM96" s="1312">
        <v>120</v>
      </c>
      <c r="AQ96" s="254" t="s">
        <v>1301</v>
      </c>
      <c r="AR96" s="1312">
        <v>1125</v>
      </c>
      <c r="AS96" s="1312">
        <v>675</v>
      </c>
      <c r="AT96" s="1312">
        <v>140</v>
      </c>
      <c r="AU96" s="1312"/>
      <c r="AV96" s="1312"/>
      <c r="AW96" s="1312"/>
      <c r="AX96" s="1312"/>
      <c r="AY96" s="254" t="s">
        <v>1302</v>
      </c>
      <c r="BP96">
        <v>322.5</v>
      </c>
      <c r="BQ96" t="s">
        <v>456</v>
      </c>
      <c r="BT96" s="164">
        <f>IF(MAX(BU96:BU1175)&lt;ROW(20:20),"",VLOOKUP(ROW(20:20),BU96:BV1175,2))</f>
        <v>135</v>
      </c>
      <c r="BU96" s="165" t="str">
        <f>IF(COUNTIF(BV$76:BV96,BV96)=1,MAX(BU$76:BU95)+1,"")</f>
        <v/>
      </c>
      <c r="BV96" s="1312">
        <v>92.5</v>
      </c>
      <c r="BW96" s="1312">
        <v>245</v>
      </c>
      <c r="BX96" s="1312">
        <v>140</v>
      </c>
      <c r="BY96">
        <v>115</v>
      </c>
      <c r="BZ96" s="1312" t="s">
        <v>1314</v>
      </c>
      <c r="CA96" s="1352"/>
      <c r="CD96" s="1312">
        <v>415</v>
      </c>
      <c r="CE96" s="1312">
        <v>337.5</v>
      </c>
      <c r="CF96" s="254">
        <v>300</v>
      </c>
      <c r="CG96" s="1312">
        <v>235</v>
      </c>
      <c r="CH96" s="254">
        <v>470</v>
      </c>
      <c r="CI96">
        <v>450</v>
      </c>
      <c r="CJ96" s="1312">
        <v>7232648</v>
      </c>
      <c r="CK96" s="1352"/>
      <c r="CM96" s="1351"/>
      <c r="CN96" s="1312"/>
      <c r="CO96" s="1312"/>
      <c r="CP96" s="1312"/>
      <c r="CQ96" s="1312"/>
      <c r="CR96" s="1352"/>
      <c r="CS96" s="1352"/>
      <c r="CT96"/>
      <c r="CU96"/>
    </row>
    <row r="97" spans="1:99" x14ac:dyDescent="0.3">
      <c r="A97" s="1312">
        <v>98</v>
      </c>
      <c r="B97" s="254"/>
      <c r="C97" s="1312" t="s">
        <v>1263</v>
      </c>
      <c r="D97" s="1312">
        <v>880</v>
      </c>
      <c r="E97" s="1312">
        <v>2.5</v>
      </c>
      <c r="F97" s="1312">
        <v>135</v>
      </c>
      <c r="G97" s="1312">
        <v>860</v>
      </c>
      <c r="H97" s="1312">
        <v>2.5</v>
      </c>
      <c r="I97" s="1312">
        <v>585</v>
      </c>
      <c r="J97" s="1312">
        <v>910</v>
      </c>
      <c r="K97" s="1312">
        <v>935</v>
      </c>
      <c r="L97" s="1312">
        <v>120</v>
      </c>
      <c r="M97" s="1312"/>
      <c r="N97" s="254"/>
      <c r="O97" s="1641"/>
      <c r="P97"/>
      <c r="S97" s="1312">
        <v>96</v>
      </c>
      <c r="T97" s="1312"/>
      <c r="U97" s="1312">
        <v>885</v>
      </c>
      <c r="V97" s="1312">
        <v>830</v>
      </c>
      <c r="W97" s="1350">
        <v>100</v>
      </c>
      <c r="X97" s="1312"/>
      <c r="AD97" s="1312">
        <v>27</v>
      </c>
      <c r="AE97" s="1312">
        <v>1110</v>
      </c>
      <c r="AF97" s="1312">
        <v>205</v>
      </c>
      <c r="AG97" s="1312">
        <v>905</v>
      </c>
      <c r="AH97" s="1312">
        <v>147</v>
      </c>
      <c r="AI97" s="1312">
        <v>167</v>
      </c>
      <c r="AJ97" s="1312">
        <v>215</v>
      </c>
      <c r="AK97" s="1312">
        <v>45</v>
      </c>
      <c r="AL97" s="1312">
        <v>60</v>
      </c>
      <c r="AM97" s="1312">
        <v>135</v>
      </c>
      <c r="AQ97" s="254" t="s">
        <v>1305</v>
      </c>
      <c r="AR97" s="1312">
        <v>1240</v>
      </c>
      <c r="AS97" s="1312">
        <v>890</v>
      </c>
      <c r="AT97" s="1312">
        <v>105</v>
      </c>
      <c r="AU97" s="1312">
        <v>224</v>
      </c>
      <c r="AV97" s="1312">
        <v>530</v>
      </c>
      <c r="AW97" s="1312">
        <v>782</v>
      </c>
      <c r="AX97" s="1312">
        <v>813.3</v>
      </c>
      <c r="AY97" s="254"/>
      <c r="BP97">
        <v>325</v>
      </c>
      <c r="BQ97" t="s">
        <v>457</v>
      </c>
      <c r="BT97" s="164">
        <f>IF(MAX(BU97:BU1176)&lt;ROW(21:21),"",VLOOKUP(ROW(21:21),BU97:BV1176,2))</f>
        <v>137.5</v>
      </c>
      <c r="BU97" s="165" t="str">
        <f>IF(COUNTIF(BV$76:BV97,BV97)=1,MAX(BU$76:BU96)+1,"")</f>
        <v/>
      </c>
      <c r="BV97" s="1312">
        <v>92.5</v>
      </c>
      <c r="BW97" s="1312">
        <v>243</v>
      </c>
      <c r="BX97" s="1312">
        <v>140</v>
      </c>
      <c r="BY97">
        <v>115</v>
      </c>
      <c r="BZ97" s="1312" t="s">
        <v>1314</v>
      </c>
      <c r="CA97" s="1352"/>
      <c r="CD97" s="1312">
        <v>375</v>
      </c>
      <c r="CE97" s="1312">
        <v>337.5</v>
      </c>
      <c r="CF97" s="254">
        <v>400</v>
      </c>
      <c r="CG97" s="1312">
        <v>325</v>
      </c>
      <c r="CH97" s="254">
        <v>470</v>
      </c>
      <c r="CI97">
        <v>400</v>
      </c>
      <c r="CJ97" s="1312">
        <v>10246084</v>
      </c>
      <c r="CK97" s="1352"/>
      <c r="CM97" s="1351"/>
      <c r="CN97" s="1312"/>
      <c r="CO97" s="1312"/>
      <c r="CP97" s="1312"/>
      <c r="CQ97" s="1312"/>
      <c r="CR97" s="1352"/>
      <c r="CS97" s="1352"/>
      <c r="CT97"/>
      <c r="CU97"/>
    </row>
    <row r="98" spans="1:99" x14ac:dyDescent="0.3">
      <c r="A98" s="1312">
        <v>96</v>
      </c>
      <c r="B98" s="254"/>
      <c r="C98" s="1312"/>
      <c r="D98" s="1312"/>
      <c r="E98" s="1312"/>
      <c r="F98" s="1312"/>
      <c r="G98" s="1312">
        <v>860</v>
      </c>
      <c r="H98" s="1312">
        <v>5</v>
      </c>
      <c r="I98" s="1312">
        <v>350</v>
      </c>
      <c r="J98" s="1312">
        <v>925</v>
      </c>
      <c r="K98" s="1312">
        <v>945</v>
      </c>
      <c r="L98" s="1312">
        <v>255</v>
      </c>
      <c r="M98" s="1312" t="s">
        <v>2084</v>
      </c>
      <c r="N98" s="254"/>
      <c r="O98" s="1641"/>
      <c r="P98"/>
      <c r="S98" s="1312">
        <v>97</v>
      </c>
      <c r="T98" s="1312" t="s">
        <v>1692</v>
      </c>
      <c r="U98" s="1312">
        <v>890</v>
      </c>
      <c r="V98" s="1312">
        <v>780</v>
      </c>
      <c r="W98" s="1350">
        <v>80</v>
      </c>
      <c r="X98" s="1312"/>
      <c r="AD98" s="1312">
        <v>56</v>
      </c>
      <c r="AE98" s="1312">
        <v>1060</v>
      </c>
      <c r="AF98" s="1312">
        <v>155</v>
      </c>
      <c r="AG98" s="1312">
        <v>905</v>
      </c>
      <c r="AH98" s="1312">
        <v>180</v>
      </c>
      <c r="AI98" s="1312">
        <v>190</v>
      </c>
      <c r="AJ98" s="1312">
        <v>230</v>
      </c>
      <c r="AK98" s="1312">
        <v>34</v>
      </c>
      <c r="AL98" s="1312">
        <v>45</v>
      </c>
      <c r="AM98" s="1312">
        <v>105</v>
      </c>
      <c r="AQ98" s="254" t="s">
        <v>1303</v>
      </c>
      <c r="AR98" s="1312">
        <v>1365</v>
      </c>
      <c r="AS98" s="1312">
        <v>1040</v>
      </c>
      <c r="AT98" s="1312">
        <v>105</v>
      </c>
      <c r="AU98" s="1312">
        <v>260</v>
      </c>
      <c r="AV98" s="1312">
        <v>550</v>
      </c>
      <c r="AW98" s="1312">
        <v>802</v>
      </c>
      <c r="AX98" s="1312">
        <v>834</v>
      </c>
      <c r="AY98" s="254"/>
      <c r="BP98">
        <v>327.5</v>
      </c>
      <c r="BQ98" t="s">
        <v>458</v>
      </c>
      <c r="BT98" s="164">
        <f>IF(MAX(BU98:BU1177)&lt;ROW(22:22),"",VLOOKUP(ROW(22:22),BU98:BV1177,2))</f>
        <v>140</v>
      </c>
      <c r="BU98" s="165" t="str">
        <f>IF(COUNTIF(BV$76:BV98,BV98)=1,MAX(BU$76:BU97)+1,"")</f>
        <v/>
      </c>
      <c r="BV98" s="1312">
        <v>92.5</v>
      </c>
      <c r="BW98" s="1312">
        <v>240</v>
      </c>
      <c r="BX98" s="1312">
        <v>140</v>
      </c>
      <c r="BY98">
        <v>115</v>
      </c>
      <c r="BZ98" s="1312" t="s">
        <v>1314</v>
      </c>
      <c r="CA98" s="1352"/>
      <c r="CD98" s="1312">
        <v>415</v>
      </c>
      <c r="CE98" s="1312">
        <v>337.5</v>
      </c>
      <c r="CF98" s="254">
        <v>300</v>
      </c>
      <c r="CG98" s="1312">
        <v>255</v>
      </c>
      <c r="CH98" s="254">
        <v>470</v>
      </c>
      <c r="CI98">
        <v>450</v>
      </c>
      <c r="CJ98" s="1312">
        <v>7232648</v>
      </c>
      <c r="CK98" s="1352"/>
      <c r="CM98" s="1351"/>
      <c r="CN98" s="1312"/>
      <c r="CO98" s="1312"/>
      <c r="CP98" s="1312"/>
      <c r="CQ98" s="1312"/>
      <c r="CR98" s="1352"/>
      <c r="CS98" s="1352"/>
      <c r="CT98"/>
      <c r="CU98"/>
    </row>
    <row r="99" spans="1:99" x14ac:dyDescent="0.3">
      <c r="A99" s="1312">
        <v>97</v>
      </c>
      <c r="B99" s="254"/>
      <c r="C99" s="1312" t="s">
        <v>1814</v>
      </c>
      <c r="D99" s="1312"/>
      <c r="E99" s="1312"/>
      <c r="F99" s="1312"/>
      <c r="G99" s="1312">
        <v>860</v>
      </c>
      <c r="H99" s="1312">
        <v>2.5</v>
      </c>
      <c r="I99" s="1312">
        <v>500</v>
      </c>
      <c r="J99" s="1312">
        <v>920</v>
      </c>
      <c r="K99" s="1312">
        <v>940</v>
      </c>
      <c r="L99" s="1312">
        <v>210</v>
      </c>
      <c r="M99" s="1312"/>
      <c r="N99" s="254"/>
      <c r="O99" s="1641"/>
      <c r="P99"/>
      <c r="S99" s="1312">
        <v>98</v>
      </c>
      <c r="T99" s="1312" t="s">
        <v>1693</v>
      </c>
      <c r="U99" s="1312">
        <v>890</v>
      </c>
      <c r="V99" s="1312">
        <v>1110</v>
      </c>
      <c r="W99" s="1350">
        <v>80</v>
      </c>
      <c r="X99" s="1312"/>
      <c r="AD99" s="1312">
        <v>46</v>
      </c>
      <c r="AE99" s="1312">
        <v>1060</v>
      </c>
      <c r="AF99" s="1312">
        <v>155</v>
      </c>
      <c r="AG99" s="1312">
        <v>905</v>
      </c>
      <c r="AH99" s="1312">
        <v>210</v>
      </c>
      <c r="AI99" s="1312">
        <v>227</v>
      </c>
      <c r="AJ99" s="1312">
        <v>260</v>
      </c>
      <c r="AK99" s="1312">
        <v>86</v>
      </c>
      <c r="AL99" s="1312">
        <v>98</v>
      </c>
      <c r="AM99" s="1312">
        <v>160</v>
      </c>
      <c r="AN99" s="1350" t="s">
        <v>1154</v>
      </c>
      <c r="AQ99" s="254" t="s">
        <v>622</v>
      </c>
      <c r="AR99" s="1312">
        <v>1550</v>
      </c>
      <c r="AS99" s="1312">
        <v>1180</v>
      </c>
      <c r="AT99" s="1312">
        <v>105</v>
      </c>
      <c r="AU99" s="1312">
        <v>340</v>
      </c>
      <c r="AV99" s="1312">
        <v>730</v>
      </c>
      <c r="AW99" s="1312">
        <v>1045.5</v>
      </c>
      <c r="AX99" s="1312">
        <v>1087.4000000000001</v>
      </c>
      <c r="AY99" s="254"/>
      <c r="BP99">
        <v>330</v>
      </c>
      <c r="BQ99" t="s">
        <v>459</v>
      </c>
      <c r="BT99" s="164">
        <f>IF(MAX(BU99:BU1178)&lt;ROW(23:23),"",VLOOKUP(ROW(23:23),BU99:BV1178,2))</f>
        <v>142.5</v>
      </c>
      <c r="BU99" s="165" t="str">
        <f>IF(COUNTIF(BV$76:BV99,BV99)=1,MAX(BU$76:BU98)+1,"")</f>
        <v/>
      </c>
      <c r="BV99" s="1312">
        <v>92.5</v>
      </c>
      <c r="BW99" s="1312">
        <v>245</v>
      </c>
      <c r="BX99" s="1312">
        <v>140</v>
      </c>
      <c r="BY99">
        <v>115</v>
      </c>
      <c r="BZ99" s="1312" t="s">
        <v>1314</v>
      </c>
      <c r="CA99" s="1352"/>
      <c r="CD99" s="1312">
        <v>413</v>
      </c>
      <c r="CE99" s="1312">
        <v>337.5</v>
      </c>
      <c r="CF99" s="254">
        <v>515</v>
      </c>
      <c r="CG99" s="1312">
        <v>450</v>
      </c>
      <c r="CH99" s="254">
        <v>470</v>
      </c>
      <c r="CI99">
        <v>400</v>
      </c>
      <c r="CJ99" s="1312" t="s">
        <v>1101</v>
      </c>
      <c r="CK99" s="1352"/>
      <c r="CM99" s="1351"/>
      <c r="CN99" s="1312"/>
      <c r="CO99" s="1312"/>
      <c r="CP99" s="1312"/>
      <c r="CQ99" s="1312"/>
      <c r="CR99" s="1352"/>
      <c r="CS99" s="1352"/>
      <c r="CT99"/>
      <c r="CU99"/>
    </row>
    <row r="100" spans="1:99" x14ac:dyDescent="0.3">
      <c r="A100" s="1312">
        <v>99</v>
      </c>
      <c r="B100" s="254"/>
      <c r="C100" s="1312"/>
      <c r="D100" s="1312"/>
      <c r="E100" s="1312"/>
      <c r="F100" s="1312"/>
      <c r="G100" s="1312">
        <v>860</v>
      </c>
      <c r="H100" s="1312">
        <v>5</v>
      </c>
      <c r="I100" s="1312">
        <v>925</v>
      </c>
      <c r="J100" s="1312">
        <v>910</v>
      </c>
      <c r="K100" s="1312">
        <v>930</v>
      </c>
      <c r="L100" s="1312">
        <v>135</v>
      </c>
      <c r="M100" s="1312"/>
      <c r="N100" s="254"/>
      <c r="O100" s="1641"/>
      <c r="P100"/>
      <c r="S100" s="1312">
        <v>99</v>
      </c>
      <c r="T100" s="1312" t="s">
        <v>1694</v>
      </c>
      <c r="U100" s="1312">
        <v>910</v>
      </c>
      <c r="V100" s="1312">
        <v>480</v>
      </c>
      <c r="W100" s="1350">
        <v>100</v>
      </c>
      <c r="X100" s="1312"/>
      <c r="AD100" s="1312">
        <v>12</v>
      </c>
      <c r="AE100" s="1312">
        <v>1055</v>
      </c>
      <c r="AF100" s="1312">
        <v>140</v>
      </c>
      <c r="AG100" s="1312">
        <v>915</v>
      </c>
      <c r="AH100" s="1312">
        <v>220</v>
      </c>
      <c r="AI100" s="1312">
        <v>235</v>
      </c>
      <c r="AJ100" s="1312">
        <v>275</v>
      </c>
      <c r="AK100" s="1312">
        <v>35</v>
      </c>
      <c r="AL100" s="1312">
        <v>40</v>
      </c>
      <c r="AM100" s="1312">
        <v>100</v>
      </c>
      <c r="AQ100" s="254" t="s">
        <v>1306</v>
      </c>
      <c r="AR100" s="1312">
        <v>1660</v>
      </c>
      <c r="AS100" s="1312">
        <v>1230</v>
      </c>
      <c r="AT100" s="1312">
        <v>105</v>
      </c>
      <c r="AU100" s="1312">
        <v>340</v>
      </c>
      <c r="AV100" s="1312">
        <v>740</v>
      </c>
      <c r="AW100" s="1312">
        <v>1076</v>
      </c>
      <c r="AX100" s="1312">
        <v>1120</v>
      </c>
      <c r="AY100" s="254"/>
      <c r="BP100">
        <v>332.5</v>
      </c>
      <c r="BQ100" t="s">
        <v>460</v>
      </c>
      <c r="BT100" s="164">
        <f>IF(MAX(BU100:BU1179)&lt;ROW(24:24),"",VLOOKUP(ROW(24:24),BU100:BV1179,2))</f>
        <v>145</v>
      </c>
      <c r="BU100" s="165">
        <f>IF(COUNTIF(BV$76:BV100,BV100)=1,MAX(BU$76:BU99)+1,"")</f>
        <v>5</v>
      </c>
      <c r="BV100" s="1312">
        <v>95</v>
      </c>
      <c r="BW100" s="1312">
        <v>243</v>
      </c>
      <c r="BX100" s="1312">
        <v>140</v>
      </c>
      <c r="BY100">
        <v>115</v>
      </c>
      <c r="BZ100" s="1312" t="s">
        <v>1315</v>
      </c>
      <c r="CA100" s="1352"/>
      <c r="CD100" s="1312">
        <v>410</v>
      </c>
      <c r="CE100" s="1312">
        <v>340</v>
      </c>
      <c r="CF100" s="254">
        <v>370</v>
      </c>
      <c r="CG100" s="1312">
        <v>295</v>
      </c>
      <c r="CH100" s="254">
        <v>470</v>
      </c>
      <c r="CI100">
        <v>450</v>
      </c>
      <c r="CJ100" s="1312">
        <v>10256088</v>
      </c>
      <c r="CK100" s="1352"/>
      <c r="CM100" s="1351"/>
      <c r="CN100" s="1312"/>
      <c r="CO100" s="1312"/>
      <c r="CP100" s="1312"/>
      <c r="CQ100" s="1312"/>
      <c r="CR100" s="1352"/>
      <c r="CS100" s="1352"/>
      <c r="CT100"/>
      <c r="CU100"/>
    </row>
    <row r="101" spans="1:99" x14ac:dyDescent="0.3">
      <c r="A101" s="1312">
        <v>100</v>
      </c>
      <c r="B101" s="254"/>
      <c r="C101" s="1312" t="s">
        <v>1242</v>
      </c>
      <c r="D101" s="1312"/>
      <c r="E101" s="1312"/>
      <c r="F101" s="1312"/>
      <c r="G101" s="1312">
        <v>870</v>
      </c>
      <c r="H101" s="1312">
        <v>5</v>
      </c>
      <c r="I101" s="1312">
        <v>360</v>
      </c>
      <c r="J101" s="1312">
        <v>890</v>
      </c>
      <c r="K101" s="1312">
        <v>935</v>
      </c>
      <c r="L101" s="1312">
        <v>120</v>
      </c>
      <c r="M101" s="1312" t="s">
        <v>2085</v>
      </c>
      <c r="N101" s="254"/>
      <c r="O101" s="1641"/>
      <c r="P101" t="s">
        <v>1815</v>
      </c>
      <c r="S101" s="1312">
        <v>100</v>
      </c>
      <c r="T101" s="1312" t="s">
        <v>1695</v>
      </c>
      <c r="U101" s="1312">
        <v>915</v>
      </c>
      <c r="V101" s="1312">
        <v>720</v>
      </c>
      <c r="W101" s="1350">
        <v>80</v>
      </c>
      <c r="X101" s="1312"/>
      <c r="AD101" s="1312">
        <v>115</v>
      </c>
      <c r="AE101" s="1312">
        <v>1080</v>
      </c>
      <c r="AF101" s="1312">
        <v>160</v>
      </c>
      <c r="AG101" s="1312">
        <v>920</v>
      </c>
      <c r="AH101" s="1312">
        <v>520</v>
      </c>
      <c r="AI101" s="1312">
        <v>527</v>
      </c>
      <c r="AJ101" s="1312">
        <v>590</v>
      </c>
      <c r="AK101" s="1312">
        <v>75</v>
      </c>
      <c r="AL101" s="1312">
        <v>85</v>
      </c>
      <c r="AM101" s="1312">
        <v>120</v>
      </c>
      <c r="AN101" s="1350" t="s">
        <v>1155</v>
      </c>
      <c r="AQ101" s="254" t="s">
        <v>1307</v>
      </c>
      <c r="AR101" s="1312">
        <v>2580</v>
      </c>
      <c r="AS101" s="1312">
        <v>2200</v>
      </c>
      <c r="AT101" s="1312">
        <v>150</v>
      </c>
      <c r="AU101" s="1312"/>
      <c r="AV101" s="1312"/>
      <c r="AW101" s="1312">
        <v>2502</v>
      </c>
      <c r="AX101" s="1312">
        <v>2603</v>
      </c>
      <c r="AY101" s="254" t="s">
        <v>1308</v>
      </c>
      <c r="BP101">
        <v>335</v>
      </c>
      <c r="BQ101" t="s">
        <v>461</v>
      </c>
      <c r="BT101" s="164">
        <f>IF(MAX(BU101:BU1180)&lt;ROW(25:25),"",VLOOKUP(ROW(25:25),BU101:BV1180,2))</f>
        <v>147.5</v>
      </c>
      <c r="BU101" s="165" t="str">
        <f>IF(COUNTIF(BV$76:BV101,BV101)=1,MAX(BU$76:BU100)+1,"")</f>
        <v/>
      </c>
      <c r="BV101" s="1312">
        <v>95</v>
      </c>
      <c r="BW101" s="1312">
        <v>245</v>
      </c>
      <c r="BX101" s="1312">
        <v>140</v>
      </c>
      <c r="BY101">
        <v>115</v>
      </c>
      <c r="BZ101" s="1312" t="s">
        <v>1315</v>
      </c>
      <c r="CA101" s="1352"/>
      <c r="CD101" s="1312">
        <v>400</v>
      </c>
      <c r="CE101" s="1312">
        <v>357.5</v>
      </c>
      <c r="CF101" s="254">
        <v>200</v>
      </c>
      <c r="CG101" s="1312">
        <v>110</v>
      </c>
      <c r="CH101" s="254">
        <v>470</v>
      </c>
      <c r="CI101">
        <v>450</v>
      </c>
      <c r="CJ101" s="1312">
        <v>7248194</v>
      </c>
      <c r="CK101" s="1352"/>
      <c r="CM101" s="1351"/>
      <c r="CN101" s="1312"/>
      <c r="CO101" s="1312"/>
      <c r="CP101" s="1312"/>
      <c r="CQ101" s="1312"/>
      <c r="CR101" s="1352"/>
      <c r="CS101" s="1352"/>
      <c r="CT101"/>
      <c r="CU101"/>
    </row>
    <row r="102" spans="1:99" x14ac:dyDescent="0.3">
      <c r="A102" s="1312">
        <v>101</v>
      </c>
      <c r="B102" s="254"/>
      <c r="C102" s="1312" t="s">
        <v>1243</v>
      </c>
      <c r="D102" s="1312"/>
      <c r="E102" s="1312"/>
      <c r="F102" s="1312"/>
      <c r="G102" s="1312">
        <v>870</v>
      </c>
      <c r="H102" s="1312">
        <v>10</v>
      </c>
      <c r="I102" s="1312">
        <v>765</v>
      </c>
      <c r="J102" s="1312">
        <v>910</v>
      </c>
      <c r="K102" s="1312">
        <v>965</v>
      </c>
      <c r="L102" s="1312">
        <v>140</v>
      </c>
      <c r="M102" s="1312" t="s">
        <v>2086</v>
      </c>
      <c r="N102" s="254"/>
      <c r="O102" s="1641"/>
      <c r="P102" t="s">
        <v>1816</v>
      </c>
      <c r="S102" s="1312">
        <v>101</v>
      </c>
      <c r="T102" s="1312" t="s">
        <v>1696</v>
      </c>
      <c r="U102" s="1312">
        <v>920</v>
      </c>
      <c r="V102" s="1312">
        <v>820</v>
      </c>
      <c r="W102" s="1350">
        <v>80</v>
      </c>
      <c r="X102" s="1312"/>
      <c r="AD102" s="1312">
        <v>116</v>
      </c>
      <c r="AE102" s="1312">
        <v>1090</v>
      </c>
      <c r="AF102" s="1312">
        <v>165</v>
      </c>
      <c r="AG102" s="1312">
        <v>925</v>
      </c>
      <c r="AH102" s="1312">
        <v>457</v>
      </c>
      <c r="AI102" s="1312">
        <v>480</v>
      </c>
      <c r="AJ102" s="1312">
        <v>510</v>
      </c>
      <c r="AK102" s="1312">
        <v>37</v>
      </c>
      <c r="AL102" s="1312">
        <v>50</v>
      </c>
      <c r="AM102" s="1312">
        <v>115</v>
      </c>
      <c r="BP102">
        <v>337.5</v>
      </c>
      <c r="BQ102" t="s">
        <v>462</v>
      </c>
      <c r="BT102" s="164">
        <f>IF(MAX(BU102:BU1181)&lt;ROW(26:26),"",VLOOKUP(ROW(26:26),BU102:BV1181,2))</f>
        <v>150</v>
      </c>
      <c r="BU102" s="165" t="str">
        <f>IF(COUNTIF(BV$76:BV102,BV102)=1,MAX(BU$76:BU101)+1,"")</f>
        <v/>
      </c>
      <c r="BV102" s="1312">
        <v>95</v>
      </c>
      <c r="BW102" s="1312">
        <v>240</v>
      </c>
      <c r="BX102" s="1312">
        <v>140</v>
      </c>
      <c r="BY102">
        <v>115</v>
      </c>
      <c r="BZ102" s="1312" t="s">
        <v>1315</v>
      </c>
      <c r="CA102" s="1352"/>
      <c r="CD102" s="1312">
        <v>394</v>
      </c>
      <c r="CE102" s="1312">
        <v>365</v>
      </c>
      <c r="CF102" s="254">
        <v>297</v>
      </c>
      <c r="CG102" s="1312">
        <v>180</v>
      </c>
      <c r="CH102" s="254">
        <v>470</v>
      </c>
      <c r="CI102">
        <v>450</v>
      </c>
      <c r="CJ102" s="1312">
        <v>7249284</v>
      </c>
      <c r="CK102" s="1352"/>
      <c r="CM102" s="1351"/>
      <c r="CN102" s="1312"/>
      <c r="CO102" s="1312"/>
      <c r="CP102" s="1312"/>
      <c r="CQ102" s="1312"/>
      <c r="CR102" s="1352"/>
      <c r="CS102" s="1352"/>
      <c r="CT102"/>
      <c r="CU102"/>
    </row>
    <row r="103" spans="1:99" x14ac:dyDescent="0.3">
      <c r="A103" s="1312">
        <v>102</v>
      </c>
      <c r="B103" s="254"/>
      <c r="C103" s="1312"/>
      <c r="D103" s="1312"/>
      <c r="E103" s="1312"/>
      <c r="F103" s="1312"/>
      <c r="G103" s="1312">
        <v>880</v>
      </c>
      <c r="H103" s="1312">
        <v>5</v>
      </c>
      <c r="I103" s="1312">
        <v>220</v>
      </c>
      <c r="J103" s="1312">
        <v>930</v>
      </c>
      <c r="K103" s="1312">
        <v>950</v>
      </c>
      <c r="L103" s="1312">
        <v>130</v>
      </c>
      <c r="M103" s="1312"/>
      <c r="N103" s="254"/>
      <c r="O103" s="1641"/>
      <c r="P103"/>
      <c r="S103" s="1312">
        <v>102</v>
      </c>
      <c r="T103" s="1312"/>
      <c r="U103" s="1312">
        <v>950</v>
      </c>
      <c r="V103" s="1312">
        <v>380</v>
      </c>
      <c r="W103" s="1350">
        <v>80</v>
      </c>
      <c r="X103" s="1312" t="s">
        <v>1697</v>
      </c>
      <c r="AD103" s="1312">
        <v>81</v>
      </c>
      <c r="AE103" s="1312">
        <v>1060</v>
      </c>
      <c r="AF103" s="1312">
        <v>130</v>
      </c>
      <c r="AG103" s="1312">
        <v>930</v>
      </c>
      <c r="AH103" s="1312">
        <v>215</v>
      </c>
      <c r="AI103" s="1312">
        <v>230</v>
      </c>
      <c r="AJ103" s="1312">
        <v>260</v>
      </c>
      <c r="AK103" s="1312">
        <v>30</v>
      </c>
      <c r="AL103" s="1312">
        <v>42</v>
      </c>
      <c r="AM103" s="1312">
        <v>90</v>
      </c>
      <c r="BP103">
        <v>340</v>
      </c>
      <c r="BQ103" t="s">
        <v>463</v>
      </c>
      <c r="BT103" s="164">
        <f>IF(MAX(BU103:BU1182)&lt;ROW(27:27),"",VLOOKUP(ROW(27:27),BU103:BV1182,2))</f>
        <v>155</v>
      </c>
      <c r="BU103" s="165" t="str">
        <f>IF(COUNTIF(BV$76:BV103,BV103)=1,MAX(BU$76:BU102)+1,"")</f>
        <v/>
      </c>
      <c r="BV103" s="1312">
        <v>95</v>
      </c>
      <c r="BW103" s="1312">
        <v>245</v>
      </c>
      <c r="BX103" s="1312">
        <v>140</v>
      </c>
      <c r="BY103">
        <v>115</v>
      </c>
      <c r="BZ103" s="1312" t="s">
        <v>1315</v>
      </c>
      <c r="CA103" s="1352"/>
      <c r="CD103" s="1312">
        <v>409</v>
      </c>
      <c r="CE103" s="1312">
        <v>365</v>
      </c>
      <c r="CF103" s="254">
        <v>295</v>
      </c>
      <c r="CG103" s="1312">
        <v>180</v>
      </c>
      <c r="CH103" s="254">
        <v>470</v>
      </c>
      <c r="CI103">
        <v>450</v>
      </c>
      <c r="CJ103" s="1312">
        <v>7249284</v>
      </c>
      <c r="CK103" s="1352"/>
      <c r="CM103" s="1351"/>
      <c r="CN103" s="1312"/>
      <c r="CO103" s="1312"/>
      <c r="CP103" s="1312"/>
      <c r="CQ103" s="1312"/>
      <c r="CR103" s="1352"/>
      <c r="CS103" s="1352"/>
      <c r="CT103"/>
      <c r="CU103"/>
    </row>
    <row r="104" spans="1:99" x14ac:dyDescent="0.3">
      <c r="A104" s="1312">
        <v>103</v>
      </c>
      <c r="B104" s="254"/>
      <c r="C104" s="1312" t="s">
        <v>1817</v>
      </c>
      <c r="D104" s="1312"/>
      <c r="E104" s="1312"/>
      <c r="F104" s="1312"/>
      <c r="G104" s="1312">
        <v>880</v>
      </c>
      <c r="H104" s="1312">
        <v>4</v>
      </c>
      <c r="I104" s="1312">
        <v>250</v>
      </c>
      <c r="J104" s="1312">
        <v>930</v>
      </c>
      <c r="K104" s="1312">
        <v>950</v>
      </c>
      <c r="L104" s="1312">
        <v>145</v>
      </c>
      <c r="M104" s="1312" t="s">
        <v>1190</v>
      </c>
      <c r="N104" s="254"/>
      <c r="O104" s="1641"/>
      <c r="P104" t="s">
        <v>1818</v>
      </c>
      <c r="S104" s="1312">
        <v>103</v>
      </c>
      <c r="T104" s="1312"/>
      <c r="U104" s="1312">
        <v>950</v>
      </c>
      <c r="V104" s="1312">
        <v>370</v>
      </c>
      <c r="W104" s="1350">
        <v>100</v>
      </c>
      <c r="X104" s="1312" t="s">
        <v>1864</v>
      </c>
      <c r="AD104" s="1312">
        <v>8</v>
      </c>
      <c r="AE104" s="1312">
        <v>1210</v>
      </c>
      <c r="AF104" s="1312">
        <v>270</v>
      </c>
      <c r="AG104" s="1312">
        <v>940</v>
      </c>
      <c r="AH104" s="1312">
        <v>1250</v>
      </c>
      <c r="AI104" s="1312">
        <v>1270</v>
      </c>
      <c r="AJ104" s="1312">
        <v>1335</v>
      </c>
      <c r="AK104" s="1312">
        <v>95</v>
      </c>
      <c r="AL104" s="1312">
        <v>105</v>
      </c>
      <c r="AM104" s="1312">
        <v>185</v>
      </c>
      <c r="AN104" s="1350" t="s">
        <v>1156</v>
      </c>
      <c r="BP104">
        <v>347.5</v>
      </c>
      <c r="BQ104" t="s">
        <v>464</v>
      </c>
      <c r="BT104" s="164">
        <f>IF(MAX(BU104:BU1183)&lt;ROW(28:28),"",VLOOKUP(ROW(28:28),BU104:BV1183,2))</f>
        <v>157.5</v>
      </c>
      <c r="BU104" s="165" t="str">
        <f>IF(COUNTIF(BV$76:BV104,BV104)=1,MAX(BU$76:BU103)+1,"")</f>
        <v/>
      </c>
      <c r="BV104" s="1312">
        <v>95</v>
      </c>
      <c r="BW104" s="1312">
        <v>245</v>
      </c>
      <c r="BX104" s="1312">
        <v>140</v>
      </c>
      <c r="BY104">
        <v>115</v>
      </c>
      <c r="BZ104" s="1312" t="s">
        <v>1315</v>
      </c>
      <c r="CA104" s="1352"/>
      <c r="CD104" s="1312">
        <v>390</v>
      </c>
      <c r="CE104" s="1312">
        <v>365</v>
      </c>
      <c r="CF104" s="254">
        <v>295</v>
      </c>
      <c r="CG104" s="1312">
        <v>180</v>
      </c>
      <c r="CH104" s="254">
        <v>470</v>
      </c>
      <c r="CI104">
        <v>450</v>
      </c>
      <c r="CJ104" s="1312">
        <v>7249284</v>
      </c>
      <c r="CK104" s="1352"/>
      <c r="CM104" s="1351"/>
      <c r="CN104" s="1312"/>
      <c r="CO104" s="1312"/>
      <c r="CP104" s="1312"/>
      <c r="CQ104" s="1312"/>
      <c r="CR104" s="1352"/>
      <c r="CS104" s="1352"/>
      <c r="CT104"/>
      <c r="CU104"/>
    </row>
    <row r="105" spans="1:99" x14ac:dyDescent="0.3">
      <c r="A105" s="1312">
        <v>104</v>
      </c>
      <c r="B105" s="254"/>
      <c r="C105" s="1312" t="s">
        <v>1819</v>
      </c>
      <c r="D105" s="1312"/>
      <c r="E105" s="1312"/>
      <c r="F105" s="1312"/>
      <c r="G105" s="1312">
        <v>880</v>
      </c>
      <c r="H105" s="1312">
        <v>8</v>
      </c>
      <c r="I105" s="1312">
        <v>580</v>
      </c>
      <c r="J105" s="1312">
        <v>940</v>
      </c>
      <c r="K105" s="1312">
        <v>950</v>
      </c>
      <c r="L105" s="1312">
        <v>130</v>
      </c>
      <c r="M105" s="1312"/>
      <c r="N105" s="254"/>
      <c r="O105" s="1641"/>
      <c r="P105" t="s">
        <v>1820</v>
      </c>
      <c r="S105" s="1312">
        <v>104</v>
      </c>
      <c r="T105" s="1312"/>
      <c r="U105" s="1312">
        <v>960</v>
      </c>
      <c r="V105" s="1312">
        <v>830</v>
      </c>
      <c r="W105" s="1350">
        <v>100</v>
      </c>
      <c r="X105" s="1312" t="s">
        <v>1661</v>
      </c>
      <c r="AD105" s="1312">
        <v>35</v>
      </c>
      <c r="AE105" s="1312">
        <v>1200</v>
      </c>
      <c r="AF105" s="1312">
        <v>245</v>
      </c>
      <c r="AG105" s="1312">
        <v>955</v>
      </c>
      <c r="AH105" s="1312">
        <v>305</v>
      </c>
      <c r="AI105" s="1312">
        <v>317</v>
      </c>
      <c r="AJ105" s="1312">
        <v>380</v>
      </c>
      <c r="AK105" s="1312">
        <v>63</v>
      </c>
      <c r="AL105" s="1312">
        <v>75</v>
      </c>
      <c r="AM105" s="1312">
        <v>170</v>
      </c>
      <c r="BP105">
        <v>350</v>
      </c>
      <c r="BQ105" t="s">
        <v>465</v>
      </c>
      <c r="BT105" s="164">
        <f>IF(MAX(BU105:BU1184)&lt;ROW(29:29),"",VLOOKUP(ROW(29:29),BU105:BV1184,2))</f>
        <v>160</v>
      </c>
      <c r="BU105" s="165" t="str">
        <f>IF(COUNTIF(BV$76:BV105,BV105)=1,MAX(BU$76:BU104)+1,"")</f>
        <v/>
      </c>
      <c r="BV105" s="1312">
        <v>95</v>
      </c>
      <c r="BW105" s="1312">
        <v>240</v>
      </c>
      <c r="BX105" s="1312">
        <v>140</v>
      </c>
      <c r="BY105">
        <v>115</v>
      </c>
      <c r="BZ105" s="1312" t="s">
        <v>1315</v>
      </c>
      <c r="CA105" s="1352"/>
      <c r="CD105" s="1312">
        <v>455</v>
      </c>
      <c r="CE105" s="1312">
        <v>370</v>
      </c>
      <c r="CF105" s="254">
        <v>330</v>
      </c>
      <c r="CG105" s="1312">
        <v>260</v>
      </c>
      <c r="CH105" s="254">
        <v>520</v>
      </c>
      <c r="CI105">
        <v>400</v>
      </c>
      <c r="CJ105" s="1312">
        <v>10240959</v>
      </c>
      <c r="CK105" s="1352"/>
      <c r="CM105" s="1351"/>
      <c r="CN105" s="1312"/>
      <c r="CO105" s="1312"/>
      <c r="CP105" s="1312"/>
      <c r="CQ105" s="1312"/>
      <c r="CR105" s="1352"/>
      <c r="CS105" s="1352"/>
      <c r="CT105"/>
      <c r="CU105"/>
    </row>
    <row r="106" spans="1:99" x14ac:dyDescent="0.3">
      <c r="A106" s="1312">
        <v>105</v>
      </c>
      <c r="B106" s="254"/>
      <c r="C106" s="1312"/>
      <c r="D106" s="1312"/>
      <c r="E106" s="1312"/>
      <c r="F106" s="1312"/>
      <c r="G106" s="1312">
        <v>890</v>
      </c>
      <c r="H106" s="1312">
        <v>3.5</v>
      </c>
      <c r="I106" s="1312">
        <v>245</v>
      </c>
      <c r="J106" s="1312">
        <v>975</v>
      </c>
      <c r="K106" s="1312">
        <v>990</v>
      </c>
      <c r="L106" s="1312">
        <v>135</v>
      </c>
      <c r="M106" s="1312"/>
      <c r="N106" s="254"/>
      <c r="O106" s="1641"/>
      <c r="P106"/>
      <c r="S106" s="1312">
        <v>105</v>
      </c>
      <c r="T106" s="1312"/>
      <c r="U106" s="1312">
        <v>970</v>
      </c>
      <c r="V106" s="1312">
        <v>1150</v>
      </c>
      <c r="W106" s="1350">
        <v>100</v>
      </c>
      <c r="X106" s="1312"/>
      <c r="AD106" s="1312">
        <v>138</v>
      </c>
      <c r="AE106" s="1312">
        <v>1220</v>
      </c>
      <c r="AF106" s="1312">
        <v>260</v>
      </c>
      <c r="AG106" s="1312">
        <v>960</v>
      </c>
      <c r="AH106" s="1312">
        <v>275</v>
      </c>
      <c r="AI106" s="1312">
        <v>295</v>
      </c>
      <c r="AJ106" s="1312">
        <v>350</v>
      </c>
      <c r="AK106" s="1312">
        <v>120</v>
      </c>
      <c r="AL106" s="1312">
        <v>130</v>
      </c>
      <c r="AM106" s="1312">
        <v>220</v>
      </c>
      <c r="AN106" s="1350" t="s">
        <v>1157</v>
      </c>
      <c r="BP106">
        <v>355</v>
      </c>
      <c r="BQ106" t="s">
        <v>466</v>
      </c>
      <c r="BT106" s="164">
        <f>IF(MAX(BU106:BU1185)&lt;ROW(30:30),"",VLOOKUP(ROW(30:30),BU106:BV1185,2))</f>
        <v>162.5</v>
      </c>
      <c r="BU106" s="165" t="str">
        <f>IF(COUNTIF(BV$76:BV106,BV106)=1,MAX(BU$76:BU105)+1,"")</f>
        <v/>
      </c>
      <c r="BV106" s="1312">
        <v>95</v>
      </c>
      <c r="BW106" s="1312">
        <v>240</v>
      </c>
      <c r="BX106" s="1312">
        <v>140</v>
      </c>
      <c r="BY106">
        <v>115</v>
      </c>
      <c r="BZ106" s="1312" t="s">
        <v>1315</v>
      </c>
      <c r="CA106" s="1352"/>
      <c r="CD106" s="1312">
        <v>388</v>
      </c>
      <c r="CE106" s="1312">
        <v>372.5</v>
      </c>
      <c r="CF106" s="254">
        <v>170</v>
      </c>
      <c r="CG106" s="1312">
        <v>135</v>
      </c>
      <c r="CH106" s="254">
        <v>470</v>
      </c>
      <c r="CI106">
        <v>400</v>
      </c>
      <c r="CJ106" s="1312">
        <v>7225773</v>
      </c>
      <c r="CK106" s="1352"/>
      <c r="CM106" s="1351"/>
      <c r="CN106" s="1312"/>
      <c r="CO106" s="1312"/>
      <c r="CP106" s="1312"/>
      <c r="CQ106" s="1312"/>
      <c r="CR106" s="1352"/>
      <c r="CS106" s="1352"/>
      <c r="CT106"/>
      <c r="CU106"/>
    </row>
    <row r="107" spans="1:99" x14ac:dyDescent="0.3">
      <c r="A107" s="1312">
        <v>106</v>
      </c>
      <c r="B107" s="254"/>
      <c r="C107" s="1312" t="s">
        <v>1821</v>
      </c>
      <c r="D107" s="1312"/>
      <c r="E107" s="1312"/>
      <c r="F107" s="1312"/>
      <c r="G107" s="1312">
        <v>890</v>
      </c>
      <c r="H107" s="1312">
        <v>5</v>
      </c>
      <c r="I107" s="1312">
        <v>890</v>
      </c>
      <c r="J107" s="1312">
        <v>930</v>
      </c>
      <c r="K107" s="1312">
        <v>960</v>
      </c>
      <c r="L107" s="1312">
        <v>150</v>
      </c>
      <c r="M107" s="1312" t="s">
        <v>1179</v>
      </c>
      <c r="N107" s="254"/>
      <c r="O107" s="1641"/>
      <c r="P107" t="s">
        <v>1822</v>
      </c>
      <c r="S107" s="1312">
        <v>106</v>
      </c>
      <c r="T107" s="1312"/>
      <c r="U107" s="1312">
        <v>1000</v>
      </c>
      <c r="V107" s="1312">
        <v>1300</v>
      </c>
      <c r="W107" s="1350">
        <v>100</v>
      </c>
      <c r="X107" s="1312"/>
      <c r="AD107" s="1312">
        <v>26</v>
      </c>
      <c r="AE107" s="1312">
        <v>1200</v>
      </c>
      <c r="AF107" s="1312">
        <v>240</v>
      </c>
      <c r="AG107" s="1312">
        <v>960</v>
      </c>
      <c r="AH107" s="1312">
        <v>305</v>
      </c>
      <c r="AI107" s="1312">
        <v>325</v>
      </c>
      <c r="AJ107" s="1312">
        <v>360</v>
      </c>
      <c r="AK107" s="1312">
        <v>105</v>
      </c>
      <c r="AL107" s="1312">
        <v>118</v>
      </c>
      <c r="AM107" s="1312">
        <v>215</v>
      </c>
      <c r="AN107" s="1350" t="s">
        <v>1158</v>
      </c>
      <c r="BP107">
        <v>360</v>
      </c>
      <c r="BQ107" t="s">
        <v>467</v>
      </c>
      <c r="BT107" s="164">
        <f>IF(MAX(BU107:BU1186)&lt;ROW(31:31),"",VLOOKUP(ROW(31:31),BU107:BV1186,2))</f>
        <v>165</v>
      </c>
      <c r="BU107" s="165" t="str">
        <f>IF(COUNTIF(BV$76:BV107,BV107)=1,MAX(BU$76:BU106)+1,"")</f>
        <v/>
      </c>
      <c r="BV107" s="1312">
        <v>95</v>
      </c>
      <c r="BW107" s="1312">
        <v>245</v>
      </c>
      <c r="BX107" s="1312">
        <v>140</v>
      </c>
      <c r="BY107">
        <v>115</v>
      </c>
      <c r="BZ107" s="1312" t="s">
        <v>1315</v>
      </c>
      <c r="CA107" s="1352"/>
      <c r="CD107" s="1312">
        <v>388</v>
      </c>
      <c r="CE107" s="1312">
        <v>375</v>
      </c>
      <c r="CF107" s="254">
        <v>170</v>
      </c>
      <c r="CG107" s="1312">
        <v>137</v>
      </c>
      <c r="CH107" s="254">
        <v>470</v>
      </c>
      <c r="CI107">
        <v>400</v>
      </c>
      <c r="CJ107" s="1312">
        <v>7225773</v>
      </c>
      <c r="CK107" s="1352"/>
      <c r="CM107" s="1351"/>
      <c r="CN107" s="1312"/>
      <c r="CO107" s="1312"/>
      <c r="CP107" s="1312"/>
      <c r="CQ107" s="1312"/>
      <c r="CR107" s="1352"/>
      <c r="CS107" s="1352"/>
      <c r="CT107"/>
      <c r="CU107"/>
    </row>
    <row r="108" spans="1:99" x14ac:dyDescent="0.3">
      <c r="A108" s="1312">
        <v>107</v>
      </c>
      <c r="B108" s="254"/>
      <c r="C108" s="1312" t="s">
        <v>1823</v>
      </c>
      <c r="D108" s="1312"/>
      <c r="E108" s="1312"/>
      <c r="F108" s="1312"/>
      <c r="G108" s="1312">
        <v>900</v>
      </c>
      <c r="H108" s="1312">
        <v>5</v>
      </c>
      <c r="I108" s="1312">
        <v>450</v>
      </c>
      <c r="J108" s="1312">
        <v>960</v>
      </c>
      <c r="K108" s="1312">
        <v>980</v>
      </c>
      <c r="L108" s="1312">
        <v>130</v>
      </c>
      <c r="M108" s="1312"/>
      <c r="N108" s="254"/>
      <c r="O108" s="1641"/>
      <c r="P108" t="s">
        <v>1824</v>
      </c>
      <c r="S108" s="1312">
        <v>107</v>
      </c>
      <c r="T108" s="1312"/>
      <c r="U108" s="1312">
        <v>1015</v>
      </c>
      <c r="V108" s="1312">
        <v>840</v>
      </c>
      <c r="W108" s="1350">
        <v>100</v>
      </c>
      <c r="X108" s="1312"/>
      <c r="AD108" s="1312">
        <v>109</v>
      </c>
      <c r="AE108" s="1312">
        <v>1115</v>
      </c>
      <c r="AF108" s="1312">
        <v>120</v>
      </c>
      <c r="AG108" s="1312">
        <v>995</v>
      </c>
      <c r="AH108" s="1312">
        <v>100</v>
      </c>
      <c r="AI108" s="1312">
        <v>110</v>
      </c>
      <c r="AJ108" s="1312">
        <v>150</v>
      </c>
      <c r="AK108" s="1312">
        <v>35</v>
      </c>
      <c r="AL108" s="1312">
        <v>45</v>
      </c>
      <c r="AM108" s="1312">
        <v>105</v>
      </c>
      <c r="BP108">
        <v>365</v>
      </c>
      <c r="BQ108" t="s">
        <v>468</v>
      </c>
      <c r="BT108" s="164">
        <f>IF(MAX(BU108:BU1187)&lt;ROW(32:32),"",VLOOKUP(ROW(32:32),BU108:BV1187,2))</f>
        <v>167.5</v>
      </c>
      <c r="BU108" s="165" t="str">
        <f>IF(COUNTIF(BV$76:BV108,BV108)=1,MAX(BU$76:BU107)+1,"")</f>
        <v/>
      </c>
      <c r="BV108" s="1312">
        <v>95</v>
      </c>
      <c r="BW108" s="1312">
        <v>245</v>
      </c>
      <c r="BX108" s="1312">
        <v>140</v>
      </c>
      <c r="BY108">
        <v>115</v>
      </c>
      <c r="BZ108" s="1312" t="s">
        <v>1315</v>
      </c>
      <c r="CA108" s="1352"/>
      <c r="CD108" s="1312">
        <v>388</v>
      </c>
      <c r="CE108" s="1312">
        <v>375</v>
      </c>
      <c r="CF108" s="254">
        <v>170</v>
      </c>
      <c r="CG108" s="1312">
        <v>135</v>
      </c>
      <c r="CH108" s="254">
        <v>470</v>
      </c>
      <c r="CI108">
        <v>400</v>
      </c>
      <c r="CJ108" s="1312">
        <v>7225773</v>
      </c>
      <c r="CK108" s="1352"/>
      <c r="CM108" s="1351"/>
      <c r="CN108" s="1312"/>
      <c r="CO108" s="1312"/>
      <c r="CP108" s="1312"/>
      <c r="CQ108" s="1312"/>
      <c r="CR108" s="1352"/>
      <c r="CS108" s="1352"/>
      <c r="CT108"/>
      <c r="CU108"/>
    </row>
    <row r="109" spans="1:99" ht="28.8" x14ac:dyDescent="0.3">
      <c r="A109" s="1312">
        <v>108</v>
      </c>
      <c r="B109" s="254"/>
      <c r="C109" s="1312" t="s">
        <v>1244</v>
      </c>
      <c r="D109" s="1312"/>
      <c r="E109" s="1312"/>
      <c r="F109" s="1312"/>
      <c r="G109" s="1312">
        <v>905</v>
      </c>
      <c r="H109" s="1312">
        <v>4</v>
      </c>
      <c r="I109" s="1312">
        <v>250</v>
      </c>
      <c r="J109" s="1312">
        <v>960</v>
      </c>
      <c r="K109" s="1312">
        <v>980</v>
      </c>
      <c r="L109" s="1312">
        <v>140</v>
      </c>
      <c r="M109" s="1312"/>
      <c r="N109" s="254"/>
      <c r="O109" s="1641"/>
      <c r="P109" t="s">
        <v>1825</v>
      </c>
      <c r="S109" s="1312">
        <v>108</v>
      </c>
      <c r="T109" s="1312"/>
      <c r="U109" s="1312">
        <v>1030</v>
      </c>
      <c r="V109" s="1312">
        <v>990</v>
      </c>
      <c r="W109" s="1350">
        <v>80</v>
      </c>
      <c r="X109" s="1312" t="s">
        <v>1698</v>
      </c>
      <c r="AD109" s="1312">
        <v>40</v>
      </c>
      <c r="AE109" s="1312">
        <v>1170</v>
      </c>
      <c r="AF109" s="1312">
        <v>170</v>
      </c>
      <c r="AG109" s="1312">
        <v>1000</v>
      </c>
      <c r="AH109" s="1312">
        <v>635</v>
      </c>
      <c r="AI109" s="1312">
        <v>650</v>
      </c>
      <c r="AJ109" s="1312">
        <v>690</v>
      </c>
      <c r="AK109" s="1312">
        <v>55</v>
      </c>
      <c r="AL109" s="1312">
        <v>75</v>
      </c>
      <c r="AM109" s="1312">
        <v>140</v>
      </c>
      <c r="AN109" s="1350" t="s">
        <v>1159</v>
      </c>
      <c r="BP109">
        <v>367.5</v>
      </c>
      <c r="BQ109" t="s">
        <v>469</v>
      </c>
      <c r="BT109" s="164">
        <f>IF(MAX(BU109:BU1188)&lt;ROW(33:33),"",VLOOKUP(ROW(33:33),BU109:BV1188,2))</f>
        <v>170</v>
      </c>
      <c r="BU109" s="165" t="str">
        <f>IF(COUNTIF(BV$76:BV109,BV109)=1,MAX(BU$76:BU108)+1,"")</f>
        <v/>
      </c>
      <c r="BV109" s="1312">
        <v>95</v>
      </c>
      <c r="BW109" s="1312">
        <v>245</v>
      </c>
      <c r="BX109" s="1312">
        <v>140</v>
      </c>
      <c r="BY109">
        <v>115</v>
      </c>
      <c r="BZ109" s="1312" t="s">
        <v>1315</v>
      </c>
      <c r="CA109" s="1352"/>
      <c r="CD109" s="1312">
        <v>495</v>
      </c>
      <c r="CE109" s="1312">
        <v>382.5</v>
      </c>
      <c r="CF109" s="254">
        <v>578</v>
      </c>
      <c r="CG109" s="1312">
        <v>510</v>
      </c>
      <c r="CH109" s="254">
        <v>520</v>
      </c>
      <c r="CI109">
        <v>400</v>
      </c>
      <c r="CJ109" s="1312">
        <v>7248722</v>
      </c>
      <c r="CK109" s="1352" t="s">
        <v>1609</v>
      </c>
      <c r="CM109" s="1351"/>
      <c r="CN109" s="1312"/>
      <c r="CO109" s="1312"/>
      <c r="CP109" s="1312"/>
      <c r="CQ109" s="1312"/>
      <c r="CR109" s="1352"/>
      <c r="CS109" s="1352"/>
      <c r="CT109"/>
      <c r="CU109"/>
    </row>
    <row r="110" spans="1:99" x14ac:dyDescent="0.3">
      <c r="A110" s="1312">
        <v>109</v>
      </c>
      <c r="B110" s="254"/>
      <c r="C110" s="1312" t="s">
        <v>1245</v>
      </c>
      <c r="D110" s="1312"/>
      <c r="E110" s="1312"/>
      <c r="F110" s="1312"/>
      <c r="G110" s="1312">
        <v>905</v>
      </c>
      <c r="H110" s="1312">
        <v>7.5</v>
      </c>
      <c r="I110" s="1312">
        <v>760</v>
      </c>
      <c r="J110" s="1312">
        <v>970</v>
      </c>
      <c r="K110" s="1312">
        <v>995</v>
      </c>
      <c r="L110" s="1312">
        <v>170</v>
      </c>
      <c r="M110" s="1312"/>
      <c r="N110" s="254"/>
      <c r="O110" s="1641"/>
      <c r="P110" t="s">
        <v>1826</v>
      </c>
      <c r="S110" s="1312">
        <v>109</v>
      </c>
      <c r="T110" s="1312"/>
      <c r="U110" s="1312">
        <v>1030</v>
      </c>
      <c r="V110" s="1312">
        <v>1410</v>
      </c>
      <c r="W110" s="1350">
        <v>100</v>
      </c>
      <c r="X110" s="1312"/>
      <c r="AD110" s="1312">
        <v>1</v>
      </c>
      <c r="AE110" s="1312">
        <v>1160</v>
      </c>
      <c r="AF110" s="1312">
        <v>145</v>
      </c>
      <c r="AG110" s="1312">
        <v>1015</v>
      </c>
      <c r="AH110" s="1312">
        <v>280</v>
      </c>
      <c r="AI110" s="1312">
        <v>290</v>
      </c>
      <c r="AJ110" s="1312">
        <v>330</v>
      </c>
      <c r="AK110" s="1312">
        <v>45</v>
      </c>
      <c r="AL110" s="1312">
        <v>55</v>
      </c>
      <c r="AM110" s="1312">
        <v>115</v>
      </c>
      <c r="AN110" s="1350" t="s">
        <v>1160</v>
      </c>
      <c r="BP110">
        <v>370</v>
      </c>
      <c r="BQ110" t="s">
        <v>470</v>
      </c>
      <c r="BT110" s="164">
        <f>IF(MAX(BU110:BU1189)&lt;ROW(34:34),"",VLOOKUP(ROW(34:34),BU110:BV1189,2))</f>
        <v>172.5</v>
      </c>
      <c r="BU110" s="165" t="str">
        <f>IF(COUNTIF(BV$76:BV110,BV110)=1,MAX(BU$76:BU109)+1,"")</f>
        <v/>
      </c>
      <c r="BV110" s="1312">
        <v>95</v>
      </c>
      <c r="BW110" s="1312">
        <v>245</v>
      </c>
      <c r="BX110" s="1312">
        <v>140</v>
      </c>
      <c r="BY110">
        <v>115</v>
      </c>
      <c r="BZ110" s="1312" t="s">
        <v>1315</v>
      </c>
      <c r="CA110" s="1352"/>
      <c r="CD110" s="1312">
        <v>420</v>
      </c>
      <c r="CE110" s="1312">
        <v>382.5</v>
      </c>
      <c r="CF110" s="254">
        <v>357</v>
      </c>
      <c r="CG110" s="1312">
        <v>230</v>
      </c>
      <c r="CH110" s="254">
        <v>500</v>
      </c>
      <c r="CI110">
        <v>400</v>
      </c>
      <c r="CJ110" s="1312">
        <v>10241602</v>
      </c>
      <c r="CK110" s="1352"/>
      <c r="CM110" s="1351"/>
      <c r="CN110" s="1312"/>
      <c r="CO110" s="1312"/>
      <c r="CP110" s="1312"/>
      <c r="CQ110" s="1312"/>
      <c r="CR110" s="1352"/>
      <c r="CS110" s="1352"/>
      <c r="CT110"/>
      <c r="CU110"/>
    </row>
    <row r="111" spans="1:99" x14ac:dyDescent="0.3">
      <c r="A111" s="1312">
        <v>110</v>
      </c>
      <c r="B111" s="254"/>
      <c r="C111" s="1312" t="s">
        <v>1264</v>
      </c>
      <c r="D111" s="1312">
        <v>965</v>
      </c>
      <c r="E111" s="1312">
        <v>5</v>
      </c>
      <c r="F111" s="1312">
        <v>130</v>
      </c>
      <c r="G111" s="1312">
        <v>930</v>
      </c>
      <c r="H111" s="1312">
        <v>8</v>
      </c>
      <c r="I111" s="1312">
        <v>365</v>
      </c>
      <c r="J111" s="1312">
        <v>1030</v>
      </c>
      <c r="K111" s="1312">
        <v>1050</v>
      </c>
      <c r="L111" s="1312">
        <v>180</v>
      </c>
      <c r="M111" s="1312" t="s">
        <v>1193</v>
      </c>
      <c r="N111" s="254"/>
      <c r="O111" s="1641"/>
      <c r="P111"/>
      <c r="S111" s="1312">
        <v>110</v>
      </c>
      <c r="T111" s="1312" t="s">
        <v>1699</v>
      </c>
      <c r="U111" s="1312">
        <v>1030</v>
      </c>
      <c r="V111" s="1312">
        <v>880</v>
      </c>
      <c r="W111" s="1350">
        <v>60</v>
      </c>
      <c r="X111" s="1312" t="s">
        <v>1700</v>
      </c>
      <c r="AD111" s="1312">
        <v>39</v>
      </c>
      <c r="AE111" s="1312">
        <v>1220</v>
      </c>
      <c r="AF111" s="1312">
        <v>180</v>
      </c>
      <c r="AG111" s="1312">
        <v>1040</v>
      </c>
      <c r="AH111" s="1312">
        <v>405</v>
      </c>
      <c r="AI111" s="1312">
        <v>420</v>
      </c>
      <c r="AJ111" s="1312">
        <v>460</v>
      </c>
      <c r="AK111" s="1312">
        <v>70</v>
      </c>
      <c r="AL111" s="1312">
        <v>80</v>
      </c>
      <c r="AM111" s="1312">
        <v>150</v>
      </c>
      <c r="AN111" s="1350" t="s">
        <v>1161</v>
      </c>
      <c r="BP111">
        <v>372.5</v>
      </c>
      <c r="BQ111" t="s">
        <v>471</v>
      </c>
      <c r="BT111" s="164">
        <f>IF(MAX(BU111:BU1190)&lt;ROW(35:35),"",VLOOKUP(ROW(35:35),BU111:BV1190,2))</f>
        <v>175</v>
      </c>
      <c r="BU111" s="165" t="str">
        <f>IF(COUNTIF(BV$76:BV111,BV111)=1,MAX(BU$76:BU110)+1,"")</f>
        <v/>
      </c>
      <c r="BV111" s="1312">
        <v>95</v>
      </c>
      <c r="BW111" s="1312">
        <v>245</v>
      </c>
      <c r="BX111" s="1312">
        <v>140</v>
      </c>
      <c r="BY111">
        <v>115</v>
      </c>
      <c r="BZ111" s="1312" t="s">
        <v>1315</v>
      </c>
      <c r="CA111" s="1352"/>
      <c r="CD111" s="1312">
        <v>457</v>
      </c>
      <c r="CE111" s="1312">
        <v>390</v>
      </c>
      <c r="CF111" s="254">
        <v>410</v>
      </c>
      <c r="CG111" s="1312">
        <v>340</v>
      </c>
      <c r="CH111" s="254">
        <v>520</v>
      </c>
      <c r="CI111">
        <v>400</v>
      </c>
      <c r="CJ111" s="1312" t="s">
        <v>1102</v>
      </c>
      <c r="CK111" s="1352"/>
      <c r="CM111" s="1351"/>
      <c r="CN111" s="1312"/>
      <c r="CO111" s="1312"/>
      <c r="CP111" s="1312"/>
      <c r="CQ111" s="1312"/>
      <c r="CR111" s="1352"/>
      <c r="CS111" s="1352"/>
      <c r="CT111"/>
      <c r="CU111"/>
    </row>
    <row r="112" spans="1:99" x14ac:dyDescent="0.3">
      <c r="A112" s="1312">
        <v>111</v>
      </c>
      <c r="B112" s="254"/>
      <c r="C112" s="1312" t="s">
        <v>1691</v>
      </c>
      <c r="D112" s="1312"/>
      <c r="E112" s="1312"/>
      <c r="F112" s="1312"/>
      <c r="G112" s="1312">
        <v>930</v>
      </c>
      <c r="H112" s="1312">
        <v>7</v>
      </c>
      <c r="I112" s="1312">
        <v>520</v>
      </c>
      <c r="J112" s="1312">
        <v>970</v>
      </c>
      <c r="K112" s="1312">
        <v>1000</v>
      </c>
      <c r="L112" s="1312">
        <v>150</v>
      </c>
      <c r="M112" s="1312"/>
      <c r="N112" s="254"/>
      <c r="O112" s="1641"/>
      <c r="P112"/>
      <c r="S112" s="1312">
        <v>111</v>
      </c>
      <c r="T112" s="1312" t="s">
        <v>1701</v>
      </c>
      <c r="U112" s="1312">
        <v>1040</v>
      </c>
      <c r="V112" s="1312">
        <v>880</v>
      </c>
      <c r="W112" s="1350">
        <v>100</v>
      </c>
      <c r="X112" s="1312"/>
      <c r="AD112" s="1312">
        <v>2</v>
      </c>
      <c r="AE112" s="1312">
        <v>1235</v>
      </c>
      <c r="AF112" s="1312">
        <v>180</v>
      </c>
      <c r="AG112" s="1312">
        <v>1055</v>
      </c>
      <c r="AH112" s="1312">
        <v>300</v>
      </c>
      <c r="AI112" s="1312">
        <v>320</v>
      </c>
      <c r="AJ112" s="1312">
        <v>360</v>
      </c>
      <c r="AK112" s="1312">
        <v>47</v>
      </c>
      <c r="AL112" s="1312">
        <v>60</v>
      </c>
      <c r="AM112" s="1312">
        <v>130</v>
      </c>
      <c r="AN112" s="1350" t="s">
        <v>1162</v>
      </c>
      <c r="BP112">
        <v>377.5</v>
      </c>
      <c r="BQ112" t="s">
        <v>472</v>
      </c>
      <c r="BT112" s="164">
        <f>IF(MAX(BU112:BU1191)&lt;ROW(36:36),"",VLOOKUP(ROW(36:36),BU112:BV1191,2))</f>
        <v>177.5</v>
      </c>
      <c r="BU112" s="165" t="str">
        <f>IF(COUNTIF(BV$76:BV112,BV112)=1,MAX(BU$76:BU111)+1,"")</f>
        <v/>
      </c>
      <c r="BV112" s="1312">
        <v>95</v>
      </c>
      <c r="BW112" s="1312">
        <v>245</v>
      </c>
      <c r="BX112" s="1312">
        <v>140</v>
      </c>
      <c r="BY112">
        <v>115</v>
      </c>
      <c r="BZ112" s="1312" t="s">
        <v>1315</v>
      </c>
      <c r="CA112" s="1352"/>
      <c r="CD112" s="1312">
        <v>430</v>
      </c>
      <c r="CE112" s="1312">
        <v>390</v>
      </c>
      <c r="CF112" s="254">
        <v>265</v>
      </c>
      <c r="CG112" s="1312">
        <v>150</v>
      </c>
      <c r="CH112" s="254">
        <v>500</v>
      </c>
      <c r="CI112">
        <v>400</v>
      </c>
      <c r="CJ112" s="1312" t="s">
        <v>1103</v>
      </c>
      <c r="CK112" s="1352"/>
      <c r="CM112" s="1351"/>
      <c r="CN112" s="1312"/>
      <c r="CO112" s="1312"/>
      <c r="CP112" s="1312"/>
      <c r="CQ112" s="1312"/>
      <c r="CR112" s="1352"/>
      <c r="CS112" s="1352"/>
      <c r="CT112"/>
      <c r="CU112"/>
    </row>
    <row r="113" spans="1:99" x14ac:dyDescent="0.3">
      <c r="A113" s="1312">
        <v>112</v>
      </c>
      <c r="B113" s="254" t="s">
        <v>1827</v>
      </c>
      <c r="C113" s="1312"/>
      <c r="D113" s="1312">
        <v>990</v>
      </c>
      <c r="E113" s="1312">
        <v>2.5</v>
      </c>
      <c r="F113" s="1312">
        <v>165</v>
      </c>
      <c r="G113" s="1312">
        <v>940</v>
      </c>
      <c r="H113" s="1312">
        <v>5</v>
      </c>
      <c r="I113" s="1312">
        <v>1050</v>
      </c>
      <c r="J113" s="1312">
        <v>1060</v>
      </c>
      <c r="K113" s="1312">
        <v>1100</v>
      </c>
      <c r="L113" s="1312">
        <v>280</v>
      </c>
      <c r="M113" s="1312">
        <v>45352</v>
      </c>
      <c r="N113" s="254"/>
      <c r="O113" s="1641"/>
      <c r="P113"/>
      <c r="S113" s="1312">
        <v>112</v>
      </c>
      <c r="T113" s="1312"/>
      <c r="U113" s="1312">
        <v>1070</v>
      </c>
      <c r="V113" s="1312">
        <v>1130</v>
      </c>
      <c r="W113" s="1350">
        <v>100</v>
      </c>
      <c r="X113" s="1312"/>
      <c r="AD113" s="1312">
        <v>48</v>
      </c>
      <c r="AE113" s="1312">
        <v>1210</v>
      </c>
      <c r="AF113" s="1312">
        <v>150</v>
      </c>
      <c r="AG113" s="1312">
        <v>1060</v>
      </c>
      <c r="AH113" s="1312">
        <v>140</v>
      </c>
      <c r="AI113" s="1312">
        <v>157</v>
      </c>
      <c r="AJ113" s="1312">
        <v>185</v>
      </c>
      <c r="AK113" s="1312">
        <v>35</v>
      </c>
      <c r="AL113" s="1312">
        <v>50</v>
      </c>
      <c r="AM113" s="1312">
        <v>110</v>
      </c>
      <c r="AN113" s="1350" t="s">
        <v>1163</v>
      </c>
      <c r="BP113">
        <v>380</v>
      </c>
      <c r="BQ113" t="s">
        <v>473</v>
      </c>
      <c r="BT113" s="164">
        <f>IF(MAX(BU113:BU1192)&lt;ROW(37:37),"",VLOOKUP(ROW(37:37),BU113:BV1192,2))</f>
        <v>180</v>
      </c>
      <c r="BU113" s="165" t="str">
        <f>IF(COUNTIF(BV$76:BV113,BV113)=1,MAX(BU$76:BU112)+1,"")</f>
        <v/>
      </c>
      <c r="BV113" s="1312">
        <v>95</v>
      </c>
      <c r="BW113" s="1312">
        <v>240</v>
      </c>
      <c r="BX113" s="1312">
        <v>140</v>
      </c>
      <c r="BY113">
        <v>115</v>
      </c>
      <c r="BZ113" s="1312" t="s">
        <v>1315</v>
      </c>
      <c r="CA113" s="1352"/>
      <c r="CD113" s="1312">
        <v>495</v>
      </c>
      <c r="CE113" s="1312">
        <v>415</v>
      </c>
      <c r="CF113" s="254">
        <v>235</v>
      </c>
      <c r="CG113" s="1312">
        <v>155</v>
      </c>
      <c r="CH113" s="254">
        <v>550</v>
      </c>
      <c r="CI113">
        <v>400</v>
      </c>
      <c r="CJ113" s="1312">
        <v>7247249</v>
      </c>
      <c r="CK113" s="1352"/>
      <c r="CM113" s="1351"/>
      <c r="CN113" s="1312"/>
      <c r="CO113" s="1312"/>
      <c r="CP113" s="1312"/>
      <c r="CQ113" s="1312"/>
      <c r="CR113" s="1352"/>
      <c r="CS113" s="1352"/>
      <c r="CT113"/>
      <c r="CU113"/>
    </row>
    <row r="114" spans="1:99" x14ac:dyDescent="0.3">
      <c r="A114" s="1312">
        <v>113</v>
      </c>
      <c r="B114" s="254"/>
      <c r="C114" s="1312"/>
      <c r="D114" s="1312"/>
      <c r="E114" s="1312"/>
      <c r="F114" s="1312"/>
      <c r="G114" s="1312">
        <v>950</v>
      </c>
      <c r="H114" s="1312">
        <v>7.5</v>
      </c>
      <c r="I114" s="1312">
        <v>430</v>
      </c>
      <c r="J114" s="1312">
        <v>975</v>
      </c>
      <c r="K114" s="1312">
        <v>995</v>
      </c>
      <c r="L114" s="1312">
        <v>110</v>
      </c>
      <c r="M114" s="1312" t="s">
        <v>1180</v>
      </c>
      <c r="N114" s="254"/>
      <c r="O114" s="1641"/>
      <c r="P114"/>
      <c r="S114" s="1312">
        <v>113</v>
      </c>
      <c r="T114" s="1312"/>
      <c r="U114" s="1312">
        <v>1110</v>
      </c>
      <c r="V114" s="1312">
        <v>1420</v>
      </c>
      <c r="W114" s="1350">
        <v>100</v>
      </c>
      <c r="X114" s="1312"/>
      <c r="AD114" s="1312">
        <v>37</v>
      </c>
      <c r="AE114" s="1312">
        <v>1230</v>
      </c>
      <c r="AF114" s="1312">
        <v>165</v>
      </c>
      <c r="AG114" s="1312">
        <v>1065</v>
      </c>
      <c r="AH114" s="1312">
        <v>338</v>
      </c>
      <c r="AI114" s="1312">
        <v>360</v>
      </c>
      <c r="AJ114" s="1312">
        <v>410</v>
      </c>
      <c r="AK114" s="1312">
        <v>65</v>
      </c>
      <c r="AL114" s="1312">
        <v>76</v>
      </c>
      <c r="AM114" s="1312">
        <v>200</v>
      </c>
      <c r="AN114" s="1350" t="s">
        <v>1164</v>
      </c>
      <c r="BP114">
        <v>382.5</v>
      </c>
      <c r="BQ114" t="s">
        <v>474</v>
      </c>
      <c r="BT114" s="164">
        <f>IF(MAX(BU114:BU1193)&lt;ROW(38:38),"",VLOOKUP(ROW(38:38),BU114:BV1193,2))</f>
        <v>182.5</v>
      </c>
      <c r="BU114" s="165" t="str">
        <f>IF(COUNTIF(BV$76:BV114,BV114)=1,MAX(BU$76:BU113)+1,"")</f>
        <v/>
      </c>
      <c r="BV114" s="1312">
        <v>95</v>
      </c>
      <c r="BW114" s="1312">
        <v>243</v>
      </c>
      <c r="BX114" s="1312">
        <v>140</v>
      </c>
      <c r="BY114">
        <v>115</v>
      </c>
      <c r="BZ114" s="1312" t="s">
        <v>1315</v>
      </c>
      <c r="CA114" s="1352"/>
      <c r="CD114" s="1312">
        <v>460</v>
      </c>
      <c r="CE114" s="1312">
        <v>415</v>
      </c>
      <c r="CF114" s="254">
        <v>350</v>
      </c>
      <c r="CG114" s="1312">
        <v>285</v>
      </c>
      <c r="CH114" s="254">
        <v>500</v>
      </c>
      <c r="CI114">
        <v>400</v>
      </c>
      <c r="CJ114" s="1312">
        <v>7245907</v>
      </c>
      <c r="CK114" s="1352"/>
      <c r="CM114" s="1351"/>
      <c r="CN114" s="1312"/>
      <c r="CO114" s="1312"/>
      <c r="CP114" s="1312"/>
      <c r="CQ114" s="1312"/>
      <c r="CR114" s="1352"/>
      <c r="CS114" s="1352"/>
      <c r="CT114"/>
      <c r="CU114"/>
    </row>
    <row r="115" spans="1:99" x14ac:dyDescent="0.3">
      <c r="A115" s="1312">
        <v>114</v>
      </c>
      <c r="B115" s="254"/>
      <c r="C115" s="1312" t="s">
        <v>1693</v>
      </c>
      <c r="D115" s="1312">
        <v>970</v>
      </c>
      <c r="E115" s="1312">
        <v>10</v>
      </c>
      <c r="F115" s="1312">
        <v>150</v>
      </c>
      <c r="G115" s="1312">
        <v>960</v>
      </c>
      <c r="H115" s="1312">
        <v>7.5</v>
      </c>
      <c r="I115" s="1312">
        <v>710</v>
      </c>
      <c r="J115" s="1312">
        <v>1035</v>
      </c>
      <c r="K115" s="1312">
        <v>1050</v>
      </c>
      <c r="L115" s="1312">
        <v>120</v>
      </c>
      <c r="M115" s="1312"/>
      <c r="N115" s="254"/>
      <c r="O115" s="1641"/>
      <c r="P115" t="s">
        <v>1828</v>
      </c>
      <c r="S115" s="1312">
        <v>114</v>
      </c>
      <c r="T115" s="1312"/>
      <c r="U115" s="1312">
        <v>1130</v>
      </c>
      <c r="V115" s="1312">
        <v>710</v>
      </c>
      <c r="W115" s="1350">
        <v>80</v>
      </c>
      <c r="X115" s="1312" t="s">
        <v>1702</v>
      </c>
      <c r="AD115" s="1312">
        <v>29</v>
      </c>
      <c r="AE115" s="1312">
        <v>1215</v>
      </c>
      <c r="AF115" s="1312">
        <v>140</v>
      </c>
      <c r="AG115" s="1312">
        <v>1075</v>
      </c>
      <c r="AH115" s="1312">
        <v>235</v>
      </c>
      <c r="AI115" s="1312">
        <v>250</v>
      </c>
      <c r="AJ115" s="1312">
        <v>285</v>
      </c>
      <c r="AK115" s="1312">
        <v>45</v>
      </c>
      <c r="AL115" s="1312">
        <v>58</v>
      </c>
      <c r="AM115" s="1312">
        <v>110</v>
      </c>
      <c r="AN115" s="1350" t="s">
        <v>1165</v>
      </c>
      <c r="BP115">
        <v>385</v>
      </c>
      <c r="BQ115" t="s">
        <v>475</v>
      </c>
      <c r="BT115" s="164">
        <f>IF(MAX(BU115:BU1194)&lt;ROW(39:39),"",VLOOKUP(ROW(39:39),BU115:BV1194,2))</f>
        <v>185</v>
      </c>
      <c r="BU115" s="165" t="str">
        <f>IF(COUNTIF(BV$76:BV115,BV115)=1,MAX(BU$76:BU114)+1,"")</f>
        <v/>
      </c>
      <c r="BV115" s="1312">
        <v>95</v>
      </c>
      <c r="BW115" s="1312">
        <v>243</v>
      </c>
      <c r="BX115" s="1312">
        <v>140</v>
      </c>
      <c r="BY115">
        <v>115</v>
      </c>
      <c r="BZ115" s="1312" t="s">
        <v>1315</v>
      </c>
      <c r="CA115" s="1352"/>
      <c r="CD115" s="1312">
        <v>466</v>
      </c>
      <c r="CE115" s="1312">
        <v>445</v>
      </c>
      <c r="CF115" s="254">
        <v>190</v>
      </c>
      <c r="CG115" s="1312">
        <v>115</v>
      </c>
      <c r="CH115" s="254">
        <v>500</v>
      </c>
      <c r="CI115">
        <v>400</v>
      </c>
      <c r="CJ115" s="1312">
        <v>7247900</v>
      </c>
      <c r="CK115" s="1352"/>
      <c r="CM115" s="1351"/>
      <c r="CN115" s="1312"/>
      <c r="CO115" s="1312"/>
      <c r="CP115" s="1312"/>
      <c r="CQ115" s="1312"/>
      <c r="CR115" s="1352"/>
      <c r="CS115" s="1352"/>
      <c r="CT115"/>
      <c r="CU115"/>
    </row>
    <row r="116" spans="1:99" x14ac:dyDescent="0.3">
      <c r="A116" s="1312">
        <v>115</v>
      </c>
      <c r="B116" s="254"/>
      <c r="C116" s="1312"/>
      <c r="D116" s="1312"/>
      <c r="E116" s="1312"/>
      <c r="F116" s="1312"/>
      <c r="G116" s="1312">
        <v>990</v>
      </c>
      <c r="H116" s="1312">
        <v>3.5</v>
      </c>
      <c r="I116" s="1312">
        <v>640</v>
      </c>
      <c r="J116" s="1312">
        <v>1040</v>
      </c>
      <c r="K116" s="1312">
        <v>1065</v>
      </c>
      <c r="L116" s="1312">
        <v>150</v>
      </c>
      <c r="M116" s="1312"/>
      <c r="N116" s="254"/>
      <c r="O116" s="1641"/>
      <c r="P116"/>
      <c r="S116" s="1312">
        <v>115</v>
      </c>
      <c r="T116" s="1312"/>
      <c r="U116" s="1312">
        <v>1150</v>
      </c>
      <c r="V116" s="1312">
        <v>580</v>
      </c>
      <c r="W116" s="1350">
        <v>80</v>
      </c>
      <c r="X116" s="1312"/>
      <c r="AD116" s="1312">
        <v>112</v>
      </c>
      <c r="AE116" s="1312">
        <v>1280</v>
      </c>
      <c r="AF116" s="1312">
        <v>200</v>
      </c>
      <c r="AG116" s="1312">
        <v>1095</v>
      </c>
      <c r="AH116" s="1312">
        <v>335</v>
      </c>
      <c r="AI116" s="1312">
        <v>360</v>
      </c>
      <c r="AJ116" s="1312">
        <v>400</v>
      </c>
      <c r="AK116" s="1312">
        <v>55</v>
      </c>
      <c r="AL116" s="1312">
        <v>80</v>
      </c>
      <c r="AM116" s="1312">
        <v>155</v>
      </c>
      <c r="AN116" s="1350" t="s">
        <v>1166</v>
      </c>
      <c r="BP116">
        <v>390</v>
      </c>
      <c r="BQ116" t="s">
        <v>476</v>
      </c>
      <c r="BT116" s="164">
        <f>IF(MAX(BU116:BU1195)&lt;ROW(40:40),"",VLOOKUP(ROW(40:40),BU116:BV1195,2))</f>
        <v>187.5</v>
      </c>
      <c r="BU116" s="165" t="str">
        <f>IF(COUNTIF(BV$76:BV116,BV116)=1,MAX(BU$76:BU115)+1,"")</f>
        <v/>
      </c>
      <c r="BV116" s="1312">
        <v>95</v>
      </c>
      <c r="BW116" s="1312">
        <v>244</v>
      </c>
      <c r="BX116" s="1312">
        <v>140</v>
      </c>
      <c r="BY116">
        <v>115</v>
      </c>
      <c r="BZ116" s="1312" t="s">
        <v>1315</v>
      </c>
      <c r="CA116" s="1352"/>
      <c r="CD116" s="1312">
        <v>481</v>
      </c>
      <c r="CE116" s="1312">
        <v>455</v>
      </c>
      <c r="CF116" s="254">
        <v>397</v>
      </c>
      <c r="CG116" s="1312">
        <v>350</v>
      </c>
      <c r="CH116" s="254">
        <v>520</v>
      </c>
      <c r="CI116">
        <v>400</v>
      </c>
      <c r="CJ116" s="1312">
        <v>7247250</v>
      </c>
      <c r="CK116" s="1352"/>
      <c r="CM116" s="1351"/>
      <c r="CN116" s="1312"/>
      <c r="CO116" s="1312"/>
      <c r="CP116" s="1312"/>
      <c r="CQ116" s="1312"/>
      <c r="CR116" s="1352"/>
      <c r="CS116" s="1352"/>
      <c r="CT116"/>
      <c r="CU116"/>
    </row>
    <row r="117" spans="1:99" x14ac:dyDescent="0.3">
      <c r="A117" s="1312">
        <v>116</v>
      </c>
      <c r="B117" s="254" t="s">
        <v>1246</v>
      </c>
      <c r="C117" s="1312" t="s">
        <v>1247</v>
      </c>
      <c r="D117" s="1312"/>
      <c r="E117" s="1312"/>
      <c r="F117" s="1312"/>
      <c r="G117" s="1312">
        <v>1000</v>
      </c>
      <c r="H117" s="1312">
        <v>3</v>
      </c>
      <c r="I117" s="1312">
        <v>440</v>
      </c>
      <c r="J117" s="1312">
        <v>1050</v>
      </c>
      <c r="K117" s="1312">
        <v>1070</v>
      </c>
      <c r="L117" s="1312">
        <v>150</v>
      </c>
      <c r="M117" s="1312" t="s">
        <v>1248</v>
      </c>
      <c r="N117" s="254"/>
      <c r="O117" s="1641"/>
      <c r="P117" t="s">
        <v>1829</v>
      </c>
      <c r="S117" s="1312">
        <v>116</v>
      </c>
      <c r="T117" s="1312" t="s">
        <v>1703</v>
      </c>
      <c r="U117" s="1312">
        <v>1160</v>
      </c>
      <c r="V117" s="1312">
        <v>910</v>
      </c>
      <c r="W117" s="1350">
        <v>100</v>
      </c>
      <c r="X117" s="1312"/>
      <c r="AD117" s="1312">
        <v>108</v>
      </c>
      <c r="AE117" s="1312">
        <v>1305</v>
      </c>
      <c r="AF117" s="1312">
        <v>185</v>
      </c>
      <c r="AG117" s="1312">
        <v>1120</v>
      </c>
      <c r="AH117" s="1312">
        <v>240</v>
      </c>
      <c r="AI117" s="1312">
        <v>260</v>
      </c>
      <c r="AJ117" s="1312">
        <v>295</v>
      </c>
      <c r="AK117" s="1312">
        <v>32</v>
      </c>
      <c r="AL117" s="1312">
        <v>41</v>
      </c>
      <c r="AM117" s="1312">
        <v>110</v>
      </c>
      <c r="BP117">
        <v>392.5</v>
      </c>
      <c r="BQ117" t="s">
        <v>477</v>
      </c>
      <c r="BT117" s="164">
        <f>IF(MAX(BU117:BU1196)&lt;ROW(41:41),"",VLOOKUP(ROW(41:41),BU117:BV1196,2))</f>
        <v>190</v>
      </c>
      <c r="BU117" s="165" t="str">
        <f>IF(COUNTIF(BV$76:BV117,BV117)=1,MAX(BU$76:BU116)+1,"")</f>
        <v/>
      </c>
      <c r="BV117" s="1312">
        <v>95</v>
      </c>
      <c r="BW117" s="1312">
        <v>245</v>
      </c>
      <c r="BX117" s="1312">
        <v>140</v>
      </c>
      <c r="BY117">
        <v>115</v>
      </c>
      <c r="BZ117" s="1312" t="s">
        <v>1315</v>
      </c>
      <c r="CA117" s="1352"/>
      <c r="CD117" s="1312">
        <v>490</v>
      </c>
      <c r="CE117" s="1312">
        <v>465</v>
      </c>
      <c r="CF117" s="254">
        <v>410</v>
      </c>
      <c r="CG117" s="1312">
        <v>360</v>
      </c>
      <c r="CH117" s="254">
        <v>550</v>
      </c>
      <c r="CI117">
        <v>400</v>
      </c>
      <c r="CJ117" s="1312">
        <v>7247250</v>
      </c>
      <c r="CK117" s="1352"/>
      <c r="CM117" s="1351"/>
      <c r="CN117" s="1312"/>
      <c r="CO117" s="1312"/>
      <c r="CP117" s="1312"/>
      <c r="CQ117" s="1312"/>
      <c r="CR117" s="1352"/>
      <c r="CS117" s="1352"/>
      <c r="CT117"/>
      <c r="CU117"/>
    </row>
    <row r="118" spans="1:99" x14ac:dyDescent="0.3">
      <c r="A118" s="1312">
        <v>117</v>
      </c>
      <c r="B118" s="254" t="s">
        <v>1845</v>
      </c>
      <c r="C118" s="1312"/>
      <c r="D118" s="1312"/>
      <c r="E118" s="1312"/>
      <c r="F118" s="1312"/>
      <c r="G118" s="1312">
        <v>1000</v>
      </c>
      <c r="H118" s="1312">
        <v>7.5</v>
      </c>
      <c r="I118" s="1312">
        <v>1030</v>
      </c>
      <c r="J118" s="1312">
        <v>1070</v>
      </c>
      <c r="K118" s="1312">
        <v>1090</v>
      </c>
      <c r="L118" s="1312">
        <v>130</v>
      </c>
      <c r="M118" s="1312" t="s">
        <v>1192</v>
      </c>
      <c r="N118" s="254"/>
      <c r="O118" s="1641"/>
      <c r="P118" t="s">
        <v>1830</v>
      </c>
      <c r="S118" s="1312">
        <v>117</v>
      </c>
      <c r="T118" s="1312" t="s">
        <v>1704</v>
      </c>
      <c r="U118" s="1312">
        <v>1200</v>
      </c>
      <c r="V118" s="1312">
        <v>780</v>
      </c>
      <c r="W118" s="1350">
        <v>100</v>
      </c>
      <c r="X118" s="1312"/>
      <c r="AD118" s="1312">
        <v>24</v>
      </c>
      <c r="AE118" s="1312">
        <v>1305</v>
      </c>
      <c r="AF118" s="1312">
        <v>165</v>
      </c>
      <c r="AG118" s="1312">
        <v>1140</v>
      </c>
      <c r="AH118" s="1312">
        <v>195</v>
      </c>
      <c r="AI118" s="1312">
        <v>200</v>
      </c>
      <c r="AJ118" s="1312">
        <v>240</v>
      </c>
      <c r="AK118" s="1312">
        <v>30</v>
      </c>
      <c r="AL118" s="1312">
        <v>42</v>
      </c>
      <c r="AM118" s="1312">
        <v>75</v>
      </c>
      <c r="AN118" s="1350" t="s">
        <v>1167</v>
      </c>
      <c r="BP118">
        <v>397.5</v>
      </c>
      <c r="BQ118" t="s">
        <v>478</v>
      </c>
      <c r="BT118" s="164">
        <f>IF(MAX(BU118:BU1197)&lt;ROW(42:42),"",VLOOKUP(ROW(42:42),BU118:BV1197,2))</f>
        <v>192.5</v>
      </c>
      <c r="BU118" s="165">
        <f>IF(COUNTIF(BV$76:BV118,BV118)=1,MAX(BU$76:BU117)+1,"")</f>
        <v>6</v>
      </c>
      <c r="BV118" s="1312">
        <v>100</v>
      </c>
      <c r="BW118" s="1312">
        <v>250</v>
      </c>
      <c r="BX118" s="1312">
        <v>185</v>
      </c>
      <c r="BY118">
        <v>320</v>
      </c>
      <c r="BZ118" s="1312" t="s">
        <v>1316</v>
      </c>
      <c r="CA118" s="1352"/>
      <c r="CD118" s="1312">
        <v>490</v>
      </c>
      <c r="CE118" s="1312">
        <v>455</v>
      </c>
      <c r="CF118" s="254">
        <v>395</v>
      </c>
      <c r="CG118" s="1312">
        <v>345</v>
      </c>
      <c r="CH118" s="254">
        <v>550</v>
      </c>
      <c r="CI118">
        <v>400</v>
      </c>
      <c r="CJ118" s="1312">
        <v>7247250</v>
      </c>
      <c r="CK118" s="1352"/>
      <c r="CM118" s="1351"/>
      <c r="CN118" s="1312"/>
      <c r="CO118" s="1312"/>
      <c r="CP118" s="1312"/>
      <c r="CQ118" s="1312"/>
      <c r="CR118" s="1352"/>
      <c r="CS118" s="1352"/>
      <c r="CT118"/>
      <c r="CU118"/>
    </row>
    <row r="119" spans="1:99" x14ac:dyDescent="0.3">
      <c r="A119" s="1312">
        <v>118</v>
      </c>
      <c r="B119" s="254"/>
      <c r="C119" s="1312"/>
      <c r="D119" s="1312"/>
      <c r="E119" s="1312"/>
      <c r="F119" s="1312"/>
      <c r="G119" s="1312">
        <v>1050</v>
      </c>
      <c r="H119" s="1312">
        <v>10</v>
      </c>
      <c r="I119" s="1312">
        <v>680</v>
      </c>
      <c r="J119" s="1312">
        <v>1110</v>
      </c>
      <c r="K119" s="1312">
        <v>1125</v>
      </c>
      <c r="L119" s="1312">
        <v>120</v>
      </c>
      <c r="M119" s="1312"/>
      <c r="N119" s="254"/>
      <c r="O119" s="1641"/>
      <c r="P119"/>
      <c r="S119" s="1312">
        <v>118</v>
      </c>
      <c r="T119" s="1312"/>
      <c r="U119" s="1312">
        <v>1220</v>
      </c>
      <c r="V119" s="1312">
        <v>1220</v>
      </c>
      <c r="W119" s="1350">
        <v>100</v>
      </c>
      <c r="X119" s="1312"/>
      <c r="AD119" s="1312">
        <v>119</v>
      </c>
      <c r="AE119" s="1312">
        <v>1470</v>
      </c>
      <c r="AF119" s="1312">
        <v>280</v>
      </c>
      <c r="AG119" s="1312">
        <v>1190</v>
      </c>
      <c r="AH119" s="1312">
        <v>220</v>
      </c>
      <c r="AI119" s="1312">
        <v>235</v>
      </c>
      <c r="AJ119" s="1312">
        <v>285</v>
      </c>
      <c r="AK119" s="1312">
        <v>51</v>
      </c>
      <c r="AL119" s="1312">
        <v>60</v>
      </c>
      <c r="AM119" s="1312">
        <v>150</v>
      </c>
      <c r="BP119">
        <v>405</v>
      </c>
      <c r="BQ119" t="s">
        <v>479</v>
      </c>
      <c r="BT119" s="164">
        <f>IF(MAX(BU119:BU1198)&lt;ROW(43:43),"",VLOOKUP(ROW(43:43),BU119:BV1198,2))</f>
        <v>195</v>
      </c>
      <c r="BU119" s="165" t="str">
        <f>IF(COUNTIF(BV$76:BV119,BV119)=1,MAX(BU$76:BU118)+1,"")</f>
        <v/>
      </c>
      <c r="BV119" s="1312">
        <v>100</v>
      </c>
      <c r="BW119" s="1312">
        <v>255</v>
      </c>
      <c r="BX119" s="1312">
        <v>185</v>
      </c>
      <c r="BY119">
        <v>320</v>
      </c>
      <c r="BZ119" s="1312" t="s">
        <v>1316</v>
      </c>
      <c r="CA119" s="1352"/>
      <c r="CD119" s="1312">
        <v>488</v>
      </c>
      <c r="CE119" s="1312">
        <v>457.5</v>
      </c>
      <c r="CF119" s="254">
        <v>355</v>
      </c>
      <c r="CG119" s="1312">
        <v>308</v>
      </c>
      <c r="CH119" s="254">
        <v>550</v>
      </c>
      <c r="CI119">
        <v>400</v>
      </c>
      <c r="CJ119" s="1312">
        <v>7247250</v>
      </c>
      <c r="CK119" s="1352"/>
      <c r="CM119" s="1351"/>
      <c r="CN119" s="1312"/>
      <c r="CO119" s="1312"/>
      <c r="CP119" s="1312"/>
      <c r="CQ119" s="1312"/>
      <c r="CR119" s="1352"/>
      <c r="CS119" s="1352"/>
      <c r="CT119"/>
      <c r="CU119"/>
    </row>
    <row r="120" spans="1:99" x14ac:dyDescent="0.3">
      <c r="A120" s="1312">
        <v>119</v>
      </c>
      <c r="B120" s="254"/>
      <c r="C120" s="1312"/>
      <c r="D120" s="1312">
        <v>1095</v>
      </c>
      <c r="E120" s="1312">
        <v>2.5</v>
      </c>
      <c r="F120" s="1312">
        <v>60</v>
      </c>
      <c r="G120" s="1312">
        <v>1060</v>
      </c>
      <c r="H120" s="1312">
        <v>2.5</v>
      </c>
      <c r="I120" s="1312">
        <v>120</v>
      </c>
      <c r="J120" s="1312">
        <v>1140</v>
      </c>
      <c r="K120" s="1312">
        <v>1170</v>
      </c>
      <c r="L120" s="1312">
        <v>140</v>
      </c>
      <c r="M120" s="1312"/>
      <c r="N120" s="254"/>
      <c r="O120" s="1641"/>
      <c r="P120"/>
      <c r="S120" s="1312">
        <v>119</v>
      </c>
      <c r="T120" s="1312"/>
      <c r="U120" s="1312">
        <v>1235</v>
      </c>
      <c r="V120" s="1312">
        <v>800</v>
      </c>
      <c r="W120" s="1350">
        <v>100</v>
      </c>
      <c r="X120" s="1312" t="s">
        <v>1705</v>
      </c>
      <c r="AD120" s="1312">
        <v>41</v>
      </c>
      <c r="AE120" s="1312">
        <v>1470</v>
      </c>
      <c r="AF120" s="1312">
        <v>280</v>
      </c>
      <c r="AG120" s="1312">
        <v>1190</v>
      </c>
      <c r="AH120" s="1312">
        <v>223</v>
      </c>
      <c r="AI120" s="1312">
        <v>237</v>
      </c>
      <c r="AJ120" s="1312">
        <v>290</v>
      </c>
      <c r="AK120" s="1312">
        <v>60</v>
      </c>
      <c r="AL120" s="1312">
        <v>73</v>
      </c>
      <c r="AM120" s="1312">
        <v>185</v>
      </c>
      <c r="AN120" s="1350" t="s">
        <v>1168</v>
      </c>
      <c r="BP120">
        <v>410</v>
      </c>
      <c r="BQ120" t="s">
        <v>480</v>
      </c>
      <c r="BT120" s="164">
        <f>IF(MAX(BU120:BU1199)&lt;ROW(44:44),"",VLOOKUP(ROW(44:44),BU120:BV1199,2))</f>
        <v>197.5</v>
      </c>
      <c r="BU120" s="165" t="str">
        <f>IF(COUNTIF(BV$76:BV120,BV120)=1,MAX(BU$76:BU119)+1,"")</f>
        <v/>
      </c>
      <c r="BV120" s="1312">
        <v>100</v>
      </c>
      <c r="BW120" s="1312">
        <v>243</v>
      </c>
      <c r="BX120" s="1312">
        <v>140</v>
      </c>
      <c r="BY120">
        <v>115</v>
      </c>
      <c r="BZ120" s="1312" t="s">
        <v>1316</v>
      </c>
      <c r="CA120" s="1352"/>
      <c r="CD120" s="1312">
        <v>520</v>
      </c>
      <c r="CE120" s="1312">
        <v>470</v>
      </c>
      <c r="CF120" s="254">
        <v>340</v>
      </c>
      <c r="CG120" s="1312">
        <v>265</v>
      </c>
      <c r="CH120" s="254">
        <v>570</v>
      </c>
      <c r="CI120">
        <v>400</v>
      </c>
      <c r="CJ120" s="1312">
        <v>10252762</v>
      </c>
      <c r="CK120" s="1352"/>
      <c r="CM120" s="1351"/>
      <c r="CN120" s="1312"/>
      <c r="CO120" s="1312"/>
      <c r="CP120" s="1312"/>
      <c r="CQ120" s="1312"/>
      <c r="CR120" s="1352"/>
      <c r="CS120" s="1352"/>
      <c r="CT120"/>
      <c r="CU120"/>
    </row>
    <row r="121" spans="1:99" x14ac:dyDescent="0.3">
      <c r="A121" s="1312">
        <v>120</v>
      </c>
      <c r="B121" s="254"/>
      <c r="C121" s="1312"/>
      <c r="D121" s="1312"/>
      <c r="E121" s="1312"/>
      <c r="F121" s="1312"/>
      <c r="G121" s="1312">
        <v>1090</v>
      </c>
      <c r="H121" s="1312">
        <v>5</v>
      </c>
      <c r="I121" s="1312">
        <v>470</v>
      </c>
      <c r="J121" s="1312"/>
      <c r="K121" s="1312"/>
      <c r="L121" s="1312"/>
      <c r="M121" s="1312" t="s">
        <v>1187</v>
      </c>
      <c r="N121" s="254"/>
      <c r="O121" s="1641"/>
      <c r="P121"/>
      <c r="S121" s="1312">
        <v>120</v>
      </c>
      <c r="T121" s="1312"/>
      <c r="U121" s="1312">
        <v>1290</v>
      </c>
      <c r="V121" s="1312">
        <v>1060</v>
      </c>
      <c r="W121" s="1350">
        <v>100</v>
      </c>
      <c r="X121" s="1312"/>
      <c r="AD121" s="1312">
        <v>66</v>
      </c>
      <c r="AE121" s="1312">
        <v>1470</v>
      </c>
      <c r="AF121" s="1312">
        <v>240</v>
      </c>
      <c r="AG121" s="1312">
        <v>1230</v>
      </c>
      <c r="AH121" s="1312">
        <v>245</v>
      </c>
      <c r="AI121" s="1312">
        <v>270</v>
      </c>
      <c r="AJ121" s="1312">
        <v>320</v>
      </c>
      <c r="AK121" s="1312">
        <v>42</v>
      </c>
      <c r="AL121" s="1312">
        <v>55</v>
      </c>
      <c r="AM121" s="1312">
        <v>140</v>
      </c>
      <c r="BP121">
        <v>412.5</v>
      </c>
      <c r="BQ121" t="s">
        <v>481</v>
      </c>
      <c r="BT121" s="164">
        <f>IF(MAX(BU121:BU1200)&lt;ROW(45:45),"",VLOOKUP(ROW(45:45),BU121:BV1200,2))</f>
        <v>200</v>
      </c>
      <c r="BU121" s="165" t="str">
        <f>IF(COUNTIF(BV$76:BV121,BV121)=1,MAX(BU$76:BU120)+1,"")</f>
        <v/>
      </c>
      <c r="BV121" s="1312">
        <v>100</v>
      </c>
      <c r="BW121" s="1312">
        <v>260</v>
      </c>
      <c r="BX121" s="1312">
        <v>185</v>
      </c>
      <c r="BY121">
        <v>320</v>
      </c>
      <c r="BZ121" s="1312" t="s">
        <v>1316</v>
      </c>
      <c r="CA121" s="1352"/>
      <c r="CD121" s="1312">
        <v>520</v>
      </c>
      <c r="CE121" s="1312">
        <v>470</v>
      </c>
      <c r="CF121" s="254">
        <v>310</v>
      </c>
      <c r="CG121" s="1312">
        <v>255</v>
      </c>
      <c r="CH121" s="254">
        <v>610</v>
      </c>
      <c r="CI121">
        <v>400</v>
      </c>
      <c r="CJ121" s="1312">
        <v>7247349</v>
      </c>
      <c r="CK121" s="1352"/>
      <c r="CM121" s="1351"/>
      <c r="CN121" s="1312"/>
      <c r="CO121" s="1312"/>
      <c r="CP121" s="1312"/>
      <c r="CQ121" s="1312"/>
      <c r="CR121" s="1352"/>
      <c r="CS121" s="1352"/>
      <c r="CT121"/>
      <c r="CU121"/>
    </row>
    <row r="122" spans="1:99" x14ac:dyDescent="0.3">
      <c r="A122" s="1312">
        <v>121</v>
      </c>
      <c r="B122" s="254" t="s">
        <v>1831</v>
      </c>
      <c r="C122" s="1312" t="s">
        <v>1832</v>
      </c>
      <c r="D122" s="1312"/>
      <c r="E122" s="1312"/>
      <c r="F122" s="1312"/>
      <c r="G122" s="1312">
        <v>1090</v>
      </c>
      <c r="H122" s="1312"/>
      <c r="I122" s="1312">
        <v>250</v>
      </c>
      <c r="J122" s="1312">
        <v>310</v>
      </c>
      <c r="K122" s="1312">
        <v>445</v>
      </c>
      <c r="L122" s="1312">
        <v>415</v>
      </c>
      <c r="M122" s="1312" t="s">
        <v>1833</v>
      </c>
      <c r="N122" s="254"/>
      <c r="O122" s="1641"/>
      <c r="P122"/>
      <c r="S122" s="1312">
        <v>121</v>
      </c>
      <c r="T122" s="1312" t="s">
        <v>1706</v>
      </c>
      <c r="U122" s="1312">
        <v>1355</v>
      </c>
      <c r="V122" s="1312">
        <v>900</v>
      </c>
      <c r="W122" s="1350">
        <v>150</v>
      </c>
      <c r="X122" s="1312"/>
      <c r="AD122" s="1312">
        <v>140</v>
      </c>
      <c r="AE122" s="1312">
        <v>1460</v>
      </c>
      <c r="AF122" s="1312">
        <v>230</v>
      </c>
      <c r="AG122" s="1312">
        <v>1230</v>
      </c>
      <c r="AH122" s="1312">
        <v>300</v>
      </c>
      <c r="AI122" s="1312">
        <v>320</v>
      </c>
      <c r="AJ122" s="1312">
        <v>370</v>
      </c>
      <c r="AK122" s="1312">
        <v>75</v>
      </c>
      <c r="AL122" s="1312">
        <v>90</v>
      </c>
      <c r="AM122" s="1312">
        <v>170</v>
      </c>
      <c r="AN122" s="1350" t="s">
        <v>1169</v>
      </c>
      <c r="BP122">
        <v>415</v>
      </c>
      <c r="BQ122" t="s">
        <v>482</v>
      </c>
      <c r="BT122" s="164">
        <f>IF(MAX(BU122:BU1201)&lt;ROW(46:46),"",VLOOKUP(ROW(46:46),BU122:BV1201,2))</f>
        <v>202.5</v>
      </c>
      <c r="BU122" s="165">
        <f>IF(COUNTIF(BV$76:BV122,BV122)=1,MAX(BU$76:BU121)+1,"")</f>
        <v>7</v>
      </c>
      <c r="BV122" s="1312">
        <v>102.5</v>
      </c>
      <c r="BW122" s="1312">
        <v>255</v>
      </c>
      <c r="BX122" s="1312">
        <v>185</v>
      </c>
      <c r="BY122">
        <v>320</v>
      </c>
      <c r="BZ122" s="1312" t="s">
        <v>1317</v>
      </c>
      <c r="CA122" s="1352"/>
      <c r="CD122" s="1312">
        <v>520</v>
      </c>
      <c r="CE122" s="1312">
        <v>470</v>
      </c>
      <c r="CF122" s="254">
        <v>315</v>
      </c>
      <c r="CG122" s="1312">
        <v>260</v>
      </c>
      <c r="CH122" s="254">
        <v>610</v>
      </c>
      <c r="CI122">
        <v>400</v>
      </c>
      <c r="CJ122" s="1312">
        <v>7247349</v>
      </c>
      <c r="CK122" s="1352"/>
      <c r="CM122" s="1351"/>
      <c r="CN122" s="1312"/>
      <c r="CO122" s="1312"/>
      <c r="CP122" s="1312"/>
      <c r="CQ122" s="1312"/>
      <c r="CR122" s="1352"/>
      <c r="CS122" s="1352"/>
      <c r="CT122"/>
      <c r="CU122"/>
    </row>
    <row r="123" spans="1:99" x14ac:dyDescent="0.3">
      <c r="A123" s="1312">
        <v>122</v>
      </c>
      <c r="B123" s="254"/>
      <c r="C123" s="1312" t="s">
        <v>1834</v>
      </c>
      <c r="D123" s="1312"/>
      <c r="E123" s="1312"/>
      <c r="F123" s="1312"/>
      <c r="G123" s="1312">
        <v>1095</v>
      </c>
      <c r="H123" s="1312">
        <v>7.5</v>
      </c>
      <c r="I123" s="1312">
        <v>960</v>
      </c>
      <c r="J123" s="1312">
        <v>1145</v>
      </c>
      <c r="K123" s="1312">
        <v>1070</v>
      </c>
      <c r="L123" s="1312">
        <v>150</v>
      </c>
      <c r="M123" s="1312" t="s">
        <v>1179</v>
      </c>
      <c r="N123" s="254"/>
      <c r="O123" s="1641"/>
      <c r="P123" t="s">
        <v>1835</v>
      </c>
      <c r="S123" s="1312">
        <v>122</v>
      </c>
      <c r="T123" s="1312"/>
      <c r="U123" s="1312">
        <v>1455</v>
      </c>
      <c r="V123" s="1312">
        <v>1270</v>
      </c>
      <c r="W123" s="1350">
        <v>100</v>
      </c>
      <c r="X123" s="1312"/>
      <c r="AD123" s="1312">
        <v>7</v>
      </c>
      <c r="AE123" s="1312">
        <v>1480</v>
      </c>
      <c r="AF123" s="1312">
        <v>245</v>
      </c>
      <c r="AG123" s="1312">
        <v>1235</v>
      </c>
      <c r="AH123" s="1312">
        <v>465</v>
      </c>
      <c r="AI123" s="1312">
        <v>488</v>
      </c>
      <c r="AJ123" s="1312">
        <v>540</v>
      </c>
      <c r="AK123" s="1312">
        <v>42</v>
      </c>
      <c r="AL123" s="1312">
        <v>57</v>
      </c>
      <c r="AM123" s="1312">
        <v>153</v>
      </c>
      <c r="AN123" s="1350" t="s">
        <v>1170</v>
      </c>
      <c r="BP123">
        <v>417.5</v>
      </c>
      <c r="BQ123" t="s">
        <v>483</v>
      </c>
      <c r="BT123" s="164">
        <f>IF(MAX(BU123:BU1202)&lt;ROW(47:47),"",VLOOKUP(ROW(47:47),BU123:BV1202,2))</f>
        <v>205</v>
      </c>
      <c r="BU123" s="165" t="str">
        <f>IF(COUNTIF(BV$76:BV123,BV123)=1,MAX(BU$76:BU122)+1,"")</f>
        <v/>
      </c>
      <c r="BV123" s="1312">
        <v>102.5</v>
      </c>
      <c r="BW123" s="1312">
        <v>252</v>
      </c>
      <c r="BX123" s="1312">
        <v>185</v>
      </c>
      <c r="BY123">
        <v>320</v>
      </c>
      <c r="BZ123" s="1312" t="s">
        <v>1317</v>
      </c>
      <c r="CA123" s="1352"/>
      <c r="CD123" s="1312">
        <v>510</v>
      </c>
      <c r="CE123" s="1312">
        <v>470</v>
      </c>
      <c r="CF123" s="254">
        <v>350</v>
      </c>
      <c r="CG123" s="1312">
        <v>290</v>
      </c>
      <c r="CH123" s="254">
        <v>550</v>
      </c>
      <c r="CI123">
        <v>400</v>
      </c>
      <c r="CJ123" s="1312">
        <v>7247085</v>
      </c>
      <c r="CK123" s="1352"/>
      <c r="CM123" s="1351"/>
      <c r="CN123" s="1312"/>
      <c r="CO123" s="1312"/>
      <c r="CP123" s="1312"/>
      <c r="CQ123" s="1312"/>
      <c r="CR123" s="1352"/>
      <c r="CS123" s="1352"/>
      <c r="CT123"/>
      <c r="CU123"/>
    </row>
    <row r="124" spans="1:99" ht="57.6" x14ac:dyDescent="0.3">
      <c r="A124" s="1312">
        <v>123</v>
      </c>
      <c r="B124" s="254"/>
      <c r="C124" s="1312"/>
      <c r="D124" s="1312"/>
      <c r="E124" s="1312"/>
      <c r="F124" s="1312"/>
      <c r="G124" s="1312">
        <v>1130</v>
      </c>
      <c r="H124" s="1312">
        <v>10</v>
      </c>
      <c r="I124" s="1312">
        <v>250</v>
      </c>
      <c r="J124" s="1312"/>
      <c r="K124" s="1312"/>
      <c r="L124" s="1312"/>
      <c r="M124" s="1312" t="s">
        <v>1187</v>
      </c>
      <c r="N124" s="254"/>
      <c r="O124" s="1641"/>
      <c r="P124"/>
      <c r="S124" s="1312">
        <v>123</v>
      </c>
      <c r="T124" s="1312"/>
      <c r="U124" s="1312">
        <v>1585</v>
      </c>
      <c r="V124" s="1312">
        <v>1380</v>
      </c>
      <c r="W124" s="1350">
        <v>150</v>
      </c>
      <c r="X124" s="1312"/>
      <c r="AD124" s="1312">
        <v>9</v>
      </c>
      <c r="AE124" s="1312">
        <v>1410</v>
      </c>
      <c r="AF124" s="1312">
        <v>160</v>
      </c>
      <c r="AG124" s="1312">
        <v>1250</v>
      </c>
      <c r="AH124" s="1312">
        <v>360</v>
      </c>
      <c r="AI124" s="1312">
        <v>377</v>
      </c>
      <c r="AJ124" s="1312">
        <v>420</v>
      </c>
      <c r="AK124" s="1312">
        <v>53</v>
      </c>
      <c r="AL124" s="1312">
        <v>63</v>
      </c>
      <c r="AM124" s="1312">
        <v>125</v>
      </c>
      <c r="AN124" s="1350" t="s">
        <v>1171</v>
      </c>
      <c r="BP124">
        <v>420</v>
      </c>
      <c r="BQ124" t="s">
        <v>484</v>
      </c>
      <c r="BT124" s="164">
        <f>IF(MAX(BU124:BU1203)&lt;ROW(48:48),"",VLOOKUP(ROW(48:48),BU124:BV1203,2))</f>
        <v>207.5</v>
      </c>
      <c r="BU124" s="165" t="str">
        <f>IF(COUNTIF(BV$76:BV124,BV124)=1,MAX(BU$76:BU123)+1,"")</f>
        <v/>
      </c>
      <c r="BV124" s="1312">
        <v>102.5</v>
      </c>
      <c r="BW124" s="1312">
        <v>256</v>
      </c>
      <c r="BX124" s="1312">
        <v>185</v>
      </c>
      <c r="BY124">
        <v>320</v>
      </c>
      <c r="BZ124" s="1312" t="s">
        <v>1317</v>
      </c>
      <c r="CA124" s="1352"/>
      <c r="CD124" s="1312">
        <v>500</v>
      </c>
      <c r="CE124" s="1312">
        <v>480</v>
      </c>
      <c r="CF124" s="254">
        <v>825</v>
      </c>
      <c r="CG124" s="1312">
        <v>740</v>
      </c>
      <c r="CH124" s="254">
        <v>550</v>
      </c>
      <c r="CI124">
        <v>400</v>
      </c>
      <c r="CJ124" s="1312">
        <v>7247090</v>
      </c>
      <c r="CK124" s="1352" t="s">
        <v>1610</v>
      </c>
      <c r="CM124" s="1351"/>
      <c r="CN124" s="1312"/>
      <c r="CO124" s="1312"/>
      <c r="CP124" s="1312"/>
      <c r="CQ124" s="1312"/>
      <c r="CR124" s="1352"/>
      <c r="CS124" s="1352"/>
      <c r="CT124"/>
      <c r="CU124"/>
    </row>
    <row r="125" spans="1:99" x14ac:dyDescent="0.3">
      <c r="A125" s="1312">
        <v>124</v>
      </c>
      <c r="B125" s="254"/>
      <c r="C125" s="1312" t="s">
        <v>1249</v>
      </c>
      <c r="D125" s="1312"/>
      <c r="E125" s="1312"/>
      <c r="F125" s="1312"/>
      <c r="G125" s="1312">
        <v>1130</v>
      </c>
      <c r="H125" s="1312">
        <v>5</v>
      </c>
      <c r="I125" s="1312">
        <v>680</v>
      </c>
      <c r="J125" s="1312">
        <v>1190</v>
      </c>
      <c r="K125" s="1312">
        <v>1210</v>
      </c>
      <c r="L125" s="1312">
        <v>135</v>
      </c>
      <c r="M125" s="1312"/>
      <c r="N125" s="254"/>
      <c r="O125" s="1641"/>
      <c r="P125" t="s">
        <v>1836</v>
      </c>
      <c r="S125" s="1312">
        <v>124</v>
      </c>
      <c r="T125" s="1312"/>
      <c r="U125" s="1312">
        <v>1720</v>
      </c>
      <c r="V125" s="1312">
        <v>1350</v>
      </c>
      <c r="W125" s="1350">
        <v>120</v>
      </c>
      <c r="X125" s="1312"/>
      <c r="AD125" s="1312">
        <v>118</v>
      </c>
      <c r="AE125" s="1312">
        <v>1520</v>
      </c>
      <c r="AF125" s="1312">
        <v>245</v>
      </c>
      <c r="AG125" s="1312">
        <v>1275</v>
      </c>
      <c r="AH125" s="1312">
        <v>183</v>
      </c>
      <c r="AI125" s="1312">
        <v>207</v>
      </c>
      <c r="AJ125" s="1312">
        <v>250</v>
      </c>
      <c r="AK125" s="1312">
        <v>40</v>
      </c>
      <c r="AL125" s="1312">
        <v>56</v>
      </c>
      <c r="AM125" s="1312">
        <v>155</v>
      </c>
      <c r="BP125">
        <v>425</v>
      </c>
      <c r="BQ125" t="s">
        <v>485</v>
      </c>
      <c r="BT125" s="164">
        <f>IF(MAX(BU125:BU1204)&lt;ROW(49:49),"",VLOOKUP(ROW(49:49),BU125:BV1204,2))</f>
        <v>210</v>
      </c>
      <c r="BU125" s="165" t="str">
        <f>IF(COUNTIF(BV$76:BV125,BV125)=1,MAX(BU$76:BU124)+1,"")</f>
        <v/>
      </c>
      <c r="BV125" s="1312">
        <v>102.5</v>
      </c>
      <c r="BW125" s="1312">
        <v>255</v>
      </c>
      <c r="BX125" s="1312">
        <v>185</v>
      </c>
      <c r="BY125">
        <v>320</v>
      </c>
      <c r="BZ125" s="1312" t="s">
        <v>1317</v>
      </c>
      <c r="CA125" s="1352"/>
      <c r="CD125" s="1312">
        <v>508</v>
      </c>
      <c r="CE125" s="1312">
        <v>490</v>
      </c>
      <c r="CF125" s="254">
        <v>140</v>
      </c>
      <c r="CG125" s="1312">
        <v>90</v>
      </c>
      <c r="CH125" s="254">
        <v>570</v>
      </c>
      <c r="CI125">
        <v>400</v>
      </c>
      <c r="CJ125" s="1312">
        <v>7247251</v>
      </c>
      <c r="CK125" s="1352"/>
      <c r="CM125" s="1351"/>
      <c r="CN125"/>
      <c r="CR125" s="1350"/>
      <c r="CU125"/>
    </row>
    <row r="126" spans="1:99" x14ac:dyDescent="0.3">
      <c r="A126" s="1312">
        <v>125</v>
      </c>
      <c r="B126" s="254"/>
      <c r="C126" s="1312"/>
      <c r="D126" s="1312"/>
      <c r="E126" s="1312"/>
      <c r="F126" s="1312"/>
      <c r="G126" s="1312">
        <v>1150</v>
      </c>
      <c r="H126" s="1312">
        <v>5</v>
      </c>
      <c r="I126" s="1312">
        <v>350</v>
      </c>
      <c r="J126" s="1312">
        <v>1205</v>
      </c>
      <c r="K126" s="1312">
        <v>1225</v>
      </c>
      <c r="L126" s="1312">
        <v>140</v>
      </c>
      <c r="M126" s="1312"/>
      <c r="N126" s="254"/>
      <c r="O126" s="1641"/>
      <c r="P126"/>
      <c r="S126" s="1312">
        <v>125</v>
      </c>
      <c r="T126" s="1312"/>
      <c r="U126" s="1312">
        <v>1960</v>
      </c>
      <c r="V126" s="1312">
        <v>1800</v>
      </c>
      <c r="W126" s="1350">
        <v>120</v>
      </c>
      <c r="X126" s="1312" t="s">
        <v>1865</v>
      </c>
      <c r="AD126" s="1312">
        <v>74</v>
      </c>
      <c r="AE126" s="1312">
        <v>1530</v>
      </c>
      <c r="AF126" s="1312">
        <v>250</v>
      </c>
      <c r="AG126" s="1312">
        <v>1280</v>
      </c>
      <c r="AH126" s="1312">
        <v>160</v>
      </c>
      <c r="AI126" s="1312">
        <v>178</v>
      </c>
      <c r="AJ126" s="1312">
        <v>240</v>
      </c>
      <c r="AK126" s="1312">
        <v>40</v>
      </c>
      <c r="AL126" s="1312">
        <v>54</v>
      </c>
      <c r="AM126" s="1312">
        <v>160</v>
      </c>
      <c r="BP126">
        <v>427.5</v>
      </c>
      <c r="BQ126" t="s">
        <v>486</v>
      </c>
      <c r="BT126" s="164">
        <f>IF(MAX(BU126:BU1205)&lt;ROW(50:50),"",VLOOKUP(ROW(50:50),BU126:BV1205,2))</f>
        <v>212.5</v>
      </c>
      <c r="BU126" s="165" t="str">
        <f>IF(COUNTIF(BV$76:BV126,BV126)=1,MAX(BU$76:BU125)+1,"")</f>
        <v/>
      </c>
      <c r="BV126" s="1312">
        <v>102.5</v>
      </c>
      <c r="BW126" s="1312">
        <v>255</v>
      </c>
      <c r="BX126" s="1312">
        <v>185</v>
      </c>
      <c r="BY126">
        <v>320</v>
      </c>
      <c r="BZ126" s="1312" t="s">
        <v>1317</v>
      </c>
      <c r="CA126" s="1352"/>
      <c r="CD126" s="1312">
        <v>507</v>
      </c>
      <c r="CE126" s="1312">
        <v>490</v>
      </c>
      <c r="CF126" s="254">
        <v>140</v>
      </c>
      <c r="CG126" s="1312">
        <v>90</v>
      </c>
      <c r="CH126" s="254">
        <v>570</v>
      </c>
      <c r="CI126">
        <v>400</v>
      </c>
      <c r="CJ126" s="1312">
        <v>7247251</v>
      </c>
      <c r="CK126" s="1352"/>
      <c r="CM126" s="1351"/>
      <c r="CN126"/>
      <c r="CR126" s="1350"/>
      <c r="CU126"/>
    </row>
    <row r="127" spans="1:99" x14ac:dyDescent="0.3">
      <c r="A127" s="1312">
        <v>126</v>
      </c>
      <c r="B127" s="254"/>
      <c r="C127" s="1312" t="s">
        <v>1250</v>
      </c>
      <c r="D127" s="1312"/>
      <c r="E127" s="1312"/>
      <c r="F127" s="1312"/>
      <c r="G127" s="1312">
        <v>1150</v>
      </c>
      <c r="H127" s="1312">
        <v>8</v>
      </c>
      <c r="I127" s="1312">
        <v>620</v>
      </c>
      <c r="J127" s="1312">
        <v>1205</v>
      </c>
      <c r="K127" s="1312">
        <v>1240</v>
      </c>
      <c r="L127" s="1312">
        <v>210</v>
      </c>
      <c r="M127" s="1312"/>
      <c r="N127" s="254"/>
      <c r="O127" s="1641"/>
      <c r="P127" t="s">
        <v>1837</v>
      </c>
      <c r="AD127" s="1312">
        <v>117</v>
      </c>
      <c r="AE127" s="1312">
        <v>1670</v>
      </c>
      <c r="AF127" s="1312">
        <v>330</v>
      </c>
      <c r="AG127" s="1312">
        <v>1340</v>
      </c>
      <c r="AH127" s="1312">
        <v>443</v>
      </c>
      <c r="AI127" s="1312">
        <v>470</v>
      </c>
      <c r="AJ127" s="1312">
        <v>530</v>
      </c>
      <c r="AK127" s="1312">
        <v>80</v>
      </c>
      <c r="AL127" s="1312">
        <v>90</v>
      </c>
      <c r="AM127" s="1312">
        <v>220</v>
      </c>
      <c r="AN127" s="1350" t="s">
        <v>1172</v>
      </c>
      <c r="BP127">
        <v>430</v>
      </c>
      <c r="BQ127" t="s">
        <v>487</v>
      </c>
      <c r="BT127" s="164">
        <f>IF(MAX(BU127:BU1206)&lt;ROW(51:51),"",VLOOKUP(ROW(51:51),BU127:BV1206,2))</f>
        <v>215</v>
      </c>
      <c r="BU127" s="165" t="str">
        <f>IF(COUNTIF(BV$76:BV127,BV127)=1,MAX(BU$76:BU126)+1,"")</f>
        <v/>
      </c>
      <c r="BV127" s="1312">
        <v>102.5</v>
      </c>
      <c r="BW127" s="1312">
        <v>253</v>
      </c>
      <c r="BX127" s="1312">
        <v>185</v>
      </c>
      <c r="BY127">
        <v>320</v>
      </c>
      <c r="BZ127" s="1312" t="s">
        <v>1317</v>
      </c>
      <c r="CA127" s="1352"/>
      <c r="CD127" s="1312">
        <v>507</v>
      </c>
      <c r="CE127" s="1312">
        <v>490</v>
      </c>
      <c r="CF127" s="254">
        <v>137</v>
      </c>
      <c r="CG127" s="1312">
        <v>90</v>
      </c>
      <c r="CH127" s="254">
        <v>570</v>
      </c>
      <c r="CI127">
        <v>400</v>
      </c>
      <c r="CJ127" s="1312">
        <v>7247251</v>
      </c>
      <c r="CK127" s="1352"/>
      <c r="CM127" s="1351"/>
      <c r="CN127"/>
      <c r="CR127" s="1350"/>
      <c r="CU127"/>
    </row>
    <row r="128" spans="1:99" x14ac:dyDescent="0.3">
      <c r="A128" s="1312">
        <v>127</v>
      </c>
      <c r="B128" s="254"/>
      <c r="C128" s="1312" t="s">
        <v>1838</v>
      </c>
      <c r="D128" s="1312"/>
      <c r="E128" s="1312"/>
      <c r="F128" s="1312"/>
      <c r="G128" s="1312">
        <v>1150</v>
      </c>
      <c r="H128" s="1312">
        <v>10</v>
      </c>
      <c r="I128" s="1312">
        <v>740</v>
      </c>
      <c r="J128" s="1312">
        <v>1190</v>
      </c>
      <c r="K128" s="1312">
        <v>1210</v>
      </c>
      <c r="L128" s="1312">
        <v>125</v>
      </c>
      <c r="M128" s="1312" t="s">
        <v>1193</v>
      </c>
      <c r="N128" s="254"/>
      <c r="O128" s="1641"/>
      <c r="P128" t="s">
        <v>1839</v>
      </c>
      <c r="AD128" s="1312">
        <v>139</v>
      </c>
      <c r="AE128" s="1312">
        <v>1655</v>
      </c>
      <c r="AF128" s="1312">
        <v>260</v>
      </c>
      <c r="AG128" s="1312">
        <v>1395</v>
      </c>
      <c r="AH128" s="1312">
        <v>275</v>
      </c>
      <c r="AI128" s="1312">
        <v>305</v>
      </c>
      <c r="AJ128" s="1312">
        <v>355</v>
      </c>
      <c r="AK128" s="1312">
        <v>70</v>
      </c>
      <c r="AL128" s="1312">
        <v>85</v>
      </c>
      <c r="AM128" s="1312">
        <v>200</v>
      </c>
      <c r="AN128" s="1350" t="s">
        <v>1173</v>
      </c>
      <c r="BP128">
        <v>432.5</v>
      </c>
      <c r="BQ128" t="s">
        <v>488</v>
      </c>
      <c r="BT128" s="164">
        <f>IF(MAX(BU128:BU1207)&lt;ROW(52:52),"",VLOOKUP(ROW(52:52),BU128:BV1207,2))</f>
        <v>217.5</v>
      </c>
      <c r="BU128" s="165">
        <f>IF(COUNTIF(BV$76:BV128,BV128)=1,MAX(BU$76:BU127)+1,"")</f>
        <v>8</v>
      </c>
      <c r="BV128" s="1312">
        <v>105</v>
      </c>
      <c r="BW128" s="1312">
        <v>250</v>
      </c>
      <c r="BX128" s="1312">
        <v>185</v>
      </c>
      <c r="BY128">
        <v>320</v>
      </c>
      <c r="BZ128" s="1312" t="s">
        <v>1318</v>
      </c>
      <c r="CA128" s="1352"/>
      <c r="CD128" s="1312">
        <v>508</v>
      </c>
      <c r="CE128" s="1312">
        <v>490</v>
      </c>
      <c r="CF128" s="254">
        <v>140</v>
      </c>
      <c r="CG128" s="1312">
        <v>87</v>
      </c>
      <c r="CH128" s="254">
        <v>570</v>
      </c>
      <c r="CI128">
        <v>400</v>
      </c>
      <c r="CJ128" s="1312">
        <v>7247251</v>
      </c>
      <c r="CK128" s="1352"/>
      <c r="CM128" s="1351"/>
      <c r="CN128"/>
      <c r="CR128" s="1350"/>
      <c r="CU128"/>
    </row>
    <row r="129" spans="1:99" x14ac:dyDescent="0.3">
      <c r="A129" s="1312">
        <v>128</v>
      </c>
      <c r="B129" s="254"/>
      <c r="C129" s="1312" t="s">
        <v>1251</v>
      </c>
      <c r="D129" s="1312"/>
      <c r="E129" s="1312"/>
      <c r="F129" s="1312"/>
      <c r="G129" s="1312">
        <v>1160</v>
      </c>
      <c r="H129" s="1312">
        <v>10</v>
      </c>
      <c r="I129" s="1312">
        <v>610</v>
      </c>
      <c r="J129" s="1312">
        <v>1215</v>
      </c>
      <c r="K129" s="1312">
        <v>1245</v>
      </c>
      <c r="L129" s="1312">
        <v>190</v>
      </c>
      <c r="M129" s="1312"/>
      <c r="N129" s="254"/>
      <c r="O129" s="1641"/>
      <c r="P129"/>
      <c r="AD129" s="1312">
        <v>68</v>
      </c>
      <c r="AE129" s="1312">
        <v>1695</v>
      </c>
      <c r="AF129" s="1312">
        <v>250</v>
      </c>
      <c r="AG129" s="1312">
        <v>1445</v>
      </c>
      <c r="AH129" s="1312">
        <v>215</v>
      </c>
      <c r="AI129" s="1312">
        <v>244</v>
      </c>
      <c r="AJ129" s="1312">
        <v>305</v>
      </c>
      <c r="AK129" s="1312">
        <v>38</v>
      </c>
      <c r="AL129" s="1312">
        <v>57</v>
      </c>
      <c r="AM129" s="1312">
        <v>160</v>
      </c>
      <c r="BP129">
        <v>440</v>
      </c>
      <c r="BQ129" t="s">
        <v>489</v>
      </c>
      <c r="BT129" s="164">
        <f>IF(MAX(BU129:BU1208)&lt;ROW(53:53),"",VLOOKUP(ROW(53:53),BU129:BV1208,2))</f>
        <v>220</v>
      </c>
      <c r="BU129" s="165" t="str">
        <f>IF(COUNTIF(BV$76:BV129,BV129)=1,MAX(BU$76:BU128)+1,"")</f>
        <v/>
      </c>
      <c r="BV129" s="1312">
        <v>105</v>
      </c>
      <c r="BW129" s="1312">
        <v>255</v>
      </c>
      <c r="BX129" s="1312">
        <v>185</v>
      </c>
      <c r="BY129">
        <v>320</v>
      </c>
      <c r="BZ129" s="1312" t="s">
        <v>1318</v>
      </c>
      <c r="CA129" s="1352"/>
      <c r="CD129" s="1312">
        <v>575</v>
      </c>
      <c r="CE129" s="1312">
        <v>507.5</v>
      </c>
      <c r="CF129" s="254">
        <v>490</v>
      </c>
      <c r="CG129" s="1312">
        <v>420</v>
      </c>
      <c r="CH129" s="254">
        <v>640</v>
      </c>
      <c r="CI129">
        <v>400</v>
      </c>
      <c r="CJ129" s="1312" t="s">
        <v>1104</v>
      </c>
      <c r="CK129" s="1352"/>
      <c r="CM129" s="1351"/>
      <c r="CN129"/>
      <c r="CR129" s="1350"/>
      <c r="CU129"/>
    </row>
    <row r="130" spans="1:99" x14ac:dyDescent="0.3">
      <c r="A130" s="1312">
        <v>129</v>
      </c>
      <c r="B130" s="254"/>
      <c r="C130" s="1312" t="s">
        <v>1840</v>
      </c>
      <c r="D130" s="1312"/>
      <c r="E130" s="1312"/>
      <c r="F130" s="1312"/>
      <c r="G130" s="1312">
        <v>1170</v>
      </c>
      <c r="H130" s="1312">
        <v>16</v>
      </c>
      <c r="I130" s="1312">
        <v>1180</v>
      </c>
      <c r="J130" s="1312">
        <v>1245</v>
      </c>
      <c r="K130" s="1312">
        <v>1260</v>
      </c>
      <c r="L130" s="1312">
        <v>190</v>
      </c>
      <c r="M130" s="1312"/>
      <c r="N130" s="254"/>
      <c r="O130" s="1641"/>
      <c r="P130" t="s">
        <v>1841</v>
      </c>
      <c r="AD130" s="1312">
        <v>67</v>
      </c>
      <c r="AE130" s="1312">
        <v>1695</v>
      </c>
      <c r="AF130" s="1312">
        <v>240</v>
      </c>
      <c r="AG130" s="1312">
        <v>1455</v>
      </c>
      <c r="AH130" s="1312">
        <v>220</v>
      </c>
      <c r="AI130" s="1312">
        <v>240</v>
      </c>
      <c r="AJ130" s="1312">
        <v>310</v>
      </c>
      <c r="AK130" s="1312">
        <v>38</v>
      </c>
      <c r="AL130" s="1312">
        <v>55</v>
      </c>
      <c r="AM130" s="1312">
        <v>150</v>
      </c>
      <c r="BP130">
        <v>442.5</v>
      </c>
      <c r="BQ130" t="s">
        <v>490</v>
      </c>
      <c r="BT130" s="164">
        <f>IF(MAX(BU130:BU1209)&lt;ROW(54:54),"",VLOOKUP(ROW(54:54),BU130:BV1209,2))</f>
        <v>222.5</v>
      </c>
      <c r="BU130" s="165" t="str">
        <f>IF(COUNTIF(BV$76:BV130,BV130)=1,MAX(BU$76:BU129)+1,"")</f>
        <v/>
      </c>
      <c r="BV130" s="1312">
        <v>105</v>
      </c>
      <c r="BW130" s="1312">
        <v>260</v>
      </c>
      <c r="BX130" s="1312">
        <v>185</v>
      </c>
      <c r="BY130">
        <v>320</v>
      </c>
      <c r="BZ130" s="1312" t="s">
        <v>1318</v>
      </c>
      <c r="CA130" s="1352"/>
      <c r="CD130" s="1312">
        <v>575</v>
      </c>
      <c r="CE130" s="1312">
        <v>510</v>
      </c>
      <c r="CF130" s="254">
        <v>490</v>
      </c>
      <c r="CG130" s="1312">
        <v>420</v>
      </c>
      <c r="CH130" s="254">
        <v>640</v>
      </c>
      <c r="CI130">
        <v>400</v>
      </c>
      <c r="CJ130" s="1312" t="s">
        <v>1105</v>
      </c>
      <c r="CK130" s="1352"/>
      <c r="CM130" s="1351"/>
      <c r="CN130"/>
      <c r="CR130" s="1350"/>
      <c r="CU130"/>
    </row>
    <row r="131" spans="1:99" x14ac:dyDescent="0.3">
      <c r="A131" s="1312">
        <v>130</v>
      </c>
      <c r="B131" s="254"/>
      <c r="C131" s="1312"/>
      <c r="D131" s="1312"/>
      <c r="E131" s="1312"/>
      <c r="F131" s="1312"/>
      <c r="G131" s="1312">
        <v>1180</v>
      </c>
      <c r="H131" s="1312">
        <v>15</v>
      </c>
      <c r="I131" s="1312">
        <v>1070</v>
      </c>
      <c r="J131" s="1312">
        <v>1230</v>
      </c>
      <c r="K131" s="1312">
        <v>1260</v>
      </c>
      <c r="L131" s="1312">
        <v>180</v>
      </c>
      <c r="M131" s="1312" t="s">
        <v>1180</v>
      </c>
      <c r="N131" s="254"/>
      <c r="O131" s="1641"/>
      <c r="P131"/>
      <c r="AD131" s="1312"/>
      <c r="AE131" s="1312"/>
      <c r="AF131" s="1312"/>
      <c r="AG131" s="1312"/>
      <c r="AH131" s="1312"/>
      <c r="AI131" s="1312"/>
      <c r="AJ131" s="1312"/>
      <c r="AK131" s="1312"/>
      <c r="AL131" s="1312"/>
      <c r="AM131" s="1312"/>
      <c r="BP131">
        <v>445</v>
      </c>
      <c r="BQ131" t="s">
        <v>491</v>
      </c>
      <c r="BT131" s="164">
        <f>IF(MAX(BU131:BU1210)&lt;ROW(55:55),"",VLOOKUP(ROW(55:55),BU131:BV1210,2))</f>
        <v>225</v>
      </c>
      <c r="BU131" s="165" t="str">
        <f>IF(COUNTIF(BV$76:BV131,BV131)=1,MAX(BU$76:BU130)+1,"")</f>
        <v/>
      </c>
      <c r="BV131" s="1312">
        <v>105</v>
      </c>
      <c r="BW131" s="1312">
        <v>260</v>
      </c>
      <c r="BX131" s="1312">
        <v>185</v>
      </c>
      <c r="BY131">
        <v>320</v>
      </c>
      <c r="BZ131" s="1312" t="s">
        <v>1318</v>
      </c>
      <c r="CA131" s="1352"/>
      <c r="CD131" s="1312">
        <v>583</v>
      </c>
      <c r="CE131" s="1312">
        <v>512.5</v>
      </c>
      <c r="CF131" s="254">
        <v>490</v>
      </c>
      <c r="CG131" s="1312">
        <v>420</v>
      </c>
      <c r="CH131" s="254">
        <v>640</v>
      </c>
      <c r="CI131">
        <v>400</v>
      </c>
      <c r="CJ131" s="1312" t="s">
        <v>1106</v>
      </c>
      <c r="CK131" s="1352"/>
      <c r="CM131" s="1351"/>
      <c r="CN131"/>
      <c r="CR131" s="1350"/>
      <c r="CU131"/>
    </row>
    <row r="132" spans="1:99" x14ac:dyDescent="0.3">
      <c r="A132" s="1312">
        <v>131</v>
      </c>
      <c r="B132" s="254"/>
      <c r="C132" s="1312" t="s">
        <v>1842</v>
      </c>
      <c r="D132" s="1312"/>
      <c r="E132" s="1312"/>
      <c r="F132" s="1312"/>
      <c r="G132" s="1312">
        <v>1190</v>
      </c>
      <c r="H132" s="1312">
        <v>12</v>
      </c>
      <c r="I132" s="1312">
        <v>930</v>
      </c>
      <c r="J132" s="1312">
        <v>1230</v>
      </c>
      <c r="K132" s="1312">
        <v>1270</v>
      </c>
      <c r="L132" s="1312">
        <v>150</v>
      </c>
      <c r="M132" s="1312" t="s">
        <v>1194</v>
      </c>
      <c r="N132" s="254"/>
      <c r="O132" s="1641"/>
      <c r="P132" t="s">
        <v>1843</v>
      </c>
      <c r="BP132">
        <v>447.5</v>
      </c>
      <c r="BQ132" t="s">
        <v>492</v>
      </c>
      <c r="BT132" s="164">
        <f>IF(MAX(BU132:BU1211)&lt;ROW(56:56),"",VLOOKUP(ROW(56:56),BU132:BV1211,2))</f>
        <v>227.5</v>
      </c>
      <c r="BU132" s="165">
        <f>IF(COUNTIF(BV$76:BV132,BV132)=1,MAX(BU$76:BU131)+1,"")</f>
        <v>9</v>
      </c>
      <c r="BV132" s="1312">
        <v>107.5</v>
      </c>
      <c r="BW132" s="1312">
        <v>250</v>
      </c>
      <c r="BX132" s="1312">
        <v>185</v>
      </c>
      <c r="BY132">
        <v>320</v>
      </c>
      <c r="BZ132" s="1312" t="s">
        <v>1319</v>
      </c>
      <c r="CA132" s="1352"/>
      <c r="CD132" s="1312">
        <v>561</v>
      </c>
      <c r="CE132" s="1312">
        <v>530</v>
      </c>
      <c r="CF132" s="254">
        <v>403</v>
      </c>
      <c r="CG132" s="1312">
        <v>345</v>
      </c>
      <c r="CH132" s="254">
        <v>640</v>
      </c>
      <c r="CI132">
        <v>400</v>
      </c>
      <c r="CJ132" s="1312">
        <v>7247087</v>
      </c>
      <c r="CK132" s="1352"/>
      <c r="CM132" s="1351"/>
      <c r="CN132"/>
      <c r="CR132" s="1350"/>
      <c r="CU132"/>
    </row>
    <row r="133" spans="1:99" x14ac:dyDescent="0.3">
      <c r="A133" s="1312">
        <v>132</v>
      </c>
      <c r="B133" s="254"/>
      <c r="C133" s="1312" t="s">
        <v>1252</v>
      </c>
      <c r="D133" s="1312"/>
      <c r="E133" s="1312"/>
      <c r="F133" s="1312"/>
      <c r="G133" s="1312">
        <v>1205</v>
      </c>
      <c r="H133" s="1312">
        <v>7.5</v>
      </c>
      <c r="I133" s="1312">
        <v>550</v>
      </c>
      <c r="J133" s="1312">
        <v>1255</v>
      </c>
      <c r="K133" s="1312">
        <v>1275</v>
      </c>
      <c r="L133" s="1312">
        <v>115</v>
      </c>
      <c r="M133" s="1312" t="s">
        <v>1253</v>
      </c>
      <c r="N133" s="254"/>
      <c r="O133" s="1641"/>
      <c r="P133" t="s">
        <v>1844</v>
      </c>
      <c r="BP133" s="1312">
        <v>455</v>
      </c>
      <c r="BQ133" s="1312" t="s">
        <v>2131</v>
      </c>
      <c r="BT133" s="164">
        <f>IF(MAX(BU133:BU1212)&lt;ROW(57:57),"",VLOOKUP(ROW(57:57),BU133:BV1212,2))</f>
        <v>230</v>
      </c>
      <c r="BU133" s="165" t="str">
        <f>IF(COUNTIF(BV$76:BV133,BV133)=1,MAX(BU$76:BU132)+1,"")</f>
        <v/>
      </c>
      <c r="BV133" s="1312">
        <v>107.5</v>
      </c>
      <c r="BW133" s="1312">
        <v>255</v>
      </c>
      <c r="BX133" s="1312">
        <v>185</v>
      </c>
      <c r="BY133">
        <v>320</v>
      </c>
      <c r="BZ133" s="1312" t="s">
        <v>1319</v>
      </c>
      <c r="CA133" s="1352"/>
      <c r="CD133" s="1312">
        <v>563</v>
      </c>
      <c r="CE133" s="1312">
        <v>540</v>
      </c>
      <c r="CF133" s="254">
        <v>360</v>
      </c>
      <c r="CG133" s="1312">
        <v>305</v>
      </c>
      <c r="CH133" s="254">
        <v>640</v>
      </c>
      <c r="CI133">
        <v>400</v>
      </c>
      <c r="CJ133" s="1312">
        <v>10241569</v>
      </c>
      <c r="CK133" s="1352"/>
      <c r="CM133" s="1351"/>
      <c r="CN133"/>
      <c r="CR133" s="1350"/>
      <c r="CU133"/>
    </row>
    <row r="134" spans="1:99" x14ac:dyDescent="0.3">
      <c r="A134" s="1312">
        <v>133</v>
      </c>
      <c r="B134" s="254"/>
      <c r="C134" s="1312"/>
      <c r="D134" s="1312"/>
      <c r="E134" s="1312"/>
      <c r="F134" s="1312"/>
      <c r="G134" s="1312">
        <v>1210</v>
      </c>
      <c r="H134" s="1312">
        <v>5</v>
      </c>
      <c r="I134" s="1312">
        <v>550</v>
      </c>
      <c r="J134" s="1312">
        <v>1255</v>
      </c>
      <c r="K134" s="1312">
        <v>1270</v>
      </c>
      <c r="L134" s="1312">
        <v>120</v>
      </c>
      <c r="M134" s="1312" t="s">
        <v>1179</v>
      </c>
      <c r="N134" s="254"/>
      <c r="O134" s="1641"/>
      <c r="P134"/>
      <c r="Z134" s="1312"/>
      <c r="AA134" s="254"/>
      <c r="BP134">
        <v>457.5</v>
      </c>
      <c r="BQ134" t="s">
        <v>493</v>
      </c>
      <c r="BT134" s="164">
        <f>IF(MAX(BU134:BU1213)&lt;ROW(58:58),"",VLOOKUP(ROW(58:58),BU134:BV1213,2))</f>
        <v>232.5</v>
      </c>
      <c r="BU134" s="165" t="str">
        <f>IF(COUNTIF(BV$76:BV134,BV134)=1,MAX(BU$76:BU133)+1,"")</f>
        <v/>
      </c>
      <c r="BV134" s="1312">
        <v>107.5</v>
      </c>
      <c r="BW134" s="1312">
        <v>255</v>
      </c>
      <c r="BX134" s="1312">
        <v>185</v>
      </c>
      <c r="BY134">
        <v>320</v>
      </c>
      <c r="BZ134" s="1312" t="s">
        <v>1319</v>
      </c>
      <c r="CA134" s="1352"/>
      <c r="CD134" s="1312">
        <v>605</v>
      </c>
      <c r="CE134" s="1312">
        <v>600</v>
      </c>
      <c r="CF134" s="254">
        <v>820</v>
      </c>
      <c r="CG134" s="1312">
        <v>660</v>
      </c>
      <c r="CH134" s="254">
        <v>640</v>
      </c>
      <c r="CI134">
        <v>400</v>
      </c>
      <c r="CJ134" s="1312" t="s">
        <v>1107</v>
      </c>
      <c r="CK134" s="1352"/>
      <c r="CM134" s="1351"/>
      <c r="CN134"/>
      <c r="CR134" s="1350"/>
      <c r="CU134"/>
    </row>
    <row r="135" spans="1:99" x14ac:dyDescent="0.3">
      <c r="A135" s="1312">
        <v>134</v>
      </c>
      <c r="B135" s="254"/>
      <c r="C135" s="1312"/>
      <c r="D135" s="1312"/>
      <c r="E135" s="1312"/>
      <c r="F135" s="1312"/>
      <c r="G135" s="1312">
        <v>1250</v>
      </c>
      <c r="H135" s="1312">
        <v>5</v>
      </c>
      <c r="I135" s="1312">
        <v>140</v>
      </c>
      <c r="J135" s="1312">
        <v>1410</v>
      </c>
      <c r="K135" s="1312">
        <v>1420</v>
      </c>
      <c r="L135" s="1312">
        <v>200</v>
      </c>
      <c r="M135" s="1312" t="s">
        <v>1195</v>
      </c>
      <c r="N135" s="254"/>
      <c r="O135" s="1641"/>
      <c r="P135"/>
      <c r="S135" s="254"/>
      <c r="T135" s="1312"/>
      <c r="U135" s="1312"/>
      <c r="V135" s="1312"/>
      <c r="W135" s="1312"/>
      <c r="X135" s="1312"/>
      <c r="Z135" s="1312"/>
      <c r="AA135" s="254"/>
      <c r="BP135">
        <v>460</v>
      </c>
      <c r="BQ135" t="s">
        <v>494</v>
      </c>
      <c r="BT135" s="164">
        <f>IF(MAX(BU135:BU1214)&lt;ROW(59:59),"",VLOOKUP(ROW(59:59),BU135:BV1214,2))</f>
        <v>235</v>
      </c>
      <c r="BU135" s="165" t="str">
        <f>IF(COUNTIF(BV$76:BV135,BV135)=1,MAX(BU$76:BU134)+1,"")</f>
        <v/>
      </c>
      <c r="BV135" s="1312">
        <v>107.5</v>
      </c>
      <c r="BW135" s="1312">
        <v>257</v>
      </c>
      <c r="BX135" s="1312">
        <v>185</v>
      </c>
      <c r="BY135">
        <v>320</v>
      </c>
      <c r="BZ135" s="1312" t="s">
        <v>1319</v>
      </c>
      <c r="CA135" s="1352"/>
      <c r="CD135" s="1312">
        <v>600</v>
      </c>
      <c r="CE135" s="1312">
        <v>567.5</v>
      </c>
      <c r="CF135" s="254">
        <v>647</v>
      </c>
      <c r="CG135" s="1312">
        <v>565</v>
      </c>
      <c r="CH135" s="254">
        <v>640</v>
      </c>
      <c r="CI135">
        <v>400</v>
      </c>
      <c r="CJ135" s="1312" t="s">
        <v>1108</v>
      </c>
      <c r="CK135" s="1352"/>
      <c r="CM135" s="1351"/>
      <c r="CN135"/>
      <c r="CR135" s="1350"/>
      <c r="CU135"/>
    </row>
    <row r="136" spans="1:99" x14ac:dyDescent="0.3">
      <c r="A136" s="1312">
        <v>135</v>
      </c>
      <c r="B136" s="254"/>
      <c r="C136" s="1312"/>
      <c r="D136" s="1312">
        <v>1365</v>
      </c>
      <c r="E136" s="1312">
        <v>5</v>
      </c>
      <c r="F136" s="1312">
        <v>120</v>
      </c>
      <c r="G136" s="1312">
        <v>1270</v>
      </c>
      <c r="H136" s="1312">
        <v>17.5</v>
      </c>
      <c r="I136" s="1312">
        <v>920</v>
      </c>
      <c r="J136" s="1312">
        <v>1400</v>
      </c>
      <c r="K136" s="1312">
        <v>1435</v>
      </c>
      <c r="L136" s="1312">
        <v>280</v>
      </c>
      <c r="M136" s="1312" t="s">
        <v>1265</v>
      </c>
      <c r="N136" s="254"/>
      <c r="O136" s="1641"/>
      <c r="P136"/>
      <c r="S136" s="254"/>
      <c r="T136" s="1312"/>
      <c r="U136" s="1312"/>
      <c r="V136" s="1312"/>
      <c r="W136" s="1312"/>
      <c r="X136" s="1312"/>
      <c r="Z136" s="1312"/>
      <c r="AA136" s="254"/>
      <c r="BP136" s="1312">
        <v>465</v>
      </c>
      <c r="BQ136" s="1312" t="s">
        <v>2130</v>
      </c>
      <c r="BT136" s="164">
        <f>IF(MAX(BU136:BU1215)&lt;ROW(60:60),"",VLOOKUP(ROW(60:60),BU136:BV1215,2))</f>
        <v>237.5</v>
      </c>
      <c r="BU136" s="165" t="str">
        <f>IF(COUNTIF(BV$76:BV136,BV136)=1,MAX(BU$76:BU135)+1,"")</f>
        <v/>
      </c>
      <c r="BV136" s="1312">
        <v>107.5</v>
      </c>
      <c r="BW136" s="1312">
        <v>260</v>
      </c>
      <c r="BX136" s="1312">
        <v>185</v>
      </c>
      <c r="BY136">
        <v>320</v>
      </c>
      <c r="BZ136" s="1312" t="s">
        <v>1319</v>
      </c>
      <c r="CA136" s="1352"/>
      <c r="CD136" s="1312">
        <v>622</v>
      </c>
      <c r="CE136" s="1312">
        <v>575</v>
      </c>
      <c r="CF136" s="254">
        <v>645</v>
      </c>
      <c r="CG136" s="1312">
        <v>570</v>
      </c>
      <c r="CH136" s="254">
        <v>700</v>
      </c>
      <c r="CI136">
        <v>400</v>
      </c>
      <c r="CJ136" s="1312" t="s">
        <v>1109</v>
      </c>
      <c r="CK136" s="1352"/>
      <c r="CM136" s="1351"/>
      <c r="CN136"/>
      <c r="CR136" s="1350"/>
      <c r="CU136"/>
    </row>
    <row r="137" spans="1:99" x14ac:dyDescent="0.3">
      <c r="A137" s="1312">
        <v>136</v>
      </c>
      <c r="B137" s="254"/>
      <c r="C137" s="1312" t="s">
        <v>1703</v>
      </c>
      <c r="D137" s="1312"/>
      <c r="E137" s="1312"/>
      <c r="F137" s="1312"/>
      <c r="G137" s="1312">
        <v>1274</v>
      </c>
      <c r="H137" s="1312">
        <v>13</v>
      </c>
      <c r="I137" s="1312">
        <v>710</v>
      </c>
      <c r="J137" s="1312">
        <v>1325</v>
      </c>
      <c r="K137" s="1312">
        <v>1335</v>
      </c>
      <c r="L137" s="1312">
        <v>150</v>
      </c>
      <c r="M137" s="1312" t="s">
        <v>1196</v>
      </c>
      <c r="N137" s="254"/>
      <c r="O137" s="1641"/>
      <c r="P137"/>
      <c r="S137" s="254"/>
      <c r="T137" s="1312"/>
      <c r="U137" s="1312"/>
      <c r="V137" s="1312"/>
      <c r="W137" s="1312"/>
      <c r="X137" s="1312"/>
      <c r="Z137" s="1312"/>
      <c r="AA137" s="254"/>
      <c r="BP137">
        <v>475</v>
      </c>
      <c r="BQ137" t="s">
        <v>495</v>
      </c>
      <c r="BT137" s="164">
        <f>IF(MAX(BU137:BU1216)&lt;ROW(61:61),"",VLOOKUP(ROW(61:61),BU137:BV1216,2))</f>
        <v>240</v>
      </c>
      <c r="BU137" s="165" t="str">
        <f>IF(COUNTIF(BV$76:BV137,BV137)=1,MAX(BU$76:BU136)+1,"")</f>
        <v/>
      </c>
      <c r="BV137" s="1312">
        <v>107.5</v>
      </c>
      <c r="BW137" s="1312">
        <v>257</v>
      </c>
      <c r="BX137" s="1312">
        <v>185</v>
      </c>
      <c r="BY137">
        <v>320</v>
      </c>
      <c r="BZ137" s="1312" t="s">
        <v>1319</v>
      </c>
      <c r="CA137" s="1352"/>
      <c r="CD137" s="1312">
        <v>622</v>
      </c>
      <c r="CE137" s="1312">
        <v>575</v>
      </c>
      <c r="CF137" s="254">
        <v>640</v>
      </c>
      <c r="CG137" s="1312">
        <v>565</v>
      </c>
      <c r="CH137" s="254">
        <v>700</v>
      </c>
      <c r="CI137">
        <v>400</v>
      </c>
      <c r="CJ137" s="1312" t="s">
        <v>1109</v>
      </c>
      <c r="CK137" s="1352"/>
      <c r="CM137" s="1351"/>
      <c r="CN137"/>
      <c r="CR137" s="1350"/>
      <c r="CU137"/>
    </row>
    <row r="138" spans="1:99" x14ac:dyDescent="0.3">
      <c r="A138" s="1312">
        <v>137</v>
      </c>
      <c r="B138" s="254"/>
      <c r="C138" s="1312"/>
      <c r="D138" s="1312"/>
      <c r="E138" s="1312"/>
      <c r="F138" s="1312"/>
      <c r="G138" s="1312">
        <v>1335</v>
      </c>
      <c r="H138" s="1312">
        <v>10</v>
      </c>
      <c r="I138" s="1312">
        <v>590</v>
      </c>
      <c r="J138" s="1312">
        <v>1360</v>
      </c>
      <c r="K138" s="1312">
        <v>1370</v>
      </c>
      <c r="L138" s="1312">
        <v>140</v>
      </c>
      <c r="M138" s="1312" t="s">
        <v>1193</v>
      </c>
      <c r="N138" s="254"/>
      <c r="O138" s="1641"/>
      <c r="P138"/>
      <c r="S138" s="254"/>
      <c r="T138" s="1312"/>
      <c r="U138" s="1312"/>
      <c r="V138" s="1312"/>
      <c r="W138" s="1312"/>
      <c r="X138" s="1312"/>
      <c r="Z138" s="1312"/>
      <c r="AA138" s="254"/>
      <c r="BP138">
        <v>480</v>
      </c>
      <c r="BQ138" t="s">
        <v>496</v>
      </c>
      <c r="BT138" s="164">
        <f>IF(MAX(BU138:BU1217)&lt;ROW(62:62),"",VLOOKUP(ROW(62:62),BU138:BV1217,2))</f>
        <v>242.5</v>
      </c>
      <c r="BU138" s="165" t="str">
        <f>IF(COUNTIF(BV$76:BV138,BV138)=1,MAX(BU$76:BU137)+1,"")</f>
        <v/>
      </c>
      <c r="BV138" s="1312">
        <v>107.5</v>
      </c>
      <c r="BW138" s="1312">
        <v>257</v>
      </c>
      <c r="BX138" s="1312">
        <v>185</v>
      </c>
      <c r="BY138">
        <v>320</v>
      </c>
      <c r="BZ138" s="1312" t="s">
        <v>1319</v>
      </c>
      <c r="CA138" s="1352"/>
      <c r="CD138" s="1312">
        <v>620</v>
      </c>
      <c r="CE138" s="1312">
        <v>580</v>
      </c>
      <c r="CF138" s="254">
        <v>638</v>
      </c>
      <c r="CG138" s="1312">
        <v>583</v>
      </c>
      <c r="CH138" s="254">
        <v>670</v>
      </c>
      <c r="CI138">
        <v>400</v>
      </c>
      <c r="CJ138" s="1312" t="s">
        <v>1110</v>
      </c>
      <c r="CK138" s="1352"/>
      <c r="CM138" s="1351"/>
      <c r="CN138"/>
      <c r="CR138" s="1350"/>
      <c r="CU138"/>
    </row>
    <row r="139" spans="1:99" x14ac:dyDescent="0.3">
      <c r="A139" s="1312">
        <v>138</v>
      </c>
      <c r="B139" s="254" t="s">
        <v>1845</v>
      </c>
      <c r="C139" s="1312"/>
      <c r="D139" s="1312"/>
      <c r="E139" s="1312"/>
      <c r="F139" s="1312"/>
      <c r="G139" s="1312">
        <v>1350</v>
      </c>
      <c r="H139" s="1312">
        <v>5</v>
      </c>
      <c r="I139" s="1312">
        <v>495</v>
      </c>
      <c r="J139" s="1312"/>
      <c r="K139" s="1312"/>
      <c r="L139" s="1312"/>
      <c r="M139" s="1312" t="s">
        <v>1187</v>
      </c>
      <c r="N139" s="254"/>
      <c r="O139" s="1641"/>
      <c r="P139" t="s">
        <v>1846</v>
      </c>
      <c r="S139" s="254"/>
      <c r="T139" s="1312"/>
      <c r="U139" s="1312"/>
      <c r="V139" s="1312"/>
      <c r="W139" s="1312"/>
      <c r="X139" s="1312"/>
      <c r="Z139" s="1312"/>
      <c r="AA139" s="254"/>
      <c r="BP139">
        <v>482.5</v>
      </c>
      <c r="BQ139" t="s">
        <v>497</v>
      </c>
      <c r="BT139" s="164">
        <f>IF(MAX(BU139:BU1218)&lt;ROW(63:63),"",VLOOKUP(ROW(63:63),BU139:BV1218,2))</f>
        <v>245</v>
      </c>
      <c r="BU139" s="165" t="str">
        <f>IF(COUNTIF(BV$76:BV139,BV139)=1,MAX(BU$76:BU138)+1,"")</f>
        <v/>
      </c>
      <c r="BV139" s="1312">
        <v>107.5</v>
      </c>
      <c r="BW139" s="1312">
        <v>255</v>
      </c>
      <c r="BX139" s="1312">
        <v>185</v>
      </c>
      <c r="BY139">
        <v>320</v>
      </c>
      <c r="BZ139" s="1312" t="s">
        <v>1319</v>
      </c>
      <c r="CA139" s="1352"/>
      <c r="CD139" s="1312">
        <v>620</v>
      </c>
      <c r="CE139" s="1312">
        <v>590</v>
      </c>
      <c r="CF139" s="254">
        <v>643</v>
      </c>
      <c r="CG139" s="1312">
        <v>588</v>
      </c>
      <c r="CH139" s="254">
        <v>670</v>
      </c>
      <c r="CI139">
        <v>400</v>
      </c>
      <c r="CJ139" s="1312" t="s">
        <v>1111</v>
      </c>
      <c r="CK139" s="1352"/>
      <c r="CM139" s="1351"/>
      <c r="CN139"/>
      <c r="CR139" s="1350"/>
      <c r="CU139"/>
    </row>
    <row r="140" spans="1:99" x14ac:dyDescent="0.3">
      <c r="A140" s="1312">
        <v>139</v>
      </c>
      <c r="B140" s="254" t="s">
        <v>1847</v>
      </c>
      <c r="C140" s="1312"/>
      <c r="D140" s="1312">
        <v>1390</v>
      </c>
      <c r="E140" s="1312">
        <v>2.5</v>
      </c>
      <c r="F140" s="1312">
        <v>105</v>
      </c>
      <c r="G140" s="1312">
        <v>1360</v>
      </c>
      <c r="H140" s="1312">
        <v>7.5</v>
      </c>
      <c r="I140" s="1312">
        <v>950</v>
      </c>
      <c r="J140" s="1312">
        <v>1440</v>
      </c>
      <c r="K140" s="1312">
        <v>1465</v>
      </c>
      <c r="L140" s="1312">
        <v>280</v>
      </c>
      <c r="M140" s="1312"/>
      <c r="N140" s="254"/>
      <c r="O140" s="1641"/>
      <c r="P140" t="s">
        <v>1848</v>
      </c>
      <c r="S140" s="254"/>
      <c r="T140" s="1312"/>
      <c r="U140" s="1312"/>
      <c r="V140" s="1312"/>
      <c r="W140" s="1312"/>
      <c r="X140" s="1312"/>
      <c r="Z140" s="1312"/>
      <c r="AA140" s="254"/>
      <c r="BP140">
        <v>495</v>
      </c>
      <c r="BQ140" t="s">
        <v>498</v>
      </c>
      <c r="BT140" s="164">
        <f>IF(MAX(BU140:BU1219)&lt;ROW(64:64),"",VLOOKUP(ROW(64:64),BU140:BV1219,2))</f>
        <v>247.5</v>
      </c>
      <c r="BU140" s="165" t="str">
        <f>IF(COUNTIF(BV$76:BV140,BV140)=1,MAX(BU$76:BU139)+1,"")</f>
        <v/>
      </c>
      <c r="BV140" s="1312">
        <v>107.5</v>
      </c>
      <c r="BW140" s="1312">
        <v>260</v>
      </c>
      <c r="BX140" s="1312">
        <v>185</v>
      </c>
      <c r="BY140">
        <v>320</v>
      </c>
      <c r="BZ140" s="1312" t="s">
        <v>1319</v>
      </c>
      <c r="CA140" s="1352"/>
      <c r="CD140" s="1312">
        <v>667</v>
      </c>
      <c r="CE140" s="1312">
        <v>615</v>
      </c>
      <c r="CF140" s="254">
        <v>490</v>
      </c>
      <c r="CG140" s="1312">
        <v>400</v>
      </c>
      <c r="CH140" s="254">
        <v>700</v>
      </c>
      <c r="CI140">
        <v>400</v>
      </c>
      <c r="CJ140" s="1312">
        <v>10243107</v>
      </c>
      <c r="CK140" s="1352"/>
      <c r="CM140" s="1351"/>
      <c r="CN140"/>
      <c r="CR140" s="1350"/>
      <c r="CU140"/>
    </row>
    <row r="141" spans="1:99" ht="28.8" x14ac:dyDescent="0.3">
      <c r="A141" s="1312">
        <v>140</v>
      </c>
      <c r="B141" s="254" t="s">
        <v>1849</v>
      </c>
      <c r="C141" s="1312" t="s">
        <v>1850</v>
      </c>
      <c r="D141" s="1312"/>
      <c r="E141" s="1312"/>
      <c r="F141" s="1312"/>
      <c r="G141" s="1312">
        <v>1410</v>
      </c>
      <c r="H141" s="1312">
        <v>12.5</v>
      </c>
      <c r="I141" s="1312">
        <v>570</v>
      </c>
      <c r="J141" s="1312">
        <v>1440</v>
      </c>
      <c r="K141" s="1312">
        <v>1460</v>
      </c>
      <c r="L141" s="1312">
        <v>165</v>
      </c>
      <c r="M141" s="1312" t="s">
        <v>1851</v>
      </c>
      <c r="N141" s="254"/>
      <c r="O141" s="1641"/>
      <c r="P141" t="s">
        <v>1852</v>
      </c>
      <c r="S141" s="254"/>
      <c r="T141" s="1312"/>
      <c r="U141" s="1312"/>
      <c r="V141" s="1312"/>
      <c r="W141" s="1312"/>
      <c r="X141" s="1312"/>
      <c r="Z141" s="1312"/>
      <c r="AA141" s="254"/>
      <c r="BP141">
        <v>500</v>
      </c>
      <c r="BQ141" t="s">
        <v>499</v>
      </c>
      <c r="BT141" s="164">
        <f>IF(MAX(BU141:BU1220)&lt;ROW(65:65),"",VLOOKUP(ROW(65:65),BU141:BV1220,2))</f>
        <v>250</v>
      </c>
      <c r="BU141" s="165" t="str">
        <f>IF(COUNTIF(BV$76:BV141,BV141)=1,MAX(BU$76:BU140)+1,"")</f>
        <v/>
      </c>
      <c r="BV141" s="1312">
        <v>107.5</v>
      </c>
      <c r="BW141" s="1312">
        <v>257</v>
      </c>
      <c r="BX141" s="1312">
        <v>185</v>
      </c>
      <c r="BY141">
        <v>320</v>
      </c>
      <c r="BZ141" s="1312" t="s">
        <v>1319</v>
      </c>
      <c r="CA141" s="1352"/>
      <c r="CD141" s="1312">
        <v>682</v>
      </c>
      <c r="CE141" s="1312">
        <v>640</v>
      </c>
      <c r="CF141" s="254">
        <v>410</v>
      </c>
      <c r="CG141" s="1312">
        <v>343</v>
      </c>
      <c r="CH141" s="254">
        <v>700</v>
      </c>
      <c r="CI141">
        <v>400</v>
      </c>
      <c r="CJ141" s="1312" t="s">
        <v>1112</v>
      </c>
      <c r="CK141" s="1352" t="s">
        <v>1611</v>
      </c>
      <c r="CM141" s="1351"/>
      <c r="CN141"/>
      <c r="CR141" s="1350"/>
      <c r="CU141"/>
    </row>
    <row r="142" spans="1:99" x14ac:dyDescent="0.3">
      <c r="A142" s="1312">
        <v>141</v>
      </c>
      <c r="B142" s="254"/>
      <c r="C142" s="1312"/>
      <c r="D142" s="1312"/>
      <c r="E142" s="1312"/>
      <c r="F142" s="1312"/>
      <c r="G142" s="1312">
        <v>1440</v>
      </c>
      <c r="H142" s="1312">
        <v>5</v>
      </c>
      <c r="I142" s="1312">
        <v>720</v>
      </c>
      <c r="J142" s="1312"/>
      <c r="K142" s="1312"/>
      <c r="L142" s="1312"/>
      <c r="M142" s="1312" t="s">
        <v>1187</v>
      </c>
      <c r="N142" s="254"/>
      <c r="O142" s="1641"/>
      <c r="P142"/>
      <c r="S142" s="254"/>
      <c r="T142" s="1312"/>
      <c r="U142" s="1312"/>
      <c r="V142" s="1312"/>
      <c r="W142" s="1312"/>
      <c r="X142" s="1312"/>
      <c r="Z142" s="1312"/>
      <c r="AA142" s="254"/>
      <c r="BP142">
        <v>502.5</v>
      </c>
      <c r="BQ142" t="s">
        <v>500</v>
      </c>
      <c r="BT142" s="164">
        <f>IF(MAX(BU142:BU1221)&lt;ROW(66:66),"",VLOOKUP(ROW(66:66),BU142:BV1221,2))</f>
        <v>252.5</v>
      </c>
      <c r="BU142" s="165" t="str">
        <f>IF(COUNTIF(BV$76:BV142,BV142)=1,MAX(BU$76:BU141)+1,"")</f>
        <v/>
      </c>
      <c r="BV142" s="1312">
        <v>107.5</v>
      </c>
      <c r="BW142" s="1312">
        <v>265</v>
      </c>
      <c r="BX142" s="1312">
        <v>185</v>
      </c>
      <c r="BY142">
        <v>320</v>
      </c>
      <c r="BZ142" s="1312" t="s">
        <v>1319</v>
      </c>
      <c r="CA142" s="1352"/>
    </row>
    <row r="143" spans="1:99" x14ac:dyDescent="0.3">
      <c r="A143" s="1312">
        <v>142</v>
      </c>
      <c r="B143" s="254" t="s">
        <v>1845</v>
      </c>
      <c r="C143" s="1312"/>
      <c r="D143" s="1312"/>
      <c r="E143" s="1312"/>
      <c r="F143" s="1312"/>
      <c r="G143" s="1312">
        <v>1450</v>
      </c>
      <c r="H143" s="1312">
        <v>7.5</v>
      </c>
      <c r="I143" s="1312">
        <v>840</v>
      </c>
      <c r="J143" s="1312">
        <v>1505</v>
      </c>
      <c r="K143" s="1312">
        <v>1525</v>
      </c>
      <c r="L143" s="1312">
        <v>170</v>
      </c>
      <c r="M143" s="1312" t="s">
        <v>1197</v>
      </c>
      <c r="N143" s="254"/>
      <c r="O143" s="1641"/>
      <c r="P143" t="s">
        <v>1853</v>
      </c>
      <c r="S143" s="254"/>
      <c r="T143" s="1312"/>
      <c r="U143" s="1312"/>
      <c r="V143" s="1312"/>
      <c r="W143" s="1312"/>
      <c r="X143" s="1312"/>
      <c r="BP143">
        <v>505</v>
      </c>
      <c r="BQ143" t="s">
        <v>501</v>
      </c>
      <c r="BT143" s="164">
        <f>IF(MAX(BU143:BU1222)&lt;ROW(67:67),"",VLOOKUP(ROW(67:67),BU143:BV1222,2))</f>
        <v>255</v>
      </c>
      <c r="BU143" s="165">
        <f>IF(COUNTIF(BV$76:BV143,BV143)=1,MAX(BU$76:BU142)+1,"")</f>
        <v>10</v>
      </c>
      <c r="BV143" s="1312">
        <v>110</v>
      </c>
      <c r="BW143" s="1312">
        <v>258</v>
      </c>
      <c r="BX143" s="1312">
        <v>185</v>
      </c>
      <c r="BY143">
        <v>320</v>
      </c>
      <c r="BZ143" s="1312" t="s">
        <v>1320</v>
      </c>
      <c r="CA143" s="1352"/>
    </row>
    <row r="144" spans="1:99" x14ac:dyDescent="0.3">
      <c r="A144" s="1312">
        <v>143</v>
      </c>
      <c r="B144" s="254"/>
      <c r="C144" s="1312"/>
      <c r="D144" s="1312"/>
      <c r="E144" s="1312"/>
      <c r="F144" s="1312"/>
      <c r="G144" s="1312">
        <v>1460</v>
      </c>
      <c r="H144" s="1312">
        <v>7.5</v>
      </c>
      <c r="I144" s="1312">
        <v>560</v>
      </c>
      <c r="J144" s="1312"/>
      <c r="K144" s="1312"/>
      <c r="L144" s="1312"/>
      <c r="M144" s="1312" t="s">
        <v>1187</v>
      </c>
      <c r="N144" s="254"/>
      <c r="O144" s="1641"/>
      <c r="P144"/>
      <c r="BP144">
        <v>507.5</v>
      </c>
      <c r="BQ144" t="s">
        <v>502</v>
      </c>
      <c r="BT144" s="164">
        <f>IF(MAX(BU144:BU1223)&lt;ROW(68:68),"",VLOOKUP(ROW(68:68),BU144:BV1223,2))</f>
        <v>257.5</v>
      </c>
      <c r="BU144" s="165" t="str">
        <f>IF(COUNTIF(BV$76:BV144,BV144)=1,MAX(BU$76:BU143)+1,"")</f>
        <v/>
      </c>
      <c r="BV144" s="1312">
        <v>110</v>
      </c>
      <c r="BW144" s="1312">
        <v>260</v>
      </c>
      <c r="BX144" s="1312">
        <v>185</v>
      </c>
      <c r="BY144">
        <v>320</v>
      </c>
      <c r="BZ144" s="1312" t="s">
        <v>1320</v>
      </c>
      <c r="CA144" s="1352"/>
    </row>
    <row r="145" spans="1:79" x14ac:dyDescent="0.3">
      <c r="A145" s="1312">
        <v>144</v>
      </c>
      <c r="B145" s="254"/>
      <c r="C145" s="1312" t="s">
        <v>1768</v>
      </c>
      <c r="D145" s="1312"/>
      <c r="E145" s="1312"/>
      <c r="F145" s="1312"/>
      <c r="G145" s="1312">
        <v>1550</v>
      </c>
      <c r="H145" s="1312">
        <v>16</v>
      </c>
      <c r="I145" s="1312">
        <v>960</v>
      </c>
      <c r="J145" s="1312">
        <v>1615</v>
      </c>
      <c r="K145" s="1312">
        <v>1660</v>
      </c>
      <c r="L145" s="1312">
        <v>290</v>
      </c>
      <c r="M145" s="1312" t="s">
        <v>1769</v>
      </c>
      <c r="N145" s="254" t="s">
        <v>6</v>
      </c>
      <c r="O145" s="1641" t="s">
        <v>1994</v>
      </c>
      <c r="P145" t="s">
        <v>1854</v>
      </c>
      <c r="BP145">
        <v>510</v>
      </c>
      <c r="BQ145" t="s">
        <v>503</v>
      </c>
      <c r="BT145" s="164">
        <f>IF(MAX(BU145:BU1224)&lt;ROW(69:69),"",VLOOKUP(ROW(69:69),BU145:BV1224,2))</f>
        <v>260</v>
      </c>
      <c r="BU145" s="165" t="str">
        <f>IF(COUNTIF(BV$76:BV145,BV145)=1,MAX(BU$76:BU144)+1,"")</f>
        <v/>
      </c>
      <c r="BV145" s="1312">
        <v>110</v>
      </c>
      <c r="BW145" s="1312">
        <v>255</v>
      </c>
      <c r="BX145" s="1312">
        <v>185</v>
      </c>
      <c r="BY145">
        <v>320</v>
      </c>
      <c r="BZ145" s="1312" t="s">
        <v>1320</v>
      </c>
      <c r="CA145" s="1352"/>
    </row>
    <row r="146" spans="1:79" x14ac:dyDescent="0.3">
      <c r="A146" s="1312">
        <v>145</v>
      </c>
      <c r="B146" s="254" t="s">
        <v>1855</v>
      </c>
      <c r="C146" s="1312"/>
      <c r="D146" s="1312"/>
      <c r="E146" s="1312"/>
      <c r="F146" s="1312"/>
      <c r="G146" s="1312">
        <v>1590</v>
      </c>
      <c r="H146" s="1312">
        <v>8.5</v>
      </c>
      <c r="I146" s="1312">
        <v>520</v>
      </c>
      <c r="J146" s="1312">
        <v>1665</v>
      </c>
      <c r="K146" s="1312">
        <v>1685</v>
      </c>
      <c r="L146" s="1312">
        <v>160</v>
      </c>
      <c r="M146" s="1312"/>
      <c r="N146" s="254"/>
      <c r="O146" s="1641"/>
      <c r="P146" s="1312" t="s">
        <v>1856</v>
      </c>
      <c r="BP146">
        <v>515</v>
      </c>
      <c r="BQ146" t="s">
        <v>504</v>
      </c>
      <c r="BT146" s="164">
        <f>IF(MAX(BU146:BU1225)&lt;ROW(70:70),"",VLOOKUP(ROW(70:70),BU146:BV1225,2))</f>
        <v>262.5</v>
      </c>
      <c r="BU146" s="165" t="str">
        <f>IF(COUNTIF(BV$76:BV146,BV146)=1,MAX(BU$76:BU145)+1,"")</f>
        <v/>
      </c>
      <c r="BV146" s="1312">
        <v>110</v>
      </c>
      <c r="BW146" s="1312">
        <v>260</v>
      </c>
      <c r="BX146" s="1312">
        <v>185</v>
      </c>
      <c r="BY146">
        <v>320</v>
      </c>
      <c r="BZ146" s="1312" t="s">
        <v>1320</v>
      </c>
      <c r="CA146" s="1352"/>
    </row>
    <row r="147" spans="1:79" x14ac:dyDescent="0.3">
      <c r="A147" s="1312">
        <v>146</v>
      </c>
      <c r="B147" s="254" t="s">
        <v>1845</v>
      </c>
      <c r="C147" s="1312"/>
      <c r="D147" s="1312"/>
      <c r="E147" s="1312"/>
      <c r="F147" s="1312"/>
      <c r="G147" s="1312">
        <v>1720</v>
      </c>
      <c r="H147" s="1312">
        <v>10</v>
      </c>
      <c r="I147" s="1312">
        <v>1150</v>
      </c>
      <c r="J147" s="1312">
        <v>1825</v>
      </c>
      <c r="K147" s="1312">
        <v>1835</v>
      </c>
      <c r="L147" s="1312">
        <v>200</v>
      </c>
      <c r="M147" s="1312" t="s">
        <v>1198</v>
      </c>
      <c r="N147" s="254"/>
      <c r="O147" s="1641"/>
      <c r="P147" s="1312" t="s">
        <v>1857</v>
      </c>
      <c r="BP147">
        <v>517.5</v>
      </c>
      <c r="BQ147" t="s">
        <v>505</v>
      </c>
      <c r="BT147" s="164">
        <f>IF(MAX(BU147:BU1226)&lt;ROW(71:71),"",VLOOKUP(ROW(71:71),BU147:BV1226,2))</f>
        <v>265</v>
      </c>
      <c r="BU147" s="165" t="str">
        <f>IF(COUNTIF(BV$76:BV147,BV147)=1,MAX(BU$76:BU146)+1,"")</f>
        <v/>
      </c>
      <c r="BV147" s="1312">
        <v>110</v>
      </c>
      <c r="BW147" s="1312">
        <v>260</v>
      </c>
      <c r="BX147" s="1312">
        <v>185</v>
      </c>
      <c r="BY147">
        <v>320</v>
      </c>
      <c r="BZ147" s="1312" t="s">
        <v>1320</v>
      </c>
      <c r="CA147" s="1352"/>
    </row>
    <row r="148" spans="1:79" x14ac:dyDescent="0.3">
      <c r="A148" s="1312">
        <v>147</v>
      </c>
      <c r="B148" s="254" t="s">
        <v>1191</v>
      </c>
      <c r="C148" s="1312"/>
      <c r="D148" s="1312"/>
      <c r="E148" s="1312"/>
      <c r="F148" s="1312"/>
      <c r="G148" s="1312">
        <v>1860</v>
      </c>
      <c r="H148" s="1312">
        <v>7.5</v>
      </c>
      <c r="I148" s="1312">
        <v>1060</v>
      </c>
      <c r="J148" s="1312">
        <v>1925</v>
      </c>
      <c r="K148" s="1312">
        <v>1950</v>
      </c>
      <c r="L148" s="1312">
        <v>250</v>
      </c>
      <c r="M148" s="1312"/>
      <c r="N148" s="254"/>
      <c r="O148" s="1641"/>
      <c r="BP148">
        <v>520</v>
      </c>
      <c r="BQ148" t="s">
        <v>506</v>
      </c>
      <c r="BT148" s="164">
        <f>IF(MAX(BU148:BU1227)&lt;ROW(72:72),"",VLOOKUP(ROW(72:72),BU148:BV1227,2))</f>
        <v>267.5</v>
      </c>
      <c r="BU148" s="165" t="str">
        <f>IF(COUNTIF(BV$76:BV148,BV148)=1,MAX(BU$76:BU147)+1,"")</f>
        <v/>
      </c>
      <c r="BV148" s="1312">
        <v>110</v>
      </c>
      <c r="BW148" s="1312">
        <v>260</v>
      </c>
      <c r="BX148" s="1312">
        <v>185</v>
      </c>
      <c r="BY148">
        <v>320</v>
      </c>
      <c r="BZ148" s="1312" t="s">
        <v>1320</v>
      </c>
      <c r="CA148" s="1352"/>
    </row>
    <row r="149" spans="1:79" x14ac:dyDescent="0.3">
      <c r="A149" s="1312">
        <v>148</v>
      </c>
      <c r="B149" s="254"/>
      <c r="C149" s="1312" t="s">
        <v>1858</v>
      </c>
      <c r="D149" s="1312"/>
      <c r="E149" s="1312"/>
      <c r="F149" s="1312"/>
      <c r="G149" s="1312">
        <v>2110</v>
      </c>
      <c r="H149" s="1312">
        <v>5</v>
      </c>
      <c r="I149" s="1312">
        <v>610</v>
      </c>
      <c r="J149" s="1312">
        <v>2167</v>
      </c>
      <c r="K149" s="1312">
        <v>2196</v>
      </c>
      <c r="L149" s="1312">
        <v>420</v>
      </c>
      <c r="M149" s="1312" t="s">
        <v>1199</v>
      </c>
      <c r="N149" s="254"/>
      <c r="O149" s="1641"/>
      <c r="P149" s="1312" t="s">
        <v>1859</v>
      </c>
      <c r="BP149">
        <v>522.5</v>
      </c>
      <c r="BQ149" t="s">
        <v>507</v>
      </c>
      <c r="BT149" s="164">
        <f>IF(MAX(BU149:BU1228)&lt;ROW(73:73),"",VLOOKUP(ROW(73:73),BU149:BV1228,2))</f>
        <v>270</v>
      </c>
      <c r="BU149" s="165" t="str">
        <f>IF(COUNTIF(BV$76:BV149,BV149)=1,MAX(BU$76:BU148)+1,"")</f>
        <v/>
      </c>
      <c r="BV149" s="1312">
        <v>110</v>
      </c>
      <c r="BW149" s="1312">
        <v>250</v>
      </c>
      <c r="BX149" s="1312">
        <v>185</v>
      </c>
      <c r="BY149">
        <v>320</v>
      </c>
      <c r="BZ149" s="1312" t="s">
        <v>1320</v>
      </c>
      <c r="CA149" s="1352"/>
    </row>
    <row r="150" spans="1:79" x14ac:dyDescent="0.3">
      <c r="A150" s="1312">
        <v>149</v>
      </c>
      <c r="B150" s="254" t="s">
        <v>1855</v>
      </c>
      <c r="C150" s="1312"/>
      <c r="D150" s="1312"/>
      <c r="E150" s="1312"/>
      <c r="F150" s="1312"/>
      <c r="G150" s="1312">
        <v>2120</v>
      </c>
      <c r="H150" s="1312">
        <v>7.5</v>
      </c>
      <c r="I150" s="1312">
        <v>1520</v>
      </c>
      <c r="J150" s="1312">
        <v>2196</v>
      </c>
      <c r="K150" s="1312">
        <v>2212</v>
      </c>
      <c r="L150" s="1312">
        <v>240</v>
      </c>
      <c r="M150" s="1312" t="s">
        <v>1200</v>
      </c>
      <c r="N150" s="254"/>
      <c r="O150" s="1641"/>
      <c r="P150" s="1312" t="s">
        <v>1860</v>
      </c>
      <c r="U150">
        <f>ROUNDUP(('цб с буртом'!M18-2*Q150)*0.985,0)</f>
        <v>0</v>
      </c>
      <c r="BP150">
        <v>525</v>
      </c>
      <c r="BQ150" t="s">
        <v>508</v>
      </c>
      <c r="BT150" s="164">
        <f>IF(MAX(BU150:BU1229)&lt;ROW(74:74),"",VLOOKUP(ROW(74:74),BU150:BV1229,2))</f>
        <v>275</v>
      </c>
      <c r="BU150" s="165" t="str">
        <f>IF(COUNTIF(BV$76:BV150,BV150)=1,MAX(BU$76:BU149)+1,"")</f>
        <v/>
      </c>
      <c r="BV150" s="1312">
        <v>110</v>
      </c>
      <c r="BW150" s="1312">
        <v>260</v>
      </c>
      <c r="BX150" s="1312">
        <v>185</v>
      </c>
      <c r="BY150">
        <v>320</v>
      </c>
      <c r="BZ150" s="1312" t="s">
        <v>1320</v>
      </c>
      <c r="CA150" s="1352"/>
    </row>
    <row r="151" spans="1:79" x14ac:dyDescent="0.3">
      <c r="A151" s="1312">
        <v>150</v>
      </c>
      <c r="B151" s="254"/>
      <c r="C151" s="1312"/>
      <c r="D151" s="1312">
        <v>2350</v>
      </c>
      <c r="E151" s="1312">
        <v>3</v>
      </c>
      <c r="F151" s="1312">
        <v>100</v>
      </c>
      <c r="G151" s="1312">
        <v>2150</v>
      </c>
      <c r="H151" s="1312">
        <v>2.5</v>
      </c>
      <c r="I151" s="1312">
        <v>140</v>
      </c>
      <c r="J151" s="1312">
        <v>2356</v>
      </c>
      <c r="K151" s="1312">
        <v>2385</v>
      </c>
      <c r="L151" s="1312">
        <v>150</v>
      </c>
      <c r="M151" s="1312" t="s">
        <v>2041</v>
      </c>
      <c r="N151" s="254"/>
      <c r="O151" s="1641"/>
      <c r="BP151">
        <v>527.5</v>
      </c>
      <c r="BQ151" t="s">
        <v>509</v>
      </c>
      <c r="BT151" s="164">
        <f>IF(MAX(BU151:BU1230)&lt;ROW(75:75),"",VLOOKUP(ROW(75:75),BU151:BV1230,2))</f>
        <v>277.5</v>
      </c>
      <c r="BU151" s="165" t="str">
        <f>IF(COUNTIF(BV$76:BV151,BV151)=1,MAX(BU$76:BU150)+1,"")</f>
        <v/>
      </c>
      <c r="BV151" s="1312">
        <v>110</v>
      </c>
      <c r="BW151" s="1312">
        <v>257</v>
      </c>
      <c r="BX151" s="1312">
        <v>185</v>
      </c>
      <c r="BY151">
        <v>320</v>
      </c>
      <c r="BZ151" s="1312" t="s">
        <v>1320</v>
      </c>
      <c r="CA151" s="1352"/>
    </row>
    <row r="152" spans="1:79" x14ac:dyDescent="0.3">
      <c r="A152" s="1312">
        <v>151</v>
      </c>
      <c r="B152" s="254"/>
      <c r="C152" s="1312"/>
      <c r="D152" s="1312"/>
      <c r="E152" s="1312"/>
      <c r="F152" s="1312"/>
      <c r="G152" s="1312"/>
      <c r="H152" s="1312"/>
      <c r="I152" s="1312"/>
      <c r="J152" s="1312">
        <v>1530</v>
      </c>
      <c r="K152" s="1312">
        <v>1585</v>
      </c>
      <c r="L152" s="1312">
        <v>160</v>
      </c>
      <c r="M152" s="1312" t="s">
        <v>1201</v>
      </c>
      <c r="N152" s="254"/>
      <c r="O152" s="1641"/>
      <c r="BP152">
        <v>530</v>
      </c>
      <c r="BQ152" t="s">
        <v>510</v>
      </c>
      <c r="BT152" s="164">
        <f>IF(MAX(BU152:BU1231)&lt;ROW(76:76),"",VLOOKUP(ROW(76:76),BU152:BV1231,2))</f>
        <v>280</v>
      </c>
      <c r="BU152" s="165" t="str">
        <f>IF(COUNTIF(BV$76:BV152,BV152)=1,MAX(BU$76:BU151)+1,"")</f>
        <v/>
      </c>
      <c r="BV152" s="1312">
        <v>110</v>
      </c>
      <c r="BW152" s="1312">
        <v>260</v>
      </c>
      <c r="BX152" s="1312">
        <v>185</v>
      </c>
      <c r="BY152">
        <v>320</v>
      </c>
      <c r="BZ152" s="1312" t="s">
        <v>1320</v>
      </c>
      <c r="CA152" s="1352"/>
    </row>
    <row r="153" spans="1:79" x14ac:dyDescent="0.3">
      <c r="BP153">
        <v>532.5</v>
      </c>
      <c r="BQ153" t="s">
        <v>511</v>
      </c>
      <c r="BT153" s="164">
        <f>IF(MAX(BU153:BU1232)&lt;ROW(77:77),"",VLOOKUP(ROW(77:77),BU153:BV1232,2))</f>
        <v>282.5</v>
      </c>
      <c r="BU153" s="165" t="str">
        <f>IF(COUNTIF(BV$76:BV153,BV153)=1,MAX(BU$76:BU152)+1,"")</f>
        <v/>
      </c>
      <c r="BV153" s="1312">
        <v>110</v>
      </c>
      <c r="BW153" s="1312">
        <v>260</v>
      </c>
      <c r="BX153" s="1312">
        <v>185</v>
      </c>
      <c r="BY153">
        <v>320</v>
      </c>
      <c r="BZ153" s="1312" t="s">
        <v>1320</v>
      </c>
      <c r="CA153" s="1352"/>
    </row>
    <row r="154" spans="1:79" x14ac:dyDescent="0.3">
      <c r="BP154">
        <v>535</v>
      </c>
      <c r="BQ154" t="s">
        <v>512</v>
      </c>
      <c r="BT154" s="164">
        <f>IF(MAX(BU154:BU1233)&lt;ROW(78:78),"",VLOOKUP(ROW(78:78),BU154:BV1233,2))</f>
        <v>285</v>
      </c>
      <c r="BU154" s="165" t="str">
        <f>IF(COUNTIF(BV$76:BV154,BV154)=1,MAX(BU$76:BU153)+1,"")</f>
        <v/>
      </c>
      <c r="BV154" s="1312">
        <v>110</v>
      </c>
      <c r="BW154" s="1312">
        <v>255</v>
      </c>
      <c r="BX154" s="1312">
        <v>185</v>
      </c>
      <c r="BY154">
        <v>320</v>
      </c>
      <c r="BZ154" s="1312" t="s">
        <v>1320</v>
      </c>
      <c r="CA154" s="1352"/>
    </row>
    <row r="155" spans="1:79" x14ac:dyDescent="0.3">
      <c r="BP155">
        <v>537.5</v>
      </c>
      <c r="BQ155" t="s">
        <v>513</v>
      </c>
      <c r="BT155" s="164">
        <f>IF(MAX(BU155:BU1234)&lt;ROW(79:79),"",VLOOKUP(ROW(79:79),BU155:BV1234,2))</f>
        <v>287.5</v>
      </c>
      <c r="BU155" s="165" t="str">
        <f>IF(COUNTIF(BV$76:BV155,BV155)=1,MAX(BU$76:BU154)+1,"")</f>
        <v/>
      </c>
      <c r="BV155" s="1312">
        <v>110</v>
      </c>
      <c r="BW155" s="1312">
        <v>255</v>
      </c>
      <c r="BX155" s="1312">
        <v>185</v>
      </c>
      <c r="BY155">
        <v>320</v>
      </c>
      <c r="BZ155" s="1312" t="s">
        <v>1320</v>
      </c>
      <c r="CA155" s="1352"/>
    </row>
    <row r="156" spans="1:79" x14ac:dyDescent="0.3">
      <c r="BP156">
        <v>545</v>
      </c>
      <c r="BQ156" t="s">
        <v>514</v>
      </c>
      <c r="BT156" s="164">
        <f>IF(MAX(BU156:BU1235)&lt;ROW(80:80),"",VLOOKUP(ROW(80:80),BU156:BV1235,2))</f>
        <v>290</v>
      </c>
      <c r="BU156" s="165">
        <f>IF(COUNTIF(BV$76:BV156,BV156)=1,MAX(BU$76:BU155)+1,"")</f>
        <v>11</v>
      </c>
      <c r="BV156" s="1312">
        <v>112.5</v>
      </c>
      <c r="BW156" s="1312">
        <v>320</v>
      </c>
      <c r="BX156" s="1312">
        <v>140</v>
      </c>
      <c r="BY156">
        <v>115</v>
      </c>
      <c r="BZ156" s="1312" t="s">
        <v>1321</v>
      </c>
      <c r="CA156" s="1352" t="s">
        <v>1592</v>
      </c>
    </row>
    <row r="157" spans="1:79" x14ac:dyDescent="0.3">
      <c r="BP157">
        <v>547.5</v>
      </c>
      <c r="BQ157" t="s">
        <v>515</v>
      </c>
      <c r="BT157" s="164">
        <f>IF(MAX(BU157:BU1236)&lt;ROW(81:81),"",VLOOKUP(ROW(81:81),BU157:BV1236,2))</f>
        <v>292.5</v>
      </c>
      <c r="BU157" s="165" t="str">
        <f>IF(COUNTIF(BV$76:BV157,BV157)=1,MAX(BU$76:BU156)+1,"")</f>
        <v/>
      </c>
      <c r="BV157" s="1312">
        <v>112.5</v>
      </c>
      <c r="BW157" s="1312">
        <v>315</v>
      </c>
      <c r="BX157" s="1312">
        <v>185</v>
      </c>
      <c r="BY157">
        <v>320</v>
      </c>
      <c r="BZ157" s="1312" t="s">
        <v>1321</v>
      </c>
      <c r="CA157" s="1352" t="s">
        <v>1592</v>
      </c>
    </row>
    <row r="158" spans="1:79" x14ac:dyDescent="0.3">
      <c r="BP158">
        <v>555</v>
      </c>
      <c r="BQ158" t="s">
        <v>516</v>
      </c>
      <c r="BT158" s="164">
        <f>IF(MAX(BU158:BU1237)&lt;ROW(82:82),"",VLOOKUP(ROW(82:82),BU158:BV1237,2))</f>
        <v>295</v>
      </c>
      <c r="BU158" s="165" t="str">
        <f>IF(COUNTIF(BV$76:BV158,BV158)=1,MAX(BU$76:BU157)+1,"")</f>
        <v/>
      </c>
      <c r="BV158" s="1312">
        <v>112.5</v>
      </c>
      <c r="BW158" s="1312">
        <v>320</v>
      </c>
      <c r="BX158" s="1312">
        <v>140</v>
      </c>
      <c r="BY158">
        <v>115</v>
      </c>
      <c r="BZ158" s="1312" t="s">
        <v>1321</v>
      </c>
      <c r="CA158" s="1352" t="s">
        <v>1592</v>
      </c>
    </row>
    <row r="159" spans="1:79" x14ac:dyDescent="0.3">
      <c r="BP159">
        <v>560</v>
      </c>
      <c r="BQ159" t="s">
        <v>517</v>
      </c>
      <c r="BT159" s="164">
        <f>IF(MAX(BU159:BU1238)&lt;ROW(83:83),"",VLOOKUP(ROW(83:83),BU159:BV1238,2))</f>
        <v>297.5</v>
      </c>
      <c r="BU159" s="165" t="str">
        <f>IF(COUNTIF(BV$76:BV159,BV159)=1,MAX(BU$76:BU158)+1,"")</f>
        <v/>
      </c>
      <c r="BV159" s="1312">
        <v>112.5</v>
      </c>
      <c r="BW159" s="1312">
        <v>255</v>
      </c>
      <c r="BX159" s="1312">
        <v>185</v>
      </c>
      <c r="BY159">
        <v>320</v>
      </c>
      <c r="BZ159" s="1312" t="s">
        <v>1322</v>
      </c>
      <c r="CA159" s="1352"/>
    </row>
    <row r="160" spans="1:79" x14ac:dyDescent="0.3">
      <c r="BP160">
        <v>565</v>
      </c>
      <c r="BQ160" t="s">
        <v>518</v>
      </c>
      <c r="BT160" s="164">
        <f>IF(MAX(BU160:BU1239)&lt;ROW(84:84),"",VLOOKUP(ROW(84:84),BU160:BV1239,2))</f>
        <v>300</v>
      </c>
      <c r="BU160" s="165" t="str">
        <f>IF(COUNTIF(BV$76:BV160,BV160)=1,MAX(BU$76:BU159)+1,"")</f>
        <v/>
      </c>
      <c r="BV160" s="1312">
        <v>112.5</v>
      </c>
      <c r="BW160" s="1312">
        <v>260</v>
      </c>
      <c r="BX160" s="1312">
        <v>185</v>
      </c>
      <c r="BY160">
        <v>320</v>
      </c>
      <c r="BZ160" s="1312" t="s">
        <v>1322</v>
      </c>
      <c r="CA160" s="1352"/>
    </row>
    <row r="161" spans="68:79" x14ac:dyDescent="0.3">
      <c r="BP161">
        <v>572.5</v>
      </c>
      <c r="BQ161" t="s">
        <v>519</v>
      </c>
      <c r="BT161" s="164">
        <f>IF(MAX(BU161:BU1240)&lt;ROW(85:85),"",VLOOKUP(ROW(85:85),BU161:BV1240,2))</f>
        <v>302.5</v>
      </c>
      <c r="BU161" s="165" t="str">
        <f>IF(COUNTIF(BV$76:BV161,BV161)=1,MAX(BU$76:BU160)+1,"")</f>
        <v/>
      </c>
      <c r="BV161" s="1312">
        <v>112.5</v>
      </c>
      <c r="BW161" s="1312">
        <v>255</v>
      </c>
      <c r="BX161" s="1312">
        <v>185</v>
      </c>
      <c r="BY161">
        <v>320</v>
      </c>
      <c r="BZ161" s="1312" t="s">
        <v>1322</v>
      </c>
      <c r="CA161" s="1352"/>
    </row>
    <row r="162" spans="68:79" x14ac:dyDescent="0.3">
      <c r="BP162">
        <v>575</v>
      </c>
      <c r="BQ162" t="s">
        <v>520</v>
      </c>
      <c r="BT162" s="164">
        <f>IF(MAX(BU162:BU1241)&lt;ROW(86:86),"",VLOOKUP(ROW(86:86),BU162:BV1241,2))</f>
        <v>305</v>
      </c>
      <c r="BU162" s="165" t="str">
        <f>IF(COUNTIF(BV$76:BV162,BV162)=1,MAX(BU$76:BU161)+1,"")</f>
        <v/>
      </c>
      <c r="BV162" s="1312">
        <v>112.5</v>
      </c>
      <c r="BW162" s="1312">
        <v>260</v>
      </c>
      <c r="BX162" s="1312">
        <v>185</v>
      </c>
      <c r="BY162">
        <v>320</v>
      </c>
      <c r="BZ162" s="1312" t="s">
        <v>1322</v>
      </c>
      <c r="CA162" s="1352"/>
    </row>
    <row r="163" spans="68:79" x14ac:dyDescent="0.3">
      <c r="BP163">
        <v>580</v>
      </c>
      <c r="BQ163" t="s">
        <v>521</v>
      </c>
      <c r="BT163" s="164">
        <f>IF(MAX(BU163:BU1242)&lt;ROW(87:87),"",VLOOKUP(ROW(87:87),BU163:BV1242,2))</f>
        <v>307.5</v>
      </c>
      <c r="BU163" s="165" t="str">
        <f>IF(COUNTIF(BV$76:BV163,BV163)=1,MAX(BU$76:BU162)+1,"")</f>
        <v/>
      </c>
      <c r="BV163" s="1312">
        <v>112.5</v>
      </c>
      <c r="BW163" s="1312">
        <v>258</v>
      </c>
      <c r="BX163" s="1312">
        <v>185</v>
      </c>
      <c r="BY163">
        <v>320</v>
      </c>
      <c r="BZ163" s="1312" t="s">
        <v>1322</v>
      </c>
      <c r="CA163" s="1352"/>
    </row>
    <row r="164" spans="68:79" x14ac:dyDescent="0.3">
      <c r="BP164">
        <v>585</v>
      </c>
      <c r="BQ164" t="s">
        <v>522</v>
      </c>
      <c r="BT164" s="164">
        <f>IF(MAX(BU164:BU1243)&lt;ROW(88:88),"",VLOOKUP(ROW(88:88),BU164:BV1243,2))</f>
        <v>310</v>
      </c>
      <c r="BU164" s="165" t="str">
        <f>IF(COUNTIF(BV$76:BV164,BV164)=1,MAX(BU$76:BU163)+1,"")</f>
        <v/>
      </c>
      <c r="BV164" s="1312">
        <v>112.5</v>
      </c>
      <c r="BW164" s="1312">
        <v>255</v>
      </c>
      <c r="BX164" s="1312">
        <v>185</v>
      </c>
      <c r="BY164">
        <v>320</v>
      </c>
      <c r="BZ164" s="1312" t="s">
        <v>1322</v>
      </c>
      <c r="CA164" s="1352"/>
    </row>
    <row r="165" spans="68:79" x14ac:dyDescent="0.3">
      <c r="BP165">
        <v>590</v>
      </c>
      <c r="BQ165" t="s">
        <v>523</v>
      </c>
      <c r="BT165" s="164">
        <f>IF(MAX(BU165:BU1244)&lt;ROW(89:89),"",VLOOKUP(ROW(89:89),BU165:BV1244,2))</f>
        <v>312.5</v>
      </c>
      <c r="BU165" s="165" t="str">
        <f>IF(COUNTIF(BV$76:BV165,BV165)=1,MAX(BU$76:BU164)+1,"")</f>
        <v/>
      </c>
      <c r="BV165" s="1312">
        <v>112.5</v>
      </c>
      <c r="BW165" s="1312">
        <v>255</v>
      </c>
      <c r="BX165" s="1312">
        <v>185</v>
      </c>
      <c r="BY165">
        <v>320</v>
      </c>
      <c r="BZ165" s="1312" t="s">
        <v>1322</v>
      </c>
      <c r="CA165" s="1352"/>
    </row>
    <row r="166" spans="68:79" x14ac:dyDescent="0.3">
      <c r="BP166">
        <v>592.5</v>
      </c>
      <c r="BQ166" t="s">
        <v>524</v>
      </c>
      <c r="BT166" s="164">
        <f>IF(MAX(BU166:BU1245)&lt;ROW(90:90),"",VLOOKUP(ROW(90:90),BU166:BV1245,2))</f>
        <v>315</v>
      </c>
      <c r="BU166" s="165" t="str">
        <f>IF(COUNTIF(BV$76:BV166,BV166)=1,MAX(BU$76:BU165)+1,"")</f>
        <v/>
      </c>
      <c r="BV166" s="1312">
        <v>112.5</v>
      </c>
      <c r="BW166" s="1312">
        <v>260</v>
      </c>
      <c r="BX166" s="1312">
        <v>185</v>
      </c>
      <c r="BY166">
        <v>320</v>
      </c>
      <c r="BZ166" s="1312" t="s">
        <v>1322</v>
      </c>
      <c r="CA166" s="1352"/>
    </row>
    <row r="167" spans="68:79" x14ac:dyDescent="0.3">
      <c r="BP167">
        <v>595</v>
      </c>
      <c r="BQ167" t="s">
        <v>525</v>
      </c>
      <c r="BT167" s="164">
        <f>IF(MAX(BU167:BU1246)&lt;ROW(91:91),"",VLOOKUP(ROW(91:91),BU167:BV1246,2))</f>
        <v>317.5</v>
      </c>
      <c r="BU167" s="165" t="str">
        <f>IF(COUNTIF(BV$76:BV167,BV167)=1,MAX(BU$76:BU166)+1,"")</f>
        <v/>
      </c>
      <c r="BV167" s="1312">
        <v>112.5</v>
      </c>
      <c r="BW167" s="1312">
        <v>255</v>
      </c>
      <c r="BX167" s="1312">
        <v>185</v>
      </c>
      <c r="BY167">
        <v>320</v>
      </c>
      <c r="BZ167" s="1312" t="s">
        <v>1322</v>
      </c>
      <c r="CA167" s="1352"/>
    </row>
    <row r="168" spans="68:79" x14ac:dyDescent="0.3">
      <c r="BP168">
        <v>597.5</v>
      </c>
      <c r="BQ168" t="s">
        <v>526</v>
      </c>
      <c r="BT168" s="164">
        <f>IF(MAX(BU168:BU1247)&lt;ROW(92:92),"",VLOOKUP(ROW(92:92),BU168:BV1247,2))</f>
        <v>320</v>
      </c>
      <c r="BU168" s="165">
        <f>IF(COUNTIF(BV$76:BV168,BV168)=1,MAX(BU$76:BU167)+1,"")</f>
        <v>12</v>
      </c>
      <c r="BV168" s="1312">
        <v>115</v>
      </c>
      <c r="BW168" s="1312">
        <v>255</v>
      </c>
      <c r="BX168" s="1312">
        <v>185</v>
      </c>
      <c r="BY168">
        <v>320</v>
      </c>
      <c r="BZ168" s="1312" t="s">
        <v>1323</v>
      </c>
      <c r="CA168" s="1352"/>
    </row>
    <row r="169" spans="68:79" x14ac:dyDescent="0.3">
      <c r="BP169">
        <v>600</v>
      </c>
      <c r="BQ169" t="s">
        <v>527</v>
      </c>
      <c r="BT169" s="164">
        <f>IF(MAX(BU169:BU1248)&lt;ROW(93:93),"",VLOOKUP(ROW(93:93),BU169:BV1248,2))</f>
        <v>322.5</v>
      </c>
      <c r="BU169" s="165" t="str">
        <f>IF(COUNTIF(BV$76:BV169,BV169)=1,MAX(BU$76:BU168)+1,"")</f>
        <v/>
      </c>
      <c r="BV169" s="1312">
        <v>115</v>
      </c>
      <c r="BW169" s="1312">
        <v>257</v>
      </c>
      <c r="BX169" s="1312">
        <v>185</v>
      </c>
      <c r="BY169">
        <v>320</v>
      </c>
      <c r="BZ169" s="1312" t="s">
        <v>1323</v>
      </c>
      <c r="CA169" s="1352"/>
    </row>
    <row r="170" spans="68:79" x14ac:dyDescent="0.3">
      <c r="BP170">
        <v>610</v>
      </c>
      <c r="BQ170" t="s">
        <v>528</v>
      </c>
      <c r="BT170" s="164">
        <f>IF(MAX(BU170:BU1249)&lt;ROW(94:94),"",VLOOKUP(ROW(94:94),BU170:BV1249,2))</f>
        <v>325</v>
      </c>
      <c r="BU170" s="165" t="str">
        <f>IF(COUNTIF(BV$76:BV170,BV170)=1,MAX(BU$76:BU169)+1,"")</f>
        <v/>
      </c>
      <c r="BV170" s="1312">
        <v>115</v>
      </c>
      <c r="BW170" s="1312">
        <v>257</v>
      </c>
      <c r="BX170" s="1312">
        <v>185</v>
      </c>
      <c r="BY170">
        <v>320</v>
      </c>
      <c r="BZ170" s="1312" t="s">
        <v>1323</v>
      </c>
      <c r="CA170" s="1352"/>
    </row>
    <row r="171" spans="68:79" x14ac:dyDescent="0.3">
      <c r="BP171">
        <v>620</v>
      </c>
      <c r="BQ171" t="s">
        <v>529</v>
      </c>
      <c r="BT171" s="164">
        <f>IF(MAX(BU171:BU1250)&lt;ROW(95:95),"",VLOOKUP(ROW(95:95),BU171:BV1250,2))</f>
        <v>327.5</v>
      </c>
      <c r="BU171" s="165" t="str">
        <f>IF(COUNTIF(BV$76:BV171,BV171)=1,MAX(BU$76:BU170)+1,"")</f>
        <v/>
      </c>
      <c r="BV171" s="1312">
        <v>115</v>
      </c>
      <c r="BW171" s="1312">
        <v>260</v>
      </c>
      <c r="BX171" s="1312">
        <v>185</v>
      </c>
      <c r="BY171">
        <v>320</v>
      </c>
      <c r="BZ171" s="1312" t="s">
        <v>1323</v>
      </c>
      <c r="CA171" s="1352"/>
    </row>
    <row r="172" spans="68:79" x14ac:dyDescent="0.3">
      <c r="BP172">
        <v>622.5</v>
      </c>
      <c r="BQ172" t="s">
        <v>530</v>
      </c>
      <c r="BT172" s="164">
        <f>IF(MAX(BU172:BU1251)&lt;ROW(96:96),"",VLOOKUP(ROW(96:96),BU172:BV1251,2))</f>
        <v>330</v>
      </c>
      <c r="BU172" s="165" t="str">
        <f>IF(COUNTIF(BV$76:BV172,BV172)=1,MAX(BU$76:BU171)+1,"")</f>
        <v/>
      </c>
      <c r="BV172" s="1312">
        <v>115</v>
      </c>
      <c r="BW172" s="1312">
        <v>260</v>
      </c>
      <c r="BX172" s="1312">
        <v>185</v>
      </c>
      <c r="BY172">
        <v>320</v>
      </c>
      <c r="BZ172" s="1312" t="s">
        <v>1323</v>
      </c>
      <c r="CA172" s="1352"/>
    </row>
    <row r="173" spans="68:79" x14ac:dyDescent="0.3">
      <c r="BP173">
        <v>625</v>
      </c>
      <c r="BQ173" t="s">
        <v>531</v>
      </c>
      <c r="BT173" s="164">
        <f>IF(MAX(BU173:BU1252)&lt;ROW(97:97),"",VLOOKUP(ROW(97:97),BU173:BV1252,2))</f>
        <v>332.5</v>
      </c>
      <c r="BU173" s="165" t="str">
        <f>IF(COUNTIF(BV$76:BV173,BV173)=1,MAX(BU$76:BU172)+1,"")</f>
        <v/>
      </c>
      <c r="BV173" s="1312">
        <v>115</v>
      </c>
      <c r="BW173" s="1312">
        <v>257</v>
      </c>
      <c r="BX173" s="1312">
        <v>185</v>
      </c>
      <c r="BY173">
        <v>320</v>
      </c>
      <c r="BZ173" s="1312" t="s">
        <v>1323</v>
      </c>
      <c r="CA173" s="1352"/>
    </row>
    <row r="174" spans="68:79" x14ac:dyDescent="0.3">
      <c r="BP174">
        <v>627.5</v>
      </c>
      <c r="BQ174" t="s">
        <v>532</v>
      </c>
      <c r="BT174" s="164">
        <f>IF(MAX(BU174:BU1253)&lt;ROW(98:98),"",VLOOKUP(ROW(98:98),BU174:BV1253,2))</f>
        <v>335</v>
      </c>
      <c r="BU174" s="165" t="str">
        <f>IF(COUNTIF(BV$76:BV174,BV174)=1,MAX(BU$76:BU173)+1,"")</f>
        <v/>
      </c>
      <c r="BV174" s="1312">
        <v>115</v>
      </c>
      <c r="BW174" s="1312">
        <v>257</v>
      </c>
      <c r="BX174" s="1312">
        <v>185</v>
      </c>
      <c r="BY174">
        <v>320</v>
      </c>
      <c r="BZ174" s="1312" t="s">
        <v>1323</v>
      </c>
      <c r="CA174" s="1352"/>
    </row>
    <row r="175" spans="68:79" x14ac:dyDescent="0.3">
      <c r="BP175">
        <v>630</v>
      </c>
      <c r="BQ175" t="s">
        <v>533</v>
      </c>
      <c r="BT175" s="164">
        <f>IF(MAX(BU175:BU1254)&lt;ROW(99:99),"",VLOOKUP(ROW(99:99),BU175:BV1254,2))</f>
        <v>337.5</v>
      </c>
      <c r="BU175" s="165" t="str">
        <f>IF(COUNTIF(BV$76:BV175,BV175)=1,MAX(BU$76:BU174)+1,"")</f>
        <v/>
      </c>
      <c r="BV175" s="1312">
        <v>115</v>
      </c>
      <c r="BW175" s="1312">
        <v>260</v>
      </c>
      <c r="BX175" s="1312">
        <v>185</v>
      </c>
      <c r="BY175">
        <v>320</v>
      </c>
      <c r="BZ175" s="1312" t="s">
        <v>1323</v>
      </c>
      <c r="CA175" s="1352"/>
    </row>
    <row r="176" spans="68:79" x14ac:dyDescent="0.3">
      <c r="BP176">
        <v>635</v>
      </c>
      <c r="BQ176" t="s">
        <v>534</v>
      </c>
      <c r="BT176" s="164">
        <f>IF(MAX(BU176:BU1255)&lt;ROW(100:100),"",VLOOKUP(ROW(100:100),BU176:BV1255,2))</f>
        <v>340</v>
      </c>
      <c r="BU176" s="165" t="str">
        <f>IF(COUNTIF(BV$76:BV176,BV176)=1,MAX(BU$76:BU175)+1,"")</f>
        <v/>
      </c>
      <c r="BV176" s="1312">
        <v>115</v>
      </c>
      <c r="BW176" s="1312">
        <v>257</v>
      </c>
      <c r="BX176" s="1312">
        <v>185</v>
      </c>
      <c r="BY176">
        <v>320</v>
      </c>
      <c r="BZ176" s="1312" t="s">
        <v>1323</v>
      </c>
      <c r="CA176" s="1352"/>
    </row>
    <row r="177" spans="68:79" x14ac:dyDescent="0.3">
      <c r="BP177">
        <v>637.5</v>
      </c>
      <c r="BQ177" t="s">
        <v>535</v>
      </c>
      <c r="BT177" s="164">
        <f>IF(MAX(BU177:BU1256)&lt;ROW(101:101),"",VLOOKUP(ROW(101:101),BU177:BV1256,2))</f>
        <v>347.5</v>
      </c>
      <c r="BU177" s="165">
        <f>IF(COUNTIF(BV$76:BV177,BV177)=1,MAX(BU$76:BU176)+1,"")</f>
        <v>13</v>
      </c>
      <c r="BV177" s="1312">
        <v>117.5</v>
      </c>
      <c r="BW177" s="1312">
        <v>255</v>
      </c>
      <c r="BX177" s="1312">
        <v>185</v>
      </c>
      <c r="BY177">
        <v>320</v>
      </c>
      <c r="BZ177" s="1312" t="s">
        <v>1324</v>
      </c>
      <c r="CA177" s="1352"/>
    </row>
    <row r="178" spans="68:79" x14ac:dyDescent="0.3">
      <c r="BP178">
        <v>642.5</v>
      </c>
      <c r="BQ178" t="s">
        <v>842</v>
      </c>
      <c r="BT178" s="164">
        <f>IF(MAX(BU178:BU1257)&lt;ROW(102:102),"",VLOOKUP(ROW(102:102),BU178:BV1257,2))</f>
        <v>350</v>
      </c>
      <c r="BU178" s="165" t="str">
        <f>IF(COUNTIF(BV$76:BV178,BV178)=1,MAX(BU$76:BU177)+1,"")</f>
        <v/>
      </c>
      <c r="BV178" s="1312">
        <v>117.5</v>
      </c>
      <c r="BW178" s="1312">
        <v>260</v>
      </c>
      <c r="BX178" s="1312">
        <v>185</v>
      </c>
      <c r="BY178">
        <v>320</v>
      </c>
      <c r="BZ178" s="1312" t="s">
        <v>1324</v>
      </c>
      <c r="CA178" s="1352"/>
    </row>
    <row r="179" spans="68:79" x14ac:dyDescent="0.3">
      <c r="BP179">
        <v>650</v>
      </c>
      <c r="BQ179" t="s">
        <v>536</v>
      </c>
      <c r="BT179" s="164">
        <f>IF(MAX(BU179:BU1258)&lt;ROW(103:103),"",VLOOKUP(ROW(103:103),BU179:BV1258,2))</f>
        <v>355</v>
      </c>
      <c r="BU179" s="165" t="str">
        <f>IF(COUNTIF(BV$76:BV179,BV179)=1,MAX(BU$76:BU178)+1,"")</f>
        <v/>
      </c>
      <c r="BV179" s="1312">
        <v>117.5</v>
      </c>
      <c r="BW179" s="1312">
        <v>260</v>
      </c>
      <c r="BX179" s="1312">
        <v>185</v>
      </c>
      <c r="BY179">
        <v>320</v>
      </c>
      <c r="BZ179" s="1312" t="s">
        <v>1324</v>
      </c>
      <c r="CA179" s="1352"/>
    </row>
    <row r="180" spans="68:79" x14ac:dyDescent="0.3">
      <c r="BP180">
        <v>652.5</v>
      </c>
      <c r="BQ180" t="s">
        <v>537</v>
      </c>
      <c r="BT180" s="164">
        <f>IF(MAX(BU180:BU1259)&lt;ROW(104:104),"",VLOOKUP(ROW(104:104),BU180:BV1259,2))</f>
        <v>360</v>
      </c>
      <c r="BU180" s="165">
        <f>IF(COUNTIF(BV$76:BV180,BV180)=1,MAX(BU$76:BU179)+1,"")</f>
        <v>14</v>
      </c>
      <c r="BV180" s="1312">
        <v>120</v>
      </c>
      <c r="BW180" s="1312">
        <v>260</v>
      </c>
      <c r="BX180" s="1312">
        <v>185</v>
      </c>
      <c r="BY180">
        <v>320</v>
      </c>
      <c r="BZ180" s="1312" t="s">
        <v>1325</v>
      </c>
      <c r="CA180" s="1352"/>
    </row>
    <row r="181" spans="68:79" x14ac:dyDescent="0.3">
      <c r="BP181">
        <v>655</v>
      </c>
      <c r="BQ181" t="s">
        <v>538</v>
      </c>
      <c r="BT181" s="164">
        <f>IF(MAX(BU181:BU1260)&lt;ROW(105:105),"",VLOOKUP(ROW(105:105),BU181:BV1260,2))</f>
        <v>365</v>
      </c>
      <c r="BU181" s="165" t="str">
        <f>IF(COUNTIF(BV$76:BV181,BV181)=1,MAX(BU$76:BU180)+1,"")</f>
        <v/>
      </c>
      <c r="BV181" s="1312">
        <v>120</v>
      </c>
      <c r="BW181" s="1312">
        <v>260</v>
      </c>
      <c r="BX181" s="1312">
        <v>185</v>
      </c>
      <c r="BY181">
        <v>320</v>
      </c>
      <c r="BZ181" s="1312" t="s">
        <v>1325</v>
      </c>
      <c r="CA181" s="1352"/>
    </row>
    <row r="182" spans="68:79" x14ac:dyDescent="0.3">
      <c r="BP182">
        <v>657.5</v>
      </c>
      <c r="BQ182" t="s">
        <v>539</v>
      </c>
      <c r="BT182" s="164">
        <f>IF(MAX(BU182:BU1261)&lt;ROW(106:106),"",VLOOKUP(ROW(106:106),BU182:BV1261,2))</f>
        <v>367.5</v>
      </c>
      <c r="BU182" s="165" t="str">
        <f>IF(COUNTIF(BV$76:BV182,BV182)=1,MAX(BU$76:BU181)+1,"")</f>
        <v/>
      </c>
      <c r="BV182" s="1312">
        <v>120</v>
      </c>
      <c r="BW182" s="1312">
        <v>255</v>
      </c>
      <c r="BX182" s="1312">
        <v>185</v>
      </c>
      <c r="BY182">
        <v>320</v>
      </c>
      <c r="BZ182" s="1312" t="s">
        <v>1325</v>
      </c>
      <c r="CA182" s="1352"/>
    </row>
    <row r="183" spans="68:79" x14ac:dyDescent="0.3">
      <c r="BP183">
        <v>660</v>
      </c>
      <c r="BQ183" t="s">
        <v>540</v>
      </c>
      <c r="BT183" s="164">
        <f>IF(MAX(BU183:BU1262)&lt;ROW(107:107),"",VLOOKUP(ROW(107:107),BU183:BV1262,2))</f>
        <v>370</v>
      </c>
      <c r="BU183" s="165" t="str">
        <f>IF(COUNTIF(BV$76:BV183,BV183)=1,MAX(BU$76:BU182)+1,"")</f>
        <v/>
      </c>
      <c r="BV183" s="1312">
        <v>120</v>
      </c>
      <c r="BW183" s="1312">
        <v>258</v>
      </c>
      <c r="BX183" s="1312">
        <v>185</v>
      </c>
      <c r="BY183">
        <v>320</v>
      </c>
      <c r="BZ183" s="1312" t="s">
        <v>1325</v>
      </c>
      <c r="CA183" s="1352"/>
    </row>
    <row r="184" spans="68:79" x14ac:dyDescent="0.3">
      <c r="BP184">
        <v>665</v>
      </c>
      <c r="BQ184" t="s">
        <v>757</v>
      </c>
      <c r="BT184" s="164">
        <f>IF(MAX(BU184:BU1263)&lt;ROW(108:108),"",VLOOKUP(ROW(108:108),BU184:BV1263,2))</f>
        <v>372.5</v>
      </c>
      <c r="BU184" s="165" t="str">
        <f>IF(COUNTIF(BV$76:BV184,BV184)=1,MAX(BU$76:BU183)+1,"")</f>
        <v/>
      </c>
      <c r="BV184" s="1312">
        <v>120</v>
      </c>
      <c r="BW184" s="1312">
        <v>258</v>
      </c>
      <c r="BX184" s="1312">
        <v>185</v>
      </c>
      <c r="BY184">
        <v>320</v>
      </c>
      <c r="BZ184" s="1312" t="s">
        <v>1325</v>
      </c>
      <c r="CA184" s="1352"/>
    </row>
    <row r="185" spans="68:79" x14ac:dyDescent="0.3">
      <c r="BP185">
        <v>667.5</v>
      </c>
      <c r="BQ185" t="s">
        <v>758</v>
      </c>
      <c r="BT185" s="164">
        <f>IF(MAX(BU185:BU1264)&lt;ROW(109:109),"",VLOOKUP(ROW(109:109),BU185:BV1264,2))</f>
        <v>377.5</v>
      </c>
      <c r="BU185" s="165">
        <f>IF(COUNTIF(BV$76:BV185,BV185)=1,MAX(BU$76:BU184)+1,"")</f>
        <v>15</v>
      </c>
      <c r="BV185" s="1312">
        <v>122.5</v>
      </c>
      <c r="BW185" s="1312">
        <v>257</v>
      </c>
      <c r="BX185" s="1312">
        <v>185</v>
      </c>
      <c r="BY185">
        <v>320</v>
      </c>
      <c r="BZ185" s="1312" t="s">
        <v>1326</v>
      </c>
      <c r="CA185" s="1352"/>
    </row>
    <row r="186" spans="68:79" x14ac:dyDescent="0.3">
      <c r="BP186">
        <v>700</v>
      </c>
      <c r="BQ186" t="s">
        <v>759</v>
      </c>
      <c r="BT186" s="164">
        <f>IF(MAX(BU186:BU1265)&lt;ROW(110:110),"",VLOOKUP(ROW(110:110),BU186:BV1265,2))</f>
        <v>380</v>
      </c>
      <c r="BU186" s="165" t="str">
        <f>IF(COUNTIF(BV$76:BV186,BV186)=1,MAX(BU$76:BU185)+1,"")</f>
        <v/>
      </c>
      <c r="BV186" s="1312">
        <v>122.5</v>
      </c>
      <c r="BW186" s="1312">
        <v>260</v>
      </c>
      <c r="BX186" s="1312">
        <v>185</v>
      </c>
      <c r="BY186">
        <v>320</v>
      </c>
      <c r="BZ186" s="1312" t="s">
        <v>1326</v>
      </c>
      <c r="CA186" s="1352"/>
    </row>
    <row r="187" spans="68:79" x14ac:dyDescent="0.3">
      <c r="BT187" s="164">
        <f>IF(MAX(BU187:BU1266)&lt;ROW(111:111),"",VLOOKUP(ROW(111:111),BU187:BV1266,2))</f>
        <v>382.5</v>
      </c>
      <c r="BU187" s="165" t="str">
        <f>IF(COUNTIF(BV$76:BV187,BV187)=1,MAX(BU$76:BU186)+1,"")</f>
        <v/>
      </c>
      <c r="BV187" s="1312">
        <v>122.5</v>
      </c>
      <c r="BW187" s="1312">
        <v>260</v>
      </c>
      <c r="BX187" s="1312">
        <v>185</v>
      </c>
      <c r="BY187">
        <v>320</v>
      </c>
      <c r="BZ187" s="1312" t="s">
        <v>1326</v>
      </c>
      <c r="CA187" s="1352"/>
    </row>
    <row r="188" spans="68:79" x14ac:dyDescent="0.3">
      <c r="BT188" s="164">
        <f>IF(MAX(BU188:BU1267)&lt;ROW(112:112),"",VLOOKUP(ROW(112:112),BU188:BV1267,2))</f>
        <v>385</v>
      </c>
      <c r="BU188" s="165" t="str">
        <f>IF(COUNTIF(BV$76:BV188,BV188)=1,MAX(BU$76:BU187)+1,"")</f>
        <v/>
      </c>
      <c r="BV188" s="1312">
        <v>122.5</v>
      </c>
      <c r="BW188" s="1312">
        <v>260</v>
      </c>
      <c r="BX188" s="1312">
        <v>185</v>
      </c>
      <c r="BY188">
        <v>320</v>
      </c>
      <c r="BZ188" s="1312" t="s">
        <v>1326</v>
      </c>
      <c r="CA188" s="1352"/>
    </row>
    <row r="189" spans="68:79" x14ac:dyDescent="0.3">
      <c r="BT189" s="164">
        <f>IF(MAX(BU189:BU1268)&lt;ROW(113:113),"",VLOOKUP(ROW(113:113),BU189:BV1268,2))</f>
        <v>390</v>
      </c>
      <c r="BU189" s="165" t="str">
        <f>IF(COUNTIF(BV$76:BV189,BV189)=1,MAX(BU$76:BU188)+1,"")</f>
        <v/>
      </c>
      <c r="BV189" s="1312">
        <v>122.5</v>
      </c>
      <c r="BW189" s="1312">
        <v>320</v>
      </c>
      <c r="BX189" s="1312">
        <v>185</v>
      </c>
      <c r="BY189">
        <v>320</v>
      </c>
      <c r="BZ189" s="1312" t="s">
        <v>1327</v>
      </c>
      <c r="CA189" s="1352"/>
    </row>
    <row r="190" spans="68:79" x14ac:dyDescent="0.3">
      <c r="BT190" s="164">
        <f>IF(MAX(BU190:BU1269)&lt;ROW(114:114),"",VLOOKUP(ROW(114:114),BU190:BV1269,2))</f>
        <v>392.5</v>
      </c>
      <c r="BU190" s="165">
        <f>IF(COUNTIF(BV$76:BV190,BV190)=1,MAX(BU$76:BU189)+1,"")</f>
        <v>16</v>
      </c>
      <c r="BV190" s="1312">
        <v>125</v>
      </c>
      <c r="BW190" s="1312">
        <v>255</v>
      </c>
      <c r="BX190" s="1312">
        <v>185</v>
      </c>
      <c r="BY190">
        <v>320</v>
      </c>
      <c r="BZ190" s="1312" t="s">
        <v>1328</v>
      </c>
      <c r="CA190" s="1352"/>
    </row>
    <row r="191" spans="68:79" x14ac:dyDescent="0.3">
      <c r="BT191" s="164">
        <f>IF(MAX(BU191:BU1270)&lt;ROW(115:115),"",VLOOKUP(ROW(115:115),BU191:BV1270,2))</f>
        <v>397.5</v>
      </c>
      <c r="BU191" s="165" t="str">
        <f>IF(COUNTIF(BV$76:BV191,BV191)=1,MAX(BU$76:BU190)+1,"")</f>
        <v/>
      </c>
      <c r="BV191" s="1312">
        <v>125</v>
      </c>
      <c r="BW191" s="1312">
        <v>260</v>
      </c>
      <c r="BX191" s="1312">
        <v>185</v>
      </c>
      <c r="BY191">
        <v>320</v>
      </c>
      <c r="BZ191" s="1312" t="s">
        <v>1328</v>
      </c>
      <c r="CA191" s="1352"/>
    </row>
    <row r="192" spans="68:79" x14ac:dyDescent="0.3">
      <c r="BT192" s="164">
        <f>IF(MAX(BU192:BU1271)&lt;ROW(116:116),"",VLOOKUP(ROW(116:116),BU192:BV1271,2))</f>
        <v>405</v>
      </c>
      <c r="BU192" s="165" t="str">
        <f>IF(COUNTIF(BV$76:BV192,BV192)=1,MAX(BU$76:BU191)+1,"")</f>
        <v/>
      </c>
      <c r="BV192" s="1312">
        <v>125</v>
      </c>
      <c r="BW192" s="1312">
        <v>257</v>
      </c>
      <c r="BX192" s="1312">
        <v>185</v>
      </c>
      <c r="BY192">
        <v>320</v>
      </c>
      <c r="BZ192" s="1312" t="s">
        <v>1328</v>
      </c>
      <c r="CA192" s="1352"/>
    </row>
    <row r="193" spans="72:79" x14ac:dyDescent="0.3">
      <c r="BT193" s="164">
        <f>IF(MAX(BU193:BU1272)&lt;ROW(117:117),"",VLOOKUP(ROW(117:117),BU193:BV1272,2))</f>
        <v>410</v>
      </c>
      <c r="BU193" s="165" t="str">
        <f>IF(COUNTIF(BV$76:BV193,BV193)=1,MAX(BU$76:BU192)+1,"")</f>
        <v/>
      </c>
      <c r="BV193" s="1312">
        <v>125</v>
      </c>
      <c r="BW193" s="1312">
        <v>315</v>
      </c>
      <c r="BX193" s="1312">
        <v>185</v>
      </c>
      <c r="BY193">
        <v>320</v>
      </c>
      <c r="BZ193" s="1312" t="s">
        <v>1327</v>
      </c>
      <c r="CA193" s="1352"/>
    </row>
    <row r="194" spans="72:79" x14ac:dyDescent="0.3">
      <c r="BT194" s="164">
        <f>IF(MAX(BU194:BU1273)&lt;ROW(118:118),"",VLOOKUP(ROW(118:118),BU194:BV1273,2))</f>
        <v>412.5</v>
      </c>
      <c r="BU194" s="165" t="str">
        <f>IF(COUNTIF(BV$76:BV194,BV194)=1,MAX(BU$76:BU193)+1,"")</f>
        <v/>
      </c>
      <c r="BV194" s="1312">
        <v>125</v>
      </c>
      <c r="BW194" s="1312">
        <v>260</v>
      </c>
      <c r="BX194" s="1312">
        <v>185</v>
      </c>
      <c r="BY194">
        <v>320</v>
      </c>
      <c r="BZ194" s="1312" t="s">
        <v>1328</v>
      </c>
      <c r="CA194" s="1352"/>
    </row>
    <row r="195" spans="72:79" x14ac:dyDescent="0.3">
      <c r="BT195" s="164">
        <f>IF(MAX(BU195:BU1274)&lt;ROW(119:119),"",VLOOKUP(ROW(119:119),BU195:BV1274,2))</f>
        <v>415</v>
      </c>
      <c r="BU195" s="165" t="str">
        <f>IF(COUNTIF(BV$76:BV195,BV195)=1,MAX(BU$76:BU194)+1,"")</f>
        <v/>
      </c>
      <c r="BV195" s="1312">
        <v>125</v>
      </c>
      <c r="BW195" s="1312">
        <v>255</v>
      </c>
      <c r="BX195" s="1312">
        <v>185</v>
      </c>
      <c r="BY195">
        <v>320</v>
      </c>
      <c r="BZ195" s="1312" t="s">
        <v>1328</v>
      </c>
      <c r="CA195" s="1352"/>
    </row>
    <row r="196" spans="72:79" x14ac:dyDescent="0.3">
      <c r="BT196" s="164">
        <f>IF(MAX(BU196:BU1275)&lt;ROW(120:120),"",VLOOKUP(ROW(120:120),BU196:BV1275,2))</f>
        <v>417.5</v>
      </c>
      <c r="BU196" s="165" t="str">
        <f>IF(COUNTIF(BV$76:BV196,BV196)=1,MAX(BU$76:BU195)+1,"")</f>
        <v/>
      </c>
      <c r="BV196" s="1312">
        <v>125</v>
      </c>
      <c r="BW196" s="1312">
        <v>260</v>
      </c>
      <c r="BX196" s="1312">
        <v>185</v>
      </c>
      <c r="BY196">
        <v>320</v>
      </c>
      <c r="BZ196" s="1312" t="s">
        <v>1328</v>
      </c>
      <c r="CA196" s="1352"/>
    </row>
    <row r="197" spans="72:79" x14ac:dyDescent="0.3">
      <c r="BT197" s="164">
        <f>IF(MAX(BU197:BU1276)&lt;ROW(121:121),"",VLOOKUP(ROW(121:121),BU197:BV1276,2))</f>
        <v>420</v>
      </c>
      <c r="BU197" s="165">
        <f>IF(COUNTIF(BV$76:BV197,BV197)=1,MAX(BU$76:BU196)+1,"")</f>
        <v>17</v>
      </c>
      <c r="BV197" s="1312">
        <v>127.5</v>
      </c>
      <c r="BW197" s="1312">
        <v>255</v>
      </c>
      <c r="BX197" s="1312">
        <v>185</v>
      </c>
      <c r="BY197">
        <v>320</v>
      </c>
      <c r="BZ197" s="1312" t="s">
        <v>1329</v>
      </c>
      <c r="CA197" s="1352"/>
    </row>
    <row r="198" spans="72:79" x14ac:dyDescent="0.3">
      <c r="BT198" s="164">
        <f>IF(MAX(BU198:BU1277)&lt;ROW(122:122),"",VLOOKUP(ROW(122:122),BU198:BV1277,2))</f>
        <v>425</v>
      </c>
      <c r="BU198" s="165" t="str">
        <f>IF(COUNTIF(BV$76:BV198,BV198)=1,MAX(BU$76:BU197)+1,"")</f>
        <v/>
      </c>
      <c r="BV198" s="1312">
        <v>127.5</v>
      </c>
      <c r="BW198" s="1312">
        <v>315</v>
      </c>
      <c r="BX198" s="1312">
        <v>185</v>
      </c>
      <c r="BY198">
        <v>320</v>
      </c>
      <c r="BZ198" s="1312" t="s">
        <v>1330</v>
      </c>
      <c r="CA198" s="1352"/>
    </row>
    <row r="199" spans="72:79" x14ac:dyDescent="0.3">
      <c r="BT199" s="164">
        <f>IF(MAX(BU199:BU1278)&lt;ROW(123:123),"",VLOOKUP(ROW(123:123),BU199:BV1278,2))</f>
        <v>427.5</v>
      </c>
      <c r="BU199" s="165" t="str">
        <f>IF(COUNTIF(BV$76:BV199,BV199)=1,MAX(BU$76:BU198)+1,"")</f>
        <v/>
      </c>
      <c r="BV199" s="1312">
        <v>127.5</v>
      </c>
      <c r="BW199" s="1312">
        <v>255</v>
      </c>
      <c r="BX199" s="1312">
        <v>185</v>
      </c>
      <c r="BY199">
        <v>320</v>
      </c>
      <c r="BZ199" s="1312" t="s">
        <v>1329</v>
      </c>
      <c r="CA199" s="1352"/>
    </row>
    <row r="200" spans="72:79" x14ac:dyDescent="0.3">
      <c r="BT200" s="164">
        <f>IF(MAX(BU200:BU1279)&lt;ROW(124:124),"",VLOOKUP(ROW(124:124),BU200:BV1279,2))</f>
        <v>430</v>
      </c>
      <c r="BU200" s="165" t="str">
        <f>IF(COUNTIF(BV$76:BV200,BV200)=1,MAX(BU$76:BU199)+1,"")</f>
        <v/>
      </c>
      <c r="BV200" s="1312">
        <v>127.5</v>
      </c>
      <c r="BW200" s="1312">
        <v>315</v>
      </c>
      <c r="BX200" s="1312">
        <v>185</v>
      </c>
      <c r="BY200">
        <v>320</v>
      </c>
      <c r="BZ200" s="1312" t="s">
        <v>1329</v>
      </c>
      <c r="CA200" s="1352"/>
    </row>
    <row r="201" spans="72:79" x14ac:dyDescent="0.3">
      <c r="BT201" s="164">
        <f>IF(MAX(BU201:BU1280)&lt;ROW(125:125),"",VLOOKUP(ROW(125:125),BU201:BV1280,2))</f>
        <v>432.5</v>
      </c>
      <c r="BU201" s="165">
        <f>IF(COUNTIF(BV$76:BV201,BV201)=1,MAX(BU$76:BU200)+1,"")</f>
        <v>18</v>
      </c>
      <c r="BV201" s="1312">
        <v>130</v>
      </c>
      <c r="BW201" s="1312">
        <v>255</v>
      </c>
      <c r="BX201" s="1312">
        <v>185</v>
      </c>
      <c r="BY201">
        <v>320</v>
      </c>
      <c r="BZ201" s="1312" t="s">
        <v>1331</v>
      </c>
      <c r="CA201" s="1352"/>
    </row>
    <row r="202" spans="72:79" x14ac:dyDescent="0.3">
      <c r="BT202" s="164">
        <f>IF(MAX(BU202:BU1281)&lt;ROW(126:126),"",VLOOKUP(ROW(126:126),BU202:BV1281,2))</f>
        <v>440</v>
      </c>
      <c r="BU202" s="165" t="str">
        <f>IF(COUNTIF(BV$76:BV202,BV202)=1,MAX(BU$76:BU201)+1,"")</f>
        <v/>
      </c>
      <c r="BV202" s="1312">
        <v>130</v>
      </c>
      <c r="BW202" s="1312">
        <v>255</v>
      </c>
      <c r="BX202" s="1312">
        <v>185</v>
      </c>
      <c r="BY202">
        <v>320</v>
      </c>
      <c r="BZ202" s="1312" t="s">
        <v>1331</v>
      </c>
      <c r="CA202" s="1352"/>
    </row>
    <row r="203" spans="72:79" x14ac:dyDescent="0.3">
      <c r="BT203" s="164">
        <f>IF(MAX(BU203:BU1282)&lt;ROW(127:127),"",VLOOKUP(ROW(127:127),BU203:BV1282,2))</f>
        <v>442.5</v>
      </c>
      <c r="BU203" s="165" t="str">
        <f>IF(COUNTIF(BV$76:BV203,BV203)=1,MAX(BU$76:BU202)+1,"")</f>
        <v/>
      </c>
      <c r="BV203" s="1312">
        <v>130</v>
      </c>
      <c r="BW203" s="1312">
        <v>375</v>
      </c>
      <c r="BX203" s="1312">
        <v>185</v>
      </c>
      <c r="BY203">
        <v>320</v>
      </c>
      <c r="BZ203" s="1312" t="s">
        <v>1332</v>
      </c>
      <c r="CA203" s="1352"/>
    </row>
    <row r="204" spans="72:79" x14ac:dyDescent="0.3">
      <c r="BT204" s="164">
        <f>IF(MAX(BU204:BU1283)&lt;ROW(128:128),"",VLOOKUP(ROW(128:128),BU204:BV1283,2))</f>
        <v>445</v>
      </c>
      <c r="BU204" s="165" t="str">
        <f>IF(COUNTIF(BV$76:BV204,BV204)=1,MAX(BU$76:BU203)+1,"")</f>
        <v/>
      </c>
      <c r="BV204" s="1312">
        <v>130</v>
      </c>
      <c r="BW204" s="1312">
        <v>318</v>
      </c>
      <c r="BX204" s="1312">
        <v>185</v>
      </c>
      <c r="BY204">
        <v>320</v>
      </c>
      <c r="BZ204" s="1312" t="s">
        <v>1333</v>
      </c>
      <c r="CA204" s="1352"/>
    </row>
    <row r="205" spans="72:79" x14ac:dyDescent="0.3">
      <c r="BT205" s="164">
        <f>IF(MAX(BU205:BU1284)&lt;ROW(129:129),"",VLOOKUP(ROW(129:129),BU205:BV1284,2))</f>
        <v>447.5</v>
      </c>
      <c r="BU205" s="165" t="str">
        <f>IF(COUNTIF(BV$76:BV205,BV205)=1,MAX(BU$76:BU204)+1,"")</f>
        <v/>
      </c>
      <c r="BV205" s="1312">
        <v>130</v>
      </c>
      <c r="BW205" s="1312">
        <v>320</v>
      </c>
      <c r="BX205" s="1312">
        <v>185</v>
      </c>
      <c r="BY205">
        <v>320</v>
      </c>
      <c r="BZ205" s="1312" t="s">
        <v>1333</v>
      </c>
      <c r="CA205" s="1352"/>
    </row>
    <row r="206" spans="72:79" x14ac:dyDescent="0.3">
      <c r="BT206" s="164">
        <f>IF(MAX(BU206:BU1285)&lt;ROW(130:130),"",VLOOKUP(ROW(130:130),BU206:BV1285,2))</f>
        <v>457.5</v>
      </c>
      <c r="BU206" s="165" t="str">
        <f>IF(COUNTIF(BV$76:BV206,BV206)=1,MAX(BU$76:BU205)+1,"")</f>
        <v/>
      </c>
      <c r="BV206" s="1312">
        <v>130</v>
      </c>
      <c r="BW206" s="1312">
        <v>320</v>
      </c>
      <c r="BX206" s="1312">
        <v>185</v>
      </c>
      <c r="BY206">
        <v>320</v>
      </c>
      <c r="BZ206" s="1312" t="s">
        <v>1333</v>
      </c>
      <c r="CA206" s="1352"/>
    </row>
    <row r="207" spans="72:79" x14ac:dyDescent="0.3">
      <c r="BT207" s="164">
        <f>IF(MAX(BU207:BU1286)&lt;ROW(131:131),"",VLOOKUP(ROW(131:131),BU207:BV1286,2))</f>
        <v>460</v>
      </c>
      <c r="BU207" s="165" t="str">
        <f>IF(COUNTIF(BV$76:BV207,BV207)=1,MAX(BU$76:BU206)+1,"")</f>
        <v/>
      </c>
      <c r="BV207" s="1312">
        <v>130</v>
      </c>
      <c r="BW207" s="1312">
        <v>318</v>
      </c>
      <c r="BX207" s="1312">
        <v>185</v>
      </c>
      <c r="BY207">
        <v>320</v>
      </c>
      <c r="BZ207" s="1312" t="s">
        <v>1333</v>
      </c>
      <c r="CA207" s="1352"/>
    </row>
    <row r="208" spans="72:79" x14ac:dyDescent="0.3">
      <c r="BT208" s="164">
        <f>IF(MAX(BU208:BU1287)&lt;ROW(132:132),"",VLOOKUP(ROW(132:132),BU208:BV1287,2))</f>
        <v>475</v>
      </c>
      <c r="BU208" s="165" t="str">
        <f>IF(COUNTIF(BV$76:BV208,BV208)=1,MAX(BU$76:BU207)+1,"")</f>
        <v/>
      </c>
      <c r="BV208" s="1312">
        <v>130</v>
      </c>
      <c r="BW208" s="1312">
        <v>258</v>
      </c>
      <c r="BX208" s="1312">
        <v>185</v>
      </c>
      <c r="BY208">
        <v>320</v>
      </c>
      <c r="BZ208" s="1312" t="s">
        <v>1331</v>
      </c>
      <c r="CA208" s="1352"/>
    </row>
    <row r="209" spans="72:79" x14ac:dyDescent="0.3">
      <c r="BT209" s="164">
        <f>IF(MAX(BU209:BU1288)&lt;ROW(133:133),"",VLOOKUP(ROW(133:133),BU209:BV1288,2))</f>
        <v>480</v>
      </c>
      <c r="BU209" s="165" t="str">
        <f>IF(COUNTIF(BV$76:BV209,BV209)=1,MAX(BU$76:BU208)+1,"")</f>
        <v/>
      </c>
      <c r="BV209" s="1312">
        <v>130</v>
      </c>
      <c r="BW209" s="1312">
        <v>315</v>
      </c>
      <c r="BX209" s="1312">
        <v>185</v>
      </c>
      <c r="BY209">
        <v>320</v>
      </c>
      <c r="BZ209" s="1312" t="s">
        <v>1333</v>
      </c>
      <c r="CA209" s="1352"/>
    </row>
    <row r="210" spans="72:79" x14ac:dyDescent="0.3">
      <c r="BT210" s="164">
        <f>IF(MAX(BU210:BU1289)&lt;ROW(134:134),"",VLOOKUP(ROW(134:134),BU210:BV1289,2))</f>
        <v>482.5</v>
      </c>
      <c r="BU210" s="165" t="str">
        <f>IF(COUNTIF(BV$76:BV210,BV210)=1,MAX(BU$76:BU209)+1,"")</f>
        <v/>
      </c>
      <c r="BV210" s="1312">
        <v>130</v>
      </c>
      <c r="BW210" s="1312">
        <v>257</v>
      </c>
      <c r="BX210" s="1312">
        <v>185</v>
      </c>
      <c r="BY210">
        <v>320</v>
      </c>
      <c r="BZ210" s="1312" t="s">
        <v>1331</v>
      </c>
      <c r="CA210" s="1352"/>
    </row>
    <row r="211" spans="72:79" x14ac:dyDescent="0.3">
      <c r="BT211" s="164">
        <f>IF(MAX(BU211:BU1290)&lt;ROW(135:135),"",VLOOKUP(ROW(135:135),BU211:BV1290,2))</f>
        <v>495</v>
      </c>
      <c r="BU211" s="165" t="str">
        <f>IF(COUNTIF(BV$76:BV211,BV211)=1,MAX(BU$76:BU210)+1,"")</f>
        <v/>
      </c>
      <c r="BV211" s="1312">
        <v>130</v>
      </c>
      <c r="BW211" s="1312">
        <v>255</v>
      </c>
      <c r="BX211" s="1312">
        <v>185</v>
      </c>
      <c r="BY211">
        <v>320</v>
      </c>
      <c r="BZ211" s="1312" t="s">
        <v>1331</v>
      </c>
      <c r="CA211" s="1352"/>
    </row>
    <row r="212" spans="72:79" x14ac:dyDescent="0.3">
      <c r="BT212" s="164">
        <f>IF(MAX(BU212:BU1291)&lt;ROW(136:136),"",VLOOKUP(ROW(136:136),BU212:BV1291,2))</f>
        <v>500</v>
      </c>
      <c r="BU212" s="165" t="str">
        <f>IF(COUNTIF(BV$76:BV212,BV212)=1,MAX(BU$76:BU211)+1,"")</f>
        <v/>
      </c>
      <c r="BV212" s="1312">
        <v>130</v>
      </c>
      <c r="BW212" s="1312">
        <v>320</v>
      </c>
      <c r="BX212" s="1312">
        <v>185</v>
      </c>
      <c r="BY212">
        <v>320</v>
      </c>
      <c r="BZ212" s="1312" t="s">
        <v>1333</v>
      </c>
      <c r="CA212" s="1352"/>
    </row>
    <row r="213" spans="72:79" x14ac:dyDescent="0.3">
      <c r="BT213" s="164">
        <f>IF(MAX(BU213:BU1292)&lt;ROW(137:137),"",VLOOKUP(ROW(137:137),BU213:BV1292,2))</f>
        <v>502.5</v>
      </c>
      <c r="BU213" s="165">
        <f>IF(COUNTIF(BV$76:BV213,BV213)=1,MAX(BU$76:BU212)+1,"")</f>
        <v>19</v>
      </c>
      <c r="BV213" s="1312">
        <v>132.5</v>
      </c>
      <c r="BW213" s="1312">
        <v>375</v>
      </c>
      <c r="BX213" s="1312">
        <v>185</v>
      </c>
      <c r="BY213">
        <v>320</v>
      </c>
      <c r="BZ213" s="1312" t="s">
        <v>1334</v>
      </c>
      <c r="CA213" s="1352"/>
    </row>
    <row r="214" spans="72:79" x14ac:dyDescent="0.3">
      <c r="BT214" s="164">
        <f>IF(MAX(BU214:BU1293)&lt;ROW(138:138),"",VLOOKUP(ROW(138:138),BU214:BV1293,2))</f>
        <v>505</v>
      </c>
      <c r="BU214" s="165" t="str">
        <f>IF(COUNTIF(BV$76:BV214,BV214)=1,MAX(BU$76:BU213)+1,"")</f>
        <v/>
      </c>
      <c r="BV214" s="1312">
        <v>132.5</v>
      </c>
      <c r="BW214" s="1312">
        <v>320</v>
      </c>
      <c r="BX214" s="1312">
        <v>185</v>
      </c>
      <c r="BY214">
        <v>320</v>
      </c>
      <c r="BZ214" s="1312" t="s">
        <v>1335</v>
      </c>
      <c r="CA214" s="1352"/>
    </row>
    <row r="215" spans="72:79" x14ac:dyDescent="0.3">
      <c r="BT215" s="164">
        <f>IF(MAX(BU215:BU1294)&lt;ROW(139:139),"",VLOOKUP(ROW(139:139),BU215:BV1294,2))</f>
        <v>507.5</v>
      </c>
      <c r="BU215" s="165" t="str">
        <f>IF(COUNTIF(BV$76:BV215,BV215)=1,MAX(BU$76:BU214)+1,"")</f>
        <v/>
      </c>
      <c r="BV215" s="1312">
        <v>132.5</v>
      </c>
      <c r="BW215" s="1312">
        <v>320</v>
      </c>
      <c r="BX215" s="1312">
        <v>185</v>
      </c>
      <c r="BY215">
        <v>320</v>
      </c>
      <c r="BZ215" s="1312" t="s">
        <v>1336</v>
      </c>
      <c r="CA215" s="1352"/>
    </row>
    <row r="216" spans="72:79" x14ac:dyDescent="0.3">
      <c r="BT216" s="164">
        <f>IF(MAX(BU216:BU1295)&lt;ROW(140:140),"",VLOOKUP(ROW(140:140),BU216:BV1295,2))</f>
        <v>510</v>
      </c>
      <c r="BU216" s="165" t="str">
        <f>IF(COUNTIF(BV$76:BV216,BV216)=1,MAX(BU$76:BU215)+1,"")</f>
        <v/>
      </c>
      <c r="BV216" s="1312">
        <v>132.5</v>
      </c>
      <c r="BW216" s="1312">
        <v>373</v>
      </c>
      <c r="BX216" s="1312">
        <v>185</v>
      </c>
      <c r="BY216">
        <v>320</v>
      </c>
      <c r="BZ216" s="1312" t="s">
        <v>1334</v>
      </c>
      <c r="CA216" s="1352"/>
    </row>
    <row r="217" spans="72:79" x14ac:dyDescent="0.3">
      <c r="BT217" s="164">
        <f>IF(MAX(BU217:BU1296)&lt;ROW(141:141),"",VLOOKUP(ROW(141:141),BU217:BV1296,2))</f>
        <v>515</v>
      </c>
      <c r="BU217" s="165">
        <f>IF(COUNTIF(BV$76:BV217,BV217)=1,MAX(BU$76:BU216)+1,"")</f>
        <v>20</v>
      </c>
      <c r="BV217" s="1312">
        <v>135</v>
      </c>
      <c r="BW217" s="1312">
        <v>377</v>
      </c>
      <c r="BX217" s="1312">
        <v>185</v>
      </c>
      <c r="BY217">
        <v>320</v>
      </c>
      <c r="BZ217" s="1312" t="s">
        <v>1337</v>
      </c>
      <c r="CA217" s="1352"/>
    </row>
    <row r="218" spans="72:79" x14ac:dyDescent="0.3">
      <c r="BT218" s="164">
        <f>IF(MAX(BU218:BU1297)&lt;ROW(142:142),"",VLOOKUP(ROW(142:142),BU218:BV1297,2))</f>
        <v>517.5</v>
      </c>
      <c r="BU218" s="165" t="str">
        <f>IF(COUNTIF(BV$76:BV218,BV218)=1,MAX(BU$76:BU217)+1,"")</f>
        <v/>
      </c>
      <c r="BV218" s="1312">
        <v>135</v>
      </c>
      <c r="BW218" s="1312">
        <v>380</v>
      </c>
      <c r="BX218" s="1312">
        <v>185</v>
      </c>
      <c r="BY218">
        <v>320</v>
      </c>
      <c r="BZ218" s="1312" t="s">
        <v>1337</v>
      </c>
      <c r="CA218" s="1352"/>
    </row>
    <row r="219" spans="72:79" x14ac:dyDescent="0.3">
      <c r="BT219" s="164">
        <f>IF(MAX(BU219:BU1298)&lt;ROW(143:143),"",VLOOKUP(ROW(143:143),BU219:BV1298,2))</f>
        <v>520</v>
      </c>
      <c r="BU219" s="165" t="str">
        <f>IF(COUNTIF(BV$76:BV219,BV219)=1,MAX(BU$76:BU218)+1,"")</f>
        <v/>
      </c>
      <c r="BV219" s="1312">
        <v>135</v>
      </c>
      <c r="BW219" s="1312">
        <v>260</v>
      </c>
      <c r="BX219" s="1312">
        <v>185</v>
      </c>
      <c r="BY219">
        <v>320</v>
      </c>
      <c r="BZ219" s="1312" t="s">
        <v>1338</v>
      </c>
      <c r="CA219" s="1352"/>
    </row>
    <row r="220" spans="72:79" x14ac:dyDescent="0.3">
      <c r="BT220" s="164">
        <f>IF(MAX(BU220:BU1299)&lt;ROW(144:144),"",VLOOKUP(ROW(144:144),BU220:BV1299,2))</f>
        <v>522.5</v>
      </c>
      <c r="BU220" s="165" t="str">
        <f>IF(COUNTIF(BV$76:BV220,BV220)=1,MAX(BU$76:BU219)+1,"")</f>
        <v/>
      </c>
      <c r="BV220" s="1312">
        <v>135</v>
      </c>
      <c r="BW220" s="1312">
        <v>257</v>
      </c>
      <c r="BX220" s="1312">
        <v>185</v>
      </c>
      <c r="BY220">
        <v>320</v>
      </c>
      <c r="BZ220" s="1312" t="s">
        <v>1338</v>
      </c>
      <c r="CA220" s="1352"/>
    </row>
    <row r="221" spans="72:79" x14ac:dyDescent="0.3">
      <c r="BT221" s="164">
        <f>IF(MAX(BU221:BU1300)&lt;ROW(145:145),"",VLOOKUP(ROW(145:145),BU221:BV1300,2))</f>
        <v>525</v>
      </c>
      <c r="BU221" s="165" t="str">
        <f>IF(COUNTIF(BV$76:BV221,BV221)=1,MAX(BU$76:BU220)+1,"")</f>
        <v/>
      </c>
      <c r="BV221" s="1312">
        <v>135</v>
      </c>
      <c r="BW221" s="1312">
        <v>257</v>
      </c>
      <c r="BX221" s="1312">
        <v>185</v>
      </c>
      <c r="BY221">
        <v>320</v>
      </c>
      <c r="BZ221" s="1312" t="s">
        <v>1338</v>
      </c>
      <c r="CA221" s="1352"/>
    </row>
    <row r="222" spans="72:79" x14ac:dyDescent="0.3">
      <c r="BT222" s="164">
        <f>IF(MAX(BU222:BU1301)&lt;ROW(146:146),"",VLOOKUP(ROW(146:146),BU222:BV1301,2))</f>
        <v>527.5</v>
      </c>
      <c r="BU222" s="165" t="str">
        <f>IF(COUNTIF(BV$76:BV222,BV222)=1,MAX(BU$76:BU221)+1,"")</f>
        <v/>
      </c>
      <c r="BV222" s="1312">
        <v>135</v>
      </c>
      <c r="BW222" s="1312">
        <v>255</v>
      </c>
      <c r="BX222" s="1312">
        <v>185</v>
      </c>
      <c r="BY222">
        <v>320</v>
      </c>
      <c r="BZ222" s="1312" t="s">
        <v>1339</v>
      </c>
      <c r="CA222" s="1352"/>
    </row>
    <row r="223" spans="72:79" x14ac:dyDescent="0.3">
      <c r="BT223" s="164">
        <f>IF(MAX(BU223:BU1302)&lt;ROW(147:147),"",VLOOKUP(ROW(147:147),BU223:BV1302,2))</f>
        <v>530</v>
      </c>
      <c r="BU223" s="165" t="str">
        <f>IF(COUNTIF(BV$76:BV223,BV223)=1,MAX(BU$76:BU222)+1,"")</f>
        <v/>
      </c>
      <c r="BV223" s="1312">
        <v>135</v>
      </c>
      <c r="BW223" s="1312">
        <v>260</v>
      </c>
      <c r="BX223" s="1312">
        <v>185</v>
      </c>
      <c r="BY223">
        <v>320</v>
      </c>
      <c r="BZ223" s="1312" t="s">
        <v>1338</v>
      </c>
      <c r="CA223" s="1352"/>
    </row>
    <row r="224" spans="72:79" x14ac:dyDescent="0.3">
      <c r="BT224" s="164">
        <f>IF(MAX(BU224:BU1303)&lt;ROW(148:148),"",VLOOKUP(ROW(148:148),BU224:BV1303,2))</f>
        <v>532.5</v>
      </c>
      <c r="BU224" s="165" t="str">
        <f>IF(COUNTIF(BV$76:BV224,BV224)=1,MAX(BU$76:BU223)+1,"")</f>
        <v/>
      </c>
      <c r="BV224" s="1312">
        <v>135</v>
      </c>
      <c r="BW224" s="1312">
        <v>255</v>
      </c>
      <c r="BX224" s="1312">
        <v>185</v>
      </c>
      <c r="BY224">
        <v>320</v>
      </c>
      <c r="BZ224" s="1312" t="s">
        <v>1338</v>
      </c>
      <c r="CA224" s="1352"/>
    </row>
    <row r="225" spans="72:79" x14ac:dyDescent="0.3">
      <c r="BT225" s="164">
        <f>IF(MAX(BU225:BU1304)&lt;ROW(149:149),"",VLOOKUP(ROW(149:149),BU225:BV1304,2))</f>
        <v>535</v>
      </c>
      <c r="BU225" s="165">
        <f>IF(COUNTIF(BV$76:BV225,BV225)=1,MAX(BU$76:BU224)+1,"")</f>
        <v>21</v>
      </c>
      <c r="BV225" s="1312">
        <v>137.5</v>
      </c>
      <c r="BW225" s="1312">
        <v>265</v>
      </c>
      <c r="BX225" s="1312">
        <v>285</v>
      </c>
      <c r="BY225">
        <v>320</v>
      </c>
      <c r="BZ225" s="1312" t="s">
        <v>1340</v>
      </c>
      <c r="CA225" s="1352"/>
    </row>
    <row r="226" spans="72:79" x14ac:dyDescent="0.3">
      <c r="BT226" s="164">
        <f>IF(MAX(BU226:BU1305)&lt;ROW(150:150),"",VLOOKUP(ROW(150:150),BU226:BV1305,2))</f>
        <v>537.5</v>
      </c>
      <c r="BU226" s="165">
        <f>IF(COUNTIF(BV$76:BV226,BV226)=1,MAX(BU$76:BU225)+1,"")</f>
        <v>22</v>
      </c>
      <c r="BV226" s="1312">
        <v>140</v>
      </c>
      <c r="BW226" s="1312">
        <v>375</v>
      </c>
      <c r="BX226" s="1312">
        <v>285</v>
      </c>
      <c r="BY226">
        <v>320</v>
      </c>
      <c r="BZ226" s="1312" t="s">
        <v>1341</v>
      </c>
      <c r="CA226" s="1352"/>
    </row>
    <row r="227" spans="72:79" x14ac:dyDescent="0.3">
      <c r="BT227" s="164">
        <f>IF(MAX(BU227:BU1306)&lt;ROW(151:151),"",VLOOKUP(ROW(151:151),BU227:BV1306,2))</f>
        <v>545</v>
      </c>
      <c r="BU227" s="165" t="str">
        <f>IF(COUNTIF(BV$76:BV227,BV227)=1,MAX(BU$76:BU226)+1,"")</f>
        <v/>
      </c>
      <c r="BV227" s="1312">
        <v>140</v>
      </c>
      <c r="BW227" s="1312">
        <v>317</v>
      </c>
      <c r="BX227" s="1312">
        <v>285</v>
      </c>
      <c r="BY227">
        <v>320</v>
      </c>
      <c r="BZ227" s="1312" t="s">
        <v>1342</v>
      </c>
      <c r="CA227" s="1352"/>
    </row>
    <row r="228" spans="72:79" x14ac:dyDescent="0.3">
      <c r="BT228" s="164">
        <f>IF(MAX(BU228:BU1307)&lt;ROW(152:152),"",VLOOKUP(ROW(152:152),BU228:BV1307,2))</f>
        <v>547.5</v>
      </c>
      <c r="BU228" s="165" t="str">
        <f>IF(COUNTIF(BV$76:BV228,BV228)=1,MAX(BU$76:BU227)+1,"")</f>
        <v/>
      </c>
      <c r="BV228" s="1312">
        <v>140</v>
      </c>
      <c r="BW228" s="1312">
        <v>377</v>
      </c>
      <c r="BX228" s="1312">
        <v>285</v>
      </c>
      <c r="BY228">
        <v>320</v>
      </c>
      <c r="BZ228" s="1312" t="s">
        <v>1341</v>
      </c>
      <c r="CA228" s="1352"/>
    </row>
    <row r="229" spans="72:79" x14ac:dyDescent="0.3">
      <c r="BT229" s="164">
        <f>IF(MAX(BU229:BU1308)&lt;ROW(153:153),"",VLOOKUP(ROW(153:153),BU229:BV1308,2))</f>
        <v>555</v>
      </c>
      <c r="BU229" s="165" t="str">
        <f>IF(COUNTIF(BV$76:BV229,BV229)=1,MAX(BU$76:BU228)+1,"")</f>
        <v/>
      </c>
      <c r="BV229" s="1312">
        <v>140</v>
      </c>
      <c r="BW229" s="1312">
        <v>263</v>
      </c>
      <c r="BX229" s="1312">
        <v>285</v>
      </c>
      <c r="BY229">
        <v>320</v>
      </c>
      <c r="BZ229" s="1312" t="s">
        <v>1343</v>
      </c>
      <c r="CA229" s="1352"/>
    </row>
    <row r="230" spans="72:79" x14ac:dyDescent="0.3">
      <c r="BT230" s="164">
        <f>IF(MAX(BU230:BU1309)&lt;ROW(154:154),"",VLOOKUP(ROW(154:154),BU230:BV1309,2))</f>
        <v>560</v>
      </c>
      <c r="BU230" s="165" t="str">
        <f>IF(COUNTIF(BV$76:BV230,BV230)=1,MAX(BU$76:BU229)+1,"")</f>
        <v/>
      </c>
      <c r="BV230" s="1312">
        <v>140</v>
      </c>
      <c r="BW230" s="1312">
        <v>377</v>
      </c>
      <c r="BX230" s="1312">
        <v>285</v>
      </c>
      <c r="BY230">
        <v>320</v>
      </c>
      <c r="BZ230" s="1312" t="s">
        <v>1341</v>
      </c>
      <c r="CA230" s="1352"/>
    </row>
    <row r="231" spans="72:79" x14ac:dyDescent="0.3">
      <c r="BT231" s="164">
        <f>IF(MAX(BU231:BU1310)&lt;ROW(155:155),"",VLOOKUP(ROW(155:155),BU231:BV1310,2))</f>
        <v>565</v>
      </c>
      <c r="BU231" s="165" t="str">
        <f>IF(COUNTIF(BV$76:BV231,BV231)=1,MAX(BU$76:BU230)+1,"")</f>
        <v/>
      </c>
      <c r="BV231" s="1312">
        <v>140</v>
      </c>
      <c r="BW231" s="1312">
        <v>320</v>
      </c>
      <c r="BX231" s="1312">
        <v>285</v>
      </c>
      <c r="BY231">
        <v>320</v>
      </c>
      <c r="BZ231" s="1312" t="s">
        <v>1342</v>
      </c>
      <c r="CA231" s="1352"/>
    </row>
    <row r="232" spans="72:79" x14ac:dyDescent="0.3">
      <c r="BT232" s="164">
        <f>IF(MAX(BU232:BU1311)&lt;ROW(156:156),"",VLOOKUP(ROW(156:156),BU232:BV1311,2))</f>
        <v>572.5</v>
      </c>
      <c r="BU232" s="165" t="str">
        <f>IF(COUNTIF(BV$76:BV232,BV232)=1,MAX(BU$76:BU231)+1,"")</f>
        <v/>
      </c>
      <c r="BV232" s="1312">
        <v>140</v>
      </c>
      <c r="BW232" s="1312">
        <v>320</v>
      </c>
      <c r="BX232" s="1312">
        <v>285</v>
      </c>
      <c r="BY232">
        <v>320</v>
      </c>
      <c r="BZ232" s="1312" t="s">
        <v>1342</v>
      </c>
      <c r="CA232" s="1352"/>
    </row>
    <row r="233" spans="72:79" x14ac:dyDescent="0.3">
      <c r="BT233" s="164">
        <f>IF(MAX(BU233:BU1312)&lt;ROW(157:157),"",VLOOKUP(ROW(157:157),BU233:BV1312,2))</f>
        <v>575</v>
      </c>
      <c r="BU233" s="165" t="str">
        <f>IF(COUNTIF(BV$76:BV233,BV233)=1,MAX(BU$76:BU232)+1,"")</f>
        <v/>
      </c>
      <c r="BV233" s="1312">
        <v>140</v>
      </c>
      <c r="BW233" s="1312">
        <v>265</v>
      </c>
      <c r="BX233" s="1312">
        <v>285</v>
      </c>
      <c r="BY233">
        <v>320</v>
      </c>
      <c r="BZ233" s="1312" t="s">
        <v>1343</v>
      </c>
      <c r="CA233" s="1352"/>
    </row>
    <row r="234" spans="72:79" x14ac:dyDescent="0.3">
      <c r="BT234" s="164">
        <f>IF(MAX(BU234:BU1313)&lt;ROW(158:158),"",VLOOKUP(ROW(158:158),BU234:BV1313,2))</f>
        <v>580</v>
      </c>
      <c r="BU234" s="165" t="str">
        <f>IF(COUNTIF(BV$76:BV234,BV234)=1,MAX(BU$76:BU233)+1,"")</f>
        <v/>
      </c>
      <c r="BV234" s="1312">
        <v>140</v>
      </c>
      <c r="BW234" s="1312">
        <v>315</v>
      </c>
      <c r="BX234" s="1312">
        <v>285</v>
      </c>
      <c r="BY234">
        <v>320</v>
      </c>
      <c r="BZ234" s="1312" t="s">
        <v>1342</v>
      </c>
      <c r="CA234" s="1352"/>
    </row>
    <row r="235" spans="72:79" x14ac:dyDescent="0.3">
      <c r="BT235" s="164">
        <f>IF(MAX(BU235:BU1314)&lt;ROW(159:159),"",VLOOKUP(ROW(159:159),BU235:BV1314,2))</f>
        <v>585</v>
      </c>
      <c r="BU235" s="165" t="str">
        <f>IF(COUNTIF(BV$76:BV235,BV235)=1,MAX(BU$76:BU234)+1,"")</f>
        <v/>
      </c>
      <c r="BV235" s="1312">
        <v>140</v>
      </c>
      <c r="BW235" s="1312">
        <v>320</v>
      </c>
      <c r="BX235" s="1312">
        <v>285</v>
      </c>
      <c r="BY235">
        <v>320</v>
      </c>
      <c r="BZ235" s="1312" t="s">
        <v>1342</v>
      </c>
      <c r="CA235" s="1352"/>
    </row>
    <row r="236" spans="72:79" x14ac:dyDescent="0.3">
      <c r="BT236" s="164">
        <f>IF(MAX(BU236:BU1315)&lt;ROW(160:160),"",VLOOKUP(ROW(160:160),BU236:BV1315,2))</f>
        <v>590</v>
      </c>
      <c r="BU236" s="165" t="str">
        <f>IF(COUNTIF(BV$76:BV236,BV236)=1,MAX(BU$76:BU235)+1,"")</f>
        <v/>
      </c>
      <c r="BV236" s="1312">
        <v>140</v>
      </c>
      <c r="BW236" s="1312">
        <v>263</v>
      </c>
      <c r="BX236" s="1312">
        <v>285</v>
      </c>
      <c r="BY236">
        <v>320</v>
      </c>
      <c r="BZ236" s="1312" t="s">
        <v>1343</v>
      </c>
      <c r="CA236" s="1352"/>
    </row>
    <row r="237" spans="72:79" x14ac:dyDescent="0.3">
      <c r="BT237" s="164">
        <f>IF(MAX(BU237:BU1316)&lt;ROW(161:161),"",VLOOKUP(ROW(161:161),BU237:BV1316,2))</f>
        <v>592.5</v>
      </c>
      <c r="BU237" s="165" t="str">
        <f>IF(COUNTIF(BV$76:BV237,BV237)=1,MAX(BU$76:BU236)+1,"")</f>
        <v/>
      </c>
      <c r="BV237" s="1312">
        <v>140</v>
      </c>
      <c r="BW237" s="1312">
        <v>263</v>
      </c>
      <c r="BX237" s="1312">
        <v>285</v>
      </c>
      <c r="BY237">
        <v>320</v>
      </c>
      <c r="BZ237" s="1312" t="s">
        <v>1343</v>
      </c>
      <c r="CA237" s="1352"/>
    </row>
    <row r="238" spans="72:79" x14ac:dyDescent="0.3">
      <c r="BT238" s="164">
        <f>IF(MAX(BU238:BU1317)&lt;ROW(162:162),"",VLOOKUP(ROW(162:162),BU238:BV1317,2))</f>
        <v>595</v>
      </c>
      <c r="BU238" s="165" t="str">
        <f>IF(COUNTIF(BV$76:BV238,BV238)=1,MAX(BU$76:BU237)+1,"")</f>
        <v/>
      </c>
      <c r="BV238" s="1312">
        <v>140</v>
      </c>
      <c r="BW238" s="1312">
        <v>320</v>
      </c>
      <c r="BX238" s="1312">
        <v>285</v>
      </c>
      <c r="BY238">
        <v>320</v>
      </c>
      <c r="BZ238" s="1312" t="s">
        <v>1342</v>
      </c>
      <c r="CA238" s="1352"/>
    </row>
    <row r="239" spans="72:79" x14ac:dyDescent="0.3">
      <c r="BT239" s="164">
        <f>IF(MAX(BU239:BU1318)&lt;ROW(163:163),"",VLOOKUP(ROW(163:163),BU239:BV1318,2))</f>
        <v>597.5</v>
      </c>
      <c r="BU239" s="165" t="str">
        <f>IF(COUNTIF(BV$76:BV239,BV239)=1,MAX(BU$76:BU238)+1,"")</f>
        <v/>
      </c>
      <c r="BV239" s="1312">
        <v>140</v>
      </c>
      <c r="BW239" s="1312">
        <v>262</v>
      </c>
      <c r="BX239" s="1312">
        <v>285</v>
      </c>
      <c r="BY239">
        <v>320</v>
      </c>
      <c r="BZ239" s="1312" t="s">
        <v>1343</v>
      </c>
      <c r="CA239" s="1352"/>
    </row>
    <row r="240" spans="72:79" x14ac:dyDescent="0.3">
      <c r="BT240" s="164">
        <f>IF(MAX(BU240:BU1319)&lt;ROW(164:164),"",VLOOKUP(ROW(164:164),BU240:BV1319,2))</f>
        <v>600</v>
      </c>
      <c r="BU240" s="165" t="str">
        <f>IF(COUNTIF(BV$76:BV240,BV240)=1,MAX(BU$76:BU239)+1,"")</f>
        <v/>
      </c>
      <c r="BV240" s="1312">
        <v>140</v>
      </c>
      <c r="BW240" s="1312">
        <v>320</v>
      </c>
      <c r="BX240" s="1312">
        <v>285</v>
      </c>
      <c r="BY240">
        <v>320</v>
      </c>
      <c r="BZ240" s="1312" t="s">
        <v>1342</v>
      </c>
      <c r="CA240" s="1352"/>
    </row>
    <row r="241" spans="72:79" x14ac:dyDescent="0.3">
      <c r="BT241" s="164">
        <f>IF(MAX(BU241:BU1320)&lt;ROW(165:165),"",VLOOKUP(ROW(165:165),BU241:BV1320,2))</f>
        <v>610</v>
      </c>
      <c r="BU241" s="165" t="str">
        <f>IF(COUNTIF(BV$76:BV241,BV241)=1,MAX(BU$76:BU240)+1,"")</f>
        <v/>
      </c>
      <c r="BV241" s="1312">
        <v>140</v>
      </c>
      <c r="BW241" s="1312">
        <v>320</v>
      </c>
      <c r="BX241" s="1312">
        <v>285</v>
      </c>
      <c r="BY241">
        <v>320</v>
      </c>
      <c r="BZ241" s="1312" t="s">
        <v>1342</v>
      </c>
      <c r="CA241" s="1352"/>
    </row>
    <row r="242" spans="72:79" x14ac:dyDescent="0.3">
      <c r="BT242" s="164">
        <f>IF(MAX(BU242:BU1321)&lt;ROW(166:166),"",VLOOKUP(ROW(166:166),BU242:BV1321,2))</f>
        <v>620</v>
      </c>
      <c r="BU242" s="165" t="str">
        <f>IF(COUNTIF(BV$76:BV242,BV242)=1,MAX(BU$76:BU241)+1,"")</f>
        <v/>
      </c>
      <c r="BV242" s="1312">
        <v>140</v>
      </c>
      <c r="BW242" s="1312">
        <v>260</v>
      </c>
      <c r="BX242" s="1312">
        <v>285</v>
      </c>
      <c r="BY242">
        <v>320</v>
      </c>
      <c r="BZ242" s="1312" t="s">
        <v>1343</v>
      </c>
      <c r="CA242" s="1352"/>
    </row>
    <row r="243" spans="72:79" x14ac:dyDescent="0.3">
      <c r="BT243" s="164">
        <f>IF(MAX(BU243:BU1322)&lt;ROW(167:167),"",VLOOKUP(ROW(167:167),BU243:BV1322,2))</f>
        <v>622.5</v>
      </c>
      <c r="BU243" s="165" t="str">
        <f>IF(COUNTIF(BV$76:BV243,BV243)=1,MAX(BU$76:BU242)+1,"")</f>
        <v/>
      </c>
      <c r="BV243" s="1312">
        <v>140</v>
      </c>
      <c r="BW243" s="1312">
        <v>265</v>
      </c>
      <c r="BX243" s="1312">
        <v>285</v>
      </c>
      <c r="BY243">
        <v>320</v>
      </c>
      <c r="BZ243" s="1312" t="s">
        <v>1343</v>
      </c>
      <c r="CA243" s="1352"/>
    </row>
    <row r="244" spans="72:79" x14ac:dyDescent="0.3">
      <c r="BT244" s="164">
        <f>IF(MAX(BU244:BU1323)&lt;ROW(168:168),"",VLOOKUP(ROW(168:168),BU244:BV1323,2))</f>
        <v>625</v>
      </c>
      <c r="BU244" s="165" t="str">
        <f>IF(COUNTIF(BV$76:BV244,BV244)=1,MAX(BU$76:BU243)+1,"")</f>
        <v/>
      </c>
      <c r="BV244" s="1312">
        <v>140</v>
      </c>
      <c r="BW244" s="1312">
        <v>263</v>
      </c>
      <c r="BX244" s="1312">
        <v>285</v>
      </c>
      <c r="BY244">
        <v>320</v>
      </c>
      <c r="BZ244" s="1312" t="s">
        <v>1343</v>
      </c>
      <c r="CA244" s="1352"/>
    </row>
    <row r="245" spans="72:79" x14ac:dyDescent="0.3">
      <c r="BT245" s="164">
        <f>IF(MAX(BU245:BU1324)&lt;ROW(169:169),"",VLOOKUP(ROW(169:169),BU245:BV1324,2))</f>
        <v>627.5</v>
      </c>
      <c r="BU245" s="165" t="str">
        <f>IF(COUNTIF(BV$76:BV245,BV245)=1,MAX(BU$76:BU244)+1,"")</f>
        <v/>
      </c>
      <c r="BV245" s="1312">
        <v>140</v>
      </c>
      <c r="BW245" s="1312">
        <v>265</v>
      </c>
      <c r="BX245" s="1312">
        <v>285</v>
      </c>
      <c r="BY245">
        <v>320</v>
      </c>
      <c r="BZ245" s="1312" t="s">
        <v>1343</v>
      </c>
      <c r="CA245" s="1352"/>
    </row>
    <row r="246" spans="72:79" x14ac:dyDescent="0.3">
      <c r="BT246" s="164">
        <f>IF(MAX(BU246:BU1325)&lt;ROW(170:170),"",VLOOKUP(ROW(170:170),BU246:BV1325,2))</f>
        <v>630</v>
      </c>
      <c r="BU246" s="165" t="str">
        <f>IF(COUNTIF(BV$76:BV246,BV246)=1,MAX(BU$76:BU245)+1,"")</f>
        <v/>
      </c>
      <c r="BV246" s="1312">
        <v>140</v>
      </c>
      <c r="BW246" s="1312">
        <v>265</v>
      </c>
      <c r="BX246" s="1312">
        <v>285</v>
      </c>
      <c r="BY246">
        <v>320</v>
      </c>
      <c r="BZ246" s="1312" t="s">
        <v>1343</v>
      </c>
      <c r="CA246" s="1352"/>
    </row>
    <row r="247" spans="72:79" x14ac:dyDescent="0.3">
      <c r="BT247" s="164">
        <f>IF(MAX(BU247:BU1326)&lt;ROW(171:171),"",VLOOKUP(ROW(171:171),BU247:BV1326,2))</f>
        <v>635</v>
      </c>
      <c r="BU247" s="165" t="str">
        <f>IF(COUNTIF(BV$76:BV247,BV247)=1,MAX(BU$76:BU246)+1,"")</f>
        <v/>
      </c>
      <c r="BV247" s="1312">
        <v>140</v>
      </c>
      <c r="BW247" s="1312">
        <v>378</v>
      </c>
      <c r="BX247" s="1312">
        <v>285</v>
      </c>
      <c r="BY247">
        <v>320</v>
      </c>
      <c r="BZ247" s="1312" t="s">
        <v>1341</v>
      </c>
      <c r="CA247" s="1352"/>
    </row>
    <row r="248" spans="72:79" x14ac:dyDescent="0.3">
      <c r="BT248" s="164">
        <f>IF(MAX(BU248:BU1327)&lt;ROW(172:172),"",VLOOKUP(ROW(172:172),BU248:BV1327,2))</f>
        <v>637.5</v>
      </c>
      <c r="BU248" s="165">
        <f>IF(COUNTIF(BV$76:BV248,BV248)=1,MAX(BU$76:BU247)+1,"")</f>
        <v>23</v>
      </c>
      <c r="BV248" s="1312">
        <v>142.5</v>
      </c>
      <c r="BW248" s="1312">
        <v>320</v>
      </c>
      <c r="BX248" s="1312">
        <v>285</v>
      </c>
      <c r="BY248">
        <v>320</v>
      </c>
      <c r="BZ248" s="1312" t="s">
        <v>1344</v>
      </c>
      <c r="CA248" s="1352"/>
    </row>
    <row r="249" spans="72:79" x14ac:dyDescent="0.3">
      <c r="BT249" s="164">
        <f>IF(MAX(BU249:BU1328)&lt;ROW(173:173),"",VLOOKUP(ROW(173:173),BU249:BV1328,2))</f>
        <v>642.5</v>
      </c>
      <c r="BU249" s="165" t="str">
        <f>IF(COUNTIF(BV$76:BV249,BV249)=1,MAX(BU$76:BU248)+1,"")</f>
        <v/>
      </c>
      <c r="BV249" s="1312">
        <v>142.5</v>
      </c>
      <c r="BW249" s="1312">
        <v>317</v>
      </c>
      <c r="BX249" s="1312">
        <v>285</v>
      </c>
      <c r="BY249">
        <v>320</v>
      </c>
      <c r="BZ249" s="1312" t="s">
        <v>1344</v>
      </c>
      <c r="CA249" s="1352"/>
    </row>
    <row r="250" spans="72:79" x14ac:dyDescent="0.3">
      <c r="BT250" s="164">
        <f>IF(MAX(BU250:BU1329)&lt;ROW(174:174),"",VLOOKUP(ROW(174:174),BU250:BV1329,2))</f>
        <v>650</v>
      </c>
      <c r="BU250" s="165" t="str">
        <f>IF(COUNTIF(BV$76:BV250,BV250)=1,MAX(BU$76:BU249)+1,"")</f>
        <v/>
      </c>
      <c r="BV250" s="1312">
        <v>142.5</v>
      </c>
      <c r="BW250" s="1312">
        <v>265</v>
      </c>
      <c r="BX250" s="1312">
        <v>285</v>
      </c>
      <c r="BY250">
        <v>320</v>
      </c>
      <c r="BZ250" s="1312" t="s">
        <v>1345</v>
      </c>
      <c r="CA250" s="1352"/>
    </row>
    <row r="251" spans="72:79" x14ac:dyDescent="0.3">
      <c r="BT251" s="164">
        <f>IF(MAX(BU251:BU1330)&lt;ROW(175:175),"",VLOOKUP(ROW(175:175),BU251:BV1330,2))</f>
        <v>652.5</v>
      </c>
      <c r="BU251" s="165" t="str">
        <f>IF(COUNTIF(BV$76:BV251,BV251)=1,MAX(BU$76:BU250)+1,"")</f>
        <v/>
      </c>
      <c r="BV251" s="1312">
        <v>142.5</v>
      </c>
      <c r="BW251" s="1312">
        <v>318</v>
      </c>
      <c r="BX251" s="1312">
        <v>285</v>
      </c>
      <c r="BY251">
        <v>320</v>
      </c>
      <c r="BZ251" s="1312" t="s">
        <v>1344</v>
      </c>
      <c r="CA251" s="1352"/>
    </row>
    <row r="252" spans="72:79" x14ac:dyDescent="0.3">
      <c r="BT252" s="164">
        <f>IF(MAX(BU252:BU1331)&lt;ROW(176:176),"",VLOOKUP(ROW(176:176),BU252:BV1331,2))</f>
        <v>655</v>
      </c>
      <c r="BU252" s="165" t="str">
        <f>IF(COUNTIF(BV$76:BV252,BV252)=1,MAX(BU$76:BU251)+1,"")</f>
        <v/>
      </c>
      <c r="BV252" s="1312">
        <v>142.5</v>
      </c>
      <c r="BW252" s="1312">
        <v>378</v>
      </c>
      <c r="BX252" s="1312">
        <v>285</v>
      </c>
      <c r="BY252">
        <v>320</v>
      </c>
      <c r="BZ252" s="1312" t="s">
        <v>1346</v>
      </c>
      <c r="CA252" s="1352"/>
    </row>
    <row r="253" spans="72:79" x14ac:dyDescent="0.3">
      <c r="BT253" s="164">
        <f>IF(MAX(BU253:BU1332)&lt;ROW(177:177),"",VLOOKUP(ROW(177:177),BU253:BV1332,2))</f>
        <v>657.5</v>
      </c>
      <c r="BU253" s="165" t="str">
        <f>IF(COUNTIF(BV$76:BV253,BV253)=1,MAX(BU$76:BU252)+1,"")</f>
        <v/>
      </c>
      <c r="BV253" s="1312">
        <v>142.5</v>
      </c>
      <c r="BW253" s="1312">
        <v>260</v>
      </c>
      <c r="BX253" s="1312">
        <v>285</v>
      </c>
      <c r="BY253">
        <v>320</v>
      </c>
      <c r="BZ253" s="1312" t="s">
        <v>1345</v>
      </c>
      <c r="CA253" s="1352"/>
    </row>
    <row r="254" spans="72:79" x14ac:dyDescent="0.3">
      <c r="BT254" s="164">
        <f>IF(MAX(BU254:BU1333)&lt;ROW(178:178),"",VLOOKUP(ROW(178:178),BU254:BV1333,2))</f>
        <v>660</v>
      </c>
      <c r="BU254" s="165" t="str">
        <f>IF(COUNTIF(BV$76:BV254,BV254)=1,MAX(BU$76:BU253)+1,"")</f>
        <v/>
      </c>
      <c r="BV254" s="1312">
        <v>142.5</v>
      </c>
      <c r="BW254" s="1312">
        <v>320</v>
      </c>
      <c r="BX254" s="1312">
        <v>285</v>
      </c>
      <c r="BY254">
        <v>320</v>
      </c>
      <c r="BZ254" s="1312" t="s">
        <v>1344</v>
      </c>
      <c r="CA254" s="1352"/>
    </row>
    <row r="255" spans="72:79" x14ac:dyDescent="0.3">
      <c r="BT255" s="164">
        <f>IF(MAX(BU255:BU1334)&lt;ROW(179:179),"",VLOOKUP(ROW(179:179),BU255:BV1334,2))</f>
        <v>665</v>
      </c>
      <c r="BU255" s="165" t="str">
        <f>IF(COUNTIF(BV$76:BV255,BV255)=1,MAX(BU$76:BU254)+1,"")</f>
        <v/>
      </c>
      <c r="BV255" s="1312">
        <v>142.5</v>
      </c>
      <c r="BW255" s="1312">
        <v>265</v>
      </c>
      <c r="BX255" s="1312">
        <v>285</v>
      </c>
      <c r="BY255">
        <v>320</v>
      </c>
      <c r="BZ255" s="1312" t="s">
        <v>1345</v>
      </c>
      <c r="CA255" s="1352"/>
    </row>
    <row r="256" spans="72:79" x14ac:dyDescent="0.3">
      <c r="BT256" s="164">
        <f>IF(MAX(BU256:BU1335)&lt;ROW(180:180),"",VLOOKUP(ROW(180:180),BU256:BV1335,2))</f>
        <v>667.5</v>
      </c>
      <c r="BU256" s="165">
        <f>IF(COUNTIF(BV$76:BV256,BV256)=1,MAX(BU$76:BU255)+1,"")</f>
        <v>24</v>
      </c>
      <c r="BV256" s="1312">
        <v>145</v>
      </c>
      <c r="BW256" s="1312">
        <v>260</v>
      </c>
      <c r="BX256" s="1312">
        <v>285</v>
      </c>
      <c r="BY256">
        <v>320</v>
      </c>
      <c r="BZ256" s="1312" t="s">
        <v>1347</v>
      </c>
      <c r="CA256" s="1352"/>
    </row>
    <row r="257" spans="72:79" x14ac:dyDescent="0.3">
      <c r="BT257" s="164">
        <f>IF(MAX(BU257:BU1336)&lt;ROW(181:181),"",VLOOKUP(ROW(181:181),BU257:BV1336,2))</f>
        <v>700</v>
      </c>
      <c r="BU257" s="165" t="str">
        <f>IF(COUNTIF(BV$76:BV257,BV257)=1,MAX(BU$76:BU256)+1,"")</f>
        <v/>
      </c>
      <c r="BV257" s="1312">
        <v>145</v>
      </c>
      <c r="BW257" s="1312">
        <v>265</v>
      </c>
      <c r="BX257" s="1312">
        <v>285</v>
      </c>
      <c r="BY257">
        <v>320</v>
      </c>
      <c r="BZ257" s="1312" t="s">
        <v>1347</v>
      </c>
      <c r="CA257" s="1352"/>
    </row>
    <row r="258" spans="72:79" x14ac:dyDescent="0.3">
      <c r="BT258" s="164" t="str">
        <f>IF(MAX(BU258:BU1337)&lt;ROW(182:182),"",VLOOKUP(ROW(182:182),BU258:BV1337,2))</f>
        <v/>
      </c>
      <c r="BU258" s="165" t="str">
        <f>IF(COUNTIF(BV$76:BV258,BV258)=1,MAX(BU$76:BU257)+1,"")</f>
        <v/>
      </c>
      <c r="BV258" s="1312">
        <v>145</v>
      </c>
      <c r="BW258" s="1312">
        <v>265</v>
      </c>
      <c r="BX258" s="1312">
        <v>285</v>
      </c>
      <c r="BY258">
        <v>320</v>
      </c>
      <c r="BZ258" s="1312" t="s">
        <v>1347</v>
      </c>
      <c r="CA258" s="1352"/>
    </row>
    <row r="259" spans="72:79" x14ac:dyDescent="0.3">
      <c r="BT259" s="164" t="str">
        <f>IF(MAX(BU259:BU1338)&lt;ROW(183:183),"",VLOOKUP(ROW(183:183),BU259:BV1338,2))</f>
        <v/>
      </c>
      <c r="BU259" s="165" t="str">
        <f>IF(COUNTIF(BV$76:BV259,BV259)=1,MAX(BU$76:BU258)+1,"")</f>
        <v/>
      </c>
      <c r="BV259" s="1312">
        <v>145</v>
      </c>
      <c r="BW259" s="1312">
        <v>270</v>
      </c>
      <c r="BX259" s="1312">
        <v>285</v>
      </c>
      <c r="BY259">
        <v>320</v>
      </c>
      <c r="BZ259" s="1312" t="s">
        <v>1347</v>
      </c>
      <c r="CA259" s="1352"/>
    </row>
    <row r="260" spans="72:79" x14ac:dyDescent="0.3">
      <c r="BT260" s="164" t="str">
        <f>IF(MAX(BU260:BU1339)&lt;ROW(184:184),"",VLOOKUP(ROW(184:184),BU260:BV1339,2))</f>
        <v/>
      </c>
      <c r="BU260" s="165" t="str">
        <f>IF(COUNTIF(BV$76:BV260,BV260)=1,MAX(BU$76:BU259)+1,"")</f>
        <v/>
      </c>
      <c r="BV260" s="1312">
        <v>145</v>
      </c>
      <c r="BW260" s="1312">
        <v>263</v>
      </c>
      <c r="BX260" s="1312">
        <v>285</v>
      </c>
      <c r="BY260">
        <v>320</v>
      </c>
      <c r="BZ260" s="1312" t="s">
        <v>1347</v>
      </c>
      <c r="CA260" s="1352"/>
    </row>
    <row r="261" spans="72:79" x14ac:dyDescent="0.3">
      <c r="BT261" s="164" t="str">
        <f>IF(MAX(BU261:BU1340)&lt;ROW(185:185),"",VLOOKUP(ROW(185:185),BU261:BV1340,2))</f>
        <v/>
      </c>
      <c r="BU261" s="165" t="str">
        <f>IF(COUNTIF(BV$76:BV261,BV261)=1,MAX(BU$76:BU260)+1,"")</f>
        <v/>
      </c>
      <c r="BV261" s="1312">
        <v>145</v>
      </c>
      <c r="BW261" s="1312">
        <v>265</v>
      </c>
      <c r="BX261" s="1312">
        <v>285</v>
      </c>
      <c r="BY261">
        <v>320</v>
      </c>
      <c r="BZ261" s="1312" t="s">
        <v>1347</v>
      </c>
      <c r="CA261" s="1352"/>
    </row>
    <row r="262" spans="72:79" x14ac:dyDescent="0.3">
      <c r="BT262" s="164" t="str">
        <f>IF(MAX(BU262:BU1341)&lt;ROW(186:186),"",VLOOKUP(ROW(186:186),BU262:BV1341,2))</f>
        <v/>
      </c>
      <c r="BU262" s="165" t="str">
        <f>IF(COUNTIF(BV$76:BV262,BV262)=1,MAX(BU$76:BU261)+1,"")</f>
        <v/>
      </c>
      <c r="BV262" s="1312">
        <v>145</v>
      </c>
      <c r="BW262" s="1312">
        <v>320</v>
      </c>
      <c r="BX262" s="1312">
        <v>285</v>
      </c>
      <c r="BY262">
        <v>320</v>
      </c>
      <c r="BZ262" s="1312" t="s">
        <v>1348</v>
      </c>
      <c r="CA262" s="1352"/>
    </row>
    <row r="263" spans="72:79" x14ac:dyDescent="0.3">
      <c r="BT263" s="164" t="str">
        <f>IF(MAX(BU263:BU1342)&lt;ROW(187:187),"",VLOOKUP(ROW(187:187),BU263:BV1342,2))</f>
        <v/>
      </c>
      <c r="BU263" s="165" t="str">
        <f>IF(COUNTIF(BV$76:BV263,BV263)=1,MAX(BU$76:BU262)+1,"")</f>
        <v/>
      </c>
      <c r="BV263" s="1312">
        <v>145</v>
      </c>
      <c r="BW263" s="1312">
        <v>318</v>
      </c>
      <c r="BX263" s="1312">
        <v>285</v>
      </c>
      <c r="BY263">
        <v>320</v>
      </c>
      <c r="BZ263" s="1312" t="s">
        <v>1348</v>
      </c>
      <c r="CA263" s="1352"/>
    </row>
    <row r="264" spans="72:79" x14ac:dyDescent="0.3">
      <c r="BT264" s="164" t="str">
        <f>IF(MAX(BU264:BU1343)&lt;ROW(188:188),"",VLOOKUP(ROW(188:188),BU264:BV1343,2))</f>
        <v/>
      </c>
      <c r="BU264" s="165" t="str">
        <f>IF(COUNTIF(BV$76:BV264,BV264)=1,MAX(BU$76:BU263)+1,"")</f>
        <v/>
      </c>
      <c r="BV264" s="1312">
        <v>145</v>
      </c>
      <c r="BW264" s="1312">
        <v>263</v>
      </c>
      <c r="BX264" s="1312">
        <v>285</v>
      </c>
      <c r="BY264">
        <v>320</v>
      </c>
      <c r="BZ264" s="1312" t="s">
        <v>1347</v>
      </c>
      <c r="CA264" s="1352"/>
    </row>
    <row r="265" spans="72:79" x14ac:dyDescent="0.3">
      <c r="BT265" s="164" t="str">
        <f>IF(MAX(BU265:BU1344)&lt;ROW(189:189),"",VLOOKUP(ROW(189:189),BU265:BV1344,2))</f>
        <v/>
      </c>
      <c r="BU265" s="165" t="str">
        <f>IF(COUNTIF(BV$76:BV265,BV265)=1,MAX(BU$76:BU264)+1,"")</f>
        <v/>
      </c>
      <c r="BV265" s="1312">
        <v>145</v>
      </c>
      <c r="BW265" s="1312">
        <v>265</v>
      </c>
      <c r="BX265" s="1312">
        <v>285</v>
      </c>
      <c r="BY265">
        <v>320</v>
      </c>
      <c r="BZ265" s="1312" t="s">
        <v>1347</v>
      </c>
      <c r="CA265" s="1352"/>
    </row>
    <row r="266" spans="72:79" x14ac:dyDescent="0.3">
      <c r="BT266" s="164" t="str">
        <f>IF(MAX(BU266:BU1345)&lt;ROW(190:190),"",VLOOKUP(ROW(190:190),BU266:BV1345,2))</f>
        <v/>
      </c>
      <c r="BU266" s="165" t="str">
        <f>IF(COUNTIF(BV$76:BV266,BV266)=1,MAX(BU$76:BU265)+1,"")</f>
        <v/>
      </c>
      <c r="BV266" s="1312">
        <v>145</v>
      </c>
      <c r="BW266" s="1312">
        <v>265</v>
      </c>
      <c r="BX266" s="1312">
        <v>285</v>
      </c>
      <c r="BY266">
        <v>320</v>
      </c>
      <c r="BZ266" s="1312" t="s">
        <v>1347</v>
      </c>
      <c r="CA266" s="1352"/>
    </row>
    <row r="267" spans="72:79" x14ac:dyDescent="0.3">
      <c r="BT267" s="164" t="str">
        <f>IF(MAX(BU267:BU1346)&lt;ROW(191:191),"",VLOOKUP(ROW(191:191),BU267:BV1346,2))</f>
        <v/>
      </c>
      <c r="BU267" s="165" t="str">
        <f>IF(COUNTIF(BV$76:BV267,BV267)=1,MAX(BU$76:BU266)+1,"")</f>
        <v/>
      </c>
      <c r="BV267" s="1312">
        <v>145</v>
      </c>
      <c r="BW267" s="1312">
        <v>265</v>
      </c>
      <c r="BX267" s="1312">
        <v>285</v>
      </c>
      <c r="BY267">
        <v>320</v>
      </c>
      <c r="BZ267" s="1312" t="s">
        <v>1347</v>
      </c>
      <c r="CA267" s="1352"/>
    </row>
    <row r="268" spans="72:79" x14ac:dyDescent="0.3">
      <c r="BT268" s="164" t="str">
        <f>IF(MAX(BU268:BU1347)&lt;ROW(192:192),"",VLOOKUP(ROW(192:192),BU268:BV1347,2))</f>
        <v/>
      </c>
      <c r="BU268" s="165" t="str">
        <f>IF(COUNTIF(BV$76:BV268,BV268)=1,MAX(BU$76:BU267)+1,"")</f>
        <v/>
      </c>
      <c r="BV268" s="1312">
        <v>145</v>
      </c>
      <c r="BW268" s="1312">
        <v>265</v>
      </c>
      <c r="BX268" s="1312">
        <v>285</v>
      </c>
      <c r="BY268">
        <v>320</v>
      </c>
      <c r="BZ268" s="1312" t="s">
        <v>1347</v>
      </c>
      <c r="CA268" s="1352"/>
    </row>
    <row r="269" spans="72:79" x14ac:dyDescent="0.3">
      <c r="BT269" s="164" t="str">
        <f>IF(MAX(BU269:BU1348)&lt;ROW(193:193),"",VLOOKUP(ROW(193:193),BU269:BV1348,2))</f>
        <v/>
      </c>
      <c r="BU269" s="165" t="str">
        <f>IF(COUNTIF(BV$76:BV269,BV269)=1,MAX(BU$76:BU268)+1,"")</f>
        <v/>
      </c>
      <c r="BV269" s="1312">
        <v>145</v>
      </c>
      <c r="BW269" s="1312">
        <v>265</v>
      </c>
      <c r="BX269" s="1312">
        <v>285</v>
      </c>
      <c r="BY269">
        <v>320</v>
      </c>
      <c r="BZ269" s="1312" t="s">
        <v>1347</v>
      </c>
      <c r="CA269" s="1352"/>
    </row>
    <row r="270" spans="72:79" x14ac:dyDescent="0.3">
      <c r="BT270" s="164" t="str">
        <f>IF(MAX(BU270:BU1349)&lt;ROW(194:194),"",VLOOKUP(ROW(194:194),BU270:BV1349,2))</f>
        <v/>
      </c>
      <c r="BU270" s="165" t="str">
        <f>IF(COUNTIF(BV$76:BV270,BV270)=1,MAX(BU$76:BU269)+1,"")</f>
        <v/>
      </c>
      <c r="BV270" s="1312">
        <v>145</v>
      </c>
      <c r="BW270" s="1312">
        <v>265</v>
      </c>
      <c r="BX270" s="1312">
        <v>285</v>
      </c>
      <c r="BY270">
        <v>320</v>
      </c>
      <c r="BZ270" s="1312" t="s">
        <v>1347</v>
      </c>
      <c r="CA270" s="1352"/>
    </row>
    <row r="271" spans="72:79" x14ac:dyDescent="0.3">
      <c r="BT271" s="164" t="str">
        <f>IF(MAX(BU271:BU1350)&lt;ROW(195:195),"",VLOOKUP(ROW(195:195),BU271:BV1350,2))</f>
        <v/>
      </c>
      <c r="BU271" s="165" t="str">
        <f>IF(COUNTIF(BV$76:BV271,BV271)=1,MAX(BU$76:BU270)+1,"")</f>
        <v/>
      </c>
      <c r="BV271" s="1312">
        <v>145</v>
      </c>
      <c r="BW271" s="1312">
        <v>265</v>
      </c>
      <c r="BX271" s="1312">
        <v>285</v>
      </c>
      <c r="BY271">
        <v>320</v>
      </c>
      <c r="BZ271" s="1312" t="s">
        <v>1347</v>
      </c>
      <c r="CA271" s="1352"/>
    </row>
    <row r="272" spans="72:79" x14ac:dyDescent="0.3">
      <c r="BT272" s="164" t="str">
        <f>IF(MAX(BU272:BU1351)&lt;ROW(196:196),"",VLOOKUP(ROW(196:196),BU272:BV1351,2))</f>
        <v/>
      </c>
      <c r="BU272" s="165">
        <f>IF(COUNTIF(BV$76:BV272,BV272)=1,MAX(BU$76:BU271)+1,"")</f>
        <v>25</v>
      </c>
      <c r="BV272" s="1312">
        <v>147.5</v>
      </c>
      <c r="BW272" s="1312">
        <v>380</v>
      </c>
      <c r="BX272" s="1312">
        <v>285</v>
      </c>
      <c r="BY272">
        <v>320</v>
      </c>
      <c r="BZ272" s="1312" t="s">
        <v>1349</v>
      </c>
      <c r="CA272" s="1352"/>
    </row>
    <row r="273" spans="72:79" x14ac:dyDescent="0.3">
      <c r="BT273" s="164" t="str">
        <f>IF(MAX(BU273:BU1352)&lt;ROW(197:197),"",VLOOKUP(ROW(197:197),BU273:BV1352,2))</f>
        <v/>
      </c>
      <c r="BU273" s="165" t="str">
        <f>IF(COUNTIF(BV$76:BV273,BV273)=1,MAX(BU$76:BU272)+1,"")</f>
        <v/>
      </c>
      <c r="BV273" s="1312">
        <v>147.5</v>
      </c>
      <c r="BW273" s="1312">
        <v>318</v>
      </c>
      <c r="BX273" s="1312">
        <v>285</v>
      </c>
      <c r="BY273">
        <v>320</v>
      </c>
      <c r="BZ273" s="1312" t="s">
        <v>1350</v>
      </c>
      <c r="CA273" s="1352"/>
    </row>
    <row r="274" spans="72:79" x14ac:dyDescent="0.3">
      <c r="BT274" s="164" t="str">
        <f>IF(MAX(BU274:BU1353)&lt;ROW(198:198),"",VLOOKUP(ROW(198:198),BU274:BV1353,2))</f>
        <v/>
      </c>
      <c r="BU274" s="165" t="str">
        <f>IF(COUNTIF(BV$76:BV274,BV274)=1,MAX(BU$76:BU273)+1,"")</f>
        <v/>
      </c>
      <c r="BV274" s="1312">
        <v>147.5</v>
      </c>
      <c r="BW274" s="1312">
        <v>320</v>
      </c>
      <c r="BX274" s="1312">
        <v>285</v>
      </c>
      <c r="BY274">
        <v>320</v>
      </c>
      <c r="BZ274" s="1312" t="s">
        <v>1350</v>
      </c>
      <c r="CA274" s="1352"/>
    </row>
    <row r="275" spans="72:79" x14ac:dyDescent="0.3">
      <c r="BT275" s="164" t="str">
        <f>IF(MAX(BU275:BU1354)&lt;ROW(199:199),"",VLOOKUP(ROW(199:199),BU275:BV1354,2))</f>
        <v/>
      </c>
      <c r="BU275" s="165" t="str">
        <f>IF(COUNTIF(BV$76:BV275,BV275)=1,MAX(BU$76:BU274)+1,"")</f>
        <v/>
      </c>
      <c r="BV275" s="1312">
        <v>147.5</v>
      </c>
      <c r="BW275" s="1312">
        <v>317</v>
      </c>
      <c r="BX275" s="1312">
        <v>285</v>
      </c>
      <c r="BY275">
        <v>320</v>
      </c>
      <c r="BZ275" s="1312" t="s">
        <v>1350</v>
      </c>
      <c r="CA275" s="1352"/>
    </row>
    <row r="276" spans="72:79" x14ac:dyDescent="0.3">
      <c r="BT276" s="164" t="str">
        <f>IF(MAX(BU276:BU1355)&lt;ROW(200:200),"",VLOOKUP(ROW(200:200),BU276:BV1355,2))</f>
        <v/>
      </c>
      <c r="BU276" s="165" t="str">
        <f>IF(COUNTIF(BV$76:BV276,BV276)=1,MAX(BU$76:BU275)+1,"")</f>
        <v/>
      </c>
      <c r="BV276" s="1312">
        <v>147.5</v>
      </c>
      <c r="BW276" s="1312">
        <v>263</v>
      </c>
      <c r="BX276" s="1312">
        <v>285</v>
      </c>
      <c r="BY276">
        <v>320</v>
      </c>
      <c r="BZ276" s="1312" t="s">
        <v>1351</v>
      </c>
      <c r="CA276" s="1352"/>
    </row>
    <row r="277" spans="72:79" x14ac:dyDescent="0.3">
      <c r="BT277" s="164" t="str">
        <f>IF(MAX(BU277:BU1356)&lt;ROW(201:201),"",VLOOKUP(ROW(201:201),BU277:BV1356,2))</f>
        <v/>
      </c>
      <c r="BU277" s="165" t="str">
        <f>IF(COUNTIF(BV$76:BV277,BV277)=1,MAX(BU$76:BU276)+1,"")</f>
        <v/>
      </c>
      <c r="BV277" s="1312">
        <v>147.5</v>
      </c>
      <c r="BW277" s="1312">
        <v>267</v>
      </c>
      <c r="BX277" s="1312">
        <v>285</v>
      </c>
      <c r="BY277">
        <v>320</v>
      </c>
      <c r="BZ277" s="1312" t="s">
        <v>1351</v>
      </c>
      <c r="CA277" s="1352"/>
    </row>
    <row r="278" spans="72:79" x14ac:dyDescent="0.3">
      <c r="BT278" s="164" t="str">
        <f>IF(MAX(BU278:BU1357)&lt;ROW(202:202),"",VLOOKUP(ROW(202:202),BU278:BV1357,2))</f>
        <v/>
      </c>
      <c r="BU278" s="165" t="str">
        <f>IF(COUNTIF(BV$76:BV278,BV278)=1,MAX(BU$76:BU277)+1,"")</f>
        <v/>
      </c>
      <c r="BV278" s="1312">
        <v>147.5</v>
      </c>
      <c r="BW278" s="1312">
        <v>318</v>
      </c>
      <c r="BX278" s="1312">
        <v>285</v>
      </c>
      <c r="BY278">
        <v>320</v>
      </c>
      <c r="BZ278" s="1312" t="s">
        <v>1350</v>
      </c>
      <c r="CA278" s="1352"/>
    </row>
    <row r="279" spans="72:79" x14ac:dyDescent="0.3">
      <c r="BT279" s="164" t="str">
        <f>IF(MAX(BU279:BU1358)&lt;ROW(203:203),"",VLOOKUP(ROW(203:203),BU279:BV1358,2))</f>
        <v/>
      </c>
      <c r="BU279" s="165" t="str">
        <f>IF(COUNTIF(BV$76:BV279,BV279)=1,MAX(BU$76:BU278)+1,"")</f>
        <v/>
      </c>
      <c r="BV279" s="1312">
        <v>147.5</v>
      </c>
      <c r="BW279" s="1312">
        <v>375</v>
      </c>
      <c r="BX279" s="1312">
        <v>285</v>
      </c>
      <c r="BY279">
        <v>320</v>
      </c>
      <c r="BZ279" s="1312" t="s">
        <v>1349</v>
      </c>
      <c r="CA279" s="1352"/>
    </row>
    <row r="280" spans="72:79" x14ac:dyDescent="0.3">
      <c r="BT280" s="164" t="str">
        <f>IF(MAX(BU280:BU1359)&lt;ROW(204:204),"",VLOOKUP(ROW(204:204),BU280:BV1359,2))</f>
        <v/>
      </c>
      <c r="BU280" s="165" t="str">
        <f>IF(COUNTIF(BV$76:BV280,BV280)=1,MAX(BU$76:BU279)+1,"")</f>
        <v/>
      </c>
      <c r="BV280" s="1312">
        <v>147.5</v>
      </c>
      <c r="BW280" s="1312">
        <v>265</v>
      </c>
      <c r="BX280" s="1312">
        <v>285</v>
      </c>
      <c r="BY280">
        <v>320</v>
      </c>
      <c r="BZ280" s="1312" t="s">
        <v>1351</v>
      </c>
      <c r="CA280" s="1352"/>
    </row>
    <row r="281" spans="72:79" x14ac:dyDescent="0.3">
      <c r="BT281" s="164" t="str">
        <f>IF(MAX(BU281:BU1360)&lt;ROW(205:205),"",VLOOKUP(ROW(205:205),BU281:BV1360,2))</f>
        <v/>
      </c>
      <c r="BU281" s="165" t="str">
        <f>IF(COUNTIF(BV$76:BV281,BV281)=1,MAX(BU$76:BU280)+1,"")</f>
        <v/>
      </c>
      <c r="BV281" s="1312">
        <v>147.5</v>
      </c>
      <c r="BW281" s="1312">
        <v>263</v>
      </c>
      <c r="BX281" s="1312">
        <v>285</v>
      </c>
      <c r="BY281">
        <v>320</v>
      </c>
      <c r="BZ281" s="1312" t="s">
        <v>1351</v>
      </c>
      <c r="CA281" s="1352"/>
    </row>
    <row r="282" spans="72:79" x14ac:dyDescent="0.3">
      <c r="BT282" s="164" t="str">
        <f>IF(MAX(BU282:BU1361)&lt;ROW(206:206),"",VLOOKUP(ROW(206:206),BU282:BV1361,2))</f>
        <v/>
      </c>
      <c r="BU282" s="165">
        <f>IF(COUNTIF(BV$76:BV282,BV282)=1,MAX(BU$76:BU281)+1,"")</f>
        <v>26</v>
      </c>
      <c r="BV282" s="1312">
        <v>150</v>
      </c>
      <c r="BW282" s="1312">
        <v>315</v>
      </c>
      <c r="BX282" s="1312">
        <v>285</v>
      </c>
      <c r="BY282">
        <v>320</v>
      </c>
      <c r="BZ282" s="1312" t="s">
        <v>1352</v>
      </c>
      <c r="CA282" s="1352"/>
    </row>
    <row r="283" spans="72:79" x14ac:dyDescent="0.3">
      <c r="BT283" s="164" t="str">
        <f>IF(MAX(BU283:BU1362)&lt;ROW(207:207),"",VLOOKUP(ROW(207:207),BU283:BV1362,2))</f>
        <v/>
      </c>
      <c r="BU283" s="165" t="str">
        <f>IF(COUNTIF(BV$76:BV283,BV283)=1,MAX(BU$76:BU282)+1,"")</f>
        <v/>
      </c>
      <c r="BV283" s="1312">
        <v>150</v>
      </c>
      <c r="BW283" s="1312">
        <v>320</v>
      </c>
      <c r="BX283" s="1312">
        <v>285</v>
      </c>
      <c r="BY283">
        <v>320</v>
      </c>
      <c r="BZ283" s="1312" t="s">
        <v>1352</v>
      </c>
      <c r="CA283" s="1352"/>
    </row>
    <row r="284" spans="72:79" x14ac:dyDescent="0.3">
      <c r="BT284" s="164" t="str">
        <f>IF(MAX(BU284:BU1363)&lt;ROW(208:208),"",VLOOKUP(ROW(208:208),BU284:BV1363,2))</f>
        <v/>
      </c>
      <c r="BU284" s="165" t="str">
        <f>IF(COUNTIF(BV$76:BV284,BV284)=1,MAX(BU$76:BU283)+1,"")</f>
        <v/>
      </c>
      <c r="BV284" s="1312">
        <v>150</v>
      </c>
      <c r="BW284" s="1312">
        <v>250</v>
      </c>
      <c r="BX284" s="1312">
        <v>285</v>
      </c>
      <c r="BY284">
        <v>320</v>
      </c>
      <c r="BZ284" s="1312" t="s">
        <v>1353</v>
      </c>
      <c r="CA284" s="1352"/>
    </row>
    <row r="285" spans="72:79" x14ac:dyDescent="0.3">
      <c r="BT285" s="164" t="str">
        <f>IF(MAX(BU285:BU1364)&lt;ROW(209:209),"",VLOOKUP(ROW(209:209),BU285:BV1364,2))</f>
        <v/>
      </c>
      <c r="BU285" s="165" t="str">
        <f>IF(COUNTIF(BV$76:BV285,BV285)=1,MAX(BU$76:BU284)+1,"")</f>
        <v/>
      </c>
      <c r="BV285" s="1312">
        <v>150</v>
      </c>
      <c r="BW285" s="1312">
        <v>264</v>
      </c>
      <c r="BX285" s="1312">
        <v>285</v>
      </c>
      <c r="BY285">
        <v>320</v>
      </c>
      <c r="BZ285" s="1312" t="s">
        <v>1353</v>
      </c>
      <c r="CA285" s="1352"/>
    </row>
    <row r="286" spans="72:79" x14ac:dyDescent="0.3">
      <c r="BT286" s="164" t="str">
        <f>IF(MAX(BU286:BU1365)&lt;ROW(210:210),"",VLOOKUP(ROW(210:210),BU286:BV1365,2))</f>
        <v/>
      </c>
      <c r="BU286" s="165" t="str">
        <f>IF(COUNTIF(BV$76:BV286,BV286)=1,MAX(BU$76:BU285)+1,"")</f>
        <v/>
      </c>
      <c r="BV286" s="1312">
        <v>150</v>
      </c>
      <c r="BW286" s="1312">
        <v>320</v>
      </c>
      <c r="BX286" s="1312">
        <v>285</v>
      </c>
      <c r="BY286">
        <v>320</v>
      </c>
      <c r="BZ286" s="1312" t="s">
        <v>1352</v>
      </c>
      <c r="CA286" s="1352"/>
    </row>
    <row r="287" spans="72:79" x14ac:dyDescent="0.3">
      <c r="BT287" s="164" t="str">
        <f>IF(MAX(BU287:BU1366)&lt;ROW(211:211),"",VLOOKUP(ROW(211:211),BU287:BV1366,2))</f>
        <v/>
      </c>
      <c r="BU287" s="165" t="str">
        <f>IF(COUNTIF(BV$76:BV287,BV287)=1,MAX(BU$76:BU286)+1,"")</f>
        <v/>
      </c>
      <c r="BV287" s="1312">
        <v>150</v>
      </c>
      <c r="BW287" s="1312">
        <v>263</v>
      </c>
      <c r="BX287" s="1312">
        <v>285</v>
      </c>
      <c r="BY287">
        <v>320</v>
      </c>
      <c r="BZ287" s="1312" t="s">
        <v>1353</v>
      </c>
      <c r="CA287" s="1352"/>
    </row>
    <row r="288" spans="72:79" x14ac:dyDescent="0.3">
      <c r="BT288" s="164" t="str">
        <f>IF(MAX(BU288:BU1367)&lt;ROW(212:212),"",VLOOKUP(ROW(212:212),BU288:BV1367,2))</f>
        <v/>
      </c>
      <c r="BU288" s="165" t="str">
        <f>IF(COUNTIF(BV$76:BV288,BV288)=1,MAX(BU$76:BU287)+1,"")</f>
        <v/>
      </c>
      <c r="BV288" s="1312">
        <v>150</v>
      </c>
      <c r="BW288" s="1312">
        <v>265</v>
      </c>
      <c r="BX288" s="1312">
        <v>285</v>
      </c>
      <c r="BY288">
        <v>320</v>
      </c>
      <c r="BZ288" s="1312" t="s">
        <v>1353</v>
      </c>
      <c r="CA288" s="1352"/>
    </row>
    <row r="289" spans="72:79" x14ac:dyDescent="0.3">
      <c r="BT289" s="164" t="str">
        <f>IF(MAX(BU289:BU1368)&lt;ROW(213:213),"",VLOOKUP(ROW(213:213),BU289:BV1368,2))</f>
        <v/>
      </c>
      <c r="BU289" s="165" t="str">
        <f>IF(COUNTIF(BV$76:BV289,BV289)=1,MAX(BU$76:BU288)+1,"")</f>
        <v/>
      </c>
      <c r="BV289" s="1312">
        <v>150</v>
      </c>
      <c r="BW289" s="1312">
        <v>262</v>
      </c>
      <c r="BX289" s="1312">
        <v>285</v>
      </c>
      <c r="BY289">
        <v>320</v>
      </c>
      <c r="BZ289" s="1312" t="s">
        <v>1353</v>
      </c>
      <c r="CA289" s="1352"/>
    </row>
    <row r="290" spans="72:79" x14ac:dyDescent="0.3">
      <c r="BT290" s="164" t="str">
        <f>IF(MAX(BU290:BU1369)&lt;ROW(214:214),"",VLOOKUP(ROW(214:214),BU290:BV1369,2))</f>
        <v/>
      </c>
      <c r="BU290" s="165" t="str">
        <f>IF(COUNTIF(BV$76:BV290,BV290)=1,MAX(BU$76:BU289)+1,"")</f>
        <v/>
      </c>
      <c r="BV290" s="1312">
        <v>150</v>
      </c>
      <c r="BW290" s="1312">
        <v>320</v>
      </c>
      <c r="BX290" s="1312">
        <v>285</v>
      </c>
      <c r="BY290">
        <v>320</v>
      </c>
      <c r="BZ290" s="1312" t="s">
        <v>1352</v>
      </c>
      <c r="CA290" s="1352"/>
    </row>
    <row r="291" spans="72:79" x14ac:dyDescent="0.3">
      <c r="BT291" s="164" t="str">
        <f>IF(MAX(BU291:BU1370)&lt;ROW(215:215),"",VLOOKUP(ROW(215:215),BU291:BV1370,2))</f>
        <v/>
      </c>
      <c r="BU291" s="165" t="str">
        <f>IF(COUNTIF(BV$76:BV291,BV291)=1,MAX(BU$76:BU290)+1,"")</f>
        <v/>
      </c>
      <c r="BV291" s="1312">
        <v>150</v>
      </c>
      <c r="BW291" s="1312">
        <v>263</v>
      </c>
      <c r="BX291" s="1312">
        <v>285</v>
      </c>
      <c r="BY291">
        <v>320</v>
      </c>
      <c r="BZ291" s="1312" t="s">
        <v>1353</v>
      </c>
      <c r="CA291" s="1352"/>
    </row>
    <row r="292" spans="72:79" x14ac:dyDescent="0.3">
      <c r="BT292" s="164" t="str">
        <f>IF(MAX(BU292:BU1371)&lt;ROW(216:216),"",VLOOKUP(ROW(216:216),BU292:BV1371,2))</f>
        <v/>
      </c>
      <c r="BU292" s="165" t="str">
        <f>IF(COUNTIF(BV$76:BV292,BV292)=1,MAX(BU$76:BU291)+1,"")</f>
        <v/>
      </c>
      <c r="BV292" s="1312">
        <v>150</v>
      </c>
      <c r="BW292" s="1312">
        <v>265</v>
      </c>
      <c r="BX292" s="1312">
        <v>285</v>
      </c>
      <c r="BY292">
        <v>320</v>
      </c>
      <c r="BZ292" s="1312" t="s">
        <v>1353</v>
      </c>
      <c r="CA292" s="1352"/>
    </row>
    <row r="293" spans="72:79" x14ac:dyDescent="0.3">
      <c r="BT293" s="164" t="str">
        <f>IF(MAX(BU293:BU1372)&lt;ROW(217:217),"",VLOOKUP(ROW(217:217),BU293:BV1372,2))</f>
        <v/>
      </c>
      <c r="BU293" s="165">
        <f>IF(COUNTIF(BV$76:BV293,BV293)=1,MAX(BU$76:BU292)+1,"")</f>
        <v>27</v>
      </c>
      <c r="BV293" s="1312">
        <v>155</v>
      </c>
      <c r="BW293" s="1312">
        <v>265</v>
      </c>
      <c r="BX293" s="1312">
        <v>285</v>
      </c>
      <c r="BY293">
        <v>320</v>
      </c>
      <c r="BZ293" s="1312" t="s">
        <v>1354</v>
      </c>
      <c r="CA293" s="1352"/>
    </row>
    <row r="294" spans="72:79" x14ac:dyDescent="0.3">
      <c r="BT294" s="164" t="str">
        <f>IF(MAX(BU294:BU1373)&lt;ROW(218:218),"",VLOOKUP(ROW(218:218),BU294:BV1373,2))</f>
        <v/>
      </c>
      <c r="BU294" s="165" t="str">
        <f>IF(COUNTIF(BV$76:BV294,BV294)=1,MAX(BU$76:BU293)+1,"")</f>
        <v/>
      </c>
      <c r="BV294" s="1312">
        <v>155</v>
      </c>
      <c r="BW294" s="1312">
        <v>260</v>
      </c>
      <c r="BX294" s="1312">
        <v>185</v>
      </c>
      <c r="BY294">
        <v>320</v>
      </c>
      <c r="BZ294" s="1312" t="s">
        <v>1354</v>
      </c>
      <c r="CA294" s="1352"/>
    </row>
    <row r="295" spans="72:79" x14ac:dyDescent="0.3">
      <c r="BT295" s="164" t="str">
        <f>IF(MAX(BU295:BU1374)&lt;ROW(219:219),"",VLOOKUP(ROW(219:219),BU295:BV1374,2))</f>
        <v/>
      </c>
      <c r="BU295" s="165" t="str">
        <f>IF(COUNTIF(BV$76:BV295,BV295)=1,MAX(BU$76:BU294)+1,"")</f>
        <v/>
      </c>
      <c r="BV295" s="1312">
        <v>155</v>
      </c>
      <c r="BW295" s="1312">
        <v>265</v>
      </c>
      <c r="BX295" s="1312">
        <v>285</v>
      </c>
      <c r="BY295">
        <v>320</v>
      </c>
      <c r="BZ295" s="1312" t="s">
        <v>1354</v>
      </c>
      <c r="CA295" s="1352"/>
    </row>
    <row r="296" spans="72:79" x14ac:dyDescent="0.3">
      <c r="BT296" s="164" t="str">
        <f>IF(MAX(BU296:BU1375)&lt;ROW(220:220),"",VLOOKUP(ROW(220:220),BU296:BV1375,2))</f>
        <v/>
      </c>
      <c r="BU296" s="165" t="str">
        <f>IF(COUNTIF(BV$76:BV296,BV296)=1,MAX(BU$76:BU295)+1,"")</f>
        <v/>
      </c>
      <c r="BV296" s="1312">
        <v>155</v>
      </c>
      <c r="BW296" s="1312">
        <v>265</v>
      </c>
      <c r="BX296" s="1312">
        <v>285</v>
      </c>
      <c r="BY296">
        <v>320</v>
      </c>
      <c r="BZ296" s="1312" t="s">
        <v>1354</v>
      </c>
      <c r="CA296" s="1352"/>
    </row>
    <row r="297" spans="72:79" x14ac:dyDescent="0.3">
      <c r="BT297" s="164" t="str">
        <f>IF(MAX(BU297:BU1376)&lt;ROW(221:221),"",VLOOKUP(ROW(221:221),BU297:BV1376,2))</f>
        <v/>
      </c>
      <c r="BU297" s="165" t="str">
        <f>IF(COUNTIF(BV$76:BV297,BV297)=1,MAX(BU$76:BU296)+1,"")</f>
        <v/>
      </c>
      <c r="BV297" s="1312">
        <v>155</v>
      </c>
      <c r="BW297" s="1312">
        <v>260</v>
      </c>
      <c r="BX297" s="1312">
        <v>285</v>
      </c>
      <c r="BY297">
        <v>320</v>
      </c>
      <c r="BZ297" s="1312" t="s">
        <v>1354</v>
      </c>
      <c r="CA297" s="1352"/>
    </row>
    <row r="298" spans="72:79" x14ac:dyDescent="0.3">
      <c r="BT298" s="164" t="str">
        <f>IF(MAX(BU298:BU1377)&lt;ROW(222:222),"",VLOOKUP(ROW(222:222),BU298:BV1377,2))</f>
        <v/>
      </c>
      <c r="BU298" s="165" t="str">
        <f>IF(COUNTIF(BV$76:BV298,BV298)=1,MAX(BU$76:BU297)+1,"")</f>
        <v/>
      </c>
      <c r="BV298" s="1312">
        <v>155</v>
      </c>
      <c r="BW298" s="1312">
        <v>265</v>
      </c>
      <c r="BX298" s="1312">
        <v>285</v>
      </c>
      <c r="BY298">
        <v>320</v>
      </c>
      <c r="BZ298" s="1312" t="s">
        <v>1354</v>
      </c>
      <c r="CA298" s="1352"/>
    </row>
    <row r="299" spans="72:79" x14ac:dyDescent="0.3">
      <c r="BT299" s="164" t="str">
        <f>IF(MAX(BU299:BU1378)&lt;ROW(223:223),"",VLOOKUP(ROW(223:223),BU299:BV1378,2))</f>
        <v/>
      </c>
      <c r="BU299" s="165" t="str">
        <f>IF(COUNTIF(BV$76:BV299,BV299)=1,MAX(BU$76:BU298)+1,"")</f>
        <v/>
      </c>
      <c r="BV299" s="1312">
        <v>155</v>
      </c>
      <c r="BW299" s="1312">
        <v>265</v>
      </c>
      <c r="BX299" s="1312">
        <v>285</v>
      </c>
      <c r="BY299">
        <v>320</v>
      </c>
      <c r="BZ299" s="1312" t="s">
        <v>1354</v>
      </c>
      <c r="CA299" s="1352"/>
    </row>
    <row r="300" spans="72:79" x14ac:dyDescent="0.3">
      <c r="BT300" s="164" t="str">
        <f>IF(MAX(BU300:BU1379)&lt;ROW(224:224),"",VLOOKUP(ROW(224:224),BU300:BV1379,2))</f>
        <v/>
      </c>
      <c r="BU300" s="165" t="str">
        <f>IF(COUNTIF(BV$76:BV300,BV300)=1,MAX(BU$76:BU299)+1,"")</f>
        <v/>
      </c>
      <c r="BV300" s="1312">
        <v>155</v>
      </c>
      <c r="BW300" s="1312">
        <v>265</v>
      </c>
      <c r="BX300" s="1312">
        <v>285</v>
      </c>
      <c r="BY300">
        <v>320</v>
      </c>
      <c r="BZ300" s="1312" t="s">
        <v>1354</v>
      </c>
      <c r="CA300" s="1352"/>
    </row>
    <row r="301" spans="72:79" x14ac:dyDescent="0.3">
      <c r="BT301" s="164" t="str">
        <f>IF(MAX(BU301:BU1380)&lt;ROW(225:225),"",VLOOKUP(ROW(225:225),BU301:BV1380,2))</f>
        <v/>
      </c>
      <c r="BU301" s="165" t="str">
        <f>IF(COUNTIF(BV$76:BV301,BV301)=1,MAX(BU$76:BU300)+1,"")</f>
        <v/>
      </c>
      <c r="BV301" s="1312">
        <v>155</v>
      </c>
      <c r="BW301" s="1312">
        <v>264</v>
      </c>
      <c r="BX301" s="1312">
        <v>285</v>
      </c>
      <c r="BY301">
        <v>320</v>
      </c>
      <c r="BZ301" s="1312" t="s">
        <v>1354</v>
      </c>
      <c r="CA301" s="1352"/>
    </row>
    <row r="302" spans="72:79" x14ac:dyDescent="0.3">
      <c r="BT302" s="164" t="str">
        <f>IF(MAX(BU302:BU1381)&lt;ROW(226:226),"",VLOOKUP(ROW(226:226),BU302:BV1381,2))</f>
        <v/>
      </c>
      <c r="BU302" s="165">
        <f>IF(COUNTIF(BV$76:BV302,BV302)=1,MAX(BU$76:BU301)+1,"")</f>
        <v>28</v>
      </c>
      <c r="BV302" s="1312">
        <v>157.5</v>
      </c>
      <c r="BW302" s="1312">
        <v>260</v>
      </c>
      <c r="BX302" s="1312">
        <v>285</v>
      </c>
      <c r="BY302">
        <v>320</v>
      </c>
      <c r="BZ302" s="1312" t="s">
        <v>1355</v>
      </c>
      <c r="CA302" s="1352"/>
    </row>
    <row r="303" spans="72:79" x14ac:dyDescent="0.3">
      <c r="BT303" s="164" t="str">
        <f>IF(MAX(BU303:BU1382)&lt;ROW(227:227),"",VLOOKUP(ROW(227:227),BU303:BV1382,2))</f>
        <v/>
      </c>
      <c r="BU303" s="165" t="str">
        <f>IF(COUNTIF(BV$76:BV303,BV303)=1,MAX(BU$76:BU302)+1,"")</f>
        <v/>
      </c>
      <c r="BV303" s="1312">
        <v>157.5</v>
      </c>
      <c r="BW303" s="1312">
        <v>263</v>
      </c>
      <c r="BX303" s="1312">
        <v>285</v>
      </c>
      <c r="BY303">
        <v>320</v>
      </c>
      <c r="BZ303" s="1312" t="s">
        <v>1355</v>
      </c>
      <c r="CA303" s="1352"/>
    </row>
    <row r="304" spans="72:79" x14ac:dyDescent="0.3">
      <c r="BT304" s="164" t="str">
        <f>IF(MAX(BU304:BU1383)&lt;ROW(228:228),"",VLOOKUP(ROW(228:228),BU304:BV1383,2))</f>
        <v/>
      </c>
      <c r="BU304" s="165" t="str">
        <f>IF(COUNTIF(BV$76:BV304,BV304)=1,MAX(BU$76:BU303)+1,"")</f>
        <v/>
      </c>
      <c r="BV304" s="1312">
        <v>157.5</v>
      </c>
      <c r="BW304" s="1312">
        <v>265</v>
      </c>
      <c r="BX304" s="1312">
        <v>285</v>
      </c>
      <c r="BY304">
        <v>320</v>
      </c>
      <c r="BZ304" s="1312" t="s">
        <v>1355</v>
      </c>
      <c r="CA304" s="1352"/>
    </row>
    <row r="305" spans="72:79" x14ac:dyDescent="0.3">
      <c r="BT305" s="164" t="str">
        <f>IF(MAX(BU305:BU1384)&lt;ROW(229:229),"",VLOOKUP(ROW(229:229),BU305:BV1384,2))</f>
        <v/>
      </c>
      <c r="BU305" s="165">
        <f>IF(COUNTIF(BV$76:BV305,BV305)=1,MAX(BU$76:BU304)+1,"")</f>
        <v>29</v>
      </c>
      <c r="BV305" s="1312">
        <v>160</v>
      </c>
      <c r="BW305" s="1312">
        <v>265</v>
      </c>
      <c r="BX305" s="1312">
        <v>285</v>
      </c>
      <c r="BY305">
        <v>320</v>
      </c>
      <c r="BZ305" s="1312" t="s">
        <v>1356</v>
      </c>
      <c r="CA305" s="1352"/>
    </row>
    <row r="306" spans="72:79" x14ac:dyDescent="0.3">
      <c r="BT306" s="164" t="str">
        <f>IF(MAX(BU306:BU1385)&lt;ROW(230:230),"",VLOOKUP(ROW(230:230),BU306:BV1385,2))</f>
        <v/>
      </c>
      <c r="BU306" s="165" t="str">
        <f>IF(COUNTIF(BV$76:BV306,BV306)=1,MAX(BU$76:BU305)+1,"")</f>
        <v/>
      </c>
      <c r="BV306" s="1312">
        <v>160</v>
      </c>
      <c r="BW306" s="1312">
        <v>265</v>
      </c>
      <c r="BX306" s="1312">
        <v>285</v>
      </c>
      <c r="BY306">
        <v>320</v>
      </c>
      <c r="BZ306" s="1312" t="s">
        <v>1356</v>
      </c>
      <c r="CA306" s="1352"/>
    </row>
    <row r="307" spans="72:79" x14ac:dyDescent="0.3">
      <c r="BT307" s="164" t="str">
        <f>IF(MAX(BU307:BU1386)&lt;ROW(231:231),"",VLOOKUP(ROW(231:231),BU307:BV1386,2))</f>
        <v/>
      </c>
      <c r="BU307" s="165" t="str">
        <f>IF(COUNTIF(BV$76:BV307,BV307)=1,MAX(BU$76:BU306)+1,"")</f>
        <v/>
      </c>
      <c r="BV307" s="1312">
        <v>160</v>
      </c>
      <c r="BW307" s="1312">
        <v>256</v>
      </c>
      <c r="BX307" s="1312">
        <v>285</v>
      </c>
      <c r="BY307">
        <v>320</v>
      </c>
      <c r="BZ307" s="1312" t="s">
        <v>1356</v>
      </c>
      <c r="CA307" s="1352"/>
    </row>
    <row r="308" spans="72:79" x14ac:dyDescent="0.3">
      <c r="BT308" s="164" t="str">
        <f>IF(MAX(BU308:BU1387)&lt;ROW(232:232),"",VLOOKUP(ROW(232:232),BU308:BV1387,2))</f>
        <v/>
      </c>
      <c r="BU308" s="165" t="str">
        <f>IF(COUNTIF(BV$76:BV308,BV308)=1,MAX(BU$76:BU307)+1,"")</f>
        <v/>
      </c>
      <c r="BV308" s="1312">
        <v>160</v>
      </c>
      <c r="BW308" s="1312">
        <v>260</v>
      </c>
      <c r="BX308" s="1312">
        <v>285</v>
      </c>
      <c r="BY308">
        <v>320</v>
      </c>
      <c r="BZ308" s="1312" t="s">
        <v>1356</v>
      </c>
      <c r="CA308" s="1352"/>
    </row>
    <row r="309" spans="72:79" x14ac:dyDescent="0.3">
      <c r="BT309" s="164" t="str">
        <f>IF(MAX(BU309:BU1388)&lt;ROW(233:233),"",VLOOKUP(ROW(233:233),BU309:BV1388,2))</f>
        <v/>
      </c>
      <c r="BU309" s="165" t="str">
        <f>IF(COUNTIF(BV$76:BV309,BV309)=1,MAX(BU$76:BU308)+1,"")</f>
        <v/>
      </c>
      <c r="BV309" s="1312">
        <v>160</v>
      </c>
      <c r="BW309" s="1312">
        <v>380</v>
      </c>
      <c r="BX309" s="1312">
        <v>285</v>
      </c>
      <c r="BY309">
        <v>320</v>
      </c>
      <c r="BZ309" s="1312" t="s">
        <v>1357</v>
      </c>
      <c r="CA309" s="1352"/>
    </row>
    <row r="310" spans="72:79" x14ac:dyDescent="0.3">
      <c r="BT310" s="164" t="str">
        <f>IF(MAX(BU310:BU1389)&lt;ROW(234:234),"",VLOOKUP(ROW(234:234),BU310:BV1389,2))</f>
        <v/>
      </c>
      <c r="BU310" s="165" t="str">
        <f>IF(COUNTIF(BV$76:BV310,BV310)=1,MAX(BU$76:BU309)+1,"")</f>
        <v/>
      </c>
      <c r="BV310" s="1312">
        <v>160</v>
      </c>
      <c r="BW310" s="1312">
        <v>380</v>
      </c>
      <c r="BX310" s="1312">
        <v>285</v>
      </c>
      <c r="BY310">
        <v>320</v>
      </c>
      <c r="BZ310" s="1312" t="s">
        <v>1357</v>
      </c>
      <c r="CA310" s="1352"/>
    </row>
    <row r="311" spans="72:79" x14ac:dyDescent="0.3">
      <c r="BT311" s="164" t="str">
        <f>IF(MAX(BU311:BU1390)&lt;ROW(235:235),"",VLOOKUP(ROW(235:235),BU311:BV1390,2))</f>
        <v/>
      </c>
      <c r="BU311" s="165">
        <f>IF(COUNTIF(BV$76:BV311,BV311)=1,MAX(BU$76:BU310)+1,"")</f>
        <v>30</v>
      </c>
      <c r="BV311" s="1312">
        <v>162.5</v>
      </c>
      <c r="BW311" s="1312">
        <v>265</v>
      </c>
      <c r="BX311" s="1312">
        <v>285</v>
      </c>
      <c r="BY311">
        <v>320</v>
      </c>
      <c r="BZ311" s="1312" t="s">
        <v>1358</v>
      </c>
      <c r="CA311" s="1352"/>
    </row>
    <row r="312" spans="72:79" x14ac:dyDescent="0.3">
      <c r="BT312" s="164" t="str">
        <f>IF(MAX(BU312:BU1391)&lt;ROW(236:236),"",VLOOKUP(ROW(236:236),BU312:BV1391,2))</f>
        <v/>
      </c>
      <c r="BU312" s="165" t="str">
        <f>IF(COUNTIF(BV$76:BV312,BV312)=1,MAX(BU$76:BU311)+1,"")</f>
        <v/>
      </c>
      <c r="BV312" s="1312">
        <v>162.5</v>
      </c>
      <c r="BW312" s="1312">
        <v>318</v>
      </c>
      <c r="BX312" s="1312">
        <v>285</v>
      </c>
      <c r="BY312">
        <v>320</v>
      </c>
      <c r="BZ312" s="1312" t="s">
        <v>1359</v>
      </c>
      <c r="CA312" s="1352"/>
    </row>
    <row r="313" spans="72:79" x14ac:dyDescent="0.3">
      <c r="BT313" s="164" t="str">
        <f>IF(MAX(BU313:BU1392)&lt;ROW(237:237),"",VLOOKUP(ROW(237:237),BU313:BV1392,2))</f>
        <v/>
      </c>
      <c r="BU313" s="165" t="str">
        <f>IF(COUNTIF(BV$76:BV313,BV313)=1,MAX(BU$76:BU312)+1,"")</f>
        <v/>
      </c>
      <c r="BV313" s="1312">
        <v>162.5</v>
      </c>
      <c r="BW313" s="1312">
        <v>260</v>
      </c>
      <c r="BX313" s="1312">
        <v>285</v>
      </c>
      <c r="BY313">
        <v>320</v>
      </c>
      <c r="BZ313" s="1312" t="s">
        <v>1358</v>
      </c>
      <c r="CA313" s="1352"/>
    </row>
    <row r="314" spans="72:79" x14ac:dyDescent="0.3">
      <c r="BT314" s="164" t="str">
        <f>IF(MAX(BU314:BU1393)&lt;ROW(238:238),"",VLOOKUP(ROW(238:238),BU314:BV1393,2))</f>
        <v/>
      </c>
      <c r="BU314" s="165" t="str">
        <f>IF(COUNTIF(BV$76:BV314,BV314)=1,MAX(BU$76:BU313)+1,"")</f>
        <v/>
      </c>
      <c r="BV314" s="1312">
        <v>162.5</v>
      </c>
      <c r="BW314" s="1312">
        <v>265</v>
      </c>
      <c r="BX314" s="1312">
        <v>285</v>
      </c>
      <c r="BY314">
        <v>320</v>
      </c>
      <c r="BZ314" s="1312" t="s">
        <v>1358</v>
      </c>
      <c r="CA314" s="1352"/>
    </row>
    <row r="315" spans="72:79" x14ac:dyDescent="0.3">
      <c r="BT315" s="164" t="str">
        <f>IF(MAX(BU315:BU1394)&lt;ROW(239:239),"",VLOOKUP(ROW(239:239),BU315:BV1394,2))</f>
        <v/>
      </c>
      <c r="BU315" s="165" t="str">
        <f>IF(COUNTIF(BV$76:BV315,BV315)=1,MAX(BU$76:BU314)+1,"")</f>
        <v/>
      </c>
      <c r="BV315" s="1312">
        <v>162.5</v>
      </c>
      <c r="BW315" s="1312">
        <v>275</v>
      </c>
      <c r="BX315" s="1312">
        <v>285</v>
      </c>
      <c r="BY315">
        <v>320</v>
      </c>
      <c r="BZ315" s="1312" t="s">
        <v>1358</v>
      </c>
      <c r="CA315" s="1352"/>
    </row>
    <row r="316" spans="72:79" x14ac:dyDescent="0.3">
      <c r="BT316" s="164" t="str">
        <f>IF(MAX(BU316:BU1395)&lt;ROW(240:240),"",VLOOKUP(ROW(240:240),BU316:BV1395,2))</f>
        <v/>
      </c>
      <c r="BU316" s="165">
        <f>IF(COUNTIF(BV$76:BV316,BV316)=1,MAX(BU$76:BU315)+1,"")</f>
        <v>31</v>
      </c>
      <c r="BV316" s="1312">
        <v>165</v>
      </c>
      <c r="BW316" s="1312">
        <v>265</v>
      </c>
      <c r="BX316" s="1312">
        <v>285</v>
      </c>
      <c r="BY316">
        <v>320</v>
      </c>
      <c r="BZ316" s="1312" t="s">
        <v>1360</v>
      </c>
      <c r="CA316" s="1352"/>
    </row>
    <row r="317" spans="72:79" x14ac:dyDescent="0.3">
      <c r="BT317" s="164" t="str">
        <f>IF(MAX(BU317:BU1396)&lt;ROW(241:241),"",VLOOKUP(ROW(241:241),BU317:BV1396,2))</f>
        <v/>
      </c>
      <c r="BU317" s="165" t="str">
        <f>IF(COUNTIF(BV$76:BV317,BV317)=1,MAX(BU$76:BU316)+1,"")</f>
        <v/>
      </c>
      <c r="BV317" s="1312">
        <v>165</v>
      </c>
      <c r="BW317" s="1312">
        <v>260</v>
      </c>
      <c r="BX317" s="1312">
        <v>285</v>
      </c>
      <c r="BY317">
        <v>320</v>
      </c>
      <c r="BZ317" s="1312" t="s">
        <v>1360</v>
      </c>
      <c r="CA317" s="1352"/>
    </row>
    <row r="318" spans="72:79" x14ac:dyDescent="0.3">
      <c r="BT318" s="164" t="str">
        <f>IF(MAX(BU318:BU1397)&lt;ROW(242:242),"",VLOOKUP(ROW(242:242),BU318:BV1397,2))</f>
        <v/>
      </c>
      <c r="BU318" s="165" t="str">
        <f>IF(COUNTIF(BV$76:BV318,BV318)=1,MAX(BU$76:BU317)+1,"")</f>
        <v/>
      </c>
      <c r="BV318" s="1312">
        <v>165</v>
      </c>
      <c r="BW318" s="1312">
        <v>320</v>
      </c>
      <c r="BX318" s="1312">
        <v>285</v>
      </c>
      <c r="BY318">
        <v>320</v>
      </c>
      <c r="BZ318" s="1312" t="s">
        <v>1361</v>
      </c>
      <c r="CA318" s="1352"/>
    </row>
    <row r="319" spans="72:79" x14ac:dyDescent="0.3">
      <c r="BT319" s="164" t="str">
        <f>IF(MAX(BU319:BU1398)&lt;ROW(243:243),"",VLOOKUP(ROW(243:243),BU319:BV1398,2))</f>
        <v/>
      </c>
      <c r="BU319" s="165" t="str">
        <f>IF(COUNTIF(BV$76:BV319,BV319)=1,MAX(BU$76:BU318)+1,"")</f>
        <v/>
      </c>
      <c r="BV319" s="1312">
        <v>165</v>
      </c>
      <c r="BW319" s="1312">
        <v>265</v>
      </c>
      <c r="BX319" s="1312">
        <v>285</v>
      </c>
      <c r="BY319">
        <v>320</v>
      </c>
      <c r="BZ319" s="1312" t="s">
        <v>1360</v>
      </c>
      <c r="CA319" s="1352"/>
    </row>
    <row r="320" spans="72:79" x14ac:dyDescent="0.3">
      <c r="BT320" s="164" t="str">
        <f>IF(MAX(BU320:BU1399)&lt;ROW(244:244),"",VLOOKUP(ROW(244:244),BU320:BV1399,2))</f>
        <v/>
      </c>
      <c r="BU320" s="165" t="str">
        <f>IF(COUNTIF(BV$76:BV320,BV320)=1,MAX(BU$76:BU319)+1,"")</f>
        <v/>
      </c>
      <c r="BV320" s="1312">
        <v>165</v>
      </c>
      <c r="BW320" s="1312">
        <v>265</v>
      </c>
      <c r="BX320" s="1312">
        <v>285</v>
      </c>
      <c r="BY320">
        <v>320</v>
      </c>
      <c r="BZ320" s="1312" t="s">
        <v>1360</v>
      </c>
      <c r="CA320" s="1352"/>
    </row>
    <row r="321" spans="72:79" x14ac:dyDescent="0.3">
      <c r="BT321" s="164" t="str">
        <f>IF(MAX(BU321:BU1400)&lt;ROW(245:245),"",VLOOKUP(ROW(245:245),BU321:BV1400,2))</f>
        <v/>
      </c>
      <c r="BU321" s="165" t="str">
        <f>IF(COUNTIF(BV$76:BV321,BV321)=1,MAX(BU$76:BU320)+1,"")</f>
        <v/>
      </c>
      <c r="BV321" s="1312">
        <v>165</v>
      </c>
      <c r="BW321" s="1312">
        <v>263</v>
      </c>
      <c r="BX321" s="1312">
        <v>285</v>
      </c>
      <c r="BY321">
        <v>320</v>
      </c>
      <c r="BZ321" s="1312" t="s">
        <v>1360</v>
      </c>
      <c r="CA321" s="1352"/>
    </row>
    <row r="322" spans="72:79" x14ac:dyDescent="0.3">
      <c r="BT322" s="164" t="str">
        <f>IF(MAX(BU322:BU1401)&lt;ROW(246:246),"",VLOOKUP(ROW(246:246),BU322:BV1401,2))</f>
        <v/>
      </c>
      <c r="BU322" s="165">
        <f>IF(COUNTIF(BV$76:BV322,BV322)=1,MAX(BU$76:BU321)+1,"")</f>
        <v>32</v>
      </c>
      <c r="BV322" s="1312">
        <v>167.5</v>
      </c>
      <c r="BW322" s="1312">
        <v>262</v>
      </c>
      <c r="BX322" s="1312">
        <v>285</v>
      </c>
      <c r="BY322">
        <v>320</v>
      </c>
      <c r="BZ322" s="1312" t="s">
        <v>1362</v>
      </c>
      <c r="CA322" s="1352"/>
    </row>
    <row r="323" spans="72:79" x14ac:dyDescent="0.3">
      <c r="BT323" s="164" t="str">
        <f>IF(MAX(BU323:BU1402)&lt;ROW(247:247),"",VLOOKUP(ROW(247:247),BU323:BV1402,2))</f>
        <v/>
      </c>
      <c r="BU323" s="165" t="str">
        <f>IF(COUNTIF(BV$76:BV323,BV323)=1,MAX(BU$76:BU322)+1,"")</f>
        <v/>
      </c>
      <c r="BV323" s="1312">
        <v>167.5</v>
      </c>
      <c r="BW323" s="1312">
        <v>263</v>
      </c>
      <c r="BX323" s="1312">
        <v>285</v>
      </c>
      <c r="BY323">
        <v>320</v>
      </c>
      <c r="BZ323" s="1312" t="s">
        <v>1362</v>
      </c>
      <c r="CA323" s="1352"/>
    </row>
    <row r="324" spans="72:79" x14ac:dyDescent="0.3">
      <c r="BT324" s="164" t="str">
        <f>IF(MAX(BU324:BU1403)&lt;ROW(248:248),"",VLOOKUP(ROW(248:248),BU324:BV1403,2))</f>
        <v/>
      </c>
      <c r="BU324" s="165" t="str">
        <f>IF(COUNTIF(BV$76:BV324,BV324)=1,MAX(BU$76:BU323)+1,"")</f>
        <v/>
      </c>
      <c r="BV324" s="1312">
        <v>167.5</v>
      </c>
      <c r="BW324" s="1312">
        <v>263</v>
      </c>
      <c r="BX324" s="1312">
        <v>285</v>
      </c>
      <c r="BY324">
        <v>320</v>
      </c>
      <c r="BZ324" s="1312" t="s">
        <v>1362</v>
      </c>
      <c r="CA324" s="1352"/>
    </row>
    <row r="325" spans="72:79" x14ac:dyDescent="0.3">
      <c r="BT325" s="164" t="str">
        <f>IF(MAX(BU325:BU1404)&lt;ROW(249:249),"",VLOOKUP(ROW(249:249),BU325:BV1404,2))</f>
        <v/>
      </c>
      <c r="BU325" s="165" t="str">
        <f>IF(COUNTIF(BV$76:BV325,BV325)=1,MAX(BU$76:BU324)+1,"")</f>
        <v/>
      </c>
      <c r="BV325" s="1312">
        <v>167.5</v>
      </c>
      <c r="BW325" s="1312">
        <v>265</v>
      </c>
      <c r="BX325" s="1312">
        <v>285</v>
      </c>
      <c r="BY325">
        <v>320</v>
      </c>
      <c r="BZ325" s="1312" t="s">
        <v>1362</v>
      </c>
      <c r="CA325" s="1352"/>
    </row>
    <row r="326" spans="72:79" x14ac:dyDescent="0.3">
      <c r="BT326" s="164" t="str">
        <f>IF(MAX(BU326:BU1405)&lt;ROW(250:250),"",VLOOKUP(ROW(250:250),BU326:BV1405,2))</f>
        <v/>
      </c>
      <c r="BU326" s="165" t="str">
        <f>IF(COUNTIF(BV$76:BV326,BV326)=1,MAX(BU$76:BU325)+1,"")</f>
        <v/>
      </c>
      <c r="BV326" s="1312">
        <v>167.5</v>
      </c>
      <c r="BW326" s="1312">
        <v>255</v>
      </c>
      <c r="BX326" s="1312">
        <v>285</v>
      </c>
      <c r="BY326">
        <v>320</v>
      </c>
      <c r="BZ326" s="1312" t="s">
        <v>1362</v>
      </c>
      <c r="CA326" s="1352"/>
    </row>
    <row r="327" spans="72:79" x14ac:dyDescent="0.3">
      <c r="BT327" s="164" t="str">
        <f>IF(MAX(BU327:BU1406)&lt;ROW(251:251),"",VLOOKUP(ROW(251:251),BU327:BV1406,2))</f>
        <v/>
      </c>
      <c r="BU327" s="165" t="str">
        <f>IF(COUNTIF(BV$76:BV327,BV327)=1,MAX(BU$76:BU326)+1,"")</f>
        <v/>
      </c>
      <c r="BV327" s="1312">
        <v>167.5</v>
      </c>
      <c r="BW327" s="1312">
        <v>262</v>
      </c>
      <c r="BX327" s="1312">
        <v>285</v>
      </c>
      <c r="BY327">
        <v>320</v>
      </c>
      <c r="BZ327" s="1312" t="s">
        <v>1362</v>
      </c>
      <c r="CA327" s="1352"/>
    </row>
    <row r="328" spans="72:79" x14ac:dyDescent="0.3">
      <c r="BT328" s="164" t="str">
        <f>IF(MAX(BU328:BU1407)&lt;ROW(252:252),"",VLOOKUP(ROW(252:252),BU328:BV1407,2))</f>
        <v/>
      </c>
      <c r="BU328" s="165" t="str">
        <f>IF(COUNTIF(BV$76:BV328,BV328)=1,MAX(BU$76:BU327)+1,"")</f>
        <v/>
      </c>
      <c r="BV328" s="1312">
        <v>167.5</v>
      </c>
      <c r="BW328" s="1312">
        <v>262</v>
      </c>
      <c r="BX328" s="1312">
        <v>285</v>
      </c>
      <c r="BY328">
        <v>320</v>
      </c>
      <c r="BZ328" s="1312" t="s">
        <v>1362</v>
      </c>
      <c r="CA328" s="1352"/>
    </row>
    <row r="329" spans="72:79" x14ac:dyDescent="0.3">
      <c r="BT329" s="164" t="str">
        <f>IF(MAX(BU329:BU1408)&lt;ROW(253:253),"",VLOOKUP(ROW(253:253),BU329:BV1408,2))</f>
        <v/>
      </c>
      <c r="BU329" s="165" t="str">
        <f>IF(COUNTIF(BV$76:BV329,BV329)=1,MAX(BU$76:BU328)+1,"")</f>
        <v/>
      </c>
      <c r="BV329" s="1312">
        <v>167.5</v>
      </c>
      <c r="BW329" s="1312">
        <v>260</v>
      </c>
      <c r="BX329" s="1312">
        <v>285</v>
      </c>
      <c r="BY329">
        <v>320</v>
      </c>
      <c r="BZ329" s="1312" t="s">
        <v>1362</v>
      </c>
      <c r="CA329" s="1352"/>
    </row>
    <row r="330" spans="72:79" x14ac:dyDescent="0.3">
      <c r="BT330" s="164" t="str">
        <f>IF(MAX(BU330:BU1409)&lt;ROW(254:254),"",VLOOKUP(ROW(254:254),BU330:BV1409,2))</f>
        <v/>
      </c>
      <c r="BU330" s="165">
        <f>IF(COUNTIF(BV$76:BV330,BV330)=1,MAX(BU$76:BU329)+1,"")</f>
        <v>33</v>
      </c>
      <c r="BV330" s="1312">
        <v>170</v>
      </c>
      <c r="BW330" s="1312">
        <v>265</v>
      </c>
      <c r="BX330" s="1312">
        <v>285</v>
      </c>
      <c r="BY330">
        <v>320</v>
      </c>
      <c r="BZ330" s="1312" t="s">
        <v>1363</v>
      </c>
      <c r="CA330" s="1352"/>
    </row>
    <row r="331" spans="72:79" x14ac:dyDescent="0.3">
      <c r="BT331" s="164" t="str">
        <f>IF(MAX(BU331:BU1410)&lt;ROW(255:255),"",VLOOKUP(ROW(255:255),BU331:BV1410,2))</f>
        <v/>
      </c>
      <c r="BU331" s="165" t="str">
        <f>IF(COUNTIF(BV$76:BV331,BV331)=1,MAX(BU$76:BU330)+1,"")</f>
        <v/>
      </c>
      <c r="BV331" s="1312">
        <v>170</v>
      </c>
      <c r="BW331" s="1312">
        <v>320</v>
      </c>
      <c r="BX331" s="1312">
        <v>285</v>
      </c>
      <c r="BY331">
        <v>320</v>
      </c>
      <c r="BZ331" s="1312" t="s">
        <v>1364</v>
      </c>
      <c r="CA331" s="1352"/>
    </row>
    <row r="332" spans="72:79" x14ac:dyDescent="0.3">
      <c r="BT332" s="164" t="str">
        <f>IF(MAX(BU332:BU1411)&lt;ROW(256:256),"",VLOOKUP(ROW(256:256),BU332:BV1411,2))</f>
        <v/>
      </c>
      <c r="BU332" s="165" t="str">
        <f>IF(COUNTIF(BV$76:BV332,BV332)=1,MAX(BU$76:BU331)+1,"")</f>
        <v/>
      </c>
      <c r="BV332" s="1312">
        <v>170</v>
      </c>
      <c r="BW332" s="1312">
        <v>265</v>
      </c>
      <c r="BX332" s="1312">
        <v>285</v>
      </c>
      <c r="BY332">
        <v>320</v>
      </c>
      <c r="BZ332" s="1312" t="s">
        <v>1363</v>
      </c>
      <c r="CA332" s="1352"/>
    </row>
    <row r="333" spans="72:79" x14ac:dyDescent="0.3">
      <c r="BT333" s="164" t="str">
        <f>IF(MAX(BU333:BU1412)&lt;ROW(257:257),"",VLOOKUP(ROW(257:257),BU333:BV1412,2))</f>
        <v/>
      </c>
      <c r="BU333" s="165" t="str">
        <f>IF(COUNTIF(BV$76:BV333,BV333)=1,MAX(BU$76:BU332)+1,"")</f>
        <v/>
      </c>
      <c r="BV333" s="1312">
        <v>170</v>
      </c>
      <c r="BW333" s="1312">
        <v>377</v>
      </c>
      <c r="BX333" s="1312">
        <v>285</v>
      </c>
      <c r="BY333">
        <v>320</v>
      </c>
      <c r="BZ333" s="1312" t="s">
        <v>1365</v>
      </c>
      <c r="CA333" s="1352"/>
    </row>
    <row r="334" spans="72:79" x14ac:dyDescent="0.3">
      <c r="BT334" s="164" t="str">
        <f>IF(MAX(BU334:BU1413)&lt;ROW(258:258),"",VLOOKUP(ROW(258:258),BU334:BV1413,2))</f>
        <v/>
      </c>
      <c r="BU334" s="165" t="str">
        <f>IF(COUNTIF(BV$76:BV334,BV334)=1,MAX(BU$76:BU333)+1,"")</f>
        <v/>
      </c>
      <c r="BV334" s="1312">
        <v>170</v>
      </c>
      <c r="BW334" s="1312">
        <v>265</v>
      </c>
      <c r="BX334" s="1312">
        <v>285</v>
      </c>
      <c r="BY334">
        <v>320</v>
      </c>
      <c r="BZ334" s="1312" t="s">
        <v>1363</v>
      </c>
      <c r="CA334" s="1352"/>
    </row>
    <row r="335" spans="72:79" x14ac:dyDescent="0.3">
      <c r="BT335" s="164" t="str">
        <f>IF(MAX(BU335:BU1414)&lt;ROW(259:259),"",VLOOKUP(ROW(259:259),BU335:BV1414,2))</f>
        <v/>
      </c>
      <c r="BU335" s="165" t="str">
        <f>IF(COUNTIF(BV$76:BV335,BV335)=1,MAX(BU$76:BU334)+1,"")</f>
        <v/>
      </c>
      <c r="BV335" s="1312">
        <v>170</v>
      </c>
      <c r="BW335" s="1312">
        <v>317</v>
      </c>
      <c r="BX335" s="1312">
        <v>285</v>
      </c>
      <c r="BY335">
        <v>320</v>
      </c>
      <c r="BZ335" s="1312" t="s">
        <v>1364</v>
      </c>
      <c r="CA335" s="1352"/>
    </row>
    <row r="336" spans="72:79" x14ac:dyDescent="0.3">
      <c r="BU336" s="165" t="str">
        <f>IF(COUNTIF(BV$76:BV336,BV336)=1,MAX(BU$76:BU335)+1,"")</f>
        <v/>
      </c>
      <c r="BV336" s="1312">
        <v>170</v>
      </c>
      <c r="BW336" s="1312">
        <v>320</v>
      </c>
      <c r="BX336" s="1312">
        <v>285</v>
      </c>
      <c r="BY336">
        <v>320</v>
      </c>
      <c r="BZ336" s="1312" t="s">
        <v>1364</v>
      </c>
      <c r="CA336" s="1352"/>
    </row>
    <row r="337" spans="73:79" x14ac:dyDescent="0.3">
      <c r="BU337" s="165" t="str">
        <f>IF(COUNTIF(BV$76:BV337,BV337)=1,MAX(BU$76:BU336)+1,"")</f>
        <v/>
      </c>
      <c r="BV337" s="1312">
        <v>170</v>
      </c>
      <c r="BW337" s="1312">
        <v>260</v>
      </c>
      <c r="BX337" s="1312">
        <v>285</v>
      </c>
      <c r="BY337">
        <v>320</v>
      </c>
      <c r="BZ337" s="1312" t="s">
        <v>1363</v>
      </c>
      <c r="CA337" s="1352"/>
    </row>
    <row r="338" spans="73:79" x14ac:dyDescent="0.3">
      <c r="BU338" s="165">
        <f>IF(COUNTIF(BV$76:BV338,BV338)=1,MAX(BU$76:BU337)+1,"")</f>
        <v>34</v>
      </c>
      <c r="BV338" s="1312">
        <v>172.5</v>
      </c>
      <c r="BW338" s="1312">
        <v>265</v>
      </c>
      <c r="BX338" s="1312">
        <v>285</v>
      </c>
      <c r="BY338">
        <v>320</v>
      </c>
      <c r="BZ338" s="1312" t="s">
        <v>1366</v>
      </c>
      <c r="CA338" s="1352"/>
    </row>
    <row r="339" spans="73:79" x14ac:dyDescent="0.3">
      <c r="BU339" s="165" t="str">
        <f>IF(COUNTIF(BV$76:BV339,BV339)=1,MAX(BU$76:BU338)+1,"")</f>
        <v/>
      </c>
      <c r="BV339" s="1312">
        <v>172.5</v>
      </c>
      <c r="BW339" s="1312">
        <v>278</v>
      </c>
      <c r="BX339" s="1312">
        <v>285</v>
      </c>
      <c r="BY339">
        <v>320</v>
      </c>
      <c r="BZ339" s="1312" t="s">
        <v>1366</v>
      </c>
      <c r="CA339" s="1352"/>
    </row>
    <row r="340" spans="73:79" x14ac:dyDescent="0.3">
      <c r="BU340" s="165" t="str">
        <f>IF(COUNTIF(BV$76:BV340,BV340)=1,MAX(BU$76:BU339)+1,"")</f>
        <v/>
      </c>
      <c r="BV340" s="1312">
        <v>172.5</v>
      </c>
      <c r="BW340" s="1312">
        <v>377</v>
      </c>
      <c r="BX340" s="1312">
        <v>285</v>
      </c>
      <c r="BY340">
        <v>320</v>
      </c>
      <c r="BZ340" s="1312" t="s">
        <v>1367</v>
      </c>
      <c r="CA340" s="1352"/>
    </row>
    <row r="341" spans="73:79" x14ac:dyDescent="0.3">
      <c r="BU341" s="165" t="str">
        <f>IF(COUNTIF(BV$76:BV341,BV341)=1,MAX(BU$76:BU340)+1,"")</f>
        <v/>
      </c>
      <c r="BV341" s="1312">
        <v>172.5</v>
      </c>
      <c r="BW341" s="1312">
        <v>265</v>
      </c>
      <c r="BX341" s="1312">
        <v>285</v>
      </c>
      <c r="BY341">
        <v>320</v>
      </c>
      <c r="BZ341" s="1312" t="s">
        <v>1366</v>
      </c>
      <c r="CA341" s="1352"/>
    </row>
    <row r="342" spans="73:79" x14ac:dyDescent="0.3">
      <c r="BU342" s="165">
        <f>IF(COUNTIF(BV$76:BV342,BV342)=1,MAX(BU$76:BU341)+1,"")</f>
        <v>35</v>
      </c>
      <c r="BV342" s="1312">
        <v>175</v>
      </c>
      <c r="BW342" s="1312">
        <v>260</v>
      </c>
      <c r="BX342" s="1312">
        <v>285</v>
      </c>
      <c r="BY342">
        <v>320</v>
      </c>
      <c r="BZ342" s="1312" t="s">
        <v>1368</v>
      </c>
      <c r="CA342" s="1352"/>
    </row>
    <row r="343" spans="73:79" x14ac:dyDescent="0.3">
      <c r="BU343" s="165" t="str">
        <f>IF(COUNTIF(BV$76:BV343,BV343)=1,MAX(BU$76:BU342)+1,"")</f>
        <v/>
      </c>
      <c r="BV343" s="1312">
        <v>175</v>
      </c>
      <c r="BW343" s="1312">
        <v>265</v>
      </c>
      <c r="BX343" s="1312">
        <v>285</v>
      </c>
      <c r="BY343">
        <v>320</v>
      </c>
      <c r="BZ343" s="1312" t="s">
        <v>1368</v>
      </c>
      <c r="CA343" s="1352"/>
    </row>
    <row r="344" spans="73:79" x14ac:dyDescent="0.3">
      <c r="BU344" s="165" t="str">
        <f>IF(COUNTIF(BV$76:BV344,BV344)=1,MAX(BU$76:BU343)+1,"")</f>
        <v/>
      </c>
      <c r="BV344" s="1312">
        <v>175</v>
      </c>
      <c r="BW344" s="1312">
        <v>260</v>
      </c>
      <c r="BX344" s="1312">
        <v>360</v>
      </c>
      <c r="BY344">
        <v>320</v>
      </c>
      <c r="BZ344" s="1312" t="s">
        <v>1368</v>
      </c>
      <c r="CA344" s="1352"/>
    </row>
    <row r="345" spans="73:79" x14ac:dyDescent="0.3">
      <c r="BU345" s="165" t="str">
        <f>IF(COUNTIF(BV$76:BV345,BV345)=1,MAX(BU$76:BU344)+1,"")</f>
        <v/>
      </c>
      <c r="BV345" s="1312">
        <v>175</v>
      </c>
      <c r="BW345" s="1312">
        <v>260</v>
      </c>
      <c r="BX345" s="1312">
        <v>285</v>
      </c>
      <c r="BY345">
        <v>320</v>
      </c>
      <c r="BZ345" s="1312" t="s">
        <v>1368</v>
      </c>
      <c r="CA345" s="1352"/>
    </row>
    <row r="346" spans="73:79" x14ac:dyDescent="0.3">
      <c r="BU346" s="165" t="str">
        <f>IF(COUNTIF(BV$76:BV346,BV346)=1,MAX(BU$76:BU345)+1,"")</f>
        <v/>
      </c>
      <c r="BV346" s="1312">
        <v>175</v>
      </c>
      <c r="BW346" s="1312">
        <v>317</v>
      </c>
      <c r="BX346" s="1312">
        <v>285</v>
      </c>
      <c r="BY346">
        <v>320</v>
      </c>
      <c r="BZ346" s="1312" t="s">
        <v>1369</v>
      </c>
      <c r="CA346" s="1352"/>
    </row>
    <row r="347" spans="73:79" x14ac:dyDescent="0.3">
      <c r="BU347" s="165" t="str">
        <f>IF(COUNTIF(BV$76:BV347,BV347)=1,MAX(BU$76:BU346)+1,"")</f>
        <v/>
      </c>
      <c r="BV347" s="1312">
        <v>175</v>
      </c>
      <c r="BW347" s="1312">
        <v>262</v>
      </c>
      <c r="BX347" s="1312">
        <v>285</v>
      </c>
      <c r="BY347">
        <v>320</v>
      </c>
      <c r="BZ347" s="1312" t="s">
        <v>1368</v>
      </c>
      <c r="CA347" s="1352"/>
    </row>
    <row r="348" spans="73:79" x14ac:dyDescent="0.3">
      <c r="BU348" s="165" t="str">
        <f>IF(COUNTIF(BV$76:BV348,BV348)=1,MAX(BU$76:BU347)+1,"")</f>
        <v/>
      </c>
      <c r="BV348" s="1312">
        <v>175</v>
      </c>
      <c r="BW348" s="1312">
        <v>265</v>
      </c>
      <c r="BX348" s="1312">
        <v>285</v>
      </c>
      <c r="BY348">
        <v>320</v>
      </c>
      <c r="BZ348" s="1312" t="s">
        <v>1368</v>
      </c>
      <c r="CA348" s="1352"/>
    </row>
    <row r="349" spans="73:79" x14ac:dyDescent="0.3">
      <c r="BU349" s="165" t="str">
        <f>IF(COUNTIF(BV$76:BV349,BV349)=1,MAX(BU$76:BU348)+1,"")</f>
        <v/>
      </c>
      <c r="BV349" s="1312">
        <v>175</v>
      </c>
      <c r="BW349" s="1312">
        <v>320</v>
      </c>
      <c r="BX349" s="1312">
        <v>285</v>
      </c>
      <c r="BY349">
        <v>320</v>
      </c>
      <c r="BZ349" s="1312" t="s">
        <v>1369</v>
      </c>
      <c r="CA349" s="1352"/>
    </row>
    <row r="350" spans="73:79" x14ac:dyDescent="0.3">
      <c r="BU350" s="165" t="str">
        <f>IF(COUNTIF(BV$76:BV350,BV350)=1,MAX(BU$76:BU349)+1,"")</f>
        <v/>
      </c>
      <c r="BV350" s="1312">
        <v>175</v>
      </c>
      <c r="BW350" s="1312">
        <v>265</v>
      </c>
      <c r="BX350" s="1312">
        <v>285</v>
      </c>
      <c r="BY350">
        <v>320</v>
      </c>
      <c r="BZ350" s="1312" t="s">
        <v>1368</v>
      </c>
      <c r="CA350" s="1352"/>
    </row>
    <row r="351" spans="73:79" x14ac:dyDescent="0.3">
      <c r="BU351" s="165" t="str">
        <f>IF(COUNTIF(BV$76:BV351,BV351)=1,MAX(BU$76:BU350)+1,"")</f>
        <v/>
      </c>
      <c r="BV351" s="1312">
        <v>175</v>
      </c>
      <c r="BW351" s="1312">
        <v>265</v>
      </c>
      <c r="BX351" s="1312">
        <v>285</v>
      </c>
      <c r="BY351">
        <v>320</v>
      </c>
      <c r="BZ351" s="1312" t="s">
        <v>1368</v>
      </c>
      <c r="CA351" s="1352"/>
    </row>
    <row r="352" spans="73:79" x14ac:dyDescent="0.3">
      <c r="BU352" s="165">
        <f>IF(COUNTIF(BV$76:BV352,BV352)=1,MAX(BU$76:BU351)+1,"")</f>
        <v>36</v>
      </c>
      <c r="BV352" s="1312">
        <v>177.5</v>
      </c>
      <c r="BW352" s="1312">
        <v>265</v>
      </c>
      <c r="BX352" s="1312">
        <v>285</v>
      </c>
      <c r="BY352">
        <v>320</v>
      </c>
      <c r="BZ352" s="1312" t="s">
        <v>1370</v>
      </c>
      <c r="CA352" s="1352"/>
    </row>
    <row r="353" spans="73:79" x14ac:dyDescent="0.3">
      <c r="BU353" s="165" t="str">
        <f>IF(COUNTIF(BV$76:BV353,BV353)=1,MAX(BU$76:BU352)+1,"")</f>
        <v/>
      </c>
      <c r="BV353" s="1312">
        <v>177.5</v>
      </c>
      <c r="BW353" s="1312">
        <v>315</v>
      </c>
      <c r="BX353" s="1312">
        <v>285</v>
      </c>
      <c r="BY353">
        <v>320</v>
      </c>
      <c r="BZ353" s="1312" t="s">
        <v>1371</v>
      </c>
      <c r="CA353" s="1352"/>
    </row>
    <row r="354" spans="73:79" x14ac:dyDescent="0.3">
      <c r="BU354" s="165" t="str">
        <f>IF(COUNTIF(BV$76:BV354,BV354)=1,MAX(BU$76:BU353)+1,"")</f>
        <v/>
      </c>
      <c r="BV354" s="1312">
        <v>177.5</v>
      </c>
      <c r="BW354" s="1312">
        <v>265</v>
      </c>
      <c r="BX354" s="1312">
        <v>285</v>
      </c>
      <c r="BY354">
        <v>320</v>
      </c>
      <c r="BZ354" s="1312" t="s">
        <v>1370</v>
      </c>
      <c r="CA354" s="1352"/>
    </row>
    <row r="355" spans="73:79" x14ac:dyDescent="0.3">
      <c r="BU355" s="165" t="str">
        <f>IF(COUNTIF(BV$76:BV355,BV355)=1,MAX(BU$76:BU354)+1,"")</f>
        <v/>
      </c>
      <c r="BV355" s="1312">
        <v>177.5</v>
      </c>
      <c r="BW355" s="1312">
        <v>265</v>
      </c>
      <c r="BX355" s="1312">
        <v>285</v>
      </c>
      <c r="BY355">
        <v>320</v>
      </c>
      <c r="BZ355" s="1312" t="s">
        <v>1370</v>
      </c>
      <c r="CA355" s="1352"/>
    </row>
    <row r="356" spans="73:79" x14ac:dyDescent="0.3">
      <c r="BU356" s="165" t="str">
        <f>IF(COUNTIF(BV$76:BV356,BV356)=1,MAX(BU$76:BU355)+1,"")</f>
        <v/>
      </c>
      <c r="BV356" s="1312">
        <v>177.5</v>
      </c>
      <c r="BW356" s="1312">
        <v>260</v>
      </c>
      <c r="BX356" s="1312">
        <v>285</v>
      </c>
      <c r="BY356">
        <v>320</v>
      </c>
      <c r="BZ356" s="1312" t="s">
        <v>1370</v>
      </c>
      <c r="CA356" s="1352"/>
    </row>
    <row r="357" spans="73:79" x14ac:dyDescent="0.3">
      <c r="BU357" s="165" t="str">
        <f>IF(COUNTIF(BV$76:BV357,BV357)=1,MAX(BU$76:BU356)+1,"")</f>
        <v/>
      </c>
      <c r="BV357" s="1312">
        <v>177.5</v>
      </c>
      <c r="BW357" s="1312">
        <v>262</v>
      </c>
      <c r="BX357" s="1312">
        <v>285</v>
      </c>
      <c r="BY357">
        <v>320</v>
      </c>
      <c r="BZ357" s="1312" t="s">
        <v>1370</v>
      </c>
      <c r="CA357" s="1352"/>
    </row>
    <row r="358" spans="73:79" x14ac:dyDescent="0.3">
      <c r="BU358" s="165" t="str">
        <f>IF(COUNTIF(BV$76:BV358,BV358)=1,MAX(BU$76:BU357)+1,"")</f>
        <v/>
      </c>
      <c r="BV358" s="1312">
        <v>177.5</v>
      </c>
      <c r="BW358" s="1312">
        <v>265</v>
      </c>
      <c r="BX358" s="1312">
        <v>285</v>
      </c>
      <c r="BY358">
        <v>320</v>
      </c>
      <c r="BZ358" s="1312" t="s">
        <v>1370</v>
      </c>
      <c r="CA358" s="1352"/>
    </row>
    <row r="359" spans="73:79" x14ac:dyDescent="0.3">
      <c r="BU359" s="165" t="str">
        <f>IF(COUNTIF(BV$76:BV359,BV359)=1,MAX(BU$76:BU358)+1,"")</f>
        <v/>
      </c>
      <c r="BV359" s="1312">
        <v>177.5</v>
      </c>
      <c r="BW359" s="1312">
        <v>263</v>
      </c>
      <c r="BX359" s="1312">
        <v>285</v>
      </c>
      <c r="BY359">
        <v>320</v>
      </c>
      <c r="BZ359" s="1312" t="s">
        <v>1370</v>
      </c>
      <c r="CA359" s="1352"/>
    </row>
    <row r="360" spans="73:79" x14ac:dyDescent="0.3">
      <c r="BU360" s="165" t="str">
        <f>IF(COUNTIF(BV$76:BV360,BV360)=1,MAX(BU$76:BU359)+1,"")</f>
        <v/>
      </c>
      <c r="BV360" s="1312">
        <v>177.5</v>
      </c>
      <c r="BW360" s="1312">
        <v>263</v>
      </c>
      <c r="BX360" s="1312">
        <v>285</v>
      </c>
      <c r="BY360">
        <v>320</v>
      </c>
      <c r="BZ360" s="1312" t="s">
        <v>1370</v>
      </c>
      <c r="CA360" s="1352"/>
    </row>
    <row r="361" spans="73:79" x14ac:dyDescent="0.3">
      <c r="BU361" s="165">
        <f>IF(COUNTIF(BV$76:BV361,BV361)=1,MAX(BU$76:BU360)+1,"")</f>
        <v>37</v>
      </c>
      <c r="BV361" s="1312">
        <v>180</v>
      </c>
      <c r="BW361" s="1312">
        <v>265</v>
      </c>
      <c r="BX361" s="1312">
        <v>285</v>
      </c>
      <c r="BY361">
        <v>320</v>
      </c>
      <c r="BZ361" s="1312" t="s">
        <v>1372</v>
      </c>
      <c r="CA361" s="1352"/>
    </row>
    <row r="362" spans="73:79" x14ac:dyDescent="0.3">
      <c r="BU362" s="165" t="str">
        <f>IF(COUNTIF(BV$76:BV362,BV362)=1,MAX(BU$76:BU361)+1,"")</f>
        <v/>
      </c>
      <c r="BV362" s="1312">
        <v>180</v>
      </c>
      <c r="BW362" s="1312">
        <v>265</v>
      </c>
      <c r="BX362" s="1312">
        <v>285</v>
      </c>
      <c r="BY362">
        <v>320</v>
      </c>
      <c r="BZ362" s="1312" t="s">
        <v>1372</v>
      </c>
      <c r="CA362" s="1352"/>
    </row>
    <row r="363" spans="73:79" x14ac:dyDescent="0.3">
      <c r="BU363" s="165" t="str">
        <f>IF(COUNTIF(BV$76:BV363,BV363)=1,MAX(BU$76:BU362)+1,"")</f>
        <v/>
      </c>
      <c r="BV363" s="1312">
        <v>180</v>
      </c>
      <c r="BW363" s="1312">
        <v>260</v>
      </c>
      <c r="BX363" s="1312">
        <v>285</v>
      </c>
      <c r="BY363">
        <v>320</v>
      </c>
      <c r="BZ363" s="1312" t="s">
        <v>1372</v>
      </c>
      <c r="CA363" s="1352"/>
    </row>
    <row r="364" spans="73:79" x14ac:dyDescent="0.3">
      <c r="BU364" s="165" t="str">
        <f>IF(COUNTIF(BV$76:BV364,BV364)=1,MAX(BU$76:BU363)+1,"")</f>
        <v/>
      </c>
      <c r="BV364" s="1312">
        <v>180</v>
      </c>
      <c r="BW364" s="1312">
        <v>260</v>
      </c>
      <c r="BX364" s="1312">
        <v>285</v>
      </c>
      <c r="BY364">
        <v>320</v>
      </c>
      <c r="BZ364" s="1312" t="s">
        <v>1372</v>
      </c>
      <c r="CA364" s="1352"/>
    </row>
    <row r="365" spans="73:79" x14ac:dyDescent="0.3">
      <c r="BU365" s="165" t="str">
        <f>IF(COUNTIF(BV$76:BV365,BV365)=1,MAX(BU$76:BU364)+1,"")</f>
        <v/>
      </c>
      <c r="BV365" s="1312">
        <v>180</v>
      </c>
      <c r="BW365" s="1312">
        <v>317</v>
      </c>
      <c r="BX365" s="1312">
        <v>285</v>
      </c>
      <c r="BY365">
        <v>320</v>
      </c>
      <c r="BZ365" s="1312" t="s">
        <v>1373</v>
      </c>
      <c r="CA365" s="1352"/>
    </row>
    <row r="366" spans="73:79" x14ac:dyDescent="0.3">
      <c r="BU366" s="165" t="str">
        <f>IF(COUNTIF(BV$76:BV366,BV366)=1,MAX(BU$76:BU365)+1,"")</f>
        <v/>
      </c>
      <c r="BV366" s="1312">
        <v>180</v>
      </c>
      <c r="BW366" s="1312">
        <v>380</v>
      </c>
      <c r="BX366" s="1312">
        <v>285</v>
      </c>
      <c r="BY366">
        <v>320</v>
      </c>
      <c r="BZ366" s="1312" t="s">
        <v>1374</v>
      </c>
      <c r="CA366" s="1352"/>
    </row>
    <row r="367" spans="73:79" x14ac:dyDescent="0.3">
      <c r="BU367" s="165" t="str">
        <f>IF(COUNTIF(BV$76:BV367,BV367)=1,MAX(BU$76:BU366)+1,"")</f>
        <v/>
      </c>
      <c r="BV367" s="1312">
        <v>180</v>
      </c>
      <c r="BW367" s="1312">
        <v>315</v>
      </c>
      <c r="BX367" s="1312">
        <v>285</v>
      </c>
      <c r="BY367">
        <v>320</v>
      </c>
      <c r="BZ367" s="1312" t="s">
        <v>1373</v>
      </c>
      <c r="CA367" s="1352"/>
    </row>
    <row r="368" spans="73:79" x14ac:dyDescent="0.3">
      <c r="BU368" s="165" t="str">
        <f>IF(COUNTIF(BV$76:BV368,BV368)=1,MAX(BU$76:BU367)+1,"")</f>
        <v/>
      </c>
      <c r="BV368" s="1312">
        <v>180</v>
      </c>
      <c r="BW368" s="1312">
        <v>265</v>
      </c>
      <c r="BX368" s="1312">
        <v>285</v>
      </c>
      <c r="BY368">
        <v>320</v>
      </c>
      <c r="BZ368" s="1312" t="s">
        <v>1372</v>
      </c>
      <c r="CA368" s="1352"/>
    </row>
    <row r="369" spans="73:79" x14ac:dyDescent="0.3">
      <c r="BU369" s="165" t="str">
        <f>IF(COUNTIF(BV$76:BV369,BV369)=1,MAX(BU$76:BU368)+1,"")</f>
        <v/>
      </c>
      <c r="BV369" s="1312">
        <v>180</v>
      </c>
      <c r="BW369" s="1312">
        <v>380</v>
      </c>
      <c r="BX369" s="1312">
        <v>285</v>
      </c>
      <c r="BY369">
        <v>320</v>
      </c>
      <c r="BZ369" s="1312" t="s">
        <v>1374</v>
      </c>
      <c r="CA369" s="1352"/>
    </row>
    <row r="370" spans="73:79" x14ac:dyDescent="0.3">
      <c r="BU370" s="165" t="str">
        <f>IF(COUNTIF(BV$76:BV370,BV370)=1,MAX(BU$76:BU369)+1,"")</f>
        <v/>
      </c>
      <c r="BV370" s="1312">
        <v>180</v>
      </c>
      <c r="BW370" s="1312">
        <v>265</v>
      </c>
      <c r="BX370" s="1312">
        <v>285</v>
      </c>
      <c r="BY370">
        <v>320</v>
      </c>
      <c r="BZ370" s="1312" t="s">
        <v>1372</v>
      </c>
      <c r="CA370" s="1352"/>
    </row>
    <row r="371" spans="73:79" x14ac:dyDescent="0.3">
      <c r="BU371" s="165" t="str">
        <f>IF(COUNTIF(BV$76:BV371,BV371)=1,MAX(BU$76:BU370)+1,"")</f>
        <v/>
      </c>
      <c r="BV371" s="1312">
        <v>180</v>
      </c>
      <c r="BW371" s="1312">
        <v>265</v>
      </c>
      <c r="BX371" s="1312">
        <v>285</v>
      </c>
      <c r="BY371">
        <v>320</v>
      </c>
      <c r="BZ371" s="1312" t="s">
        <v>1372</v>
      </c>
      <c r="CA371" s="1352"/>
    </row>
    <row r="372" spans="73:79" x14ac:dyDescent="0.3">
      <c r="BU372" s="165" t="str">
        <f>IF(COUNTIF(BV$76:BV372,BV372)=1,MAX(BU$76:BU371)+1,"")</f>
        <v/>
      </c>
      <c r="BV372" s="1312">
        <v>180</v>
      </c>
      <c r="BW372" s="1312">
        <v>500</v>
      </c>
      <c r="BX372" s="1312">
        <v>285</v>
      </c>
      <c r="BY372">
        <v>320</v>
      </c>
      <c r="BZ372" s="1312" t="s">
        <v>1375</v>
      </c>
      <c r="CA372" s="1352"/>
    </row>
    <row r="373" spans="73:79" x14ac:dyDescent="0.3">
      <c r="BU373" s="165">
        <f>IF(COUNTIF(BV$76:BV373,BV373)=1,MAX(BU$76:BU372)+1,"")</f>
        <v>38</v>
      </c>
      <c r="BV373" s="1312">
        <v>182.5</v>
      </c>
      <c r="BW373" s="1312">
        <v>262</v>
      </c>
      <c r="BX373" s="1312">
        <v>285</v>
      </c>
      <c r="BY373">
        <v>320</v>
      </c>
      <c r="BZ373" s="1312" t="s">
        <v>1376</v>
      </c>
      <c r="CA373" s="1352"/>
    </row>
    <row r="374" spans="73:79" x14ac:dyDescent="0.3">
      <c r="BU374" s="165" t="str">
        <f>IF(COUNTIF(BV$76:BV374,BV374)=1,MAX(BU$76:BU373)+1,"")</f>
        <v/>
      </c>
      <c r="BV374" s="1312">
        <v>182.5</v>
      </c>
      <c r="BW374" s="1312">
        <v>265</v>
      </c>
      <c r="BX374" s="1312">
        <v>285</v>
      </c>
      <c r="BY374">
        <v>320</v>
      </c>
      <c r="BZ374" s="1312" t="s">
        <v>1376</v>
      </c>
      <c r="CA374" s="1352"/>
    </row>
    <row r="375" spans="73:79" x14ac:dyDescent="0.3">
      <c r="BU375" s="165" t="str">
        <f>IF(COUNTIF(BV$76:BV375,BV375)=1,MAX(BU$76:BU374)+1,"")</f>
        <v/>
      </c>
      <c r="BV375" s="1312">
        <v>182.5</v>
      </c>
      <c r="BW375" s="1312">
        <v>265</v>
      </c>
      <c r="BX375" s="1312">
        <v>285</v>
      </c>
      <c r="BY375">
        <v>320</v>
      </c>
      <c r="BZ375" s="1312" t="s">
        <v>1376</v>
      </c>
      <c r="CA375" s="1352"/>
    </row>
    <row r="376" spans="73:79" x14ac:dyDescent="0.3">
      <c r="BU376" s="165" t="str">
        <f>IF(COUNTIF(BV$76:BV376,BV376)=1,MAX(BU$76:BU375)+1,"")</f>
        <v/>
      </c>
      <c r="BV376" s="1312">
        <v>182.5</v>
      </c>
      <c r="BW376" s="1312">
        <v>265</v>
      </c>
      <c r="BX376" s="1312">
        <v>285</v>
      </c>
      <c r="BY376">
        <v>320</v>
      </c>
      <c r="BZ376" s="1312" t="s">
        <v>1376</v>
      </c>
      <c r="CA376" s="1352"/>
    </row>
    <row r="377" spans="73:79" x14ac:dyDescent="0.3">
      <c r="BU377" s="165" t="str">
        <f>IF(COUNTIF(BV$76:BV377,BV377)=1,MAX(BU$76:BU376)+1,"")</f>
        <v/>
      </c>
      <c r="BV377" s="1312">
        <v>182.5</v>
      </c>
      <c r="BW377" s="1312">
        <v>265</v>
      </c>
      <c r="BX377" s="1312">
        <v>285</v>
      </c>
      <c r="BY377">
        <v>320</v>
      </c>
      <c r="BZ377" s="1312" t="s">
        <v>1376</v>
      </c>
      <c r="CA377" s="1352"/>
    </row>
    <row r="378" spans="73:79" x14ac:dyDescent="0.3">
      <c r="BU378" s="165" t="str">
        <f>IF(COUNTIF(BV$76:BV378,BV378)=1,MAX(BU$76:BU377)+1,"")</f>
        <v/>
      </c>
      <c r="BV378" s="1312">
        <v>182.5</v>
      </c>
      <c r="BW378" s="1312">
        <v>255</v>
      </c>
      <c r="BX378" s="1312">
        <v>285</v>
      </c>
      <c r="BY378">
        <v>320</v>
      </c>
      <c r="BZ378" s="1312" t="s">
        <v>1376</v>
      </c>
      <c r="CA378" s="1352"/>
    </row>
    <row r="379" spans="73:79" x14ac:dyDescent="0.3">
      <c r="BU379" s="165">
        <f>IF(COUNTIF(BV$76:BV379,BV379)=1,MAX(BU$76:BU378)+1,"")</f>
        <v>39</v>
      </c>
      <c r="BV379" s="1312">
        <v>185</v>
      </c>
      <c r="BW379" s="1312">
        <v>260</v>
      </c>
      <c r="BX379" s="1312">
        <v>285</v>
      </c>
      <c r="BY379">
        <v>320</v>
      </c>
      <c r="BZ379" s="1312" t="s">
        <v>1377</v>
      </c>
      <c r="CA379" s="1352"/>
    </row>
    <row r="380" spans="73:79" x14ac:dyDescent="0.3">
      <c r="BU380" s="165" t="str">
        <f>IF(COUNTIF(BV$76:BV380,BV380)=1,MAX(BU$76:BU379)+1,"")</f>
        <v/>
      </c>
      <c r="BV380" s="1312">
        <v>185</v>
      </c>
      <c r="BW380" s="1312">
        <v>265</v>
      </c>
      <c r="BX380" s="1312">
        <v>285</v>
      </c>
      <c r="BY380">
        <v>320</v>
      </c>
      <c r="BZ380" s="1312" t="s">
        <v>1377</v>
      </c>
      <c r="CA380" s="1352"/>
    </row>
    <row r="381" spans="73:79" x14ac:dyDescent="0.3">
      <c r="BU381" s="165" t="str">
        <f>IF(COUNTIF(BV$76:BV381,BV381)=1,MAX(BU$76:BU380)+1,"")</f>
        <v/>
      </c>
      <c r="BV381" s="1312">
        <v>185</v>
      </c>
      <c r="BW381" s="1312">
        <v>265</v>
      </c>
      <c r="BX381" s="1312">
        <v>285</v>
      </c>
      <c r="BY381">
        <v>320</v>
      </c>
      <c r="BZ381" s="1312" t="s">
        <v>1377</v>
      </c>
      <c r="CA381" s="1352"/>
    </row>
    <row r="382" spans="73:79" x14ac:dyDescent="0.3">
      <c r="BU382" s="165" t="str">
        <f>IF(COUNTIF(BV$76:BV382,BV382)=1,MAX(BU$76:BU381)+1,"")</f>
        <v/>
      </c>
      <c r="BV382" s="1312">
        <v>185</v>
      </c>
      <c r="BW382" s="1312">
        <v>265</v>
      </c>
      <c r="BX382" s="1312">
        <v>285</v>
      </c>
      <c r="BY382">
        <v>320</v>
      </c>
      <c r="BZ382" s="1312" t="s">
        <v>1377</v>
      </c>
      <c r="CA382" s="1352"/>
    </row>
    <row r="383" spans="73:79" x14ac:dyDescent="0.3">
      <c r="BU383" s="165" t="str">
        <f>IF(COUNTIF(BV$76:BV383,BV383)=1,MAX(BU$76:BU382)+1,"")</f>
        <v/>
      </c>
      <c r="BV383" s="1312">
        <v>185</v>
      </c>
      <c r="BW383" s="1312">
        <v>265</v>
      </c>
      <c r="BX383" s="1312">
        <v>285</v>
      </c>
      <c r="BY383">
        <v>320</v>
      </c>
      <c r="BZ383" s="1312" t="s">
        <v>1377</v>
      </c>
      <c r="CA383" s="1352"/>
    </row>
    <row r="384" spans="73:79" x14ac:dyDescent="0.3">
      <c r="BU384" s="165" t="str">
        <f>IF(COUNTIF(BV$76:BV384,BV384)=1,MAX(BU$76:BU383)+1,"")</f>
        <v/>
      </c>
      <c r="BV384" s="1312">
        <v>185</v>
      </c>
      <c r="BW384" s="1312">
        <v>265</v>
      </c>
      <c r="BX384" s="1312">
        <v>285</v>
      </c>
      <c r="BY384">
        <v>320</v>
      </c>
      <c r="BZ384" s="1312" t="s">
        <v>1377</v>
      </c>
      <c r="CA384" s="1352"/>
    </row>
    <row r="385" spans="73:79" x14ac:dyDescent="0.3">
      <c r="BU385" s="165" t="str">
        <f>IF(COUNTIF(BV$76:BV385,BV385)=1,MAX(BU$76:BU384)+1,"")</f>
        <v/>
      </c>
      <c r="BV385" s="1312">
        <v>185</v>
      </c>
      <c r="BW385" s="1312">
        <v>265</v>
      </c>
      <c r="BX385" s="1312">
        <v>285</v>
      </c>
      <c r="BY385">
        <v>320</v>
      </c>
      <c r="BZ385" s="1312" t="s">
        <v>1377</v>
      </c>
      <c r="CA385" s="1352"/>
    </row>
    <row r="386" spans="73:79" x14ac:dyDescent="0.3">
      <c r="BU386" s="165" t="str">
        <f>IF(COUNTIF(BV$76:BV386,BV386)=1,MAX(BU$76:BU385)+1,"")</f>
        <v/>
      </c>
      <c r="BV386" s="1312">
        <v>185</v>
      </c>
      <c r="BW386" s="1312">
        <v>265</v>
      </c>
      <c r="BX386" s="1312">
        <v>285</v>
      </c>
      <c r="BY386">
        <v>320</v>
      </c>
      <c r="BZ386" s="1312" t="s">
        <v>1377</v>
      </c>
      <c r="CA386" s="1352"/>
    </row>
    <row r="387" spans="73:79" x14ac:dyDescent="0.3">
      <c r="BU387" s="165" t="str">
        <f>IF(COUNTIF(BV$76:BV387,BV387)=1,MAX(BU$76:BU386)+1,"")</f>
        <v/>
      </c>
      <c r="BV387" s="1312">
        <v>185</v>
      </c>
      <c r="BW387" s="1312">
        <v>265</v>
      </c>
      <c r="BX387" s="1312">
        <v>285</v>
      </c>
      <c r="BY387">
        <v>320</v>
      </c>
      <c r="BZ387" s="1312" t="s">
        <v>1377</v>
      </c>
      <c r="CA387" s="1352"/>
    </row>
    <row r="388" spans="73:79" x14ac:dyDescent="0.3">
      <c r="BU388" s="165" t="str">
        <f>IF(COUNTIF(BV$76:BV388,BV388)=1,MAX(BU$76:BU387)+1,"")</f>
        <v/>
      </c>
      <c r="BV388" s="1312">
        <v>185</v>
      </c>
      <c r="BW388" s="1312">
        <v>265</v>
      </c>
      <c r="BX388" s="1312">
        <v>285</v>
      </c>
      <c r="BY388">
        <v>320</v>
      </c>
      <c r="BZ388" s="1312" t="s">
        <v>1377</v>
      </c>
      <c r="CA388" s="1352"/>
    </row>
    <row r="389" spans="73:79" x14ac:dyDescent="0.3">
      <c r="BU389" s="165" t="str">
        <f>IF(COUNTIF(BV$76:BV389,BV389)=1,MAX(BU$76:BU388)+1,"")</f>
        <v/>
      </c>
      <c r="BV389" s="1312">
        <v>185</v>
      </c>
      <c r="BW389" s="1312">
        <v>265</v>
      </c>
      <c r="BX389" s="1312">
        <v>285</v>
      </c>
      <c r="BY389">
        <v>320</v>
      </c>
      <c r="BZ389" s="1312" t="s">
        <v>1377</v>
      </c>
      <c r="CA389" s="1352"/>
    </row>
    <row r="390" spans="73:79" x14ac:dyDescent="0.3">
      <c r="BU390" s="165" t="str">
        <f>IF(COUNTIF(BV$76:BV390,BV390)=1,MAX(BU$76:BU389)+1,"")</f>
        <v/>
      </c>
      <c r="BV390" s="1312">
        <v>185</v>
      </c>
      <c r="BW390" s="1312">
        <v>215</v>
      </c>
      <c r="BX390" s="1312">
        <v>285</v>
      </c>
      <c r="BY390">
        <v>320</v>
      </c>
      <c r="BZ390" s="1312" t="s">
        <v>1378</v>
      </c>
      <c r="CA390" s="1352"/>
    </row>
    <row r="391" spans="73:79" x14ac:dyDescent="0.3">
      <c r="BU391" s="165" t="str">
        <f>IF(COUNTIF(BV$76:BV391,BV391)=1,MAX(BU$76:BU390)+1,"")</f>
        <v/>
      </c>
      <c r="BV391" s="1312">
        <v>185</v>
      </c>
      <c r="BW391" s="1312">
        <v>215</v>
      </c>
      <c r="BX391" s="1312">
        <v>285</v>
      </c>
      <c r="BY391">
        <v>320</v>
      </c>
      <c r="BZ391" s="1312" t="s">
        <v>1379</v>
      </c>
      <c r="CA391" s="1352"/>
    </row>
    <row r="392" spans="73:79" x14ac:dyDescent="0.3">
      <c r="BU392" s="165" t="str">
        <f>IF(COUNTIF(BV$76:BV392,BV392)=1,MAX(BU$76:BU391)+1,"")</f>
        <v/>
      </c>
      <c r="BV392" s="1312">
        <v>185</v>
      </c>
      <c r="BW392" s="1312">
        <v>215</v>
      </c>
      <c r="BX392" s="1312">
        <v>285</v>
      </c>
      <c r="BY392">
        <v>320</v>
      </c>
      <c r="BZ392" s="1312" t="s">
        <v>1379</v>
      </c>
      <c r="CA392" s="1352"/>
    </row>
    <row r="393" spans="73:79" x14ac:dyDescent="0.3">
      <c r="BU393" s="165" t="str">
        <f>IF(COUNTIF(BV$76:BV393,BV393)=1,MAX(BU$76:BU392)+1,"")</f>
        <v/>
      </c>
      <c r="BV393" s="1312">
        <v>185</v>
      </c>
      <c r="BW393" s="1312">
        <v>260</v>
      </c>
      <c r="BX393" s="1312">
        <v>285</v>
      </c>
      <c r="BY393">
        <v>320</v>
      </c>
      <c r="BZ393" s="1312" t="s">
        <v>1377</v>
      </c>
      <c r="CA393" s="1352"/>
    </row>
    <row r="394" spans="73:79" x14ac:dyDescent="0.3">
      <c r="BU394" s="165" t="str">
        <f>IF(COUNTIF(BV$76:BV394,BV394)=1,MAX(BU$76:BU393)+1,"")</f>
        <v/>
      </c>
      <c r="BV394" s="1312">
        <v>185</v>
      </c>
      <c r="BW394" s="1312">
        <v>265</v>
      </c>
      <c r="BX394" s="1312">
        <v>285</v>
      </c>
      <c r="BY394">
        <v>320</v>
      </c>
      <c r="BZ394" s="1312" t="s">
        <v>1377</v>
      </c>
      <c r="CA394" s="1352"/>
    </row>
    <row r="395" spans="73:79" x14ac:dyDescent="0.3">
      <c r="BU395" s="165" t="str">
        <f>IF(COUNTIF(BV$76:BV395,BV395)=1,MAX(BU$76:BU394)+1,"")</f>
        <v/>
      </c>
      <c r="BV395" s="1312">
        <v>185</v>
      </c>
      <c r="BW395" s="1312">
        <v>215</v>
      </c>
      <c r="BX395" s="1312">
        <v>285</v>
      </c>
      <c r="BY395">
        <v>320</v>
      </c>
      <c r="BZ395" s="1312" t="s">
        <v>1379</v>
      </c>
      <c r="CA395" s="1352"/>
    </row>
    <row r="396" spans="73:79" x14ac:dyDescent="0.3">
      <c r="BU396" s="165" t="str">
        <f>IF(COUNTIF(BV$76:BV396,BV396)=1,MAX(BU$76:BU395)+1,"")</f>
        <v/>
      </c>
      <c r="BV396" s="1312">
        <v>185</v>
      </c>
      <c r="BW396" s="1312">
        <v>213</v>
      </c>
      <c r="BX396" s="1312">
        <v>285</v>
      </c>
      <c r="BY396">
        <v>320</v>
      </c>
      <c r="BZ396" s="1312" t="s">
        <v>1379</v>
      </c>
      <c r="CA396" s="1352"/>
    </row>
    <row r="397" spans="73:79" x14ac:dyDescent="0.3">
      <c r="BU397" s="165" t="str">
        <f>IF(COUNTIF(BV$76:BV397,BV397)=1,MAX(BU$76:BU396)+1,"")</f>
        <v/>
      </c>
      <c r="BV397" s="1312">
        <v>185</v>
      </c>
      <c r="BW397" s="1312">
        <v>215</v>
      </c>
      <c r="BX397" s="1312">
        <v>285</v>
      </c>
      <c r="BY397">
        <v>320</v>
      </c>
      <c r="BZ397" s="1312" t="s">
        <v>1379</v>
      </c>
      <c r="CA397" s="1352"/>
    </row>
    <row r="398" spans="73:79" x14ac:dyDescent="0.3">
      <c r="BU398" s="165" t="str">
        <f>IF(COUNTIF(BV$76:BV398,BV398)=1,MAX(BU$76:BU397)+1,"")</f>
        <v/>
      </c>
      <c r="BV398" s="1312">
        <v>185</v>
      </c>
      <c r="BW398" s="1312">
        <v>215</v>
      </c>
      <c r="BX398" s="1312">
        <v>285</v>
      </c>
      <c r="BY398">
        <v>320</v>
      </c>
      <c r="BZ398" s="1312" t="s">
        <v>1379</v>
      </c>
      <c r="CA398" s="1352"/>
    </row>
    <row r="399" spans="73:79" x14ac:dyDescent="0.3">
      <c r="BU399" s="165" t="str">
        <f>IF(COUNTIF(BV$76:BV399,BV399)=1,MAX(BU$76:BU398)+1,"")</f>
        <v/>
      </c>
      <c r="BV399" s="1312">
        <v>185</v>
      </c>
      <c r="BW399" s="1312">
        <v>215</v>
      </c>
      <c r="BX399" s="1312">
        <v>285</v>
      </c>
      <c r="BY399">
        <v>320</v>
      </c>
      <c r="BZ399" s="1312" t="s">
        <v>1379</v>
      </c>
      <c r="CA399" s="1352"/>
    </row>
    <row r="400" spans="73:79" x14ac:dyDescent="0.3">
      <c r="BU400" s="165" t="str">
        <f>IF(COUNTIF(BV$76:BV400,BV400)=1,MAX(BU$76:BU399)+1,"")</f>
        <v/>
      </c>
      <c r="BV400" s="1312">
        <v>185</v>
      </c>
      <c r="BW400" s="1312">
        <v>213</v>
      </c>
      <c r="BX400" s="1312">
        <v>285</v>
      </c>
      <c r="BY400">
        <v>320</v>
      </c>
      <c r="BZ400" s="1312" t="s">
        <v>1379</v>
      </c>
      <c r="CA400" s="1352"/>
    </row>
    <row r="401" spans="73:79" x14ac:dyDescent="0.3">
      <c r="BU401" s="165" t="str">
        <f>IF(COUNTIF(BV$76:BV401,BV401)=1,MAX(BU$76:BU400)+1,"")</f>
        <v/>
      </c>
      <c r="BV401" s="1312">
        <v>185</v>
      </c>
      <c r="BW401" s="1312">
        <v>213</v>
      </c>
      <c r="BX401" s="1312">
        <v>285</v>
      </c>
      <c r="BY401">
        <v>320</v>
      </c>
      <c r="BZ401" s="1312" t="s">
        <v>1379</v>
      </c>
      <c r="CA401" s="1352"/>
    </row>
    <row r="402" spans="73:79" x14ac:dyDescent="0.3">
      <c r="BU402" s="165" t="str">
        <f>IF(COUNTIF(BV$76:BV402,BV402)=1,MAX(BU$76:BU401)+1,"")</f>
        <v/>
      </c>
      <c r="BV402" s="1312">
        <v>185</v>
      </c>
      <c r="BW402" s="1312">
        <v>213</v>
      </c>
      <c r="BX402" s="1312">
        <v>285</v>
      </c>
      <c r="BY402">
        <v>320</v>
      </c>
      <c r="BZ402" s="1312" t="s">
        <v>1379</v>
      </c>
      <c r="CA402" s="1352"/>
    </row>
    <row r="403" spans="73:79" x14ac:dyDescent="0.3">
      <c r="BU403" s="165" t="str">
        <f>IF(COUNTIF(BV$76:BV403,BV403)=1,MAX(BU$76:BU402)+1,"")</f>
        <v/>
      </c>
      <c r="BV403" s="1312">
        <v>185</v>
      </c>
      <c r="BW403" s="1312">
        <v>215</v>
      </c>
      <c r="BX403" s="1312">
        <v>285</v>
      </c>
      <c r="BY403">
        <v>320</v>
      </c>
      <c r="BZ403" s="1312" t="s">
        <v>1379</v>
      </c>
      <c r="CA403" s="1352"/>
    </row>
    <row r="404" spans="73:79" x14ac:dyDescent="0.3">
      <c r="BU404" s="165" t="str">
        <f>IF(COUNTIF(BV$76:BV404,BV404)=1,MAX(BU$76:BU403)+1,"")</f>
        <v/>
      </c>
      <c r="BV404" s="1312">
        <v>185</v>
      </c>
      <c r="BW404" s="1312">
        <v>215</v>
      </c>
      <c r="BX404" s="1312">
        <v>285</v>
      </c>
      <c r="BY404">
        <v>320</v>
      </c>
      <c r="BZ404" s="1312" t="s">
        <v>1379</v>
      </c>
      <c r="CA404" s="1352"/>
    </row>
    <row r="405" spans="73:79" x14ac:dyDescent="0.3">
      <c r="BU405" s="165" t="str">
        <f>IF(COUNTIF(BV$76:BV405,BV405)=1,MAX(BU$76:BU404)+1,"")</f>
        <v/>
      </c>
      <c r="BV405" s="1312">
        <v>185</v>
      </c>
      <c r="BW405" s="1312">
        <v>213</v>
      </c>
      <c r="BX405" s="1312">
        <v>285</v>
      </c>
      <c r="BY405">
        <v>320</v>
      </c>
      <c r="BZ405" s="1312" t="s">
        <v>1379</v>
      </c>
      <c r="CA405" s="1352"/>
    </row>
    <row r="406" spans="73:79" x14ac:dyDescent="0.3">
      <c r="BU406" s="165" t="str">
        <f>IF(COUNTIF(BV$76:BV406,BV406)=1,MAX(BU$76:BU405)+1,"")</f>
        <v/>
      </c>
      <c r="BV406" s="1312">
        <v>185</v>
      </c>
      <c r="BW406" s="1312">
        <v>213</v>
      </c>
      <c r="BX406" s="1312">
        <v>285</v>
      </c>
      <c r="BY406">
        <v>320</v>
      </c>
      <c r="BZ406" s="1312" t="s">
        <v>1379</v>
      </c>
      <c r="CA406" s="1352"/>
    </row>
    <row r="407" spans="73:79" x14ac:dyDescent="0.3">
      <c r="BU407" s="165" t="str">
        <f>IF(COUNTIF(BV$76:BV407,BV407)=1,MAX(BU$76:BU406)+1,"")</f>
        <v/>
      </c>
      <c r="BV407" s="1312">
        <v>185</v>
      </c>
      <c r="BW407" s="1312">
        <v>212</v>
      </c>
      <c r="BX407" s="1312">
        <v>285</v>
      </c>
      <c r="BY407">
        <v>320</v>
      </c>
      <c r="BZ407" s="1312" t="s">
        <v>1379</v>
      </c>
      <c r="CA407" s="1352"/>
    </row>
    <row r="408" spans="73:79" x14ac:dyDescent="0.3">
      <c r="BU408" s="165" t="str">
        <f>IF(COUNTIF(BV$76:BV408,BV408)=1,MAX(BU$76:BU407)+1,"")</f>
        <v/>
      </c>
      <c r="BV408" s="1312">
        <v>185</v>
      </c>
      <c r="BW408" s="1312">
        <v>215</v>
      </c>
      <c r="BX408" s="1312">
        <v>285</v>
      </c>
      <c r="BY408">
        <v>320</v>
      </c>
      <c r="BZ408" s="1312" t="s">
        <v>1379</v>
      </c>
      <c r="CA408" s="1352"/>
    </row>
    <row r="409" spans="73:79" x14ac:dyDescent="0.3">
      <c r="BU409" s="165" t="str">
        <f>IF(COUNTIF(BV$76:BV409,BV409)=1,MAX(BU$76:BU408)+1,"")</f>
        <v/>
      </c>
      <c r="BV409" s="1312">
        <v>185</v>
      </c>
      <c r="BW409" s="1312">
        <v>260</v>
      </c>
      <c r="BX409" s="1312">
        <v>285</v>
      </c>
      <c r="BY409">
        <v>320</v>
      </c>
      <c r="BZ409" s="1312" t="s">
        <v>1377</v>
      </c>
      <c r="CA409" s="1352"/>
    </row>
    <row r="410" spans="73:79" x14ac:dyDescent="0.3">
      <c r="BU410" s="165" t="str">
        <f>IF(COUNTIF(BV$76:BV410,BV410)=1,MAX(BU$76:BU409)+1,"")</f>
        <v/>
      </c>
      <c r="BV410" s="1312">
        <v>185</v>
      </c>
      <c r="BW410" s="1312">
        <v>503</v>
      </c>
      <c r="BX410" s="1312">
        <v>285</v>
      </c>
      <c r="BY410">
        <v>320</v>
      </c>
      <c r="BZ410" s="1312" t="s">
        <v>1375</v>
      </c>
      <c r="CA410" s="1352"/>
    </row>
    <row r="411" spans="73:79" x14ac:dyDescent="0.3">
      <c r="BU411" s="165" t="str">
        <f>IF(COUNTIF(BV$76:BV411,BV411)=1,MAX(BU$76:BU410)+1,"")</f>
        <v/>
      </c>
      <c r="BV411" s="1312">
        <v>185</v>
      </c>
      <c r="BW411" s="1312">
        <v>213</v>
      </c>
      <c r="BX411" s="1312">
        <v>285</v>
      </c>
      <c r="BY411">
        <v>320</v>
      </c>
      <c r="BZ411" s="1312" t="s">
        <v>1379</v>
      </c>
      <c r="CA411" s="1352"/>
    </row>
    <row r="412" spans="73:79" x14ac:dyDescent="0.3">
      <c r="BU412" s="165" t="str">
        <f>IF(COUNTIF(BV$76:BV412,BV412)=1,MAX(BU$76:BU411)+1,"")</f>
        <v/>
      </c>
      <c r="BV412" s="1312">
        <v>185</v>
      </c>
      <c r="BW412" s="1312">
        <v>213</v>
      </c>
      <c r="BX412" s="1312">
        <v>285</v>
      </c>
      <c r="BY412">
        <v>320</v>
      </c>
      <c r="BZ412" s="1312" t="s">
        <v>1379</v>
      </c>
      <c r="CA412" s="1352"/>
    </row>
    <row r="413" spans="73:79" x14ac:dyDescent="0.3">
      <c r="BU413" s="165" t="str">
        <f>IF(COUNTIF(BV$76:BV413,BV413)=1,MAX(BU$76:BU412)+1,"")</f>
        <v/>
      </c>
      <c r="BV413" s="1312">
        <v>185</v>
      </c>
      <c r="BW413" s="1312">
        <v>213</v>
      </c>
      <c r="BX413" s="1312">
        <v>285</v>
      </c>
      <c r="BY413">
        <v>320</v>
      </c>
      <c r="BZ413" s="1312" t="s">
        <v>1379</v>
      </c>
      <c r="CA413" s="1352"/>
    </row>
    <row r="414" spans="73:79" x14ac:dyDescent="0.3">
      <c r="BU414" s="165" t="str">
        <f>IF(COUNTIF(BV$76:BV414,BV414)=1,MAX(BU$76:BU413)+1,"")</f>
        <v/>
      </c>
      <c r="BV414" s="1312">
        <v>185</v>
      </c>
      <c r="BW414" s="1312">
        <v>265</v>
      </c>
      <c r="BX414" s="1312">
        <v>285</v>
      </c>
      <c r="BY414">
        <v>320</v>
      </c>
      <c r="BZ414" s="1312" t="s">
        <v>1377</v>
      </c>
      <c r="CA414" s="1352"/>
    </row>
    <row r="415" spans="73:79" x14ac:dyDescent="0.3">
      <c r="BU415" s="165">
        <f>IF(COUNTIF(BV$76:BV415,BV415)=1,MAX(BU$76:BU414)+1,"")</f>
        <v>40</v>
      </c>
      <c r="BV415" s="1312">
        <v>187.5</v>
      </c>
      <c r="BW415" s="1312">
        <v>213</v>
      </c>
      <c r="BX415" s="1312">
        <v>285</v>
      </c>
      <c r="BY415">
        <v>320</v>
      </c>
      <c r="BZ415" s="1312" t="s">
        <v>1380</v>
      </c>
      <c r="CA415" s="1352"/>
    </row>
    <row r="416" spans="73:79" x14ac:dyDescent="0.3">
      <c r="BU416" s="165" t="str">
        <f>IF(COUNTIF(BV$76:BV416,BV416)=1,MAX(BU$76:BU415)+1,"")</f>
        <v/>
      </c>
      <c r="BV416" s="1312">
        <v>187.5</v>
      </c>
      <c r="BW416" s="1312">
        <v>215</v>
      </c>
      <c r="BX416" s="1312">
        <v>285</v>
      </c>
      <c r="BY416">
        <v>320</v>
      </c>
      <c r="BZ416" s="1312" t="s">
        <v>1380</v>
      </c>
      <c r="CA416" s="1352"/>
    </row>
    <row r="417" spans="73:79" x14ac:dyDescent="0.3">
      <c r="BU417" s="165" t="str">
        <f>IF(COUNTIF(BV$76:BV417,BV417)=1,MAX(BU$76:BU416)+1,"")</f>
        <v/>
      </c>
      <c r="BV417" s="1312">
        <v>187.5</v>
      </c>
      <c r="BW417" s="1312">
        <v>265</v>
      </c>
      <c r="BX417" s="1312">
        <v>285</v>
      </c>
      <c r="BY417">
        <v>320</v>
      </c>
      <c r="BZ417" s="1312" t="s">
        <v>1381</v>
      </c>
      <c r="CA417" s="1352"/>
    </row>
    <row r="418" spans="73:79" x14ac:dyDescent="0.3">
      <c r="BU418" s="165" t="str">
        <f>IF(COUNTIF(BV$76:BV418,BV418)=1,MAX(BU$76:BU417)+1,"")</f>
        <v/>
      </c>
      <c r="BV418" s="1312">
        <v>187.5</v>
      </c>
      <c r="BW418" s="1312">
        <v>265</v>
      </c>
      <c r="BX418" s="1312">
        <v>285</v>
      </c>
      <c r="BY418">
        <v>320</v>
      </c>
      <c r="BZ418" s="1312" t="s">
        <v>1381</v>
      </c>
      <c r="CA418" s="1352"/>
    </row>
    <row r="419" spans="73:79" x14ac:dyDescent="0.3">
      <c r="BU419" s="165" t="str">
        <f>IF(COUNTIF(BV$76:BV419,BV419)=1,MAX(BU$76:BU418)+1,"")</f>
        <v/>
      </c>
      <c r="BV419" s="1312">
        <v>187.5</v>
      </c>
      <c r="BW419" s="1312">
        <v>265</v>
      </c>
      <c r="BX419" s="1312">
        <v>285</v>
      </c>
      <c r="BY419">
        <v>320</v>
      </c>
      <c r="BZ419" s="1312" t="s">
        <v>1381</v>
      </c>
      <c r="CA419" s="1352"/>
    </row>
    <row r="420" spans="73:79" x14ac:dyDescent="0.3">
      <c r="BU420" s="165" t="str">
        <f>IF(COUNTIF(BV$76:BV420,BV420)=1,MAX(BU$76:BU419)+1,"")</f>
        <v/>
      </c>
      <c r="BV420" s="1312">
        <v>187.5</v>
      </c>
      <c r="BW420" s="1312">
        <v>265</v>
      </c>
      <c r="BX420" s="1312">
        <v>285</v>
      </c>
      <c r="BY420">
        <v>320</v>
      </c>
      <c r="BZ420" s="1312" t="s">
        <v>1381</v>
      </c>
      <c r="CA420" s="1352"/>
    </row>
    <row r="421" spans="73:79" x14ac:dyDescent="0.3">
      <c r="BU421" s="165" t="str">
        <f>IF(COUNTIF(BV$76:BV421,BV421)=1,MAX(BU$76:BU420)+1,"")</f>
        <v/>
      </c>
      <c r="BV421" s="1312">
        <v>187.5</v>
      </c>
      <c r="BW421" s="1312">
        <v>215</v>
      </c>
      <c r="BX421" s="1312">
        <v>285</v>
      </c>
      <c r="BY421">
        <v>320</v>
      </c>
      <c r="BZ421" s="1312" t="s">
        <v>1380</v>
      </c>
      <c r="CA421" s="1352"/>
    </row>
    <row r="422" spans="73:79" x14ac:dyDescent="0.3">
      <c r="BU422" s="165" t="str">
        <f>IF(COUNTIF(BV$76:BV422,BV422)=1,MAX(BU$76:BU421)+1,"")</f>
        <v/>
      </c>
      <c r="BV422" s="1312">
        <v>187.5</v>
      </c>
      <c r="BW422" s="1312">
        <v>215</v>
      </c>
      <c r="BX422" s="1312">
        <v>285</v>
      </c>
      <c r="BY422">
        <v>320</v>
      </c>
      <c r="BZ422" s="1312" t="s">
        <v>1380</v>
      </c>
      <c r="CA422" s="1352"/>
    </row>
    <row r="423" spans="73:79" x14ac:dyDescent="0.3">
      <c r="BU423" s="165" t="str">
        <f>IF(COUNTIF(BV$76:BV423,BV423)=1,MAX(BU$76:BU422)+1,"")</f>
        <v/>
      </c>
      <c r="BV423" s="1312">
        <v>187.5</v>
      </c>
      <c r="BW423" s="1312">
        <v>317</v>
      </c>
      <c r="BX423" s="1312">
        <v>285</v>
      </c>
      <c r="BY423">
        <v>320</v>
      </c>
      <c r="BZ423" s="1312" t="s">
        <v>1382</v>
      </c>
      <c r="CA423" s="1352"/>
    </row>
    <row r="424" spans="73:79" x14ac:dyDescent="0.3">
      <c r="BU424" s="165" t="str">
        <f>IF(COUNTIF(BV$76:BV424,BV424)=1,MAX(BU$76:BU423)+1,"")</f>
        <v/>
      </c>
      <c r="BV424" s="1312">
        <v>187.5</v>
      </c>
      <c r="BW424" s="1312">
        <v>440</v>
      </c>
      <c r="BX424" s="1312">
        <v>285</v>
      </c>
      <c r="BY424">
        <v>320</v>
      </c>
      <c r="BZ424" s="1312" t="s">
        <v>1383</v>
      </c>
      <c r="CA424" s="1352"/>
    </row>
    <row r="425" spans="73:79" x14ac:dyDescent="0.3">
      <c r="BU425" s="165" t="str">
        <f>IF(COUNTIF(BV$76:BV425,BV425)=1,MAX(BU$76:BU424)+1,"")</f>
        <v/>
      </c>
      <c r="BV425" s="1312">
        <v>187.5</v>
      </c>
      <c r="BW425" s="1312">
        <v>505</v>
      </c>
      <c r="BX425" s="1312">
        <v>285</v>
      </c>
      <c r="BY425">
        <v>320</v>
      </c>
      <c r="BZ425" s="1312" t="s">
        <v>1384</v>
      </c>
      <c r="CA425" s="1352"/>
    </row>
    <row r="426" spans="73:79" x14ac:dyDescent="0.3">
      <c r="BU426" s="165" t="str">
        <f>IF(COUNTIF(BV$76:BV426,BV426)=1,MAX(BU$76:BU425)+1,"")</f>
        <v/>
      </c>
      <c r="BV426" s="1312">
        <v>187.5</v>
      </c>
      <c r="BW426" s="1312">
        <v>320</v>
      </c>
      <c r="BX426" s="1312">
        <v>285</v>
      </c>
      <c r="BY426">
        <v>320</v>
      </c>
      <c r="BZ426" s="1312" t="s">
        <v>1382</v>
      </c>
      <c r="CA426" s="1352"/>
    </row>
    <row r="427" spans="73:79" x14ac:dyDescent="0.3">
      <c r="BU427" s="165" t="str">
        <f>IF(COUNTIF(BV$76:BV427,BV427)=1,MAX(BU$76:BU426)+1,"")</f>
        <v/>
      </c>
      <c r="BV427" s="1312">
        <v>187.5</v>
      </c>
      <c r="BW427" s="1312">
        <v>215</v>
      </c>
      <c r="BX427" s="1312">
        <v>285</v>
      </c>
      <c r="BY427">
        <v>320</v>
      </c>
      <c r="BZ427" s="1312" t="s">
        <v>1380</v>
      </c>
      <c r="CA427" s="1352"/>
    </row>
    <row r="428" spans="73:79" x14ac:dyDescent="0.3">
      <c r="BU428" s="165" t="str">
        <f>IF(COUNTIF(BV$76:BV428,BV428)=1,MAX(BU$76:BU427)+1,"")</f>
        <v/>
      </c>
      <c r="BV428" s="1312">
        <v>187.5</v>
      </c>
      <c r="BW428" s="1312">
        <v>265</v>
      </c>
      <c r="BX428" s="1312">
        <v>285</v>
      </c>
      <c r="BY428">
        <v>320</v>
      </c>
      <c r="BZ428" s="1312" t="s">
        <v>1381</v>
      </c>
      <c r="CA428" s="1352"/>
    </row>
    <row r="429" spans="73:79" x14ac:dyDescent="0.3">
      <c r="BU429" s="165" t="str">
        <f>IF(COUNTIF(BV$76:BV429,BV429)=1,MAX(BU$76:BU428)+1,"")</f>
        <v/>
      </c>
      <c r="BV429" s="1312">
        <v>187.5</v>
      </c>
      <c r="BW429" s="1312">
        <v>260</v>
      </c>
      <c r="BX429" s="1312">
        <v>285</v>
      </c>
      <c r="BY429">
        <v>320</v>
      </c>
      <c r="BZ429" s="1312" t="s">
        <v>1381</v>
      </c>
      <c r="CA429" s="1352"/>
    </row>
    <row r="430" spans="73:79" x14ac:dyDescent="0.3">
      <c r="BU430" s="165" t="str">
        <f>IF(COUNTIF(BV$76:BV430,BV430)=1,MAX(BU$76:BU429)+1,"")</f>
        <v/>
      </c>
      <c r="BV430" s="1312">
        <v>187.5</v>
      </c>
      <c r="BW430" s="1312">
        <v>317</v>
      </c>
      <c r="BX430" s="1312">
        <v>285</v>
      </c>
      <c r="BY430">
        <v>320</v>
      </c>
      <c r="BZ430" s="1312" t="s">
        <v>1382</v>
      </c>
      <c r="CA430" s="1352"/>
    </row>
    <row r="431" spans="73:79" x14ac:dyDescent="0.3">
      <c r="BU431" s="165" t="str">
        <f>IF(COUNTIF(BV$76:BV431,BV431)=1,MAX(BU$76:BU430)+1,"")</f>
        <v/>
      </c>
      <c r="BV431" s="1312">
        <v>187.5</v>
      </c>
      <c r="BW431" s="1312">
        <v>265</v>
      </c>
      <c r="BX431" s="1312">
        <v>285</v>
      </c>
      <c r="BY431">
        <v>320</v>
      </c>
      <c r="BZ431" s="1312" t="s">
        <v>1381</v>
      </c>
      <c r="CA431" s="1352"/>
    </row>
    <row r="432" spans="73:79" x14ac:dyDescent="0.3">
      <c r="BU432" s="165">
        <f>IF(COUNTIF(BV$76:BV432,BV432)=1,MAX(BU$76:BU431)+1,"")</f>
        <v>41</v>
      </c>
      <c r="BV432" s="1312">
        <v>190</v>
      </c>
      <c r="BW432" s="1312">
        <v>265</v>
      </c>
      <c r="BX432" s="1312">
        <v>285</v>
      </c>
      <c r="BY432">
        <v>320</v>
      </c>
      <c r="BZ432" s="1312" t="s">
        <v>1385</v>
      </c>
      <c r="CA432" s="1352"/>
    </row>
    <row r="433" spans="73:79" x14ac:dyDescent="0.3">
      <c r="BU433" s="165" t="str">
        <f>IF(COUNTIF(BV$76:BV433,BV433)=1,MAX(BU$76:BU432)+1,"")</f>
        <v/>
      </c>
      <c r="BV433" s="1312">
        <v>190</v>
      </c>
      <c r="BW433" s="1312">
        <v>263</v>
      </c>
      <c r="BX433" s="1312">
        <v>285</v>
      </c>
      <c r="BY433">
        <v>320</v>
      </c>
      <c r="BZ433" s="1312" t="s">
        <v>1385</v>
      </c>
      <c r="CA433" s="1352"/>
    </row>
    <row r="434" spans="73:79" x14ac:dyDescent="0.3">
      <c r="BU434" s="165" t="str">
        <f>IF(COUNTIF(BV$76:BV434,BV434)=1,MAX(BU$76:BU433)+1,"")</f>
        <v/>
      </c>
      <c r="BV434" s="1312">
        <v>190</v>
      </c>
      <c r="BW434" s="1312">
        <v>263</v>
      </c>
      <c r="BX434" s="1312">
        <v>285</v>
      </c>
      <c r="BY434">
        <v>320</v>
      </c>
      <c r="BZ434" s="1312" t="s">
        <v>1385</v>
      </c>
      <c r="CA434" s="1352"/>
    </row>
    <row r="435" spans="73:79" x14ac:dyDescent="0.3">
      <c r="BU435" s="165" t="str">
        <f>IF(COUNTIF(BV$76:BV435,BV435)=1,MAX(BU$76:BU434)+1,"")</f>
        <v/>
      </c>
      <c r="BV435" s="1312">
        <v>190</v>
      </c>
      <c r="BW435" s="1312">
        <v>265</v>
      </c>
      <c r="BX435" s="1312">
        <v>285</v>
      </c>
      <c r="BY435">
        <v>320</v>
      </c>
      <c r="BZ435" s="1312" t="s">
        <v>1385</v>
      </c>
      <c r="CA435" s="1352"/>
    </row>
    <row r="436" spans="73:79" x14ac:dyDescent="0.3">
      <c r="BU436" s="165" t="str">
        <f>IF(COUNTIF(BV$76:BV436,BV436)=1,MAX(BU$76:BU435)+1,"")</f>
        <v/>
      </c>
      <c r="BV436" s="1312">
        <v>190</v>
      </c>
      <c r="BW436" s="1312">
        <v>265</v>
      </c>
      <c r="BX436" s="1312">
        <v>285</v>
      </c>
      <c r="BY436">
        <v>320</v>
      </c>
      <c r="BZ436" s="1312" t="s">
        <v>1385</v>
      </c>
      <c r="CA436" s="1352"/>
    </row>
    <row r="437" spans="73:79" x14ac:dyDescent="0.3">
      <c r="BU437" s="165" t="str">
        <f>IF(COUNTIF(BV$76:BV437,BV437)=1,MAX(BU$76:BU436)+1,"")</f>
        <v/>
      </c>
      <c r="BV437" s="1312">
        <v>190</v>
      </c>
      <c r="BW437" s="1312">
        <v>265</v>
      </c>
      <c r="BX437" s="1312">
        <v>285</v>
      </c>
      <c r="BY437">
        <v>320</v>
      </c>
      <c r="BZ437" s="1312" t="s">
        <v>1385</v>
      </c>
      <c r="CA437" s="1352"/>
    </row>
    <row r="438" spans="73:79" x14ac:dyDescent="0.3">
      <c r="BU438" s="165" t="str">
        <f>IF(COUNTIF(BV$76:BV438,BV438)=1,MAX(BU$76:BU437)+1,"")</f>
        <v/>
      </c>
      <c r="BV438" s="1312">
        <v>190</v>
      </c>
      <c r="BW438" s="1312">
        <v>265</v>
      </c>
      <c r="BX438" s="1312">
        <v>285</v>
      </c>
      <c r="BY438">
        <v>320</v>
      </c>
      <c r="BZ438" s="1312" t="s">
        <v>1385</v>
      </c>
      <c r="CA438" s="1352"/>
    </row>
    <row r="439" spans="73:79" x14ac:dyDescent="0.3">
      <c r="BU439" s="165" t="str">
        <f>IF(COUNTIF(BV$76:BV439,BV439)=1,MAX(BU$76:BU438)+1,"")</f>
        <v/>
      </c>
      <c r="BV439" s="1312">
        <v>190</v>
      </c>
      <c r="BW439" s="1312">
        <v>265</v>
      </c>
      <c r="BX439" s="1312">
        <v>285</v>
      </c>
      <c r="BY439">
        <v>320</v>
      </c>
      <c r="BZ439" s="1312" t="s">
        <v>1385</v>
      </c>
      <c r="CA439" s="1352"/>
    </row>
    <row r="440" spans="73:79" x14ac:dyDescent="0.3">
      <c r="BU440" s="165" t="str">
        <f>IF(COUNTIF(BV$76:BV440,BV440)=1,MAX(BU$76:BU439)+1,"")</f>
        <v/>
      </c>
      <c r="BV440" s="1312">
        <v>190</v>
      </c>
      <c r="BW440" s="1312">
        <v>260</v>
      </c>
      <c r="BX440" s="1312">
        <v>285</v>
      </c>
      <c r="BY440">
        <v>320</v>
      </c>
      <c r="BZ440" s="1312" t="s">
        <v>1385</v>
      </c>
      <c r="CA440" s="1352"/>
    </row>
    <row r="441" spans="73:79" x14ac:dyDescent="0.3">
      <c r="BU441" s="165" t="str">
        <f>IF(COUNTIF(BV$76:BV441,BV441)=1,MAX(BU$76:BU440)+1,"")</f>
        <v/>
      </c>
      <c r="BV441" s="1312">
        <v>190</v>
      </c>
      <c r="BW441" s="1312">
        <v>260</v>
      </c>
      <c r="BX441" s="1312">
        <v>285</v>
      </c>
      <c r="BY441">
        <v>320</v>
      </c>
      <c r="BZ441" s="1312" t="s">
        <v>1385</v>
      </c>
      <c r="CA441" s="1352"/>
    </row>
    <row r="442" spans="73:79" x14ac:dyDescent="0.3">
      <c r="BU442" s="165" t="str">
        <f>IF(COUNTIF(BV$76:BV442,BV442)=1,MAX(BU$76:BU441)+1,"")</f>
        <v/>
      </c>
      <c r="BV442" s="1312">
        <v>190</v>
      </c>
      <c r="BW442" s="1312">
        <v>265</v>
      </c>
      <c r="BX442" s="1312">
        <v>285</v>
      </c>
      <c r="BY442">
        <v>320</v>
      </c>
      <c r="BZ442" s="1312" t="s">
        <v>1385</v>
      </c>
      <c r="CA442" s="1352"/>
    </row>
    <row r="443" spans="73:79" x14ac:dyDescent="0.3">
      <c r="BU443" s="165" t="str">
        <f>IF(COUNTIF(BV$76:BV443,BV443)=1,MAX(BU$76:BU442)+1,"")</f>
        <v/>
      </c>
      <c r="BV443" s="1312">
        <v>190</v>
      </c>
      <c r="BW443" s="1312">
        <v>265</v>
      </c>
      <c r="BX443" s="1312">
        <v>285</v>
      </c>
      <c r="BY443">
        <v>320</v>
      </c>
      <c r="BZ443" s="1312" t="s">
        <v>1385</v>
      </c>
      <c r="CA443" s="1352"/>
    </row>
    <row r="444" spans="73:79" x14ac:dyDescent="0.3">
      <c r="BU444" s="165" t="str">
        <f>IF(COUNTIF(BV$76:BV444,BV444)=1,MAX(BU$76:BU443)+1,"")</f>
        <v/>
      </c>
      <c r="BV444" s="1312">
        <v>190</v>
      </c>
      <c r="BW444" s="1312">
        <v>265</v>
      </c>
      <c r="BX444" s="1312">
        <v>285</v>
      </c>
      <c r="BY444">
        <v>320</v>
      </c>
      <c r="BZ444" s="1312" t="s">
        <v>1385</v>
      </c>
      <c r="CA444" s="1352"/>
    </row>
    <row r="445" spans="73:79" x14ac:dyDescent="0.3">
      <c r="BU445" s="165" t="str">
        <f>IF(COUNTIF(BV$76:BV445,BV445)=1,MAX(BU$76:BU444)+1,"")</f>
        <v/>
      </c>
      <c r="BV445" s="1312">
        <v>190</v>
      </c>
      <c r="BW445" s="1312">
        <v>260</v>
      </c>
      <c r="BX445" s="1312">
        <v>285</v>
      </c>
      <c r="BY445">
        <v>320</v>
      </c>
      <c r="BZ445" s="1312" t="s">
        <v>1385</v>
      </c>
      <c r="CA445" s="1352"/>
    </row>
    <row r="446" spans="73:79" x14ac:dyDescent="0.3">
      <c r="BU446" s="165" t="str">
        <f>IF(COUNTIF(BV$76:BV446,BV446)=1,MAX(BU$76:BU445)+1,"")</f>
        <v/>
      </c>
      <c r="BV446" s="1312">
        <v>190</v>
      </c>
      <c r="BW446" s="1312">
        <v>265</v>
      </c>
      <c r="BX446" s="1312">
        <v>285</v>
      </c>
      <c r="BY446">
        <v>320</v>
      </c>
      <c r="BZ446" s="1312" t="s">
        <v>1385</v>
      </c>
      <c r="CA446" s="1352"/>
    </row>
    <row r="447" spans="73:79" x14ac:dyDescent="0.3">
      <c r="BU447" s="165" t="str">
        <f>IF(COUNTIF(BV$76:BV447,BV447)=1,MAX(BU$76:BU446)+1,"")</f>
        <v/>
      </c>
      <c r="BV447" s="1312">
        <v>190</v>
      </c>
      <c r="BW447" s="1312">
        <v>265</v>
      </c>
      <c r="BX447" s="1312">
        <v>285</v>
      </c>
      <c r="BY447">
        <v>320</v>
      </c>
      <c r="BZ447" s="1312" t="s">
        <v>1385</v>
      </c>
      <c r="CA447" s="1352"/>
    </row>
    <row r="448" spans="73:79" x14ac:dyDescent="0.3">
      <c r="BU448" s="165" t="str">
        <f>IF(COUNTIF(BV$76:BV448,BV448)=1,MAX(BU$76:BU447)+1,"")</f>
        <v/>
      </c>
      <c r="BV448" s="1312">
        <v>190</v>
      </c>
      <c r="BW448" s="1312">
        <v>265</v>
      </c>
      <c r="BX448" s="1312">
        <v>285</v>
      </c>
      <c r="BY448">
        <v>320</v>
      </c>
      <c r="BZ448" s="1312" t="s">
        <v>1385</v>
      </c>
      <c r="CA448" s="1352"/>
    </row>
    <row r="449" spans="73:79" x14ac:dyDescent="0.3">
      <c r="BU449" s="165" t="str">
        <f>IF(COUNTIF(BV$76:BV449,BV449)=1,MAX(BU$76:BU448)+1,"")</f>
        <v/>
      </c>
      <c r="BV449" s="1312">
        <v>190</v>
      </c>
      <c r="BW449" s="1312">
        <v>265</v>
      </c>
      <c r="BX449" s="1312">
        <v>285</v>
      </c>
      <c r="BY449">
        <v>320</v>
      </c>
      <c r="BZ449" s="1312" t="s">
        <v>1385</v>
      </c>
      <c r="CA449" s="1352"/>
    </row>
    <row r="450" spans="73:79" x14ac:dyDescent="0.3">
      <c r="BU450" s="165" t="str">
        <f>IF(COUNTIF(BV$76:BV450,BV450)=1,MAX(BU$76:BU449)+1,"")</f>
        <v/>
      </c>
      <c r="BV450" s="1312">
        <v>190</v>
      </c>
      <c r="BW450" s="1312">
        <v>263</v>
      </c>
      <c r="BX450" s="1312">
        <v>285</v>
      </c>
      <c r="BY450">
        <v>320</v>
      </c>
      <c r="BZ450" s="1312" t="s">
        <v>1385</v>
      </c>
      <c r="CA450" s="1352"/>
    </row>
    <row r="451" spans="73:79" x14ac:dyDescent="0.3">
      <c r="BU451" s="165" t="str">
        <f>IF(COUNTIF(BV$76:BV451,BV451)=1,MAX(BU$76:BU450)+1,"")</f>
        <v/>
      </c>
      <c r="BV451" s="1312">
        <v>190</v>
      </c>
      <c r="BW451" s="1312">
        <v>265</v>
      </c>
      <c r="BX451" s="1312">
        <v>285</v>
      </c>
      <c r="BY451">
        <v>320</v>
      </c>
      <c r="BZ451" s="1312" t="s">
        <v>1385</v>
      </c>
      <c r="CA451" s="1352"/>
    </row>
    <row r="452" spans="73:79" x14ac:dyDescent="0.3">
      <c r="BU452" s="165" t="str">
        <f>IF(COUNTIF(BV$76:BV452,BV452)=1,MAX(BU$76:BU451)+1,"")</f>
        <v/>
      </c>
      <c r="BV452" s="1312">
        <v>190</v>
      </c>
      <c r="BW452" s="1312">
        <v>263</v>
      </c>
      <c r="BX452" s="1312">
        <v>285</v>
      </c>
      <c r="BY452">
        <v>320</v>
      </c>
      <c r="BZ452" s="1312" t="s">
        <v>1385</v>
      </c>
      <c r="CA452" s="1352"/>
    </row>
    <row r="453" spans="73:79" x14ac:dyDescent="0.3">
      <c r="BU453" s="165" t="str">
        <f>IF(COUNTIF(BV$76:BV453,BV453)=1,MAX(BU$76:BU452)+1,"")</f>
        <v/>
      </c>
      <c r="BV453" s="1312">
        <v>190</v>
      </c>
      <c r="BW453" s="1312">
        <v>213</v>
      </c>
      <c r="BX453" s="1312">
        <v>285</v>
      </c>
      <c r="BY453">
        <v>320</v>
      </c>
      <c r="BZ453" s="1312" t="s">
        <v>1386</v>
      </c>
      <c r="CA453" s="1352"/>
    </row>
    <row r="454" spans="73:79" x14ac:dyDescent="0.3">
      <c r="BU454" s="165" t="str">
        <f>IF(COUNTIF(BV$76:BV454,BV454)=1,MAX(BU$76:BU453)+1,"")</f>
        <v/>
      </c>
      <c r="BV454" s="1312">
        <v>190</v>
      </c>
      <c r="BW454" s="1312">
        <v>320</v>
      </c>
      <c r="BX454" s="1312">
        <v>285</v>
      </c>
      <c r="BY454">
        <v>320</v>
      </c>
      <c r="BZ454" s="1312" t="s">
        <v>1387</v>
      </c>
      <c r="CA454" s="1352"/>
    </row>
    <row r="455" spans="73:79" x14ac:dyDescent="0.3">
      <c r="BU455" s="165" t="str">
        <f>IF(COUNTIF(BV$76:BV455,BV455)=1,MAX(BU$76:BU454)+1,"")</f>
        <v/>
      </c>
      <c r="BV455" s="1312">
        <v>190</v>
      </c>
      <c r="BW455" s="1312">
        <v>265</v>
      </c>
      <c r="BX455" s="1312">
        <v>285</v>
      </c>
      <c r="BY455">
        <v>320</v>
      </c>
      <c r="BZ455" s="1312" t="s">
        <v>1385</v>
      </c>
      <c r="CA455" s="1352"/>
    </row>
    <row r="456" spans="73:79" x14ac:dyDescent="0.3">
      <c r="BU456" s="165" t="str">
        <f>IF(COUNTIF(BV$76:BV456,BV456)=1,MAX(BU$76:BU455)+1,"")</f>
        <v/>
      </c>
      <c r="BV456" s="1312">
        <v>190</v>
      </c>
      <c r="BW456" s="1312">
        <v>265</v>
      </c>
      <c r="BX456" s="1312">
        <v>285</v>
      </c>
      <c r="BY456">
        <v>320</v>
      </c>
      <c r="BZ456" s="1312" t="s">
        <v>1385</v>
      </c>
      <c r="CA456" s="1352"/>
    </row>
    <row r="457" spans="73:79" x14ac:dyDescent="0.3">
      <c r="BU457" s="165" t="str">
        <f>IF(COUNTIF(BV$76:BV457,BV457)=1,MAX(BU$76:BU456)+1,"")</f>
        <v/>
      </c>
      <c r="BV457" s="1312">
        <v>190</v>
      </c>
      <c r="BW457" s="1312">
        <v>265</v>
      </c>
      <c r="BX457" s="1312">
        <v>285</v>
      </c>
      <c r="BY457">
        <v>320</v>
      </c>
      <c r="BZ457" s="1312" t="s">
        <v>1385</v>
      </c>
      <c r="CA457" s="1352"/>
    </row>
    <row r="458" spans="73:79" x14ac:dyDescent="0.3">
      <c r="BU458" s="165" t="str">
        <f>IF(COUNTIF(BV$76:BV458,BV458)=1,MAX(BU$76:BU457)+1,"")</f>
        <v/>
      </c>
      <c r="BV458" s="1312">
        <v>190</v>
      </c>
      <c r="BW458" s="1312">
        <v>265</v>
      </c>
      <c r="BX458" s="1312">
        <v>285</v>
      </c>
      <c r="BY458">
        <v>320</v>
      </c>
      <c r="BZ458" s="1312" t="s">
        <v>1385</v>
      </c>
      <c r="CA458" s="1352"/>
    </row>
    <row r="459" spans="73:79" x14ac:dyDescent="0.3">
      <c r="BU459" s="165" t="str">
        <f>IF(COUNTIF(BV$76:BV459,BV459)=1,MAX(BU$76:BU458)+1,"")</f>
        <v/>
      </c>
      <c r="BV459" s="1312">
        <v>190</v>
      </c>
      <c r="BW459" s="1312">
        <v>265</v>
      </c>
      <c r="BX459" s="1312">
        <v>285</v>
      </c>
      <c r="BY459">
        <v>320</v>
      </c>
      <c r="BZ459" s="1312" t="s">
        <v>1385</v>
      </c>
      <c r="CA459" s="1352"/>
    </row>
    <row r="460" spans="73:79" x14ac:dyDescent="0.3">
      <c r="BU460" s="165" t="str">
        <f>IF(COUNTIF(BV$76:BV460,BV460)=1,MAX(BU$76:BU459)+1,"")</f>
        <v/>
      </c>
      <c r="BV460" s="1312">
        <v>190</v>
      </c>
      <c r="BW460" s="1312">
        <v>265</v>
      </c>
      <c r="BX460" s="1312">
        <v>285</v>
      </c>
      <c r="BY460">
        <v>320</v>
      </c>
      <c r="BZ460" s="1312" t="s">
        <v>1385</v>
      </c>
      <c r="CA460" s="1352"/>
    </row>
    <row r="461" spans="73:79" x14ac:dyDescent="0.3">
      <c r="BU461" s="165" t="str">
        <f>IF(COUNTIF(BV$76:BV461,BV461)=1,MAX(BU$76:BU460)+1,"")</f>
        <v/>
      </c>
      <c r="BV461" s="1312">
        <v>190</v>
      </c>
      <c r="BW461" s="1312">
        <v>265</v>
      </c>
      <c r="BX461" s="1312">
        <v>285</v>
      </c>
      <c r="BY461">
        <v>320</v>
      </c>
      <c r="BZ461" s="1312" t="s">
        <v>1385</v>
      </c>
      <c r="CA461" s="1352"/>
    </row>
    <row r="462" spans="73:79" x14ac:dyDescent="0.3">
      <c r="BU462" s="165" t="str">
        <f>IF(COUNTIF(BV$76:BV462,BV462)=1,MAX(BU$76:BU461)+1,"")</f>
        <v/>
      </c>
      <c r="BV462" s="1312">
        <v>190</v>
      </c>
      <c r="BW462" s="1312">
        <v>265</v>
      </c>
      <c r="BX462" s="1312">
        <v>285</v>
      </c>
      <c r="BY462">
        <v>320</v>
      </c>
      <c r="BZ462" s="1312" t="s">
        <v>1385</v>
      </c>
      <c r="CA462" s="1352"/>
    </row>
    <row r="463" spans="73:79" x14ac:dyDescent="0.3">
      <c r="BU463" s="165">
        <f>IF(COUNTIF(BV$76:BV463,BV463)=1,MAX(BU$76:BU462)+1,"")</f>
        <v>42</v>
      </c>
      <c r="BV463" s="1312">
        <v>192.5</v>
      </c>
      <c r="BW463" s="1312">
        <v>265</v>
      </c>
      <c r="BX463" s="1312">
        <v>285</v>
      </c>
      <c r="BY463">
        <v>320</v>
      </c>
      <c r="BZ463" s="1312" t="s">
        <v>1388</v>
      </c>
      <c r="CA463" s="1352"/>
    </row>
    <row r="464" spans="73:79" x14ac:dyDescent="0.3">
      <c r="BU464" s="165" t="str">
        <f>IF(COUNTIF(BV$76:BV464,BV464)=1,MAX(BU$76:BU463)+1,"")</f>
        <v/>
      </c>
      <c r="BV464" s="1312">
        <v>192.5</v>
      </c>
      <c r="BW464" s="1312">
        <v>265</v>
      </c>
      <c r="BX464" s="1312">
        <v>285</v>
      </c>
      <c r="BY464">
        <v>320</v>
      </c>
      <c r="BZ464" s="1312" t="s">
        <v>1388</v>
      </c>
      <c r="CA464" s="1352"/>
    </row>
    <row r="465" spans="73:79" x14ac:dyDescent="0.3">
      <c r="BU465" s="165" t="str">
        <f>IF(COUNTIF(BV$76:BV465,BV465)=1,MAX(BU$76:BU464)+1,"")</f>
        <v/>
      </c>
      <c r="BV465" s="1312">
        <v>192.5</v>
      </c>
      <c r="BW465" s="1312">
        <v>263</v>
      </c>
      <c r="BX465" s="1312">
        <v>285</v>
      </c>
      <c r="BY465">
        <v>320</v>
      </c>
      <c r="BZ465" s="1312" t="s">
        <v>1388</v>
      </c>
      <c r="CA465" s="1352"/>
    </row>
    <row r="466" spans="73:79" x14ac:dyDescent="0.3">
      <c r="BU466" s="165" t="str">
        <f>IF(COUNTIF(BV$76:BV466,BV466)=1,MAX(BU$76:BU465)+1,"")</f>
        <v/>
      </c>
      <c r="BV466" s="1312">
        <v>192.5</v>
      </c>
      <c r="BW466" s="1312">
        <v>260</v>
      </c>
      <c r="BX466" s="1312">
        <v>285</v>
      </c>
      <c r="BY466">
        <v>320</v>
      </c>
      <c r="BZ466" s="1312" t="s">
        <v>1388</v>
      </c>
      <c r="CA466" s="1352"/>
    </row>
    <row r="467" spans="73:79" x14ac:dyDescent="0.3">
      <c r="BU467" s="165" t="str">
        <f>IF(COUNTIF(BV$76:BV467,BV467)=1,MAX(BU$76:BU466)+1,"")</f>
        <v/>
      </c>
      <c r="BV467" s="1312">
        <v>192.5</v>
      </c>
      <c r="BW467" s="1312">
        <v>265</v>
      </c>
      <c r="BX467" s="1312">
        <v>285</v>
      </c>
      <c r="BY467">
        <v>320</v>
      </c>
      <c r="BZ467" s="1312" t="s">
        <v>1388</v>
      </c>
      <c r="CA467" s="1352"/>
    </row>
    <row r="468" spans="73:79" x14ac:dyDescent="0.3">
      <c r="BU468" s="165" t="str">
        <f>IF(COUNTIF(BV$76:BV468,BV468)=1,MAX(BU$76:BU467)+1,"")</f>
        <v/>
      </c>
      <c r="BV468" s="1312">
        <v>192.5</v>
      </c>
      <c r="BW468" s="1312">
        <v>265</v>
      </c>
      <c r="BX468" s="1312">
        <v>285</v>
      </c>
      <c r="BY468">
        <v>320</v>
      </c>
      <c r="BZ468" s="1312" t="s">
        <v>1388</v>
      </c>
      <c r="CA468" s="1352"/>
    </row>
    <row r="469" spans="73:79" x14ac:dyDescent="0.3">
      <c r="BU469" s="165" t="str">
        <f>IF(COUNTIF(BV$76:BV469,BV469)=1,MAX(BU$76:BU468)+1,"")</f>
        <v/>
      </c>
      <c r="BV469" s="1312">
        <v>192.5</v>
      </c>
      <c r="BW469" s="1312">
        <v>265</v>
      </c>
      <c r="BX469" s="1312">
        <v>285</v>
      </c>
      <c r="BY469">
        <v>320</v>
      </c>
      <c r="BZ469" s="1312" t="s">
        <v>1388</v>
      </c>
      <c r="CA469" s="1352"/>
    </row>
    <row r="470" spans="73:79" x14ac:dyDescent="0.3">
      <c r="BU470" s="165" t="str">
        <f>IF(COUNTIF(BV$76:BV470,BV470)=1,MAX(BU$76:BU469)+1,"")</f>
        <v/>
      </c>
      <c r="BV470" s="1312">
        <v>192.5</v>
      </c>
      <c r="BW470" s="1312">
        <v>265</v>
      </c>
      <c r="BX470" s="1312">
        <v>285</v>
      </c>
      <c r="BY470">
        <v>320</v>
      </c>
      <c r="BZ470" s="1312" t="s">
        <v>1388</v>
      </c>
      <c r="CA470" s="1352"/>
    </row>
    <row r="471" spans="73:79" x14ac:dyDescent="0.3">
      <c r="BU471" s="165" t="str">
        <f>IF(COUNTIF(BV$76:BV471,BV471)=1,MAX(BU$76:BU470)+1,"")</f>
        <v/>
      </c>
      <c r="BV471" s="1312">
        <v>192.5</v>
      </c>
      <c r="BW471" s="1312">
        <v>265</v>
      </c>
      <c r="BX471" s="1312">
        <v>285</v>
      </c>
      <c r="BY471">
        <v>320</v>
      </c>
      <c r="BZ471" s="1312" t="s">
        <v>1388</v>
      </c>
      <c r="CA471" s="1352"/>
    </row>
    <row r="472" spans="73:79" x14ac:dyDescent="0.3">
      <c r="BU472" s="165" t="str">
        <f>IF(COUNTIF(BV$76:BV472,BV472)=1,MAX(BU$76:BU471)+1,"")</f>
        <v/>
      </c>
      <c r="BV472" s="1312">
        <v>192.5</v>
      </c>
      <c r="BW472" s="1312">
        <v>265</v>
      </c>
      <c r="BX472" s="1312">
        <v>285</v>
      </c>
      <c r="BY472">
        <v>320</v>
      </c>
      <c r="BZ472" s="1312" t="s">
        <v>1388</v>
      </c>
      <c r="CA472" s="1352"/>
    </row>
    <row r="473" spans="73:79" x14ac:dyDescent="0.3">
      <c r="BU473" s="165" t="str">
        <f>IF(COUNTIF(BV$76:BV473,BV473)=1,MAX(BU$76:BU472)+1,"")</f>
        <v/>
      </c>
      <c r="BV473" s="1312">
        <v>192.5</v>
      </c>
      <c r="BW473" s="1312">
        <v>263</v>
      </c>
      <c r="BX473" s="1312">
        <v>285</v>
      </c>
      <c r="BY473">
        <v>320</v>
      </c>
      <c r="BZ473" s="1312" t="s">
        <v>1388</v>
      </c>
      <c r="CA473" s="1352"/>
    </row>
    <row r="474" spans="73:79" x14ac:dyDescent="0.3">
      <c r="BU474" s="165" t="str">
        <f>IF(COUNTIF(BV$76:BV474,BV474)=1,MAX(BU$76:BU473)+1,"")</f>
        <v/>
      </c>
      <c r="BV474" s="1312">
        <v>192.5</v>
      </c>
      <c r="BW474" s="1312">
        <v>265</v>
      </c>
      <c r="BX474" s="1312">
        <v>285</v>
      </c>
      <c r="BY474">
        <v>320</v>
      </c>
      <c r="BZ474" s="1312" t="s">
        <v>1388</v>
      </c>
      <c r="CA474" s="1352"/>
    </row>
    <row r="475" spans="73:79" x14ac:dyDescent="0.3">
      <c r="BU475" s="165" t="str">
        <f>IF(COUNTIF(BV$76:BV475,BV475)=1,MAX(BU$76:BU474)+1,"")</f>
        <v/>
      </c>
      <c r="BV475" s="1312">
        <v>192.5</v>
      </c>
      <c r="BW475" s="1312">
        <v>265</v>
      </c>
      <c r="BX475" s="1312">
        <v>285</v>
      </c>
      <c r="BY475">
        <v>320</v>
      </c>
      <c r="BZ475" s="1312" t="s">
        <v>1388</v>
      </c>
      <c r="CA475" s="1352"/>
    </row>
    <row r="476" spans="73:79" x14ac:dyDescent="0.3">
      <c r="BU476" s="165" t="str">
        <f>IF(COUNTIF(BV$76:BV476,BV476)=1,MAX(BU$76:BU475)+1,"")</f>
        <v/>
      </c>
      <c r="BV476" s="1312">
        <v>192.5</v>
      </c>
      <c r="BW476" s="1312">
        <v>265</v>
      </c>
      <c r="BX476" s="1312">
        <v>285</v>
      </c>
      <c r="BY476">
        <v>320</v>
      </c>
      <c r="BZ476" s="1312" t="s">
        <v>1388</v>
      </c>
      <c r="CA476" s="1352"/>
    </row>
    <row r="477" spans="73:79" x14ac:dyDescent="0.3">
      <c r="BU477" s="165" t="str">
        <f>IF(COUNTIF(BV$76:BV477,BV477)=1,MAX(BU$76:BU476)+1,"")</f>
        <v/>
      </c>
      <c r="BV477" s="1312">
        <v>192.5</v>
      </c>
      <c r="BW477" s="1312">
        <v>265</v>
      </c>
      <c r="BX477" s="1312">
        <v>285</v>
      </c>
      <c r="BY477">
        <v>320</v>
      </c>
      <c r="BZ477" s="1312" t="s">
        <v>1388</v>
      </c>
      <c r="CA477" s="1352"/>
    </row>
    <row r="478" spans="73:79" x14ac:dyDescent="0.3">
      <c r="BU478" s="165" t="str">
        <f>IF(COUNTIF(BV$76:BV478,BV478)=1,MAX(BU$76:BU477)+1,"")</f>
        <v/>
      </c>
      <c r="BV478" s="1312">
        <v>192.5</v>
      </c>
      <c r="BW478" s="1312">
        <v>260</v>
      </c>
      <c r="BX478" s="1312">
        <v>375</v>
      </c>
      <c r="BY478">
        <v>320</v>
      </c>
      <c r="BZ478" s="1312" t="s">
        <v>1389</v>
      </c>
      <c r="CA478" s="1352"/>
    </row>
    <row r="479" spans="73:79" x14ac:dyDescent="0.3">
      <c r="BU479" s="165" t="str">
        <f>IF(COUNTIF(BV$76:BV479,BV479)=1,MAX(BU$76:BU478)+1,"")</f>
        <v/>
      </c>
      <c r="BV479" s="1312">
        <v>192.5</v>
      </c>
      <c r="BW479" s="1312">
        <v>265</v>
      </c>
      <c r="BX479" s="1312">
        <v>285</v>
      </c>
      <c r="BY479">
        <v>320</v>
      </c>
      <c r="BZ479" s="1312" t="s">
        <v>1388</v>
      </c>
      <c r="CA479" s="1352"/>
    </row>
    <row r="480" spans="73:79" x14ac:dyDescent="0.3">
      <c r="BU480" s="165" t="str">
        <f>IF(COUNTIF(BV$76:BV480,BV480)=1,MAX(BU$76:BU479)+1,"")</f>
        <v/>
      </c>
      <c r="BV480" s="1312">
        <v>192.5</v>
      </c>
      <c r="BW480" s="1312">
        <v>265</v>
      </c>
      <c r="BX480" s="1312">
        <v>285</v>
      </c>
      <c r="BY480">
        <v>320</v>
      </c>
      <c r="BZ480" s="1312" t="s">
        <v>1388</v>
      </c>
      <c r="CA480" s="1352"/>
    </row>
    <row r="481" spans="73:79" x14ac:dyDescent="0.3">
      <c r="BU481" s="165" t="str">
        <f>IF(COUNTIF(BV$76:BV481,BV481)=1,MAX(BU$76:BU480)+1,"")</f>
        <v/>
      </c>
      <c r="BV481" s="1312">
        <v>192.5</v>
      </c>
      <c r="BW481" s="1312">
        <v>265</v>
      </c>
      <c r="BX481" s="1312">
        <v>285</v>
      </c>
      <c r="BY481">
        <v>320</v>
      </c>
      <c r="BZ481" s="1312" t="s">
        <v>1388</v>
      </c>
      <c r="CA481" s="1352"/>
    </row>
    <row r="482" spans="73:79" x14ac:dyDescent="0.3">
      <c r="BU482" s="165" t="str">
        <f>IF(COUNTIF(BV$76:BV482,BV482)=1,MAX(BU$76:BU481)+1,"")</f>
        <v/>
      </c>
      <c r="BV482" s="1312">
        <v>192.5</v>
      </c>
      <c r="BW482" s="1312">
        <v>265</v>
      </c>
      <c r="BX482" s="1312">
        <v>285</v>
      </c>
      <c r="BY482">
        <v>320</v>
      </c>
      <c r="BZ482" s="1312" t="s">
        <v>1388</v>
      </c>
      <c r="CA482" s="1352"/>
    </row>
    <row r="483" spans="73:79" x14ac:dyDescent="0.3">
      <c r="BU483" s="165" t="str">
        <f>IF(COUNTIF(BV$76:BV483,BV483)=1,MAX(BU$76:BU482)+1,"")</f>
        <v/>
      </c>
      <c r="BV483" s="1312">
        <v>192.5</v>
      </c>
      <c r="BW483" s="1312">
        <v>250</v>
      </c>
      <c r="BX483" s="1312">
        <v>285</v>
      </c>
      <c r="BY483">
        <v>320</v>
      </c>
      <c r="BZ483" s="1312" t="s">
        <v>1388</v>
      </c>
      <c r="CA483" s="1352"/>
    </row>
    <row r="484" spans="73:79" x14ac:dyDescent="0.3">
      <c r="BU484" s="165" t="str">
        <f>IF(COUNTIF(BV$76:BV484,BV484)=1,MAX(BU$76:BU483)+1,"")</f>
        <v/>
      </c>
      <c r="BV484" s="1312">
        <v>192.5</v>
      </c>
      <c r="BW484" s="1312">
        <v>265</v>
      </c>
      <c r="BX484" s="1312">
        <v>285</v>
      </c>
      <c r="BY484">
        <v>320</v>
      </c>
      <c r="BZ484" s="1312" t="s">
        <v>1388</v>
      </c>
      <c r="CA484" s="1352"/>
    </row>
    <row r="485" spans="73:79" x14ac:dyDescent="0.3">
      <c r="BU485" s="165" t="str">
        <f>IF(COUNTIF(BV$76:BV485,BV485)=1,MAX(BU$76:BU484)+1,"")</f>
        <v/>
      </c>
      <c r="BV485" s="1312">
        <v>192.5</v>
      </c>
      <c r="BW485" s="1312">
        <v>265</v>
      </c>
      <c r="BX485" s="1312">
        <v>285</v>
      </c>
      <c r="BY485">
        <v>320</v>
      </c>
      <c r="BZ485" s="1312" t="s">
        <v>1388</v>
      </c>
      <c r="CA485" s="1352"/>
    </row>
    <row r="486" spans="73:79" x14ac:dyDescent="0.3">
      <c r="BU486" s="165" t="str">
        <f>IF(COUNTIF(BV$76:BV486,BV486)=1,MAX(BU$76:BU485)+1,"")</f>
        <v/>
      </c>
      <c r="BV486" s="1312">
        <v>192.5</v>
      </c>
      <c r="BW486" s="1312">
        <v>262</v>
      </c>
      <c r="BX486" s="1312">
        <v>285</v>
      </c>
      <c r="BY486">
        <v>320</v>
      </c>
      <c r="BZ486" s="1312" t="s">
        <v>1388</v>
      </c>
      <c r="CA486" s="1352"/>
    </row>
    <row r="487" spans="73:79" x14ac:dyDescent="0.3">
      <c r="BU487" s="165" t="str">
        <f>IF(COUNTIF(BV$76:BV487,BV487)=1,MAX(BU$76:BU486)+1,"")</f>
        <v/>
      </c>
      <c r="BV487" s="1312">
        <v>192.5</v>
      </c>
      <c r="BW487" s="1312">
        <v>317</v>
      </c>
      <c r="BX487" s="1312">
        <v>285</v>
      </c>
      <c r="BY487">
        <v>320</v>
      </c>
      <c r="BZ487" s="1312" t="s">
        <v>1390</v>
      </c>
      <c r="CA487" s="1352"/>
    </row>
    <row r="488" spans="73:79" x14ac:dyDescent="0.3">
      <c r="BU488" s="165" t="str">
        <f>IF(COUNTIF(BV$76:BV488,BV488)=1,MAX(BU$76:BU487)+1,"")</f>
        <v/>
      </c>
      <c r="BV488" s="1312">
        <v>192.5</v>
      </c>
      <c r="BW488" s="1312">
        <v>265</v>
      </c>
      <c r="BX488" s="1312">
        <v>285</v>
      </c>
      <c r="BY488">
        <v>320</v>
      </c>
      <c r="BZ488" s="1312" t="s">
        <v>1388</v>
      </c>
      <c r="CA488" s="1352"/>
    </row>
    <row r="489" spans="73:79" x14ac:dyDescent="0.3">
      <c r="BU489" s="165" t="str">
        <f>IF(COUNTIF(BV$76:BV489,BV489)=1,MAX(BU$76:BU488)+1,"")</f>
        <v/>
      </c>
      <c r="BV489" s="1312">
        <v>192.5</v>
      </c>
      <c r="BW489" s="1312">
        <v>260</v>
      </c>
      <c r="BX489" s="1312">
        <v>360</v>
      </c>
      <c r="BY489">
        <v>320</v>
      </c>
      <c r="BZ489" s="1312" t="s">
        <v>1389</v>
      </c>
      <c r="CA489" s="1352"/>
    </row>
    <row r="490" spans="73:79" x14ac:dyDescent="0.3">
      <c r="BU490" s="165" t="str">
        <f>IF(COUNTIF(BV$76:BV490,BV490)=1,MAX(BU$76:BU489)+1,"")</f>
        <v/>
      </c>
      <c r="BV490" s="1312">
        <v>192.5</v>
      </c>
      <c r="BW490" s="1312">
        <v>265</v>
      </c>
      <c r="BX490" s="1312">
        <v>285</v>
      </c>
      <c r="BY490">
        <v>320</v>
      </c>
      <c r="BZ490" s="1312" t="s">
        <v>1388</v>
      </c>
      <c r="CA490" s="1352"/>
    </row>
    <row r="491" spans="73:79" x14ac:dyDescent="0.3">
      <c r="BU491" s="165" t="str">
        <f>IF(COUNTIF(BV$76:BV491,BV491)=1,MAX(BU$76:BU490)+1,"")</f>
        <v/>
      </c>
      <c r="BV491" s="1312">
        <v>192.5</v>
      </c>
      <c r="BW491" s="1312">
        <v>260</v>
      </c>
      <c r="BX491" s="1312">
        <v>285</v>
      </c>
      <c r="BY491">
        <v>320</v>
      </c>
      <c r="BZ491" s="1312" t="s">
        <v>1388</v>
      </c>
      <c r="CA491" s="1352"/>
    </row>
    <row r="492" spans="73:79" x14ac:dyDescent="0.3">
      <c r="BU492" s="165" t="str">
        <f>IF(COUNTIF(BV$76:BV492,BV492)=1,MAX(BU$76:BU491)+1,"")</f>
        <v/>
      </c>
      <c r="BV492" s="1312">
        <v>192.5</v>
      </c>
      <c r="BW492" s="1312">
        <v>265</v>
      </c>
      <c r="BX492" s="1312">
        <v>285</v>
      </c>
      <c r="BY492">
        <v>320</v>
      </c>
      <c r="BZ492" s="1312" t="s">
        <v>1388</v>
      </c>
      <c r="CA492" s="1352"/>
    </row>
    <row r="493" spans="73:79" x14ac:dyDescent="0.3">
      <c r="BU493" s="165" t="str">
        <f>IF(COUNTIF(BV$76:BV493,BV493)=1,MAX(BU$76:BU492)+1,"")</f>
        <v/>
      </c>
      <c r="BV493" s="1312">
        <v>192.5</v>
      </c>
      <c r="BW493" s="1312">
        <v>265</v>
      </c>
      <c r="BX493" s="1312">
        <v>285</v>
      </c>
      <c r="BY493">
        <v>320</v>
      </c>
      <c r="BZ493" s="1312" t="s">
        <v>1388</v>
      </c>
      <c r="CA493" s="1352"/>
    </row>
    <row r="494" spans="73:79" x14ac:dyDescent="0.3">
      <c r="BU494" s="165" t="str">
        <f>IF(COUNTIF(BV$76:BV494,BV494)=1,MAX(BU$76:BU493)+1,"")</f>
        <v/>
      </c>
      <c r="BV494" s="1312">
        <v>192.5</v>
      </c>
      <c r="BW494" s="1312">
        <v>265</v>
      </c>
      <c r="BX494" s="1312">
        <v>285</v>
      </c>
      <c r="BY494">
        <v>320</v>
      </c>
      <c r="BZ494" s="1312" t="s">
        <v>1388</v>
      </c>
      <c r="CA494" s="1352"/>
    </row>
    <row r="495" spans="73:79" x14ac:dyDescent="0.3">
      <c r="BU495" s="165" t="str">
        <f>IF(COUNTIF(BV$76:BV495,BV495)=1,MAX(BU$76:BU494)+1,"")</f>
        <v/>
      </c>
      <c r="BV495" s="1312">
        <v>192.5</v>
      </c>
      <c r="BW495" s="1312">
        <v>265</v>
      </c>
      <c r="BX495" s="1312">
        <v>285</v>
      </c>
      <c r="BY495">
        <v>320</v>
      </c>
      <c r="BZ495" s="1312" t="s">
        <v>1388</v>
      </c>
      <c r="CA495" s="1352"/>
    </row>
    <row r="496" spans="73:79" x14ac:dyDescent="0.3">
      <c r="BU496" s="165" t="str">
        <f>IF(COUNTIF(BV$76:BV496,BV496)=1,MAX(BU$76:BU495)+1,"")</f>
        <v/>
      </c>
      <c r="BV496" s="1312">
        <v>192.5</v>
      </c>
      <c r="BW496" s="1312">
        <v>260</v>
      </c>
      <c r="BX496" s="1312">
        <v>375</v>
      </c>
      <c r="BY496">
        <v>320</v>
      </c>
      <c r="BZ496" s="1312" t="s">
        <v>1389</v>
      </c>
      <c r="CA496" s="1352"/>
    </row>
    <row r="497" spans="73:79" x14ac:dyDescent="0.3">
      <c r="BU497" s="165">
        <f>IF(COUNTIF(BV$76:BV497,BV497)=1,MAX(BU$76:BU496)+1,"")</f>
        <v>43</v>
      </c>
      <c r="BV497" s="1312">
        <v>195</v>
      </c>
      <c r="BW497" s="1312">
        <v>265</v>
      </c>
      <c r="BX497" s="1312">
        <v>285</v>
      </c>
      <c r="BY497">
        <v>320</v>
      </c>
      <c r="BZ497" s="1312" t="s">
        <v>1391</v>
      </c>
      <c r="CA497" s="1352"/>
    </row>
    <row r="498" spans="73:79" x14ac:dyDescent="0.3">
      <c r="BU498" s="165" t="str">
        <f>IF(COUNTIF(BV$76:BV498,BV498)=1,MAX(BU$76:BU497)+1,"")</f>
        <v/>
      </c>
      <c r="BV498" s="1312">
        <v>195</v>
      </c>
      <c r="BW498" s="1312">
        <v>265</v>
      </c>
      <c r="BX498" s="1312">
        <v>285</v>
      </c>
      <c r="BY498">
        <v>320</v>
      </c>
      <c r="BZ498" s="1312" t="s">
        <v>1391</v>
      </c>
      <c r="CA498" s="1352"/>
    </row>
    <row r="499" spans="73:79" x14ac:dyDescent="0.3">
      <c r="BU499" s="165" t="str">
        <f>IF(COUNTIF(BV$76:BV499,BV499)=1,MAX(BU$76:BU498)+1,"")</f>
        <v/>
      </c>
      <c r="BV499" s="1312">
        <v>195</v>
      </c>
      <c r="BW499" s="1312">
        <v>265</v>
      </c>
      <c r="BX499" s="1312">
        <v>285</v>
      </c>
      <c r="BY499">
        <v>320</v>
      </c>
      <c r="BZ499" s="1312" t="s">
        <v>1391</v>
      </c>
      <c r="CA499" s="1352"/>
    </row>
    <row r="500" spans="73:79" x14ac:dyDescent="0.3">
      <c r="BU500" s="165" t="str">
        <f>IF(COUNTIF(BV$76:BV500,BV500)=1,MAX(BU$76:BU499)+1,"")</f>
        <v/>
      </c>
      <c r="BV500" s="1312">
        <v>195</v>
      </c>
      <c r="BW500" s="1312">
        <v>265</v>
      </c>
      <c r="BX500" s="1312">
        <v>285</v>
      </c>
      <c r="BY500">
        <v>320</v>
      </c>
      <c r="BZ500" s="1312" t="s">
        <v>1391</v>
      </c>
      <c r="CA500" s="1352"/>
    </row>
    <row r="501" spans="73:79" x14ac:dyDescent="0.3">
      <c r="BU501" s="165" t="str">
        <f>IF(COUNTIF(BV$76:BV501,BV501)=1,MAX(BU$76:BU500)+1,"")</f>
        <v/>
      </c>
      <c r="BV501" s="1312">
        <v>195</v>
      </c>
      <c r="BW501" s="1312">
        <v>265</v>
      </c>
      <c r="BX501" s="1312">
        <v>285</v>
      </c>
      <c r="BY501">
        <v>320</v>
      </c>
      <c r="BZ501" s="1312" t="s">
        <v>1391</v>
      </c>
      <c r="CA501" s="1352"/>
    </row>
    <row r="502" spans="73:79" x14ac:dyDescent="0.3">
      <c r="BU502" s="165" t="str">
        <f>IF(COUNTIF(BV$76:BV502,BV502)=1,MAX(BU$76:BU501)+1,"")</f>
        <v/>
      </c>
      <c r="BV502" s="1312">
        <v>195</v>
      </c>
      <c r="BW502" s="1312">
        <v>265</v>
      </c>
      <c r="BX502" s="1312">
        <v>285</v>
      </c>
      <c r="BY502">
        <v>320</v>
      </c>
      <c r="BZ502" s="1312" t="s">
        <v>1391</v>
      </c>
      <c r="CA502" s="1352"/>
    </row>
    <row r="503" spans="73:79" x14ac:dyDescent="0.3">
      <c r="BU503" s="165" t="str">
        <f>IF(COUNTIF(BV$76:BV503,BV503)=1,MAX(BU$76:BU502)+1,"")</f>
        <v/>
      </c>
      <c r="BV503" s="1312">
        <v>195</v>
      </c>
      <c r="BW503" s="1312">
        <v>260</v>
      </c>
      <c r="BX503" s="1312">
        <v>285</v>
      </c>
      <c r="BY503">
        <v>320</v>
      </c>
      <c r="BZ503" s="1312" t="s">
        <v>1391</v>
      </c>
      <c r="CA503" s="1352"/>
    </row>
    <row r="504" spans="73:79" x14ac:dyDescent="0.3">
      <c r="BU504" s="165" t="str">
        <f>IF(COUNTIF(BV$76:BV504,BV504)=1,MAX(BU$76:BU503)+1,"")</f>
        <v/>
      </c>
      <c r="BV504" s="1312">
        <v>195</v>
      </c>
      <c r="BW504" s="1312">
        <v>265</v>
      </c>
      <c r="BX504" s="1312">
        <v>285</v>
      </c>
      <c r="BY504">
        <v>320</v>
      </c>
      <c r="BZ504" s="1312" t="s">
        <v>1391</v>
      </c>
      <c r="CA504" s="1352"/>
    </row>
    <row r="505" spans="73:79" x14ac:dyDescent="0.3">
      <c r="BU505" s="165" t="str">
        <f>IF(COUNTIF(BV$76:BV505,BV505)=1,MAX(BU$76:BU504)+1,"")</f>
        <v/>
      </c>
      <c r="BV505" s="1312">
        <v>195</v>
      </c>
      <c r="BW505" s="1312">
        <v>265</v>
      </c>
      <c r="BX505" s="1312">
        <v>285</v>
      </c>
      <c r="BY505">
        <v>320</v>
      </c>
      <c r="BZ505" s="1312" t="s">
        <v>1391</v>
      </c>
      <c r="CA505" s="1352"/>
    </row>
    <row r="506" spans="73:79" x14ac:dyDescent="0.3">
      <c r="BU506" s="165" t="str">
        <f>IF(COUNTIF(BV$76:BV506,BV506)=1,MAX(BU$76:BU505)+1,"")</f>
        <v/>
      </c>
      <c r="BV506" s="1312">
        <v>195</v>
      </c>
      <c r="BW506" s="1312">
        <v>318</v>
      </c>
      <c r="BX506" s="1312">
        <v>285</v>
      </c>
      <c r="BY506">
        <v>320</v>
      </c>
      <c r="BZ506" s="1312" t="s">
        <v>1392</v>
      </c>
      <c r="CA506" s="1352"/>
    </row>
    <row r="507" spans="73:79" x14ac:dyDescent="0.3">
      <c r="BU507" s="165" t="str">
        <f>IF(COUNTIF(BV$76:BV507,BV507)=1,MAX(BU$76:BU506)+1,"")</f>
        <v/>
      </c>
      <c r="BV507" s="1312">
        <v>195</v>
      </c>
      <c r="BW507" s="1312">
        <v>377</v>
      </c>
      <c r="BX507" s="1312">
        <v>285</v>
      </c>
      <c r="BY507">
        <v>320</v>
      </c>
      <c r="BZ507" s="1312" t="s">
        <v>1393</v>
      </c>
      <c r="CA507" s="1352"/>
    </row>
    <row r="508" spans="73:79" x14ac:dyDescent="0.3">
      <c r="BU508" s="165" t="str">
        <f>IF(COUNTIF(BV$76:BV508,BV508)=1,MAX(BU$76:BU507)+1,"")</f>
        <v/>
      </c>
      <c r="BV508" s="1312">
        <v>195</v>
      </c>
      <c r="BW508" s="1312">
        <v>263</v>
      </c>
      <c r="BX508" s="1312">
        <v>285</v>
      </c>
      <c r="BY508">
        <v>320</v>
      </c>
      <c r="BZ508" s="1312" t="s">
        <v>1391</v>
      </c>
      <c r="CA508" s="1352"/>
    </row>
    <row r="509" spans="73:79" x14ac:dyDescent="0.3">
      <c r="BU509" s="165" t="str">
        <f>IF(COUNTIF(BV$76:BV509,BV509)=1,MAX(BU$76:BU508)+1,"")</f>
        <v/>
      </c>
      <c r="BV509" s="1312">
        <v>195</v>
      </c>
      <c r="BW509" s="1312">
        <v>377</v>
      </c>
      <c r="BX509" s="1312">
        <v>285</v>
      </c>
      <c r="BY509">
        <v>320</v>
      </c>
      <c r="BZ509" s="1312" t="s">
        <v>1393</v>
      </c>
      <c r="CA509" s="1352"/>
    </row>
    <row r="510" spans="73:79" x14ac:dyDescent="0.3">
      <c r="BU510" s="165" t="str">
        <f>IF(COUNTIF(BV$76:BV510,BV510)=1,MAX(BU$76:BU509)+1,"")</f>
        <v/>
      </c>
      <c r="BV510" s="1312">
        <v>195</v>
      </c>
      <c r="BW510" s="1312">
        <v>260</v>
      </c>
      <c r="BX510" s="1312">
        <v>285</v>
      </c>
      <c r="BY510">
        <v>320</v>
      </c>
      <c r="BZ510" s="1312" t="s">
        <v>1391</v>
      </c>
      <c r="CA510" s="1352"/>
    </row>
    <row r="511" spans="73:79" x14ac:dyDescent="0.3">
      <c r="BU511" s="165" t="str">
        <f>IF(COUNTIF(BV$76:BV511,BV511)=1,MAX(BU$76:BU510)+1,"")</f>
        <v/>
      </c>
      <c r="BV511" s="1312">
        <v>195</v>
      </c>
      <c r="BW511" s="1312">
        <v>265</v>
      </c>
      <c r="BX511" s="1312">
        <v>285</v>
      </c>
      <c r="BY511">
        <v>320</v>
      </c>
      <c r="BZ511" s="1312" t="s">
        <v>1391</v>
      </c>
      <c r="CA511" s="1352"/>
    </row>
    <row r="512" spans="73:79" x14ac:dyDescent="0.3">
      <c r="BU512" s="165" t="str">
        <f>IF(COUNTIF(BV$76:BV512,BV512)=1,MAX(BU$76:BU511)+1,"")</f>
        <v/>
      </c>
      <c r="BV512" s="1312">
        <v>195</v>
      </c>
      <c r="BW512" s="1312">
        <v>265</v>
      </c>
      <c r="BX512" s="1312">
        <v>285</v>
      </c>
      <c r="BY512">
        <v>320</v>
      </c>
      <c r="BZ512" s="1312" t="s">
        <v>1391</v>
      </c>
      <c r="CA512" s="1352"/>
    </row>
    <row r="513" spans="73:79" x14ac:dyDescent="0.3">
      <c r="BU513" s="165">
        <f>IF(COUNTIF(BV$76:BV513,BV513)=1,MAX(BU$76:BU512)+1,"")</f>
        <v>44</v>
      </c>
      <c r="BV513" s="1312">
        <v>197.5</v>
      </c>
      <c r="BW513" s="1312">
        <v>265</v>
      </c>
      <c r="BX513" s="1312">
        <v>285</v>
      </c>
      <c r="BY513">
        <v>320</v>
      </c>
      <c r="BZ513" s="1312" t="s">
        <v>1394</v>
      </c>
      <c r="CA513" s="1352"/>
    </row>
    <row r="514" spans="73:79" x14ac:dyDescent="0.3">
      <c r="BU514" s="165" t="str">
        <f>IF(COUNTIF(BV$76:BV514,BV514)=1,MAX(BU$76:BU513)+1,"")</f>
        <v/>
      </c>
      <c r="BV514" s="1312">
        <v>197.5</v>
      </c>
      <c r="BW514" s="1312">
        <v>260</v>
      </c>
      <c r="BX514" s="1312">
        <v>285</v>
      </c>
      <c r="BY514">
        <v>320</v>
      </c>
      <c r="BZ514" s="1312" t="s">
        <v>1394</v>
      </c>
      <c r="CA514" s="1352"/>
    </row>
    <row r="515" spans="73:79" x14ac:dyDescent="0.3">
      <c r="BU515" s="165" t="str">
        <f>IF(COUNTIF(BV$76:BV515,BV515)=1,MAX(BU$76:BU514)+1,"")</f>
        <v/>
      </c>
      <c r="BV515" s="1312">
        <v>197.5</v>
      </c>
      <c r="BW515" s="1312">
        <v>260</v>
      </c>
      <c r="BX515" s="1312">
        <v>285</v>
      </c>
      <c r="BY515">
        <v>320</v>
      </c>
      <c r="BZ515" s="1312" t="s">
        <v>1394</v>
      </c>
      <c r="CA515" s="1352"/>
    </row>
    <row r="516" spans="73:79" x14ac:dyDescent="0.3">
      <c r="BU516" s="165" t="str">
        <f>IF(COUNTIF(BV$76:BV516,BV516)=1,MAX(BU$76:BU515)+1,"")</f>
        <v/>
      </c>
      <c r="BV516" s="1312">
        <v>197.5</v>
      </c>
      <c r="BW516" s="1312">
        <v>265</v>
      </c>
      <c r="BX516" s="1312">
        <v>285</v>
      </c>
      <c r="BY516">
        <v>320</v>
      </c>
      <c r="BZ516" s="1312" t="s">
        <v>1394</v>
      </c>
      <c r="CA516" s="1352"/>
    </row>
    <row r="517" spans="73:79" x14ac:dyDescent="0.3">
      <c r="BU517" s="165" t="str">
        <f>IF(COUNTIF(BV$76:BV517,BV517)=1,MAX(BU$76:BU516)+1,"")</f>
        <v/>
      </c>
      <c r="BV517" s="1312">
        <v>197.5</v>
      </c>
      <c r="BW517" s="1312">
        <v>265</v>
      </c>
      <c r="BX517" s="1312">
        <v>285</v>
      </c>
      <c r="BY517">
        <v>320</v>
      </c>
      <c r="BZ517" s="1312" t="s">
        <v>1394</v>
      </c>
      <c r="CA517" s="1352"/>
    </row>
    <row r="518" spans="73:79" x14ac:dyDescent="0.3">
      <c r="BU518" s="165" t="str">
        <f>IF(COUNTIF(BV$76:BV518,BV518)=1,MAX(BU$76:BU517)+1,"")</f>
        <v/>
      </c>
      <c r="BV518" s="1312">
        <v>197.5</v>
      </c>
      <c r="BW518" s="1312">
        <v>263</v>
      </c>
      <c r="BX518" s="1312">
        <v>285</v>
      </c>
      <c r="BY518">
        <v>320</v>
      </c>
      <c r="BZ518" s="1312" t="s">
        <v>1394</v>
      </c>
      <c r="CA518" s="1352"/>
    </row>
    <row r="519" spans="73:79" x14ac:dyDescent="0.3">
      <c r="BU519" s="165" t="str">
        <f>IF(COUNTIF(BV$76:BV519,BV519)=1,MAX(BU$76:BU518)+1,"")</f>
        <v/>
      </c>
      <c r="BV519" s="1312">
        <v>197.5</v>
      </c>
      <c r="BW519" s="1312">
        <v>318</v>
      </c>
      <c r="BX519" s="1312">
        <v>285</v>
      </c>
      <c r="BY519">
        <v>320</v>
      </c>
      <c r="BZ519" s="1312" t="s">
        <v>1395</v>
      </c>
      <c r="CA519" s="1352"/>
    </row>
    <row r="520" spans="73:79" x14ac:dyDescent="0.3">
      <c r="BU520" s="165" t="str">
        <f>IF(COUNTIF(BV$76:BV520,BV520)=1,MAX(BU$76:BU519)+1,"")</f>
        <v/>
      </c>
      <c r="BV520" s="1312">
        <v>197.5</v>
      </c>
      <c r="BW520" s="1312">
        <v>325</v>
      </c>
      <c r="BX520" s="1312">
        <v>285</v>
      </c>
      <c r="BY520">
        <v>320</v>
      </c>
      <c r="BZ520" s="1312" t="s">
        <v>1395</v>
      </c>
      <c r="CA520" s="1352"/>
    </row>
    <row r="521" spans="73:79" x14ac:dyDescent="0.3">
      <c r="BU521" s="165" t="str">
        <f>IF(COUNTIF(BV$76:BV521,BV521)=1,MAX(BU$76:BU520)+1,"")</f>
        <v/>
      </c>
      <c r="BV521" s="1312">
        <v>197.5</v>
      </c>
      <c r="BW521" s="1312">
        <v>265</v>
      </c>
      <c r="BX521" s="1312">
        <v>285</v>
      </c>
      <c r="BY521">
        <v>320</v>
      </c>
      <c r="BZ521" s="1312" t="s">
        <v>1394</v>
      </c>
      <c r="CA521" s="1352"/>
    </row>
    <row r="522" spans="73:79" x14ac:dyDescent="0.3">
      <c r="BU522" s="165" t="str">
        <f>IF(COUNTIF(BV$76:BV522,BV522)=1,MAX(BU$76:BU521)+1,"")</f>
        <v/>
      </c>
      <c r="BV522" s="1312">
        <v>197.5</v>
      </c>
      <c r="BW522" s="1312">
        <v>265</v>
      </c>
      <c r="BX522" s="1312">
        <v>285</v>
      </c>
      <c r="BY522">
        <v>320</v>
      </c>
      <c r="BZ522" s="1312" t="s">
        <v>1394</v>
      </c>
      <c r="CA522" s="1352"/>
    </row>
    <row r="523" spans="73:79" x14ac:dyDescent="0.3">
      <c r="BU523" s="165" t="str">
        <f>IF(COUNTIF(BV$76:BV523,BV523)=1,MAX(BU$76:BU522)+1,"")</f>
        <v/>
      </c>
      <c r="BV523" s="1312">
        <v>197.5</v>
      </c>
      <c r="BW523" s="1312">
        <v>260</v>
      </c>
      <c r="BX523" s="1312">
        <v>285</v>
      </c>
      <c r="BY523">
        <v>320</v>
      </c>
      <c r="BZ523" s="1312" t="s">
        <v>1394</v>
      </c>
      <c r="CA523" s="1352"/>
    </row>
    <row r="524" spans="73:79" x14ac:dyDescent="0.3">
      <c r="BU524" s="165" t="str">
        <f>IF(COUNTIF(BV$76:BV524,BV524)=1,MAX(BU$76:BU523)+1,"")</f>
        <v/>
      </c>
      <c r="BV524" s="1312">
        <v>197.5</v>
      </c>
      <c r="BW524" s="1312">
        <v>378</v>
      </c>
      <c r="BX524" s="1312">
        <v>285</v>
      </c>
      <c r="BY524">
        <v>320</v>
      </c>
      <c r="BZ524" s="1312" t="s">
        <v>1396</v>
      </c>
      <c r="CA524" s="1352"/>
    </row>
    <row r="525" spans="73:79" x14ac:dyDescent="0.3">
      <c r="BU525" s="165" t="str">
        <f>IF(COUNTIF(BV$76:BV525,BV525)=1,MAX(BU$76:BU524)+1,"")</f>
        <v/>
      </c>
      <c r="BV525" s="1312">
        <v>197.5</v>
      </c>
      <c r="BW525" s="1312">
        <v>318</v>
      </c>
      <c r="BX525" s="1312">
        <v>285</v>
      </c>
      <c r="BY525">
        <v>320</v>
      </c>
      <c r="BZ525" s="1312" t="s">
        <v>1395</v>
      </c>
      <c r="CA525" s="1352"/>
    </row>
    <row r="526" spans="73:79" x14ac:dyDescent="0.3">
      <c r="BU526" s="165" t="str">
        <f>IF(COUNTIF(BV$76:BV526,BV526)=1,MAX(BU$76:BU525)+1,"")</f>
        <v/>
      </c>
      <c r="BV526" s="1312">
        <v>197.5</v>
      </c>
      <c r="BW526" s="1312">
        <v>263</v>
      </c>
      <c r="BX526" s="1312">
        <v>285</v>
      </c>
      <c r="BY526">
        <v>320</v>
      </c>
      <c r="BZ526" s="1312" t="s">
        <v>1394</v>
      </c>
      <c r="CA526" s="1352"/>
    </row>
    <row r="527" spans="73:79" x14ac:dyDescent="0.3">
      <c r="BU527" s="165" t="str">
        <f>IF(COUNTIF(BV$76:BV527,BV527)=1,MAX(BU$76:BU526)+1,"")</f>
        <v/>
      </c>
      <c r="BV527" s="1312">
        <v>197.5</v>
      </c>
      <c r="BW527" s="1312">
        <v>265</v>
      </c>
      <c r="BX527" s="1312">
        <v>285</v>
      </c>
      <c r="BY527">
        <v>320</v>
      </c>
      <c r="BZ527" s="1312" t="s">
        <v>1394</v>
      </c>
      <c r="CA527" s="1352"/>
    </row>
    <row r="528" spans="73:79" x14ac:dyDescent="0.3">
      <c r="BU528" s="165" t="str">
        <f>IF(COUNTIF(BV$76:BV528,BV528)=1,MAX(BU$76:BU527)+1,"")</f>
        <v/>
      </c>
      <c r="BV528" s="1312">
        <v>197.5</v>
      </c>
      <c r="BW528" s="1312">
        <v>375</v>
      </c>
      <c r="BX528" s="1312">
        <v>285</v>
      </c>
      <c r="BY528">
        <v>320</v>
      </c>
      <c r="BZ528" s="1312" t="s">
        <v>1396</v>
      </c>
      <c r="CA528" s="1352"/>
    </row>
    <row r="529" spans="73:79" x14ac:dyDescent="0.3">
      <c r="BU529" s="165">
        <f>IF(COUNTIF(BV$76:BV529,BV529)=1,MAX(BU$76:BU528)+1,"")</f>
        <v>45</v>
      </c>
      <c r="BV529" s="1312">
        <v>200</v>
      </c>
      <c r="BW529" s="1312">
        <v>265</v>
      </c>
      <c r="BX529" s="1312">
        <v>285</v>
      </c>
      <c r="BY529">
        <v>320</v>
      </c>
      <c r="BZ529" s="1312" t="s">
        <v>1397</v>
      </c>
      <c r="CA529" s="1352"/>
    </row>
    <row r="530" spans="73:79" x14ac:dyDescent="0.3">
      <c r="BU530" s="165" t="str">
        <f>IF(COUNTIF(BV$76:BV530,BV530)=1,MAX(BU$76:BU529)+1,"")</f>
        <v/>
      </c>
      <c r="BV530" s="1312">
        <v>200</v>
      </c>
      <c r="BW530" s="1312">
        <v>265</v>
      </c>
      <c r="BX530" s="1312">
        <v>285</v>
      </c>
      <c r="BY530">
        <v>320</v>
      </c>
      <c r="BZ530" s="1312" t="s">
        <v>1397</v>
      </c>
      <c r="CA530" s="1352"/>
    </row>
    <row r="531" spans="73:79" x14ac:dyDescent="0.3">
      <c r="BU531" s="165" t="str">
        <f>IF(COUNTIF(BV$76:BV531,BV531)=1,MAX(BU$76:BU530)+1,"")</f>
        <v/>
      </c>
      <c r="BV531" s="1312">
        <v>200</v>
      </c>
      <c r="BW531" s="1312">
        <v>265</v>
      </c>
      <c r="BX531" s="1312">
        <v>285</v>
      </c>
      <c r="BY531">
        <v>320</v>
      </c>
      <c r="BZ531" s="1312" t="s">
        <v>1397</v>
      </c>
      <c r="CA531" s="1352"/>
    </row>
    <row r="532" spans="73:79" x14ac:dyDescent="0.3">
      <c r="BU532" s="165" t="str">
        <f>IF(COUNTIF(BV$76:BV532,BV532)=1,MAX(BU$76:BU531)+1,"")</f>
        <v/>
      </c>
      <c r="BV532" s="1312">
        <v>200</v>
      </c>
      <c r="BW532" s="1312">
        <v>410</v>
      </c>
      <c r="BX532" s="1312">
        <v>285</v>
      </c>
      <c r="BY532">
        <v>320</v>
      </c>
      <c r="BZ532" s="1312" t="s">
        <v>1398</v>
      </c>
      <c r="CA532" s="1352"/>
    </row>
    <row r="533" spans="73:79" x14ac:dyDescent="0.3">
      <c r="BU533" s="165" t="str">
        <f>IF(COUNTIF(BV$76:BV533,BV533)=1,MAX(BU$76:BU532)+1,"")</f>
        <v/>
      </c>
      <c r="BV533" s="1312">
        <v>200</v>
      </c>
      <c r="BW533" s="1312">
        <v>265</v>
      </c>
      <c r="BX533" s="1312">
        <v>285</v>
      </c>
      <c r="BY533">
        <v>320</v>
      </c>
      <c r="BZ533" s="1312" t="s">
        <v>1397</v>
      </c>
      <c r="CA533" s="1352"/>
    </row>
    <row r="534" spans="73:79" x14ac:dyDescent="0.3">
      <c r="BU534" s="165" t="str">
        <f>IF(COUNTIF(BV$76:BV534,BV534)=1,MAX(BU$76:BU533)+1,"")</f>
        <v/>
      </c>
      <c r="BV534" s="1312">
        <v>200</v>
      </c>
      <c r="BW534" s="1312">
        <v>265</v>
      </c>
      <c r="BX534" s="1312">
        <v>285</v>
      </c>
      <c r="BY534">
        <v>320</v>
      </c>
      <c r="BZ534" s="1312" t="s">
        <v>1397</v>
      </c>
      <c r="CA534" s="1352"/>
    </row>
    <row r="535" spans="73:79" x14ac:dyDescent="0.3">
      <c r="BU535" s="165" t="str">
        <f>IF(COUNTIF(BV$76:BV535,BV535)=1,MAX(BU$76:BU534)+1,"")</f>
        <v/>
      </c>
      <c r="BV535" s="1312">
        <v>200</v>
      </c>
      <c r="BW535" s="1312">
        <v>260</v>
      </c>
      <c r="BX535" s="1312">
        <v>285</v>
      </c>
      <c r="BY535">
        <v>320</v>
      </c>
      <c r="BZ535" s="1312" t="s">
        <v>1397</v>
      </c>
      <c r="CA535" s="1352"/>
    </row>
    <row r="536" spans="73:79" x14ac:dyDescent="0.3">
      <c r="BU536" s="165" t="str">
        <f>IF(COUNTIF(BV$76:BV536,BV536)=1,MAX(BU$76:BU535)+1,"")</f>
        <v/>
      </c>
      <c r="BV536" s="1312">
        <v>200</v>
      </c>
      <c r="BW536" s="1312">
        <v>265</v>
      </c>
      <c r="BX536" s="1312">
        <v>285</v>
      </c>
      <c r="BY536">
        <v>320</v>
      </c>
      <c r="BZ536" s="1312" t="s">
        <v>1397</v>
      </c>
      <c r="CA536" s="1352"/>
    </row>
    <row r="537" spans="73:79" x14ac:dyDescent="0.3">
      <c r="BU537" s="165" t="str">
        <f>IF(COUNTIF(BV$76:BV537,BV537)=1,MAX(BU$76:BU536)+1,"")</f>
        <v/>
      </c>
      <c r="BV537" s="1312">
        <v>200</v>
      </c>
      <c r="BW537" s="1312">
        <v>260</v>
      </c>
      <c r="BX537" s="1312">
        <v>285</v>
      </c>
      <c r="BY537">
        <v>320</v>
      </c>
      <c r="BZ537" s="1312" t="s">
        <v>1397</v>
      </c>
      <c r="CA537" s="1352"/>
    </row>
    <row r="538" spans="73:79" x14ac:dyDescent="0.3">
      <c r="BU538" s="165" t="str">
        <f>IF(COUNTIF(BV$76:BV538,BV538)=1,MAX(BU$76:BU537)+1,"")</f>
        <v/>
      </c>
      <c r="BV538" s="1312">
        <v>200</v>
      </c>
      <c r="BW538" s="1312">
        <v>265</v>
      </c>
      <c r="BX538" s="1312">
        <v>285</v>
      </c>
      <c r="BY538">
        <v>320</v>
      </c>
      <c r="BZ538" s="1312" t="s">
        <v>1397</v>
      </c>
      <c r="CA538" s="1352"/>
    </row>
    <row r="539" spans="73:79" x14ac:dyDescent="0.3">
      <c r="BU539" s="165" t="str">
        <f>IF(COUNTIF(BV$76:BV539,BV539)=1,MAX(BU$76:BU538)+1,"")</f>
        <v/>
      </c>
      <c r="BV539" s="1312">
        <v>200</v>
      </c>
      <c r="BW539" s="1312">
        <v>265</v>
      </c>
      <c r="BX539" s="1312">
        <v>285</v>
      </c>
      <c r="BY539">
        <v>320</v>
      </c>
      <c r="BZ539" s="1312" t="s">
        <v>1397</v>
      </c>
      <c r="CA539" s="1352"/>
    </row>
    <row r="540" spans="73:79" x14ac:dyDescent="0.3">
      <c r="BU540" s="165" t="str">
        <f>IF(COUNTIF(BV$76:BV540,BV540)=1,MAX(BU$76:BU539)+1,"")</f>
        <v/>
      </c>
      <c r="BV540" s="1312">
        <v>200</v>
      </c>
      <c r="BW540" s="1312">
        <v>265</v>
      </c>
      <c r="BX540" s="1312">
        <v>285</v>
      </c>
      <c r="BY540">
        <v>320</v>
      </c>
      <c r="BZ540" s="1312" t="s">
        <v>1397</v>
      </c>
      <c r="CA540" s="1352"/>
    </row>
    <row r="541" spans="73:79" x14ac:dyDescent="0.3">
      <c r="BU541" s="165" t="str">
        <f>IF(COUNTIF(BV$76:BV541,BV541)=1,MAX(BU$76:BU540)+1,"")</f>
        <v/>
      </c>
      <c r="BV541" s="1312">
        <v>200</v>
      </c>
      <c r="BW541" s="1312">
        <v>262</v>
      </c>
      <c r="BX541" s="1312">
        <v>285</v>
      </c>
      <c r="BY541">
        <v>320</v>
      </c>
      <c r="BZ541" s="1312" t="s">
        <v>1397</v>
      </c>
      <c r="CA541" s="1352"/>
    </row>
    <row r="542" spans="73:79" x14ac:dyDescent="0.3">
      <c r="BU542" s="165" t="str">
        <f>IF(COUNTIF(BV$76:BV542,BV542)=1,MAX(BU$76:BU541)+1,"")</f>
        <v/>
      </c>
      <c r="BV542" s="1312">
        <v>200</v>
      </c>
      <c r="BW542" s="1312">
        <v>265</v>
      </c>
      <c r="BX542" s="1312">
        <v>285</v>
      </c>
      <c r="BY542">
        <v>320</v>
      </c>
      <c r="BZ542" s="1312" t="s">
        <v>1397</v>
      </c>
      <c r="CA542" s="1352"/>
    </row>
    <row r="543" spans="73:79" x14ac:dyDescent="0.3">
      <c r="BU543" s="165" t="str">
        <f>IF(COUNTIF(BV$76:BV543,BV543)=1,MAX(BU$76:BU542)+1,"")</f>
        <v/>
      </c>
      <c r="BV543" s="1312">
        <v>200</v>
      </c>
      <c r="BW543" s="1312">
        <v>315</v>
      </c>
      <c r="BX543" s="1312">
        <v>285</v>
      </c>
      <c r="BY543">
        <v>320</v>
      </c>
      <c r="BZ543" s="1312" t="s">
        <v>1399</v>
      </c>
      <c r="CA543" s="1352"/>
    </row>
    <row r="544" spans="73:79" x14ac:dyDescent="0.3">
      <c r="BU544" s="165" t="str">
        <f>IF(COUNTIF(BV$76:BV544,BV544)=1,MAX(BU$76:BU543)+1,"")</f>
        <v/>
      </c>
      <c r="BV544" s="1312">
        <v>200</v>
      </c>
      <c r="BW544" s="1312">
        <v>265</v>
      </c>
      <c r="BX544" s="1312">
        <v>285</v>
      </c>
      <c r="BY544">
        <v>320</v>
      </c>
      <c r="BZ544" s="1312" t="s">
        <v>1397</v>
      </c>
      <c r="CA544" s="1352"/>
    </row>
    <row r="545" spans="73:79" x14ac:dyDescent="0.3">
      <c r="BU545" s="165">
        <f>IF(COUNTIF(BV$76:BV545,BV545)=1,MAX(BU$76:BU544)+1,"")</f>
        <v>46</v>
      </c>
      <c r="BV545" s="1312">
        <v>202.5</v>
      </c>
      <c r="BW545" s="1312">
        <v>410</v>
      </c>
      <c r="BX545" s="1312">
        <v>285</v>
      </c>
      <c r="BY545">
        <v>320</v>
      </c>
      <c r="BZ545" s="1312" t="s">
        <v>1400</v>
      </c>
      <c r="CA545" s="1352"/>
    </row>
    <row r="546" spans="73:79" x14ac:dyDescent="0.3">
      <c r="BU546" s="165">
        <f>IF(COUNTIF(BV$76:BV546,BV546)=1,MAX(BU$76:BU545)+1,"")</f>
        <v>47</v>
      </c>
      <c r="BV546" s="1312">
        <v>205</v>
      </c>
      <c r="BW546" s="1312">
        <v>260</v>
      </c>
      <c r="BX546" s="1312">
        <v>285</v>
      </c>
      <c r="BY546">
        <v>320</v>
      </c>
      <c r="BZ546" s="1312" t="s">
        <v>1401</v>
      </c>
      <c r="CA546" s="1352"/>
    </row>
    <row r="547" spans="73:79" x14ac:dyDescent="0.3">
      <c r="BU547" s="165" t="str">
        <f>IF(COUNTIF(BV$76:BV547,BV547)=1,MAX(BU$76:BU546)+1,"")</f>
        <v/>
      </c>
      <c r="BV547" s="1312">
        <v>205</v>
      </c>
      <c r="BW547" s="1312">
        <v>265</v>
      </c>
      <c r="BX547" s="1312">
        <v>285</v>
      </c>
      <c r="BY547">
        <v>320</v>
      </c>
      <c r="BZ547" s="1312" t="s">
        <v>1401</v>
      </c>
      <c r="CA547" s="1352"/>
    </row>
    <row r="548" spans="73:79" x14ac:dyDescent="0.3">
      <c r="BU548" s="165" t="str">
        <f>IF(COUNTIF(BV$76:BV548,BV548)=1,MAX(BU$76:BU547)+1,"")</f>
        <v/>
      </c>
      <c r="BV548" s="1312">
        <v>205</v>
      </c>
      <c r="BW548" s="1312">
        <v>265</v>
      </c>
      <c r="BX548" s="1312">
        <v>285</v>
      </c>
      <c r="BY548">
        <v>320</v>
      </c>
      <c r="BZ548" s="1312" t="s">
        <v>1401</v>
      </c>
      <c r="CA548" s="1352"/>
    </row>
    <row r="549" spans="73:79" x14ac:dyDescent="0.3">
      <c r="BU549" s="165" t="str">
        <f>IF(COUNTIF(BV$76:BV549,BV549)=1,MAX(BU$76:BU548)+1,"")</f>
        <v/>
      </c>
      <c r="BV549" s="1312">
        <v>205</v>
      </c>
      <c r="BW549" s="1312">
        <v>265</v>
      </c>
      <c r="BX549" s="1312">
        <v>285</v>
      </c>
      <c r="BY549">
        <v>320</v>
      </c>
      <c r="BZ549" s="1312" t="s">
        <v>1401</v>
      </c>
      <c r="CA549" s="1352"/>
    </row>
    <row r="550" spans="73:79" x14ac:dyDescent="0.3">
      <c r="BU550" s="165" t="str">
        <f>IF(COUNTIF(BV$76:BV550,BV550)=1,MAX(BU$76:BU549)+1,"")</f>
        <v/>
      </c>
      <c r="BV550" s="1312">
        <v>205</v>
      </c>
      <c r="BW550" s="1312">
        <v>265</v>
      </c>
      <c r="BX550" s="1312">
        <v>285</v>
      </c>
      <c r="BY550">
        <v>320</v>
      </c>
      <c r="BZ550" s="1312" t="s">
        <v>1401</v>
      </c>
      <c r="CA550" s="1352"/>
    </row>
    <row r="551" spans="73:79" x14ac:dyDescent="0.3">
      <c r="BU551" s="165" t="str">
        <f>IF(COUNTIF(BV$76:BV551,BV551)=1,MAX(BU$76:BU550)+1,"")</f>
        <v/>
      </c>
      <c r="BV551" s="1312">
        <v>205</v>
      </c>
      <c r="BW551" s="1312">
        <v>265</v>
      </c>
      <c r="BX551" s="1312">
        <v>285</v>
      </c>
      <c r="BY551">
        <v>320</v>
      </c>
      <c r="BZ551" s="1312" t="s">
        <v>1401</v>
      </c>
      <c r="CA551" s="1352"/>
    </row>
    <row r="552" spans="73:79" x14ac:dyDescent="0.3">
      <c r="BU552" s="165" t="str">
        <f>IF(COUNTIF(BV$76:BV552,BV552)=1,MAX(BU$76:BU551)+1,"")</f>
        <v/>
      </c>
      <c r="BV552" s="1312">
        <v>205</v>
      </c>
      <c r="BW552" s="1312">
        <v>265</v>
      </c>
      <c r="BX552" s="1312">
        <v>285</v>
      </c>
      <c r="BY552">
        <v>320</v>
      </c>
      <c r="BZ552" s="1312" t="s">
        <v>1401</v>
      </c>
      <c r="CA552" s="1352"/>
    </row>
    <row r="553" spans="73:79" x14ac:dyDescent="0.3">
      <c r="BU553" s="165" t="str">
        <f>IF(COUNTIF(BV$76:BV553,BV553)=1,MAX(BU$76:BU552)+1,"")</f>
        <v/>
      </c>
      <c r="BV553" s="1312">
        <v>205</v>
      </c>
      <c r="BW553" s="1312">
        <v>265</v>
      </c>
      <c r="BX553" s="1312">
        <v>285</v>
      </c>
      <c r="BY553">
        <v>320</v>
      </c>
      <c r="BZ553" s="1312" t="s">
        <v>1401</v>
      </c>
      <c r="CA553" s="1352"/>
    </row>
    <row r="554" spans="73:79" x14ac:dyDescent="0.3">
      <c r="BU554" s="165" t="str">
        <f>IF(COUNTIF(BV$76:BV554,BV554)=1,MAX(BU$76:BU553)+1,"")</f>
        <v/>
      </c>
      <c r="BV554" s="1312">
        <v>205</v>
      </c>
      <c r="BW554" s="1312">
        <v>265</v>
      </c>
      <c r="BX554" s="1312">
        <v>285</v>
      </c>
      <c r="BY554">
        <v>320</v>
      </c>
      <c r="BZ554" s="1312" t="s">
        <v>1401</v>
      </c>
      <c r="CA554" s="1352"/>
    </row>
    <row r="555" spans="73:79" x14ac:dyDescent="0.3">
      <c r="BU555" s="165" t="str">
        <f>IF(COUNTIF(BV$76:BV555,BV555)=1,MAX(BU$76:BU554)+1,"")</f>
        <v/>
      </c>
      <c r="BV555" s="1312">
        <v>205</v>
      </c>
      <c r="BW555" s="1312">
        <v>315</v>
      </c>
      <c r="BX555" s="1312">
        <v>285</v>
      </c>
      <c r="BY555">
        <v>320</v>
      </c>
      <c r="BZ555" s="1312" t="s">
        <v>1402</v>
      </c>
      <c r="CA555" s="1352"/>
    </row>
    <row r="556" spans="73:79" x14ac:dyDescent="0.3">
      <c r="BU556" s="165" t="str">
        <f>IF(COUNTIF(BV$76:BV556,BV556)=1,MAX(BU$76:BU555)+1,"")</f>
        <v/>
      </c>
      <c r="BV556" s="1312">
        <v>205</v>
      </c>
      <c r="BW556" s="1312">
        <v>260</v>
      </c>
      <c r="BX556" s="1312">
        <v>285</v>
      </c>
      <c r="BY556">
        <v>320</v>
      </c>
      <c r="BZ556" s="1312" t="s">
        <v>1401</v>
      </c>
      <c r="CA556" s="1352"/>
    </row>
    <row r="557" spans="73:79" x14ac:dyDescent="0.3">
      <c r="BU557" s="165" t="str">
        <f>IF(COUNTIF(BV$76:BV557,BV557)=1,MAX(BU$76:BU556)+1,"")</f>
        <v/>
      </c>
      <c r="BV557" s="1312">
        <v>205</v>
      </c>
      <c r="BW557" s="1312">
        <v>270</v>
      </c>
      <c r="BX557" s="1312">
        <v>285</v>
      </c>
      <c r="BY557">
        <v>320</v>
      </c>
      <c r="BZ557" s="1312" t="s">
        <v>1401</v>
      </c>
      <c r="CA557" s="1352"/>
    </row>
    <row r="558" spans="73:79" x14ac:dyDescent="0.3">
      <c r="BU558" s="165" t="str">
        <f>IF(COUNTIF(BV$76:BV558,BV558)=1,MAX(BU$76:BU557)+1,"")</f>
        <v/>
      </c>
      <c r="BV558" s="1312">
        <v>205</v>
      </c>
      <c r="BW558" s="1312">
        <v>263</v>
      </c>
      <c r="BX558" s="1312">
        <v>285</v>
      </c>
      <c r="BY558">
        <v>320</v>
      </c>
      <c r="BZ558" s="1312" t="s">
        <v>1401</v>
      </c>
      <c r="CA558" s="1352"/>
    </row>
    <row r="559" spans="73:79" x14ac:dyDescent="0.3">
      <c r="BU559" s="165" t="str">
        <f>IF(COUNTIF(BV$76:BV559,BV559)=1,MAX(BU$76:BU558)+1,"")</f>
        <v/>
      </c>
      <c r="BV559" s="1312">
        <v>205</v>
      </c>
      <c r="BW559" s="1312">
        <v>265</v>
      </c>
      <c r="BX559" s="1312">
        <v>285</v>
      </c>
      <c r="BY559">
        <v>320</v>
      </c>
      <c r="BZ559" s="1312" t="s">
        <v>1401</v>
      </c>
      <c r="CA559" s="1352"/>
    </row>
    <row r="560" spans="73:79" x14ac:dyDescent="0.3">
      <c r="BU560" s="165" t="str">
        <f>IF(COUNTIF(BV$76:BV560,BV560)=1,MAX(BU$76:BU559)+1,"")</f>
        <v/>
      </c>
      <c r="BV560" s="1312">
        <v>205</v>
      </c>
      <c r="BW560" s="1312">
        <v>260</v>
      </c>
      <c r="BX560" s="1312">
        <v>285</v>
      </c>
      <c r="BY560">
        <v>320</v>
      </c>
      <c r="BZ560" s="1312" t="s">
        <v>1401</v>
      </c>
      <c r="CA560" s="1352"/>
    </row>
    <row r="561" spans="73:79" x14ac:dyDescent="0.3">
      <c r="BU561" s="165" t="str">
        <f>IF(COUNTIF(BV$76:BV561,BV561)=1,MAX(BU$76:BU560)+1,"")</f>
        <v/>
      </c>
      <c r="BV561" s="1312">
        <v>205</v>
      </c>
      <c r="BW561" s="1312">
        <v>265</v>
      </c>
      <c r="BX561" s="1312">
        <v>285</v>
      </c>
      <c r="BY561">
        <v>320</v>
      </c>
      <c r="BZ561" s="1312" t="s">
        <v>1401</v>
      </c>
      <c r="CA561" s="1352"/>
    </row>
    <row r="562" spans="73:79" x14ac:dyDescent="0.3">
      <c r="BU562" s="165" t="str">
        <f>IF(COUNTIF(BV$76:BV562,BV562)=1,MAX(BU$76:BU561)+1,"")</f>
        <v/>
      </c>
      <c r="BV562" s="1312">
        <v>205</v>
      </c>
      <c r="BW562" s="1312">
        <v>265</v>
      </c>
      <c r="BX562" s="1312">
        <v>285</v>
      </c>
      <c r="BY562">
        <v>320</v>
      </c>
      <c r="BZ562" s="1312" t="s">
        <v>1401</v>
      </c>
      <c r="CA562" s="1352"/>
    </row>
    <row r="563" spans="73:79" x14ac:dyDescent="0.3">
      <c r="BU563" s="165">
        <f>IF(COUNTIF(BV$76:BV563,BV563)=1,MAX(BU$76:BU562)+1,"")</f>
        <v>48</v>
      </c>
      <c r="BV563" s="1312">
        <v>207.5</v>
      </c>
      <c r="BW563" s="1312">
        <v>275</v>
      </c>
      <c r="BX563" s="1312">
        <v>285</v>
      </c>
      <c r="BY563">
        <v>320</v>
      </c>
      <c r="BZ563" s="1312" t="s">
        <v>1403</v>
      </c>
      <c r="CA563" s="1352"/>
    </row>
    <row r="564" spans="73:79" x14ac:dyDescent="0.3">
      <c r="BU564" s="165" t="str">
        <f>IF(COUNTIF(BV$76:BV564,BV564)=1,MAX(BU$76:BU563)+1,"")</f>
        <v/>
      </c>
      <c r="BV564" s="1312">
        <v>207.5</v>
      </c>
      <c r="BW564" s="1312">
        <v>265</v>
      </c>
      <c r="BX564" s="1312">
        <v>285</v>
      </c>
      <c r="BY564">
        <v>320</v>
      </c>
      <c r="BZ564" s="1312" t="s">
        <v>1404</v>
      </c>
      <c r="CA564" s="1352"/>
    </row>
    <row r="565" spans="73:79" x14ac:dyDescent="0.3">
      <c r="BU565" s="165" t="str">
        <f>IF(COUNTIF(BV$76:BV565,BV565)=1,MAX(BU$76:BU564)+1,"")</f>
        <v/>
      </c>
      <c r="BV565" s="1312">
        <v>207.5</v>
      </c>
      <c r="BW565" s="1312">
        <v>440</v>
      </c>
      <c r="BX565" s="1312">
        <v>285</v>
      </c>
      <c r="BY565">
        <v>320</v>
      </c>
      <c r="BZ565" s="1312" t="s">
        <v>1405</v>
      </c>
      <c r="CA565" s="1352"/>
    </row>
    <row r="566" spans="73:79" x14ac:dyDescent="0.3">
      <c r="BU566" s="165" t="str">
        <f>IF(COUNTIF(BV$76:BV566,BV566)=1,MAX(BU$76:BU565)+1,"")</f>
        <v/>
      </c>
      <c r="BV566" s="1312">
        <v>207.5</v>
      </c>
      <c r="BW566" s="1312">
        <v>263</v>
      </c>
      <c r="BX566" s="1312">
        <v>285</v>
      </c>
      <c r="BY566">
        <v>320</v>
      </c>
      <c r="BZ566" s="1312" t="s">
        <v>1404</v>
      </c>
      <c r="CA566" s="1352"/>
    </row>
    <row r="567" spans="73:79" x14ac:dyDescent="0.3">
      <c r="BU567" s="165" t="str">
        <f>IF(COUNTIF(BV$76:BV567,BV567)=1,MAX(BU$76:BU566)+1,"")</f>
        <v/>
      </c>
      <c r="BV567" s="1312">
        <v>207.5</v>
      </c>
      <c r="BW567" s="1312">
        <v>503</v>
      </c>
      <c r="BX567" s="1312">
        <v>285</v>
      </c>
      <c r="BY567">
        <v>320</v>
      </c>
      <c r="BZ567" s="1312" t="s">
        <v>1406</v>
      </c>
      <c r="CA567" s="1352"/>
    </row>
    <row r="568" spans="73:79" x14ac:dyDescent="0.3">
      <c r="BU568" s="165" t="str">
        <f>IF(COUNTIF(BV$76:BV568,BV568)=1,MAX(BU$76:BU567)+1,"")</f>
        <v/>
      </c>
      <c r="BV568" s="1312">
        <v>207.5</v>
      </c>
      <c r="BW568" s="1312">
        <v>264</v>
      </c>
      <c r="BX568" s="1312">
        <v>285</v>
      </c>
      <c r="BY568">
        <v>320</v>
      </c>
      <c r="BZ568" s="1312" t="s">
        <v>1404</v>
      </c>
      <c r="CA568" s="1352"/>
    </row>
    <row r="569" spans="73:79" x14ac:dyDescent="0.3">
      <c r="BU569" s="165" t="str">
        <f>IF(COUNTIF(BV$76:BV569,BV569)=1,MAX(BU$76:BU568)+1,"")</f>
        <v/>
      </c>
      <c r="BV569" s="1312">
        <v>207.5</v>
      </c>
      <c r="BW569" s="1312">
        <v>260</v>
      </c>
      <c r="BX569" s="1312">
        <v>285</v>
      </c>
      <c r="BY569">
        <v>320</v>
      </c>
      <c r="BZ569" s="1312" t="s">
        <v>1404</v>
      </c>
      <c r="CA569" s="1352"/>
    </row>
    <row r="570" spans="73:79" x14ac:dyDescent="0.3">
      <c r="BU570" s="165" t="str">
        <f>IF(COUNTIF(BV$76:BV570,BV570)=1,MAX(BU$76:BU569)+1,"")</f>
        <v/>
      </c>
      <c r="BV570" s="1312">
        <v>207.5</v>
      </c>
      <c r="BW570" s="1312">
        <v>375</v>
      </c>
      <c r="BX570" s="1312">
        <v>285</v>
      </c>
      <c r="BY570">
        <v>320</v>
      </c>
      <c r="BZ570" s="1312" t="s">
        <v>1407</v>
      </c>
      <c r="CA570" s="1352"/>
    </row>
    <row r="571" spans="73:79" x14ac:dyDescent="0.3">
      <c r="BU571" s="165" t="str">
        <f>IF(COUNTIF(BV$76:BV571,BV571)=1,MAX(BU$76:BU570)+1,"")</f>
        <v/>
      </c>
      <c r="BV571" s="1312">
        <v>207.5</v>
      </c>
      <c r="BW571" s="1312">
        <v>263</v>
      </c>
      <c r="BX571" s="1312">
        <v>285</v>
      </c>
      <c r="BY571">
        <v>320</v>
      </c>
      <c r="BZ571" s="1312" t="s">
        <v>1404</v>
      </c>
      <c r="CA571" s="1352"/>
    </row>
    <row r="572" spans="73:79" x14ac:dyDescent="0.3">
      <c r="BU572" s="165">
        <f>IF(COUNTIF(BV$76:BV572,BV572)=1,MAX(BU$76:BU571)+1,"")</f>
        <v>49</v>
      </c>
      <c r="BV572" s="1312">
        <v>210</v>
      </c>
      <c r="BW572" s="1312">
        <v>380</v>
      </c>
      <c r="BX572" s="1312">
        <v>285</v>
      </c>
      <c r="BY572">
        <v>320</v>
      </c>
      <c r="BZ572" s="1312" t="s">
        <v>1408</v>
      </c>
      <c r="CA572" s="1352"/>
    </row>
    <row r="573" spans="73:79" x14ac:dyDescent="0.3">
      <c r="BU573" s="165" t="str">
        <f>IF(COUNTIF(BV$76:BV573,BV573)=1,MAX(BU$76:BU572)+1,"")</f>
        <v/>
      </c>
      <c r="BV573" s="1312">
        <v>210</v>
      </c>
      <c r="BW573" s="1312">
        <v>265</v>
      </c>
      <c r="BX573" s="1312">
        <v>285</v>
      </c>
      <c r="BY573">
        <v>320</v>
      </c>
      <c r="BZ573" s="1312" t="s">
        <v>1409</v>
      </c>
      <c r="CA573" s="1352"/>
    </row>
    <row r="574" spans="73:79" x14ac:dyDescent="0.3">
      <c r="BU574" s="165" t="str">
        <f>IF(COUNTIF(BV$76:BV574,BV574)=1,MAX(BU$76:BU573)+1,"")</f>
        <v/>
      </c>
      <c r="BV574" s="1312">
        <v>210</v>
      </c>
      <c r="BW574" s="1312">
        <v>262</v>
      </c>
      <c r="BX574" s="1312">
        <v>285</v>
      </c>
      <c r="BY574">
        <v>320</v>
      </c>
      <c r="BZ574" s="1312" t="s">
        <v>1409</v>
      </c>
      <c r="CA574" s="1352"/>
    </row>
    <row r="575" spans="73:79" x14ac:dyDescent="0.3">
      <c r="BU575" s="165" t="str">
        <f>IF(COUNTIF(BV$76:BV575,BV575)=1,MAX(BU$76:BU574)+1,"")</f>
        <v/>
      </c>
      <c r="BV575" s="1312">
        <v>210</v>
      </c>
      <c r="BW575" s="1312">
        <v>380</v>
      </c>
      <c r="BX575" s="1312">
        <v>285</v>
      </c>
      <c r="BY575">
        <v>320</v>
      </c>
      <c r="BZ575" s="1312" t="s">
        <v>1408</v>
      </c>
      <c r="CA575" s="1352"/>
    </row>
    <row r="576" spans="73:79" x14ac:dyDescent="0.3">
      <c r="BU576" s="165" t="str">
        <f>IF(COUNTIF(BV$76:BV576,BV576)=1,MAX(BU$76:BU575)+1,"")</f>
        <v/>
      </c>
      <c r="BV576" s="1312">
        <v>210</v>
      </c>
      <c r="BW576" s="1312">
        <v>380</v>
      </c>
      <c r="BX576" s="1312">
        <v>285</v>
      </c>
      <c r="BY576">
        <v>320</v>
      </c>
      <c r="BZ576" s="1312" t="s">
        <v>1408</v>
      </c>
      <c r="CA576" s="1352"/>
    </row>
    <row r="577" spans="73:79" x14ac:dyDescent="0.3">
      <c r="BU577" s="165" t="str">
        <f>IF(COUNTIF(BV$76:BV577,BV577)=1,MAX(BU$76:BU576)+1,"")</f>
        <v/>
      </c>
      <c r="BV577" s="1312">
        <v>210</v>
      </c>
      <c r="BW577" s="1312">
        <v>265</v>
      </c>
      <c r="BX577" s="1312">
        <v>285</v>
      </c>
      <c r="BY577">
        <v>320</v>
      </c>
      <c r="BZ577" s="1312" t="s">
        <v>1409</v>
      </c>
      <c r="CA577" s="1352"/>
    </row>
    <row r="578" spans="73:79" x14ac:dyDescent="0.3">
      <c r="BU578" s="165" t="str">
        <f>IF(COUNTIF(BV$76:BV578,BV578)=1,MAX(BU$76:BU577)+1,"")</f>
        <v/>
      </c>
      <c r="BV578" s="1312">
        <v>210</v>
      </c>
      <c r="BW578" s="1312">
        <v>265</v>
      </c>
      <c r="BX578" s="1312">
        <v>285</v>
      </c>
      <c r="BY578">
        <v>320</v>
      </c>
      <c r="BZ578" s="1312" t="s">
        <v>1409</v>
      </c>
      <c r="CA578" s="1352"/>
    </row>
    <row r="579" spans="73:79" x14ac:dyDescent="0.3">
      <c r="BU579" s="165" t="str">
        <f>IF(COUNTIF(BV$76:BV579,BV579)=1,MAX(BU$76:BU578)+1,"")</f>
        <v/>
      </c>
      <c r="BV579" s="1312">
        <v>210</v>
      </c>
      <c r="BW579" s="1312">
        <v>376</v>
      </c>
      <c r="BX579" s="1312">
        <v>285</v>
      </c>
      <c r="BY579">
        <v>320</v>
      </c>
      <c r="BZ579" s="1312" t="s">
        <v>1408</v>
      </c>
      <c r="CA579" s="1352"/>
    </row>
    <row r="580" spans="73:79" x14ac:dyDescent="0.3">
      <c r="BU580" s="165" t="str">
        <f>IF(COUNTIF(BV$76:BV580,BV580)=1,MAX(BU$76:BU579)+1,"")</f>
        <v/>
      </c>
      <c r="BV580" s="1312">
        <v>210</v>
      </c>
      <c r="BW580" s="1312">
        <v>263</v>
      </c>
      <c r="BX580" s="1312">
        <v>285</v>
      </c>
      <c r="BY580">
        <v>320</v>
      </c>
      <c r="BZ580" s="1312" t="s">
        <v>1409</v>
      </c>
      <c r="CA580" s="1352"/>
    </row>
    <row r="581" spans="73:79" x14ac:dyDescent="0.3">
      <c r="BU581" s="165" t="str">
        <f>IF(COUNTIF(BV$76:BV581,BV581)=1,MAX(BU$76:BU580)+1,"")</f>
        <v/>
      </c>
      <c r="BV581" s="1312">
        <v>210</v>
      </c>
      <c r="BW581" s="1312">
        <v>265</v>
      </c>
      <c r="BX581" s="1312">
        <v>285</v>
      </c>
      <c r="BY581">
        <v>320</v>
      </c>
      <c r="BZ581" s="1312" t="s">
        <v>1409</v>
      </c>
      <c r="CA581" s="1352"/>
    </row>
    <row r="582" spans="73:79" x14ac:dyDescent="0.3">
      <c r="BU582" s="165" t="str">
        <f>IF(COUNTIF(BV$76:BV582,BV582)=1,MAX(BU$76:BU581)+1,"")</f>
        <v/>
      </c>
      <c r="BV582" s="1312">
        <v>210</v>
      </c>
      <c r="BW582" s="1312">
        <v>263</v>
      </c>
      <c r="BX582" s="1312">
        <v>285</v>
      </c>
      <c r="BY582">
        <v>320</v>
      </c>
      <c r="BZ582" s="1312" t="s">
        <v>1409</v>
      </c>
      <c r="CA582" s="1352"/>
    </row>
    <row r="583" spans="73:79" x14ac:dyDescent="0.3">
      <c r="BU583" s="165" t="str">
        <f>IF(COUNTIF(BV$76:BV583,BV583)=1,MAX(BU$76:BU582)+1,"")</f>
        <v/>
      </c>
      <c r="BV583" s="1312">
        <v>210</v>
      </c>
      <c r="BW583" s="1312">
        <v>398</v>
      </c>
      <c r="BX583" s="1312">
        <v>285</v>
      </c>
      <c r="BY583">
        <v>320</v>
      </c>
      <c r="BZ583" s="1312" t="s">
        <v>1410</v>
      </c>
      <c r="CA583" s="1352"/>
    </row>
    <row r="584" spans="73:79" x14ac:dyDescent="0.3">
      <c r="BU584" s="165" t="str">
        <f>IF(COUNTIF(BV$76:BV584,BV584)=1,MAX(BU$76:BU583)+1,"")</f>
        <v/>
      </c>
      <c r="BV584" s="1312">
        <v>210</v>
      </c>
      <c r="BW584" s="1312">
        <v>400</v>
      </c>
      <c r="BX584" s="1312">
        <v>285</v>
      </c>
      <c r="BY584">
        <v>320</v>
      </c>
      <c r="BZ584" s="1312" t="s">
        <v>1410</v>
      </c>
      <c r="CA584" s="1352" t="s">
        <v>1593</v>
      </c>
    </row>
    <row r="585" spans="73:79" x14ac:dyDescent="0.3">
      <c r="BU585" s="165" t="str">
        <f>IF(COUNTIF(BV$76:BV585,BV585)=1,MAX(BU$76:BU584)+1,"")</f>
        <v/>
      </c>
      <c r="BV585" s="1312">
        <v>210</v>
      </c>
      <c r="BW585" s="1312">
        <v>380</v>
      </c>
      <c r="BX585" s="1312">
        <v>285</v>
      </c>
      <c r="BY585">
        <v>320</v>
      </c>
      <c r="BZ585" s="1312" t="s">
        <v>1408</v>
      </c>
      <c r="CA585" s="1352"/>
    </row>
    <row r="586" spans="73:79" x14ac:dyDescent="0.3">
      <c r="BU586" s="165" t="str">
        <f>IF(COUNTIF(BV$76:BV586,BV586)=1,MAX(BU$76:BU585)+1,"")</f>
        <v/>
      </c>
      <c r="BV586" s="1312">
        <v>210</v>
      </c>
      <c r="BW586" s="1312">
        <v>263</v>
      </c>
      <c r="BX586" s="1312">
        <v>285</v>
      </c>
      <c r="BY586">
        <v>320</v>
      </c>
      <c r="BZ586" s="1312" t="s">
        <v>1409</v>
      </c>
      <c r="CA586" s="1352"/>
    </row>
    <row r="587" spans="73:79" x14ac:dyDescent="0.3">
      <c r="BU587" s="165" t="str">
        <f>IF(COUNTIF(BV$76:BV587,BV587)=1,MAX(BU$76:BU586)+1,"")</f>
        <v/>
      </c>
      <c r="BV587" s="1312">
        <v>210</v>
      </c>
      <c r="BW587" s="1312">
        <v>377</v>
      </c>
      <c r="BX587" s="1312">
        <v>285</v>
      </c>
      <c r="BY587">
        <v>320</v>
      </c>
      <c r="BZ587" s="1312" t="s">
        <v>1408</v>
      </c>
      <c r="CA587" s="1352"/>
    </row>
    <row r="588" spans="73:79" x14ac:dyDescent="0.3">
      <c r="BU588" s="165" t="str">
        <f>IF(COUNTIF(BV$76:BV588,BV588)=1,MAX(BU$76:BU587)+1,"")</f>
        <v/>
      </c>
      <c r="BV588" s="1312">
        <v>210</v>
      </c>
      <c r="BW588" s="1312">
        <v>318</v>
      </c>
      <c r="BX588" s="1312">
        <v>285</v>
      </c>
      <c r="BY588">
        <v>320</v>
      </c>
      <c r="BZ588" s="1312" t="s">
        <v>1411</v>
      </c>
      <c r="CA588" s="1352"/>
    </row>
    <row r="589" spans="73:79" x14ac:dyDescent="0.3">
      <c r="BU589" s="165" t="str">
        <f>IF(COUNTIF(BV$76:BV589,BV589)=1,MAX(BU$76:BU588)+1,"")</f>
        <v/>
      </c>
      <c r="BV589" s="1312">
        <v>210</v>
      </c>
      <c r="BW589" s="1312">
        <v>320</v>
      </c>
      <c r="BX589" s="1312">
        <v>285</v>
      </c>
      <c r="BY589">
        <v>320</v>
      </c>
      <c r="BZ589" s="1312" t="s">
        <v>1411</v>
      </c>
      <c r="CA589" s="1352"/>
    </row>
    <row r="590" spans="73:79" x14ac:dyDescent="0.3">
      <c r="BU590" s="165" t="str">
        <f>IF(COUNTIF(BV$76:BV590,BV590)=1,MAX(BU$76:BU589)+1,"")</f>
        <v/>
      </c>
      <c r="BV590" s="1312">
        <v>210</v>
      </c>
      <c r="BW590" s="1312">
        <v>315</v>
      </c>
      <c r="BX590" s="1312">
        <v>285</v>
      </c>
      <c r="BY590">
        <v>320</v>
      </c>
      <c r="BZ590" s="1312" t="s">
        <v>1411</v>
      </c>
      <c r="CA590" s="1352"/>
    </row>
    <row r="591" spans="73:79" x14ac:dyDescent="0.3">
      <c r="BU591" s="165" t="str">
        <f>IF(COUNTIF(BV$76:BV591,BV591)=1,MAX(BU$76:BU590)+1,"")</f>
        <v/>
      </c>
      <c r="BV591" s="1312">
        <v>210</v>
      </c>
      <c r="BW591" s="1312">
        <v>263</v>
      </c>
      <c r="BX591" s="1312">
        <v>285</v>
      </c>
      <c r="BY591">
        <v>320</v>
      </c>
      <c r="BZ591" s="1312" t="s">
        <v>1409</v>
      </c>
      <c r="CA591" s="1352"/>
    </row>
    <row r="592" spans="73:79" x14ac:dyDescent="0.3">
      <c r="BU592" s="165" t="str">
        <f>IF(COUNTIF(BV$76:BV592,BV592)=1,MAX(BU$76:BU591)+1,"")</f>
        <v/>
      </c>
      <c r="BV592" s="1312">
        <v>210</v>
      </c>
      <c r="BW592" s="1312">
        <v>263</v>
      </c>
      <c r="BX592" s="1312">
        <v>285</v>
      </c>
      <c r="BY592">
        <v>320</v>
      </c>
      <c r="BZ592" s="1312" t="s">
        <v>1409</v>
      </c>
      <c r="CA592" s="1352"/>
    </row>
    <row r="593" spans="73:79" x14ac:dyDescent="0.3">
      <c r="BU593" s="165" t="str">
        <f>IF(COUNTIF(BV$76:BV593,BV593)=1,MAX(BU$76:BU592)+1,"")</f>
        <v/>
      </c>
      <c r="BV593" s="1312">
        <v>210</v>
      </c>
      <c r="BW593" s="1312">
        <v>263</v>
      </c>
      <c r="BX593" s="1312">
        <v>285</v>
      </c>
      <c r="BY593">
        <v>320</v>
      </c>
      <c r="BZ593" s="1312" t="s">
        <v>1409</v>
      </c>
      <c r="CA593" s="1352"/>
    </row>
    <row r="594" spans="73:79" x14ac:dyDescent="0.3">
      <c r="BU594" s="165" t="str">
        <f>IF(COUNTIF(BV$76:BV594,BV594)=1,MAX(BU$76:BU593)+1,"")</f>
        <v/>
      </c>
      <c r="BV594" s="1312">
        <v>210</v>
      </c>
      <c r="BW594" s="1312">
        <v>380</v>
      </c>
      <c r="BX594" s="1312">
        <v>285</v>
      </c>
      <c r="BY594">
        <v>320</v>
      </c>
      <c r="BZ594" s="1312" t="s">
        <v>1408</v>
      </c>
      <c r="CA594" s="1352"/>
    </row>
    <row r="595" spans="73:79" x14ac:dyDescent="0.3">
      <c r="BU595" s="165" t="str">
        <f>IF(COUNTIF(BV$76:BV595,BV595)=1,MAX(BU$76:BU594)+1,"")</f>
        <v/>
      </c>
      <c r="BV595" s="1312">
        <v>210</v>
      </c>
      <c r="BW595" s="1312">
        <v>375</v>
      </c>
      <c r="BX595" s="1312">
        <v>285</v>
      </c>
      <c r="BY595">
        <v>320</v>
      </c>
      <c r="BZ595" s="1312" t="s">
        <v>1408</v>
      </c>
      <c r="CA595" s="1352"/>
    </row>
    <row r="596" spans="73:79" x14ac:dyDescent="0.3">
      <c r="BU596" s="165" t="str">
        <f>IF(COUNTIF(BV$76:BV596,BV596)=1,MAX(BU$76:BU595)+1,"")</f>
        <v/>
      </c>
      <c r="BV596" s="1312">
        <v>210</v>
      </c>
      <c r="BW596" s="1312">
        <v>375</v>
      </c>
      <c r="BX596" s="1312">
        <v>285</v>
      </c>
      <c r="BY596">
        <v>320</v>
      </c>
      <c r="BZ596" s="1312" t="s">
        <v>1408</v>
      </c>
      <c r="CA596" s="1352"/>
    </row>
    <row r="597" spans="73:79" x14ac:dyDescent="0.3">
      <c r="BU597" s="165">
        <f>IF(COUNTIF(BV$76:BV597,BV597)=1,MAX(BU$76:BU596)+1,"")</f>
        <v>50</v>
      </c>
      <c r="BV597" s="1312">
        <v>212.5</v>
      </c>
      <c r="BW597" s="1312">
        <v>320</v>
      </c>
      <c r="BX597" s="1312">
        <v>285</v>
      </c>
      <c r="BY597">
        <v>320</v>
      </c>
      <c r="BZ597" s="1312" t="s">
        <v>1412</v>
      </c>
      <c r="CA597" s="1352"/>
    </row>
    <row r="598" spans="73:79" x14ac:dyDescent="0.3">
      <c r="BU598" s="165" t="str">
        <f>IF(COUNTIF(BV$76:BV598,BV598)=1,MAX(BU$76:BU597)+1,"")</f>
        <v/>
      </c>
      <c r="BV598" s="1312">
        <v>212.5</v>
      </c>
      <c r="BW598" s="1312">
        <v>263</v>
      </c>
      <c r="BX598" s="1312">
        <v>285</v>
      </c>
      <c r="BY598">
        <v>320</v>
      </c>
      <c r="BZ598" s="1312" t="s">
        <v>1413</v>
      </c>
      <c r="CA598" s="1352"/>
    </row>
    <row r="599" spans="73:79" x14ac:dyDescent="0.3">
      <c r="BU599" s="165" t="str">
        <f>IF(COUNTIF(BV$76:BV599,BV599)=1,MAX(BU$76:BU598)+1,"")</f>
        <v/>
      </c>
      <c r="BV599" s="1312">
        <v>212.5</v>
      </c>
      <c r="BW599" s="1312">
        <v>400</v>
      </c>
      <c r="BX599" s="1312">
        <v>285</v>
      </c>
      <c r="BY599">
        <v>320</v>
      </c>
      <c r="BZ599" s="1312" t="s">
        <v>1414</v>
      </c>
      <c r="CA599" s="1352"/>
    </row>
    <row r="600" spans="73:79" x14ac:dyDescent="0.3">
      <c r="BU600" s="165" t="str">
        <f>IF(COUNTIF(BV$76:BV600,BV600)=1,MAX(BU$76:BU599)+1,"")</f>
        <v/>
      </c>
      <c r="BV600" s="1312">
        <v>212.5</v>
      </c>
      <c r="BW600" s="1312">
        <v>375</v>
      </c>
      <c r="BX600" s="1312">
        <v>285</v>
      </c>
      <c r="BY600">
        <v>320</v>
      </c>
      <c r="BZ600" s="1312" t="s">
        <v>1415</v>
      </c>
      <c r="CA600" s="1352"/>
    </row>
    <row r="601" spans="73:79" x14ac:dyDescent="0.3">
      <c r="BU601" s="165" t="str">
        <f>IF(COUNTIF(BV$76:BV601,BV601)=1,MAX(BU$76:BU600)+1,"")</f>
        <v/>
      </c>
      <c r="BV601" s="1312">
        <v>212.5</v>
      </c>
      <c r="BW601" s="1312">
        <v>380</v>
      </c>
      <c r="BX601" s="1312">
        <v>285</v>
      </c>
      <c r="BY601">
        <v>320</v>
      </c>
      <c r="BZ601" s="1312" t="s">
        <v>1415</v>
      </c>
      <c r="CA601" s="1352"/>
    </row>
    <row r="602" spans="73:79" x14ac:dyDescent="0.3">
      <c r="BU602" s="165" t="str">
        <f>IF(COUNTIF(BV$76:BV602,BV602)=1,MAX(BU$76:BU601)+1,"")</f>
        <v/>
      </c>
      <c r="BV602" s="1312">
        <v>212.5</v>
      </c>
      <c r="BW602" s="1312">
        <v>320</v>
      </c>
      <c r="BX602" s="1312">
        <v>285</v>
      </c>
      <c r="BY602">
        <v>320</v>
      </c>
      <c r="BZ602" s="1312" t="s">
        <v>1412</v>
      </c>
      <c r="CA602" s="1352"/>
    </row>
    <row r="603" spans="73:79" x14ac:dyDescent="0.3">
      <c r="BU603" s="165" t="str">
        <f>IF(COUNTIF(BV$76:BV603,BV603)=1,MAX(BU$76:BU602)+1,"")</f>
        <v/>
      </c>
      <c r="BV603" s="1312">
        <v>212.5</v>
      </c>
      <c r="BW603" s="1312">
        <v>375</v>
      </c>
      <c r="BX603" s="1312">
        <v>285</v>
      </c>
      <c r="BY603">
        <v>320</v>
      </c>
      <c r="BZ603" s="1312" t="s">
        <v>1415</v>
      </c>
      <c r="CA603" s="1352"/>
    </row>
    <row r="604" spans="73:79" x14ac:dyDescent="0.3">
      <c r="BU604" s="165" t="str">
        <f>IF(COUNTIF(BV$76:BV604,BV604)=1,MAX(BU$76:BU603)+1,"")</f>
        <v/>
      </c>
      <c r="BV604" s="1312">
        <v>212.5</v>
      </c>
      <c r="BW604" s="1312">
        <v>375</v>
      </c>
      <c r="BX604" s="1312">
        <v>285</v>
      </c>
      <c r="BY604">
        <v>320</v>
      </c>
      <c r="BZ604" s="1312" t="s">
        <v>1415</v>
      </c>
      <c r="CA604" s="1352"/>
    </row>
    <row r="605" spans="73:79" x14ac:dyDescent="0.3">
      <c r="BU605" s="165" t="str">
        <f>IF(COUNTIF(BV$76:BV605,BV605)=1,MAX(BU$76:BU604)+1,"")</f>
        <v/>
      </c>
      <c r="BV605" s="1312">
        <v>212.5</v>
      </c>
      <c r="BW605" s="1312">
        <v>263</v>
      </c>
      <c r="BX605" s="1312">
        <v>285</v>
      </c>
      <c r="BY605">
        <v>320</v>
      </c>
      <c r="BZ605" s="1312" t="s">
        <v>1413</v>
      </c>
      <c r="CA605" s="1352"/>
    </row>
    <row r="606" spans="73:79" x14ac:dyDescent="0.3">
      <c r="BU606" s="165">
        <f>IF(COUNTIF(BV$76:BV606,BV606)=1,MAX(BU$76:BU605)+1,"")</f>
        <v>51</v>
      </c>
      <c r="BV606" s="1312">
        <v>215</v>
      </c>
      <c r="BW606" s="1312">
        <v>375</v>
      </c>
      <c r="BX606" s="1312">
        <v>285</v>
      </c>
      <c r="BY606">
        <v>320</v>
      </c>
      <c r="BZ606" s="1312" t="s">
        <v>1416</v>
      </c>
      <c r="CA606" s="1352"/>
    </row>
    <row r="607" spans="73:79" x14ac:dyDescent="0.3">
      <c r="BU607" s="165" t="str">
        <f>IF(COUNTIF(BV$76:BV607,BV607)=1,MAX(BU$76:BU606)+1,"")</f>
        <v/>
      </c>
      <c r="BV607" s="1312">
        <v>215</v>
      </c>
      <c r="BW607" s="1312">
        <v>265</v>
      </c>
      <c r="BX607" s="1312">
        <v>285</v>
      </c>
      <c r="BY607">
        <v>320</v>
      </c>
      <c r="BZ607" s="1312" t="s">
        <v>1417</v>
      </c>
      <c r="CA607" s="1352"/>
    </row>
    <row r="608" spans="73:79" x14ac:dyDescent="0.3">
      <c r="BU608" s="165" t="str">
        <f>IF(COUNTIF(BV$76:BV608,BV608)=1,MAX(BU$76:BU607)+1,"")</f>
        <v/>
      </c>
      <c r="BV608" s="1312">
        <v>215</v>
      </c>
      <c r="BW608" s="1312">
        <v>265</v>
      </c>
      <c r="BX608" s="1312">
        <v>285</v>
      </c>
      <c r="BY608">
        <v>320</v>
      </c>
      <c r="BZ608" s="1312" t="s">
        <v>1417</v>
      </c>
      <c r="CA608" s="1352"/>
    </row>
    <row r="609" spans="73:79" x14ac:dyDescent="0.3">
      <c r="BU609" s="165" t="str">
        <f>IF(COUNTIF(BV$76:BV609,BV609)=1,MAX(BU$76:BU608)+1,"")</f>
        <v/>
      </c>
      <c r="BV609" s="1312">
        <v>215</v>
      </c>
      <c r="BW609" s="1312">
        <v>265</v>
      </c>
      <c r="BX609" s="1312">
        <v>285</v>
      </c>
      <c r="BY609">
        <v>320</v>
      </c>
      <c r="BZ609" s="1312" t="s">
        <v>1417</v>
      </c>
      <c r="CA609" s="1352"/>
    </row>
    <row r="610" spans="73:79" x14ac:dyDescent="0.3">
      <c r="BU610" s="165" t="str">
        <f>IF(COUNTIF(BV$76:BV610,BV610)=1,MAX(BU$76:BU609)+1,"")</f>
        <v/>
      </c>
      <c r="BV610" s="1312">
        <v>215</v>
      </c>
      <c r="BW610" s="1312">
        <v>320</v>
      </c>
      <c r="BX610" s="1312">
        <v>285</v>
      </c>
      <c r="BY610">
        <v>320</v>
      </c>
      <c r="BZ610" s="1312" t="s">
        <v>1418</v>
      </c>
      <c r="CA610" s="1352"/>
    </row>
    <row r="611" spans="73:79" x14ac:dyDescent="0.3">
      <c r="BU611" s="165" t="str">
        <f>IF(COUNTIF(BV$76:BV611,BV611)=1,MAX(BU$76:BU610)+1,"")</f>
        <v/>
      </c>
      <c r="BV611" s="1312">
        <v>215</v>
      </c>
      <c r="BW611" s="1312">
        <v>265</v>
      </c>
      <c r="BX611" s="1312">
        <v>285</v>
      </c>
      <c r="BY611">
        <v>320</v>
      </c>
      <c r="BZ611" s="1312" t="s">
        <v>1417</v>
      </c>
      <c r="CA611" s="1352"/>
    </row>
    <row r="612" spans="73:79" x14ac:dyDescent="0.3">
      <c r="BU612" s="165" t="str">
        <f>IF(COUNTIF(BV$76:BV612,BV612)=1,MAX(BU$76:BU611)+1,"")</f>
        <v/>
      </c>
      <c r="BV612" s="1312">
        <v>215</v>
      </c>
      <c r="BW612" s="1312">
        <v>377</v>
      </c>
      <c r="BX612" s="1312">
        <v>285</v>
      </c>
      <c r="BY612">
        <v>320</v>
      </c>
      <c r="BZ612" s="1312" t="s">
        <v>1416</v>
      </c>
      <c r="CA612" s="1352"/>
    </row>
    <row r="613" spans="73:79" x14ac:dyDescent="0.3">
      <c r="BU613" s="165" t="str">
        <f>IF(COUNTIF(BV$76:BV613,BV613)=1,MAX(BU$76:BU612)+1,"")</f>
        <v/>
      </c>
      <c r="BV613" s="1312">
        <v>215</v>
      </c>
      <c r="BW613" s="1312">
        <v>263</v>
      </c>
      <c r="BX613" s="1312">
        <v>285</v>
      </c>
      <c r="BY613">
        <v>320</v>
      </c>
      <c r="BZ613" s="1312" t="s">
        <v>1417</v>
      </c>
      <c r="CA613" s="1352"/>
    </row>
    <row r="614" spans="73:79" x14ac:dyDescent="0.3">
      <c r="BU614" s="165" t="str">
        <f>IF(COUNTIF(BV$76:BV614,BV614)=1,MAX(BU$76:BU613)+1,"")</f>
        <v/>
      </c>
      <c r="BV614" s="1312">
        <v>215</v>
      </c>
      <c r="BW614" s="1312">
        <v>263</v>
      </c>
      <c r="BX614" s="1312">
        <v>285</v>
      </c>
      <c r="BY614">
        <v>320</v>
      </c>
      <c r="BZ614" s="1312" t="s">
        <v>1417</v>
      </c>
      <c r="CA614" s="1352"/>
    </row>
    <row r="615" spans="73:79" x14ac:dyDescent="0.3">
      <c r="BU615" s="165" t="str">
        <f>IF(COUNTIF(BV$76:BV615,BV615)=1,MAX(BU$76:BU614)+1,"")</f>
        <v/>
      </c>
      <c r="BV615" s="1312">
        <v>215</v>
      </c>
      <c r="BW615" s="1312">
        <v>262</v>
      </c>
      <c r="BX615" s="1312">
        <v>285</v>
      </c>
      <c r="BY615">
        <v>320</v>
      </c>
      <c r="BZ615" s="1312" t="s">
        <v>1417</v>
      </c>
      <c r="CA615" s="1352"/>
    </row>
    <row r="616" spans="73:79" x14ac:dyDescent="0.3">
      <c r="BU616" s="165" t="str">
        <f>IF(COUNTIF(BV$76:BV616,BV616)=1,MAX(BU$76:BU615)+1,"")</f>
        <v/>
      </c>
      <c r="BV616" s="1312">
        <v>215</v>
      </c>
      <c r="BW616" s="1312">
        <v>375</v>
      </c>
      <c r="BX616" s="1312">
        <v>285</v>
      </c>
      <c r="BY616">
        <v>320</v>
      </c>
      <c r="BZ616" s="1312" t="s">
        <v>1416</v>
      </c>
      <c r="CA616" s="1352"/>
    </row>
    <row r="617" spans="73:79" x14ac:dyDescent="0.3">
      <c r="BU617" s="165" t="str">
        <f>IF(COUNTIF(BV$76:BV617,BV617)=1,MAX(BU$76:BU616)+1,"")</f>
        <v/>
      </c>
      <c r="BV617" s="1312">
        <v>215</v>
      </c>
      <c r="BW617" s="1312">
        <v>253</v>
      </c>
      <c r="BX617" s="1312">
        <v>375</v>
      </c>
      <c r="BY617">
        <v>320</v>
      </c>
      <c r="BZ617" s="1312" t="s">
        <v>1417</v>
      </c>
      <c r="CA617" s="1352"/>
    </row>
    <row r="618" spans="73:79" x14ac:dyDescent="0.3">
      <c r="BU618" s="165" t="str">
        <f>IF(COUNTIF(BV$76:BV618,BV618)=1,MAX(BU$76:BU617)+1,"")</f>
        <v/>
      </c>
      <c r="BV618" s="1312">
        <v>215</v>
      </c>
      <c r="BW618" s="1312">
        <v>377</v>
      </c>
      <c r="BX618" s="1312">
        <v>285</v>
      </c>
      <c r="BY618">
        <v>320</v>
      </c>
      <c r="BZ618" s="1312" t="s">
        <v>1416</v>
      </c>
      <c r="CA618" s="1352"/>
    </row>
    <row r="619" spans="73:79" x14ac:dyDescent="0.3">
      <c r="BU619" s="165" t="str">
        <f>IF(COUNTIF(BV$76:BV619,BV619)=1,MAX(BU$76:BU618)+1,"")</f>
        <v/>
      </c>
      <c r="BV619" s="1312">
        <v>215</v>
      </c>
      <c r="BW619" s="1312">
        <v>317</v>
      </c>
      <c r="BX619" s="1312">
        <v>285</v>
      </c>
      <c r="BY619">
        <v>320</v>
      </c>
      <c r="BZ619" s="1312" t="s">
        <v>1418</v>
      </c>
      <c r="CA619" s="1352"/>
    </row>
    <row r="620" spans="73:79" x14ac:dyDescent="0.3">
      <c r="BU620" s="165" t="str">
        <f>IF(COUNTIF(BV$76:BV620,BV620)=1,MAX(BU$76:BU619)+1,"")</f>
        <v/>
      </c>
      <c r="BV620" s="1312">
        <v>215</v>
      </c>
      <c r="BW620" s="1312">
        <v>317</v>
      </c>
      <c r="BX620" s="1312">
        <v>285</v>
      </c>
      <c r="BY620">
        <v>320</v>
      </c>
      <c r="BZ620" s="1312" t="s">
        <v>1418</v>
      </c>
      <c r="CA620" s="1352"/>
    </row>
    <row r="621" spans="73:79" x14ac:dyDescent="0.3">
      <c r="BU621" s="165" t="str">
        <f>IF(COUNTIF(BV$76:BV621,BV621)=1,MAX(BU$76:BU620)+1,"")</f>
        <v/>
      </c>
      <c r="BV621" s="1312">
        <v>215</v>
      </c>
      <c r="BW621" s="1312">
        <v>265</v>
      </c>
      <c r="BX621" s="1312">
        <v>285</v>
      </c>
      <c r="BY621">
        <v>320</v>
      </c>
      <c r="BZ621" s="1312" t="s">
        <v>1417</v>
      </c>
      <c r="CA621" s="1352"/>
    </row>
    <row r="622" spans="73:79" x14ac:dyDescent="0.3">
      <c r="BU622" s="165">
        <f>IF(COUNTIF(BV$76:BV622,BV622)=1,MAX(BU$76:BU621)+1,"")</f>
        <v>52</v>
      </c>
      <c r="BV622" s="1312">
        <v>217.5</v>
      </c>
      <c r="BW622" s="1312">
        <v>320</v>
      </c>
      <c r="BX622" s="1312">
        <v>285</v>
      </c>
      <c r="BY622">
        <v>320</v>
      </c>
      <c r="BZ622" s="1312" t="s">
        <v>1419</v>
      </c>
      <c r="CA622" s="1352"/>
    </row>
    <row r="623" spans="73:79" x14ac:dyDescent="0.3">
      <c r="BU623" s="165" t="str">
        <f>IF(COUNTIF(BV$76:BV623,BV623)=1,MAX(BU$76:BU622)+1,"")</f>
        <v/>
      </c>
      <c r="BV623" s="1312">
        <v>217.5</v>
      </c>
      <c r="BW623" s="1312">
        <v>320</v>
      </c>
      <c r="BX623" s="1312">
        <v>285</v>
      </c>
      <c r="BY623">
        <v>320</v>
      </c>
      <c r="BZ623" s="1312" t="s">
        <v>1419</v>
      </c>
      <c r="CA623" s="1352"/>
    </row>
    <row r="624" spans="73:79" x14ac:dyDescent="0.3">
      <c r="BU624" s="165" t="str">
        <f>IF(COUNTIF(BV$76:BV624,BV624)=1,MAX(BU$76:BU623)+1,"")</f>
        <v/>
      </c>
      <c r="BV624" s="1312">
        <v>217.5</v>
      </c>
      <c r="BW624" s="1312">
        <v>315</v>
      </c>
      <c r="BX624" s="1312">
        <v>285</v>
      </c>
      <c r="BY624">
        <v>320</v>
      </c>
      <c r="BZ624" s="1312" t="s">
        <v>1419</v>
      </c>
      <c r="CA624" s="1352"/>
    </row>
    <row r="625" spans="73:79" x14ac:dyDescent="0.3">
      <c r="BU625" s="165" t="str">
        <f>IF(COUNTIF(BV$76:BV625,BV625)=1,MAX(BU$76:BU624)+1,"")</f>
        <v/>
      </c>
      <c r="BV625" s="1312">
        <v>217.5</v>
      </c>
      <c r="BW625" s="1312">
        <v>400</v>
      </c>
      <c r="BX625" s="1312">
        <v>285</v>
      </c>
      <c r="BY625">
        <v>320</v>
      </c>
      <c r="BZ625" s="1312" t="s">
        <v>1420</v>
      </c>
      <c r="CA625" s="1352"/>
    </row>
    <row r="626" spans="73:79" x14ac:dyDescent="0.3">
      <c r="BU626" s="165" t="str">
        <f>IF(COUNTIF(BV$76:BV626,BV626)=1,MAX(BU$76:BU625)+1,"")</f>
        <v/>
      </c>
      <c r="BV626" s="1312">
        <v>217.5</v>
      </c>
      <c r="BW626" s="1312">
        <v>255</v>
      </c>
      <c r="BX626" s="1312">
        <v>285</v>
      </c>
      <c r="BY626">
        <v>320</v>
      </c>
      <c r="BZ626" s="1312" t="s">
        <v>1421</v>
      </c>
      <c r="CA626" s="1352"/>
    </row>
    <row r="627" spans="73:79" x14ac:dyDescent="0.3">
      <c r="BU627" s="165" t="str">
        <f>IF(COUNTIF(BV$76:BV627,BV627)=1,MAX(BU$76:BU626)+1,"")</f>
        <v/>
      </c>
      <c r="BV627" s="1312">
        <v>217.5</v>
      </c>
      <c r="BW627" s="1312">
        <v>400</v>
      </c>
      <c r="BX627" s="1312">
        <v>285</v>
      </c>
      <c r="BY627">
        <v>320</v>
      </c>
      <c r="BZ627" s="1312" t="s">
        <v>1420</v>
      </c>
      <c r="CA627" s="1352"/>
    </row>
    <row r="628" spans="73:79" x14ac:dyDescent="0.3">
      <c r="BU628" s="165" t="str">
        <f>IF(COUNTIF(BV$76:BV628,BV628)=1,MAX(BU$76:BU627)+1,"")</f>
        <v/>
      </c>
      <c r="BV628" s="1312">
        <v>217.5</v>
      </c>
      <c r="BW628" s="1312">
        <v>320</v>
      </c>
      <c r="BX628" s="1312">
        <v>285</v>
      </c>
      <c r="BY628">
        <v>320</v>
      </c>
      <c r="BZ628" s="1312" t="s">
        <v>1419</v>
      </c>
      <c r="CA628" s="1352"/>
    </row>
    <row r="629" spans="73:79" x14ac:dyDescent="0.3">
      <c r="BU629" s="165" t="str">
        <f>IF(COUNTIF(BV$76:BV629,BV629)=1,MAX(BU$76:BU628)+1,"")</f>
        <v/>
      </c>
      <c r="BV629" s="1312">
        <v>217.5</v>
      </c>
      <c r="BW629" s="1312">
        <v>455</v>
      </c>
      <c r="BX629" s="1312">
        <v>285</v>
      </c>
      <c r="BY629">
        <v>320</v>
      </c>
      <c r="BZ629" s="1312" t="s">
        <v>1422</v>
      </c>
      <c r="CA629" s="1352"/>
    </row>
    <row r="630" spans="73:79" x14ac:dyDescent="0.3">
      <c r="BU630" s="165" t="str">
        <f>IF(COUNTIF(BV$76:BV630,BV630)=1,MAX(BU$76:BU629)+1,"")</f>
        <v/>
      </c>
      <c r="BV630" s="1312">
        <v>217.5</v>
      </c>
      <c r="BW630" s="1312">
        <v>260</v>
      </c>
      <c r="BX630" s="1312">
        <v>285</v>
      </c>
      <c r="BY630">
        <v>320</v>
      </c>
      <c r="BZ630" s="1312" t="s">
        <v>1421</v>
      </c>
      <c r="CA630" s="1352"/>
    </row>
    <row r="631" spans="73:79" x14ac:dyDescent="0.3">
      <c r="BU631" s="165">
        <f>IF(COUNTIF(BV$76:BV631,BV631)=1,MAX(BU$76:BU630)+1,"")</f>
        <v>53</v>
      </c>
      <c r="BV631" s="1312">
        <v>220</v>
      </c>
      <c r="BW631" s="1312">
        <v>265</v>
      </c>
      <c r="BX631" s="1312">
        <v>285</v>
      </c>
      <c r="BY631">
        <v>320</v>
      </c>
      <c r="BZ631" s="1312" t="s">
        <v>1423</v>
      </c>
      <c r="CA631" s="1352"/>
    </row>
    <row r="632" spans="73:79" x14ac:dyDescent="0.3">
      <c r="BU632" s="165" t="str">
        <f>IF(COUNTIF(BV$76:BV632,BV632)=1,MAX(BU$76:BU631)+1,"")</f>
        <v/>
      </c>
      <c r="BV632" s="1312">
        <v>220</v>
      </c>
      <c r="BW632" s="1312">
        <v>260</v>
      </c>
      <c r="BX632" s="1312">
        <v>375</v>
      </c>
      <c r="BY632">
        <v>450</v>
      </c>
      <c r="BZ632" s="1312" t="s">
        <v>1423</v>
      </c>
      <c r="CA632" s="1352"/>
    </row>
    <row r="633" spans="73:79" x14ac:dyDescent="0.3">
      <c r="BU633" s="165" t="str">
        <f>IF(COUNTIF(BV$76:BV633,BV633)=1,MAX(BU$76:BU632)+1,"")</f>
        <v/>
      </c>
      <c r="BV633" s="1312">
        <v>220</v>
      </c>
      <c r="BW633" s="1312">
        <v>265</v>
      </c>
      <c r="BX633" s="1312">
        <v>285</v>
      </c>
      <c r="BY633">
        <v>320</v>
      </c>
      <c r="BZ633" s="1312" t="s">
        <v>1423</v>
      </c>
      <c r="CA633" s="1352"/>
    </row>
    <row r="634" spans="73:79" x14ac:dyDescent="0.3">
      <c r="BU634" s="165" t="str">
        <f>IF(COUNTIF(BV$76:BV634,BV634)=1,MAX(BU$76:BU633)+1,"")</f>
        <v/>
      </c>
      <c r="BV634" s="1312">
        <v>220</v>
      </c>
      <c r="BW634" s="1312">
        <v>264</v>
      </c>
      <c r="BX634" s="1312">
        <v>285</v>
      </c>
      <c r="BY634">
        <v>320</v>
      </c>
      <c r="BZ634" s="1312" t="s">
        <v>1423</v>
      </c>
      <c r="CA634" s="1352"/>
    </row>
    <row r="635" spans="73:79" x14ac:dyDescent="0.3">
      <c r="BU635" s="165" t="str">
        <f>IF(COUNTIF(BV$76:BV635,BV635)=1,MAX(BU$76:BU634)+1,"")</f>
        <v/>
      </c>
      <c r="BV635" s="1312">
        <v>220</v>
      </c>
      <c r="BW635" s="1312">
        <v>265</v>
      </c>
      <c r="BX635" s="1312">
        <v>285</v>
      </c>
      <c r="BY635">
        <v>320</v>
      </c>
      <c r="BZ635" s="1312" t="s">
        <v>1423</v>
      </c>
      <c r="CA635" s="1352"/>
    </row>
    <row r="636" spans="73:79" x14ac:dyDescent="0.3">
      <c r="BU636" s="165" t="str">
        <f>IF(COUNTIF(BV$76:BV636,BV636)=1,MAX(BU$76:BU635)+1,"")</f>
        <v/>
      </c>
      <c r="BV636" s="1312">
        <v>220</v>
      </c>
      <c r="BW636" s="1312">
        <v>263</v>
      </c>
      <c r="BX636" s="1312">
        <v>285</v>
      </c>
      <c r="BY636">
        <v>320</v>
      </c>
      <c r="BZ636" s="1312" t="s">
        <v>1423</v>
      </c>
      <c r="CA636" s="1352"/>
    </row>
    <row r="637" spans="73:79" x14ac:dyDescent="0.3">
      <c r="BU637" s="165" t="str">
        <f>IF(COUNTIF(BV$76:BV637,BV637)=1,MAX(BU$76:BU636)+1,"")</f>
        <v/>
      </c>
      <c r="BV637" s="1312">
        <v>220</v>
      </c>
      <c r="BW637" s="1312">
        <v>218</v>
      </c>
      <c r="BX637" s="1312">
        <v>285</v>
      </c>
      <c r="BY637">
        <v>320</v>
      </c>
      <c r="BZ637" s="1312" t="s">
        <v>1424</v>
      </c>
      <c r="CA637" s="1352"/>
    </row>
    <row r="638" spans="73:79" x14ac:dyDescent="0.3">
      <c r="BU638" s="165" t="str">
        <f>IF(COUNTIF(BV$76:BV638,BV638)=1,MAX(BU$76:BU637)+1,"")</f>
        <v/>
      </c>
      <c r="BV638" s="1312">
        <v>220</v>
      </c>
      <c r="BW638" s="1312">
        <v>317</v>
      </c>
      <c r="BX638" s="1312">
        <v>375</v>
      </c>
      <c r="BY638">
        <v>450</v>
      </c>
      <c r="BZ638" s="1312" t="s">
        <v>1425</v>
      </c>
      <c r="CA638" s="1352"/>
    </row>
    <row r="639" spans="73:79" x14ac:dyDescent="0.3">
      <c r="BU639" s="165" t="str">
        <f>IF(COUNTIF(BV$76:BV639,BV639)=1,MAX(BU$76:BU638)+1,"")</f>
        <v/>
      </c>
      <c r="BV639" s="1312">
        <v>220</v>
      </c>
      <c r="BW639" s="1312">
        <v>263</v>
      </c>
      <c r="BX639" s="1312">
        <v>285</v>
      </c>
      <c r="BY639">
        <v>320</v>
      </c>
      <c r="BZ639" s="1312" t="s">
        <v>1423</v>
      </c>
      <c r="CA639" s="1352"/>
    </row>
    <row r="640" spans="73:79" x14ac:dyDescent="0.3">
      <c r="BU640" s="165" t="str">
        <f>IF(COUNTIF(BV$76:BV640,BV640)=1,MAX(BU$76:BU639)+1,"")</f>
        <v/>
      </c>
      <c r="BV640" s="1312">
        <v>220</v>
      </c>
      <c r="BW640" s="1312">
        <v>505</v>
      </c>
      <c r="BX640" s="1312">
        <v>285</v>
      </c>
      <c r="BY640">
        <v>320</v>
      </c>
      <c r="BZ640" s="1312" t="s">
        <v>1426</v>
      </c>
      <c r="CA640" s="1352"/>
    </row>
    <row r="641" spans="73:79" x14ac:dyDescent="0.3">
      <c r="BU641" s="165" t="str">
        <f>IF(COUNTIF(BV$76:BV641,BV641)=1,MAX(BU$76:BU640)+1,"")</f>
        <v/>
      </c>
      <c r="BV641" s="1312">
        <v>220</v>
      </c>
      <c r="BW641" s="1312">
        <v>380</v>
      </c>
      <c r="BX641" s="1312">
        <v>360</v>
      </c>
      <c r="BY641">
        <v>450</v>
      </c>
      <c r="BZ641" s="1312" t="s">
        <v>1427</v>
      </c>
      <c r="CA641" s="1352"/>
    </row>
    <row r="642" spans="73:79" x14ac:dyDescent="0.3">
      <c r="BU642" s="165" t="str">
        <f>IF(COUNTIF(BV$76:BV642,BV642)=1,MAX(BU$76:BU641)+1,"")</f>
        <v/>
      </c>
      <c r="BV642" s="1312">
        <v>220</v>
      </c>
      <c r="BW642" s="1312">
        <v>377</v>
      </c>
      <c r="BX642" s="1312">
        <v>360</v>
      </c>
      <c r="BY642">
        <v>450</v>
      </c>
      <c r="BZ642" s="1312" t="s">
        <v>1427</v>
      </c>
      <c r="CA642" s="1352"/>
    </row>
    <row r="643" spans="73:79" x14ac:dyDescent="0.3">
      <c r="BU643" s="165" t="str">
        <f>IF(COUNTIF(BV$76:BV643,BV643)=1,MAX(BU$76:BU642)+1,"")</f>
        <v/>
      </c>
      <c r="BV643" s="1312">
        <v>220</v>
      </c>
      <c r="BW643" s="1312">
        <v>320</v>
      </c>
      <c r="BX643" s="1312">
        <v>285</v>
      </c>
      <c r="BY643">
        <v>320</v>
      </c>
      <c r="BZ643" s="1312" t="s">
        <v>1425</v>
      </c>
      <c r="CA643" s="1352"/>
    </row>
    <row r="644" spans="73:79" x14ac:dyDescent="0.3">
      <c r="BU644" s="165" t="str">
        <f>IF(COUNTIF(BV$76:BV644,BV644)=1,MAX(BU$76:BU643)+1,"")</f>
        <v/>
      </c>
      <c r="BV644" s="1312">
        <v>220</v>
      </c>
      <c r="BW644" s="1312">
        <v>320</v>
      </c>
      <c r="BX644" s="1312">
        <v>360</v>
      </c>
      <c r="BY644">
        <v>450</v>
      </c>
      <c r="BZ644" s="1312" t="s">
        <v>1425</v>
      </c>
      <c r="CA644" s="1352"/>
    </row>
    <row r="645" spans="73:79" x14ac:dyDescent="0.3">
      <c r="BU645" s="165" t="str">
        <f>IF(COUNTIF(BV$76:BV645,BV645)=1,MAX(BU$76:BU644)+1,"")</f>
        <v/>
      </c>
      <c r="BV645" s="1312">
        <v>220</v>
      </c>
      <c r="BW645" s="1312">
        <v>380</v>
      </c>
      <c r="BX645" s="1312">
        <v>360</v>
      </c>
      <c r="BY645">
        <v>450</v>
      </c>
      <c r="BZ645" s="1312" t="s">
        <v>1427</v>
      </c>
      <c r="CA645" s="1352"/>
    </row>
    <row r="646" spans="73:79" x14ac:dyDescent="0.3">
      <c r="BU646" s="165">
        <f>IF(COUNTIF(BV$76:BV646,BV646)=1,MAX(BU$76:BU645)+1,"")</f>
        <v>54</v>
      </c>
      <c r="BV646" s="1312">
        <v>222.5</v>
      </c>
      <c r="BW646" s="1312">
        <v>255</v>
      </c>
      <c r="BX646" s="1312">
        <v>360</v>
      </c>
      <c r="BY646">
        <v>450</v>
      </c>
      <c r="BZ646" s="1312" t="s">
        <v>1428</v>
      </c>
      <c r="CA646" s="1352"/>
    </row>
    <row r="647" spans="73:79" x14ac:dyDescent="0.3">
      <c r="BU647" s="165" t="str">
        <f>IF(COUNTIF(BV$76:BV647,BV647)=1,MAX(BU$76:BU646)+1,"")</f>
        <v/>
      </c>
      <c r="BV647" s="1312">
        <v>222.5</v>
      </c>
      <c r="BW647" s="1312">
        <v>260</v>
      </c>
      <c r="BX647" s="1312">
        <v>375</v>
      </c>
      <c r="BY647">
        <v>450</v>
      </c>
      <c r="BZ647" s="1312" t="s">
        <v>1428</v>
      </c>
      <c r="CA647" s="1352"/>
    </row>
    <row r="648" spans="73:79" x14ac:dyDescent="0.3">
      <c r="BU648" s="165" t="str">
        <f>IF(COUNTIF(BV$76:BV648,BV648)=1,MAX(BU$76:BU647)+1,"")</f>
        <v/>
      </c>
      <c r="BV648" s="1312">
        <v>222.5</v>
      </c>
      <c r="BW648" s="1312">
        <v>260</v>
      </c>
      <c r="BX648" s="1312">
        <v>360</v>
      </c>
      <c r="BY648">
        <v>450</v>
      </c>
      <c r="BZ648" s="1312" t="s">
        <v>1428</v>
      </c>
      <c r="CA648" s="1352"/>
    </row>
    <row r="649" spans="73:79" x14ac:dyDescent="0.3">
      <c r="BU649" s="165" t="str">
        <f>IF(COUNTIF(BV$76:BV649,BV649)=1,MAX(BU$76:BU648)+1,"")</f>
        <v/>
      </c>
      <c r="BV649" s="1312">
        <v>222.5</v>
      </c>
      <c r="BW649" s="1312">
        <v>260</v>
      </c>
      <c r="BX649" s="1312">
        <v>375</v>
      </c>
      <c r="BY649">
        <v>450</v>
      </c>
      <c r="BZ649" s="1312" t="s">
        <v>1428</v>
      </c>
      <c r="CA649" s="1352"/>
    </row>
    <row r="650" spans="73:79" x14ac:dyDescent="0.3">
      <c r="BU650" s="165" t="str">
        <f>IF(COUNTIF(BV$76:BV650,BV650)=1,MAX(BU$76:BU649)+1,"")</f>
        <v/>
      </c>
      <c r="BV650" s="1312">
        <v>222.5</v>
      </c>
      <c r="BW650" s="1312">
        <v>320</v>
      </c>
      <c r="BX650" s="1312">
        <v>360</v>
      </c>
      <c r="BY650">
        <v>450</v>
      </c>
      <c r="BZ650" s="1312" t="s">
        <v>1429</v>
      </c>
      <c r="CA650" s="1352"/>
    </row>
    <row r="651" spans="73:79" x14ac:dyDescent="0.3">
      <c r="BU651" s="165" t="str">
        <f>IF(COUNTIF(BV$76:BV651,BV651)=1,MAX(BU$76:BU650)+1,"")</f>
        <v/>
      </c>
      <c r="BV651" s="1312">
        <v>222.5</v>
      </c>
      <c r="BW651" s="1312">
        <v>497</v>
      </c>
      <c r="BX651" s="1312">
        <v>360</v>
      </c>
      <c r="BY651">
        <v>400</v>
      </c>
      <c r="BZ651" s="1312" t="s">
        <v>1426</v>
      </c>
      <c r="CA651" s="1352"/>
    </row>
    <row r="652" spans="73:79" x14ac:dyDescent="0.3">
      <c r="BU652" s="165" t="str">
        <f>IF(COUNTIF(BV$76:BV652,BV652)=1,MAX(BU$76:BU651)+1,"")</f>
        <v/>
      </c>
      <c r="BV652" s="1312">
        <v>222.5</v>
      </c>
      <c r="BW652" s="1312">
        <v>497</v>
      </c>
      <c r="BX652" s="1312">
        <v>360</v>
      </c>
      <c r="BY652">
        <v>400</v>
      </c>
      <c r="BZ652" s="1312" t="s">
        <v>1426</v>
      </c>
      <c r="CA652" s="1352"/>
    </row>
    <row r="653" spans="73:79" x14ac:dyDescent="0.3">
      <c r="BU653" s="165" t="str">
        <f>IF(COUNTIF(BV$76:BV653,BV653)=1,MAX(BU$76:BU652)+1,"")</f>
        <v/>
      </c>
      <c r="BV653" s="1312">
        <v>222.5</v>
      </c>
      <c r="BW653" s="1312">
        <v>257</v>
      </c>
      <c r="BX653" s="1312">
        <v>360</v>
      </c>
      <c r="BY653">
        <v>450</v>
      </c>
      <c r="BZ653" s="1312" t="s">
        <v>1428</v>
      </c>
      <c r="CA653" s="1352"/>
    </row>
    <row r="654" spans="73:79" x14ac:dyDescent="0.3">
      <c r="BU654" s="165">
        <f>IF(COUNTIF(BV$76:BV654,BV654)=1,MAX(BU$76:BU653)+1,"")</f>
        <v>55</v>
      </c>
      <c r="BV654" s="1312">
        <v>225</v>
      </c>
      <c r="BW654" s="1312">
        <v>497</v>
      </c>
      <c r="BX654" s="1312">
        <v>360</v>
      </c>
      <c r="BY654">
        <v>400</v>
      </c>
      <c r="BZ654" s="1312" t="s">
        <v>1430</v>
      </c>
      <c r="CA654" s="1352"/>
    </row>
    <row r="655" spans="73:79" x14ac:dyDescent="0.3">
      <c r="BU655" s="165" t="str">
        <f>IF(COUNTIF(BV$76:BV655,BV655)=1,MAX(BU$76:BU654)+1,"")</f>
        <v/>
      </c>
      <c r="BV655" s="1312">
        <v>225</v>
      </c>
      <c r="BW655" s="1312">
        <v>258</v>
      </c>
      <c r="BX655" s="1312">
        <v>360</v>
      </c>
      <c r="BY655">
        <v>450</v>
      </c>
      <c r="BZ655" s="1312" t="s">
        <v>1431</v>
      </c>
      <c r="CA655" s="1352"/>
    </row>
    <row r="656" spans="73:79" x14ac:dyDescent="0.3">
      <c r="BU656" s="165" t="str">
        <f>IF(COUNTIF(BV$76:BV656,BV656)=1,MAX(BU$76:BU655)+1,"")</f>
        <v/>
      </c>
      <c r="BV656" s="1312">
        <v>225</v>
      </c>
      <c r="BW656" s="1312">
        <v>317</v>
      </c>
      <c r="BX656" s="1312">
        <v>375</v>
      </c>
      <c r="BY656">
        <v>450</v>
      </c>
      <c r="BZ656" s="1312" t="s">
        <v>1432</v>
      </c>
      <c r="CA656" s="1352"/>
    </row>
    <row r="657" spans="73:79" x14ac:dyDescent="0.3">
      <c r="BU657" s="165" t="str">
        <f>IF(COUNTIF(BV$76:BV657,BV657)=1,MAX(BU$76:BU656)+1,"")</f>
        <v/>
      </c>
      <c r="BV657" s="1312">
        <v>225</v>
      </c>
      <c r="BW657" s="1312">
        <v>320</v>
      </c>
      <c r="BX657" s="1312">
        <v>360</v>
      </c>
      <c r="BY657">
        <v>450</v>
      </c>
      <c r="BZ657" s="1312" t="s">
        <v>1432</v>
      </c>
      <c r="CA657" s="1352"/>
    </row>
    <row r="658" spans="73:79" x14ac:dyDescent="0.3">
      <c r="BU658" s="165" t="str">
        <f>IF(COUNTIF(BV$76:BV658,BV658)=1,MAX(BU$76:BU657)+1,"")</f>
        <v/>
      </c>
      <c r="BV658" s="1312">
        <v>225</v>
      </c>
      <c r="BW658" s="1312">
        <v>380</v>
      </c>
      <c r="BX658" s="1312">
        <v>360</v>
      </c>
      <c r="BY658">
        <v>450</v>
      </c>
      <c r="BZ658" s="1312" t="s">
        <v>1433</v>
      </c>
      <c r="CA658" s="1352"/>
    </row>
    <row r="659" spans="73:79" x14ac:dyDescent="0.3">
      <c r="BU659" s="165">
        <f>IF(COUNTIF(BV$76:BV659,BV659)=1,MAX(BU$76:BU658)+1,"")</f>
        <v>56</v>
      </c>
      <c r="BV659" s="1312">
        <v>227.5</v>
      </c>
      <c r="BW659" s="1312">
        <v>312</v>
      </c>
      <c r="BX659" s="1312">
        <v>375</v>
      </c>
      <c r="BY659">
        <v>450</v>
      </c>
      <c r="BZ659" s="1312" t="s">
        <v>1434</v>
      </c>
      <c r="CA659" s="1352"/>
    </row>
    <row r="660" spans="73:79" x14ac:dyDescent="0.3">
      <c r="BU660" s="165" t="str">
        <f>IF(COUNTIF(BV$76:BV660,BV660)=1,MAX(BU$76:BU659)+1,"")</f>
        <v/>
      </c>
      <c r="BV660" s="1312">
        <v>227.5</v>
      </c>
      <c r="BW660" s="1312">
        <v>320</v>
      </c>
      <c r="BX660" s="1312">
        <v>360</v>
      </c>
      <c r="BY660">
        <v>450</v>
      </c>
      <c r="BZ660" s="1312" t="s">
        <v>1434</v>
      </c>
      <c r="CA660" s="1352"/>
    </row>
    <row r="661" spans="73:79" x14ac:dyDescent="0.3">
      <c r="BU661" s="165" t="str">
        <f>IF(COUNTIF(BV$76:BV661,BV661)=1,MAX(BU$76:BU660)+1,"")</f>
        <v/>
      </c>
      <c r="BV661" s="1312">
        <v>227.5</v>
      </c>
      <c r="BW661" s="1312">
        <v>317</v>
      </c>
      <c r="BX661" s="1312">
        <v>360</v>
      </c>
      <c r="BY661">
        <v>450</v>
      </c>
      <c r="BZ661" s="1312" t="s">
        <v>1434</v>
      </c>
      <c r="CA661" s="1352"/>
    </row>
    <row r="662" spans="73:79" x14ac:dyDescent="0.3">
      <c r="BU662" s="165" t="str">
        <f>IF(COUNTIF(BV$76:BV662,BV662)=1,MAX(BU$76:BU661)+1,"")</f>
        <v/>
      </c>
      <c r="BV662" s="1312">
        <v>227.5</v>
      </c>
      <c r="BW662" s="1312">
        <v>318</v>
      </c>
      <c r="BX662" s="1312">
        <v>360</v>
      </c>
      <c r="BY662">
        <v>450</v>
      </c>
      <c r="BZ662" s="1312" t="s">
        <v>1434</v>
      </c>
      <c r="CA662" s="1352"/>
    </row>
    <row r="663" spans="73:79" x14ac:dyDescent="0.3">
      <c r="BU663" s="165" t="str">
        <f>IF(COUNTIF(BV$76:BV663,BV663)=1,MAX(BU$76:BU662)+1,"")</f>
        <v/>
      </c>
      <c r="BV663" s="1312">
        <v>227.5</v>
      </c>
      <c r="BW663" s="1312">
        <v>260</v>
      </c>
      <c r="BX663" s="1312">
        <v>360</v>
      </c>
      <c r="BY663">
        <v>450</v>
      </c>
      <c r="BZ663" s="1312" t="s">
        <v>1435</v>
      </c>
      <c r="CA663" s="1352"/>
    </row>
    <row r="664" spans="73:79" x14ac:dyDescent="0.3">
      <c r="BU664" s="165" t="str">
        <f>IF(COUNTIF(BV$76:BV664,BV664)=1,MAX(BU$76:BU663)+1,"")</f>
        <v/>
      </c>
      <c r="BV664" s="1312">
        <v>227.5</v>
      </c>
      <c r="BW664" s="1312">
        <v>320</v>
      </c>
      <c r="BX664" s="1312">
        <v>360</v>
      </c>
      <c r="BY664">
        <v>450</v>
      </c>
      <c r="BZ664" s="1312" t="s">
        <v>1434</v>
      </c>
      <c r="CA664" s="1352"/>
    </row>
    <row r="665" spans="73:79" x14ac:dyDescent="0.3">
      <c r="BU665" s="165" t="str">
        <f>IF(COUNTIF(BV$76:BV665,BV665)=1,MAX(BU$76:BU664)+1,"")</f>
        <v/>
      </c>
      <c r="BV665" s="1312">
        <v>227.5</v>
      </c>
      <c r="BW665" s="1312">
        <v>500</v>
      </c>
      <c r="BX665" s="1312">
        <v>360</v>
      </c>
      <c r="BY665">
        <v>400</v>
      </c>
      <c r="BZ665" s="1312" t="s">
        <v>1436</v>
      </c>
      <c r="CA665" s="1352"/>
    </row>
    <row r="666" spans="73:79" x14ac:dyDescent="0.3">
      <c r="BU666" s="165" t="str">
        <f>IF(COUNTIF(BV$76:BV666,BV666)=1,MAX(BU$76:BU665)+1,"")</f>
        <v/>
      </c>
      <c r="BV666" s="1312">
        <v>227.5</v>
      </c>
      <c r="BW666" s="1312">
        <v>498</v>
      </c>
      <c r="BX666" s="1312">
        <v>360</v>
      </c>
      <c r="BY666">
        <v>400</v>
      </c>
      <c r="BZ666" s="1312" t="s">
        <v>1436</v>
      </c>
      <c r="CA666" s="1352"/>
    </row>
    <row r="667" spans="73:79" x14ac:dyDescent="0.3">
      <c r="BU667" s="165">
        <f>IF(COUNTIF(BV$76:BV667,BV667)=1,MAX(BU$76:BU666)+1,"")</f>
        <v>57</v>
      </c>
      <c r="BV667" s="1312">
        <v>230</v>
      </c>
      <c r="BW667" s="1312">
        <v>260</v>
      </c>
      <c r="BX667" s="1312">
        <v>375</v>
      </c>
      <c r="BY667">
        <v>450</v>
      </c>
      <c r="BZ667" s="1312" t="s">
        <v>1437</v>
      </c>
      <c r="CA667" s="1352"/>
    </row>
    <row r="668" spans="73:79" x14ac:dyDescent="0.3">
      <c r="BU668" s="165" t="str">
        <f>IF(COUNTIF(BV$76:BV668,BV668)=1,MAX(BU$76:BU667)+1,"")</f>
        <v/>
      </c>
      <c r="BV668" s="1312">
        <v>230</v>
      </c>
      <c r="BW668" s="1312">
        <v>260</v>
      </c>
      <c r="BX668" s="1312">
        <v>375</v>
      </c>
      <c r="BY668">
        <v>450</v>
      </c>
      <c r="BZ668" s="1312" t="s">
        <v>1437</v>
      </c>
      <c r="CA668" s="1352"/>
    </row>
    <row r="669" spans="73:79" x14ac:dyDescent="0.3">
      <c r="BU669" s="165" t="str">
        <f>IF(COUNTIF(BV$76:BV669,BV669)=1,MAX(BU$76:BU668)+1,"")</f>
        <v/>
      </c>
      <c r="BV669" s="1312">
        <v>230</v>
      </c>
      <c r="BW669" s="1312">
        <v>318</v>
      </c>
      <c r="BX669" s="1312">
        <v>360</v>
      </c>
      <c r="BY669">
        <v>450</v>
      </c>
      <c r="BZ669" s="1312" t="s">
        <v>1438</v>
      </c>
      <c r="CA669" s="1352"/>
    </row>
    <row r="670" spans="73:79" x14ac:dyDescent="0.3">
      <c r="BU670" s="165" t="str">
        <f>IF(COUNTIF(BV$76:BV670,BV670)=1,MAX(BU$76:BU669)+1,"")</f>
        <v/>
      </c>
      <c r="BV670" s="1312">
        <v>230</v>
      </c>
      <c r="BW670" s="1312">
        <v>380</v>
      </c>
      <c r="BX670" s="1312">
        <v>360</v>
      </c>
      <c r="BY670">
        <v>450</v>
      </c>
      <c r="BZ670" s="1312" t="s">
        <v>1439</v>
      </c>
      <c r="CA670" s="1352"/>
    </row>
    <row r="671" spans="73:79" x14ac:dyDescent="0.3">
      <c r="BU671" s="165" t="str">
        <f>IF(COUNTIF(BV$76:BV671,BV671)=1,MAX(BU$76:BU670)+1,"")</f>
        <v/>
      </c>
      <c r="BV671" s="1312">
        <v>230</v>
      </c>
      <c r="BW671" s="1312">
        <v>318</v>
      </c>
      <c r="BX671" s="1312">
        <v>360</v>
      </c>
      <c r="BY671">
        <v>450</v>
      </c>
      <c r="BZ671" s="1312" t="s">
        <v>1438</v>
      </c>
      <c r="CA671" s="1352"/>
    </row>
    <row r="672" spans="73:79" x14ac:dyDescent="0.3">
      <c r="BU672" s="165" t="str">
        <f>IF(COUNTIF(BV$76:BV672,BV672)=1,MAX(BU$76:BU671)+1,"")</f>
        <v/>
      </c>
      <c r="BV672" s="1312">
        <v>230</v>
      </c>
      <c r="BW672" s="1312">
        <v>380</v>
      </c>
      <c r="BX672" s="1312">
        <v>360</v>
      </c>
      <c r="BY672">
        <v>450</v>
      </c>
      <c r="BZ672" s="1312" t="s">
        <v>1439</v>
      </c>
      <c r="CA672" s="1352"/>
    </row>
    <row r="673" spans="73:79" x14ac:dyDescent="0.3">
      <c r="BU673" s="165" t="str">
        <f>IF(COUNTIF(BV$76:BV673,BV673)=1,MAX(BU$76:BU672)+1,"")</f>
        <v/>
      </c>
      <c r="BV673" s="1312">
        <v>230</v>
      </c>
      <c r="BW673" s="1312">
        <v>260</v>
      </c>
      <c r="BX673" s="1312">
        <v>360</v>
      </c>
      <c r="BY673">
        <v>450</v>
      </c>
      <c r="BZ673" s="1312" t="s">
        <v>1437</v>
      </c>
      <c r="CA673" s="1352"/>
    </row>
    <row r="674" spans="73:79" x14ac:dyDescent="0.3">
      <c r="BU674" s="165" t="str">
        <f>IF(COUNTIF(BV$76:BV674,BV674)=1,MAX(BU$76:BU673)+1,"")</f>
        <v/>
      </c>
      <c r="BV674" s="1312">
        <v>230</v>
      </c>
      <c r="BW674" s="1312">
        <v>260</v>
      </c>
      <c r="BX674" s="1312">
        <v>360</v>
      </c>
      <c r="BY674">
        <v>450</v>
      </c>
      <c r="BZ674" s="1312" t="s">
        <v>1437</v>
      </c>
      <c r="CA674" s="1352"/>
    </row>
    <row r="675" spans="73:79" x14ac:dyDescent="0.3">
      <c r="BU675" s="165" t="str">
        <f>IF(COUNTIF(BV$76:BV675,BV675)=1,MAX(BU$76:BU674)+1,"")</f>
        <v/>
      </c>
      <c r="BV675" s="1312">
        <v>230</v>
      </c>
      <c r="BW675" s="1312">
        <v>260</v>
      </c>
      <c r="BX675" s="1312">
        <v>375</v>
      </c>
      <c r="BY675">
        <v>450</v>
      </c>
      <c r="BZ675" s="1312" t="s">
        <v>1437</v>
      </c>
      <c r="CA675" s="1352"/>
    </row>
    <row r="676" spans="73:79" x14ac:dyDescent="0.3">
      <c r="BU676" s="165" t="str">
        <f>IF(COUNTIF(BV$76:BV676,BV676)=1,MAX(BU$76:BU675)+1,"")</f>
        <v/>
      </c>
      <c r="BV676" s="1312">
        <v>230</v>
      </c>
      <c r="BW676" s="1312">
        <v>380</v>
      </c>
      <c r="BX676" s="1312">
        <v>360</v>
      </c>
      <c r="BY676">
        <v>450</v>
      </c>
      <c r="BZ676" s="1312" t="s">
        <v>1439</v>
      </c>
      <c r="CA676" s="1352"/>
    </row>
    <row r="677" spans="73:79" x14ac:dyDescent="0.3">
      <c r="BU677" s="165">
        <f>IF(COUNTIF(BV$76:BV677,BV677)=1,MAX(BU$76:BU676)+1,"")</f>
        <v>58</v>
      </c>
      <c r="BV677" s="1312">
        <v>232.5</v>
      </c>
      <c r="BW677" s="1312">
        <v>380</v>
      </c>
      <c r="BX677" s="1312">
        <v>360</v>
      </c>
      <c r="BY677">
        <v>450</v>
      </c>
      <c r="BZ677" s="1312" t="s">
        <v>1440</v>
      </c>
      <c r="CA677" s="1352"/>
    </row>
    <row r="678" spans="73:79" x14ac:dyDescent="0.3">
      <c r="BU678" s="165" t="str">
        <f>IF(COUNTIF(BV$76:BV678,BV678)=1,MAX(BU$76:BU677)+1,"")</f>
        <v/>
      </c>
      <c r="BV678" s="1312">
        <v>232.5</v>
      </c>
      <c r="BW678" s="1312">
        <v>260</v>
      </c>
      <c r="BX678" s="1312">
        <v>375</v>
      </c>
      <c r="BY678">
        <v>450</v>
      </c>
      <c r="BZ678" s="1312" t="s">
        <v>1441</v>
      </c>
      <c r="CA678" s="1352"/>
    </row>
    <row r="679" spans="73:79" x14ac:dyDescent="0.3">
      <c r="BU679" s="165" t="str">
        <f>IF(COUNTIF(BV$76:BV679,BV679)=1,MAX(BU$76:BU678)+1,"")</f>
        <v/>
      </c>
      <c r="BV679" s="1312">
        <v>232.5</v>
      </c>
      <c r="BW679" s="1312">
        <v>500</v>
      </c>
      <c r="BX679" s="1312">
        <v>375</v>
      </c>
      <c r="BY679">
        <v>400</v>
      </c>
      <c r="BZ679" s="1312" t="s">
        <v>1442</v>
      </c>
      <c r="CA679" s="1352"/>
    </row>
    <row r="680" spans="73:79" x14ac:dyDescent="0.3">
      <c r="BU680" s="165" t="str">
        <f>IF(COUNTIF(BV$76:BV680,BV680)=1,MAX(BU$76:BU679)+1,"")</f>
        <v/>
      </c>
      <c r="BV680" s="1312">
        <v>232.5</v>
      </c>
      <c r="BW680" s="1312">
        <v>260</v>
      </c>
      <c r="BX680" s="1312">
        <v>375</v>
      </c>
      <c r="BY680">
        <v>450</v>
      </c>
      <c r="BZ680" s="1312" t="s">
        <v>1441</v>
      </c>
      <c r="CA680" s="1352"/>
    </row>
    <row r="681" spans="73:79" x14ac:dyDescent="0.3">
      <c r="BU681" s="165" t="str">
        <f>IF(COUNTIF(BV$76:BV681,BV681)=1,MAX(BU$76:BU680)+1,"")</f>
        <v/>
      </c>
      <c r="BV681" s="1312">
        <v>232.5</v>
      </c>
      <c r="BW681" s="1312">
        <v>260</v>
      </c>
      <c r="BX681" s="1312">
        <v>375</v>
      </c>
      <c r="BY681">
        <v>450</v>
      </c>
      <c r="BZ681" s="1312" t="s">
        <v>1441</v>
      </c>
      <c r="CA681" s="1352"/>
    </row>
    <row r="682" spans="73:79" x14ac:dyDescent="0.3">
      <c r="BU682" s="165" t="str">
        <f>IF(COUNTIF(BV$76:BV682,BV682)=1,MAX(BU$76:BU681)+1,"")</f>
        <v/>
      </c>
      <c r="BV682" s="1312">
        <v>232.5</v>
      </c>
      <c r="BW682" s="1312">
        <v>260</v>
      </c>
      <c r="BX682" s="1312">
        <v>375</v>
      </c>
      <c r="BY682">
        <v>450</v>
      </c>
      <c r="BZ682" s="1312" t="s">
        <v>1441</v>
      </c>
      <c r="CA682" s="1352"/>
    </row>
    <row r="683" spans="73:79" x14ac:dyDescent="0.3">
      <c r="BU683" s="165" t="str">
        <f>IF(COUNTIF(BV$76:BV683,BV683)=1,MAX(BU$76:BU682)+1,"")</f>
        <v/>
      </c>
      <c r="BV683" s="1312">
        <v>232.5</v>
      </c>
      <c r="BW683" s="1312">
        <v>258</v>
      </c>
      <c r="BX683" s="1312">
        <v>360</v>
      </c>
      <c r="BY683">
        <v>450</v>
      </c>
      <c r="BZ683" s="1312" t="s">
        <v>1441</v>
      </c>
      <c r="CA683" s="1352"/>
    </row>
    <row r="684" spans="73:79" x14ac:dyDescent="0.3">
      <c r="BU684" s="165" t="str">
        <f>IF(COUNTIF(BV$76:BV684,BV684)=1,MAX(BU$76:BU683)+1,"")</f>
        <v/>
      </c>
      <c r="BV684" s="1312">
        <v>232.5</v>
      </c>
      <c r="BW684" s="1312">
        <v>257</v>
      </c>
      <c r="BX684" s="1312">
        <v>360</v>
      </c>
      <c r="BY684">
        <v>450</v>
      </c>
      <c r="BZ684" s="1312" t="s">
        <v>1441</v>
      </c>
      <c r="CA684" s="1352"/>
    </row>
    <row r="685" spans="73:79" x14ac:dyDescent="0.3">
      <c r="BU685" s="165" t="str">
        <f>IF(COUNTIF(BV$76:BV685,BV685)=1,MAX(BU$76:BU684)+1,"")</f>
        <v/>
      </c>
      <c r="BV685" s="1312">
        <v>232.5</v>
      </c>
      <c r="BW685" s="1312">
        <v>260</v>
      </c>
      <c r="BX685" s="1312">
        <v>360</v>
      </c>
      <c r="BY685">
        <v>450</v>
      </c>
      <c r="BZ685" s="1312" t="s">
        <v>1441</v>
      </c>
      <c r="CA685" s="1352"/>
    </row>
    <row r="686" spans="73:79" x14ac:dyDescent="0.3">
      <c r="BU686" s="165" t="str">
        <f>IF(COUNTIF(BV$76:BV686,BV686)=1,MAX(BU$76:BU685)+1,"")</f>
        <v/>
      </c>
      <c r="BV686" s="1312">
        <v>232.5</v>
      </c>
      <c r="BW686" s="1312">
        <v>260</v>
      </c>
      <c r="BX686" s="1312">
        <v>375</v>
      </c>
      <c r="BY686">
        <v>450</v>
      </c>
      <c r="BZ686" s="1312" t="s">
        <v>1441</v>
      </c>
      <c r="CA686" s="1352"/>
    </row>
    <row r="687" spans="73:79" x14ac:dyDescent="0.3">
      <c r="BU687" s="165" t="str">
        <f>IF(COUNTIF(BV$76:BV687,BV687)=1,MAX(BU$76:BU686)+1,"")</f>
        <v/>
      </c>
      <c r="BV687" s="1312">
        <v>232.5</v>
      </c>
      <c r="BW687" s="1312">
        <v>380</v>
      </c>
      <c r="BX687" s="1312">
        <v>375</v>
      </c>
      <c r="BY687">
        <v>450</v>
      </c>
      <c r="BZ687" s="1312" t="s">
        <v>1440</v>
      </c>
      <c r="CA687" s="1352"/>
    </row>
    <row r="688" spans="73:79" x14ac:dyDescent="0.3">
      <c r="BU688" s="165" t="str">
        <f>IF(COUNTIF(BV$76:BV688,BV688)=1,MAX(BU$76:BU687)+1,"")</f>
        <v/>
      </c>
      <c r="BV688" s="1312">
        <v>232.5</v>
      </c>
      <c r="BW688" s="1312">
        <v>260</v>
      </c>
      <c r="BX688" s="1312">
        <v>375</v>
      </c>
      <c r="BY688">
        <v>450</v>
      </c>
      <c r="BZ688" s="1312" t="s">
        <v>1441</v>
      </c>
      <c r="CA688" s="1352"/>
    </row>
    <row r="689" spans="73:79" x14ac:dyDescent="0.3">
      <c r="BU689" s="165" t="str">
        <f>IF(COUNTIF(BV$76:BV689,BV689)=1,MAX(BU$76:BU688)+1,"")</f>
        <v/>
      </c>
      <c r="BV689" s="1312">
        <v>232.5</v>
      </c>
      <c r="BW689" s="1312">
        <v>380</v>
      </c>
      <c r="BX689" s="1312">
        <v>360</v>
      </c>
      <c r="BY689">
        <v>450</v>
      </c>
      <c r="BZ689" s="1312" t="s">
        <v>1440</v>
      </c>
      <c r="CA689" s="1352"/>
    </row>
    <row r="690" spans="73:79" x14ac:dyDescent="0.3">
      <c r="BU690" s="165" t="str">
        <f>IF(COUNTIF(BV$76:BV690,BV690)=1,MAX(BU$76:BU689)+1,"")</f>
        <v/>
      </c>
      <c r="BV690" s="1312">
        <v>232.5</v>
      </c>
      <c r="BW690" s="1312">
        <v>260</v>
      </c>
      <c r="BX690" s="1312">
        <v>375</v>
      </c>
      <c r="BY690">
        <v>450</v>
      </c>
      <c r="BZ690" s="1312" t="s">
        <v>1441</v>
      </c>
      <c r="CA690" s="1352"/>
    </row>
    <row r="691" spans="73:79" x14ac:dyDescent="0.3">
      <c r="BU691" s="165" t="str">
        <f>IF(COUNTIF(BV$76:BV691,BV691)=1,MAX(BU$76:BU690)+1,"")</f>
        <v/>
      </c>
      <c r="BV691" s="1312">
        <v>232.5</v>
      </c>
      <c r="BW691" s="1312">
        <v>260</v>
      </c>
      <c r="BX691" s="1312">
        <v>375</v>
      </c>
      <c r="BY691">
        <v>450</v>
      </c>
      <c r="BZ691" s="1312" t="s">
        <v>1441</v>
      </c>
      <c r="CA691" s="1352"/>
    </row>
    <row r="692" spans="73:79" x14ac:dyDescent="0.3">
      <c r="BU692" s="165" t="str">
        <f>IF(COUNTIF(BV$76:BV692,BV692)=1,MAX(BU$76:BU691)+1,"")</f>
        <v/>
      </c>
      <c r="BV692" s="1312">
        <v>232.5</v>
      </c>
      <c r="BW692" s="1312">
        <v>260</v>
      </c>
      <c r="BX692" s="1312">
        <v>375</v>
      </c>
      <c r="BY692">
        <v>450</v>
      </c>
      <c r="BZ692" s="1312" t="s">
        <v>1441</v>
      </c>
      <c r="CA692" s="1352"/>
    </row>
    <row r="693" spans="73:79" x14ac:dyDescent="0.3">
      <c r="BU693" s="165" t="str">
        <f>IF(COUNTIF(BV$76:BV693,BV693)=1,MAX(BU$76:BU692)+1,"")</f>
        <v/>
      </c>
      <c r="BV693" s="1312">
        <v>232.5</v>
      </c>
      <c r="BW693" s="1312">
        <v>260</v>
      </c>
      <c r="BX693" s="1312">
        <v>375</v>
      </c>
      <c r="BY693">
        <v>450</v>
      </c>
      <c r="BZ693" s="1312" t="s">
        <v>1441</v>
      </c>
      <c r="CA693" s="1352"/>
    </row>
    <row r="694" spans="73:79" x14ac:dyDescent="0.3">
      <c r="BU694" s="165" t="str">
        <f>IF(COUNTIF(BV$76:BV694,BV694)=1,MAX(BU$76:BU693)+1,"")</f>
        <v/>
      </c>
      <c r="BV694" s="1312">
        <v>232.5</v>
      </c>
      <c r="BW694" s="1312">
        <v>260</v>
      </c>
      <c r="BX694" s="1312">
        <v>360</v>
      </c>
      <c r="BY694">
        <v>450</v>
      </c>
      <c r="BZ694" s="1312" t="s">
        <v>1441</v>
      </c>
      <c r="CA694" s="1352"/>
    </row>
    <row r="695" spans="73:79" x14ac:dyDescent="0.3">
      <c r="BU695" s="165" t="str">
        <f>IF(COUNTIF(BV$76:BV695,BV695)=1,MAX(BU$76:BU694)+1,"")</f>
        <v/>
      </c>
      <c r="BV695" s="1312">
        <v>232.5</v>
      </c>
      <c r="BW695" s="1312">
        <v>395</v>
      </c>
      <c r="BX695" s="1312">
        <v>360</v>
      </c>
      <c r="BY695">
        <v>400</v>
      </c>
      <c r="BZ695" s="1312" t="s">
        <v>1443</v>
      </c>
      <c r="CA695" s="1352"/>
    </row>
    <row r="696" spans="73:79" x14ac:dyDescent="0.3">
      <c r="BU696" s="165" t="str">
        <f>IF(COUNTIF(BV$76:BV696,BV696)=1,MAX(BU$76:BU695)+1,"")</f>
        <v/>
      </c>
      <c r="BV696" s="1312">
        <v>232.5</v>
      </c>
      <c r="BW696" s="1312">
        <v>398</v>
      </c>
      <c r="BX696" s="1312">
        <v>285</v>
      </c>
      <c r="BY696">
        <v>400</v>
      </c>
      <c r="BZ696" s="1312" t="s">
        <v>1443</v>
      </c>
      <c r="CA696" s="1352"/>
    </row>
    <row r="697" spans="73:79" x14ac:dyDescent="0.3">
      <c r="BU697" s="165">
        <f>IF(COUNTIF(BV$76:BV697,BV697)=1,MAX(BU$76:BU696)+1,"")</f>
        <v>59</v>
      </c>
      <c r="BV697" s="1312">
        <v>235</v>
      </c>
      <c r="BW697" s="1312">
        <v>320</v>
      </c>
      <c r="BX697" s="1312">
        <v>375</v>
      </c>
      <c r="BY697">
        <v>450</v>
      </c>
      <c r="BZ697" s="1312" t="s">
        <v>1444</v>
      </c>
      <c r="CA697" s="1352"/>
    </row>
    <row r="698" spans="73:79" x14ac:dyDescent="0.3">
      <c r="BU698" s="165" t="str">
        <f>IF(COUNTIF(BV$76:BV698,BV698)=1,MAX(BU$76:BU697)+1,"")</f>
        <v/>
      </c>
      <c r="BV698" s="1312">
        <v>235</v>
      </c>
      <c r="BW698" s="1312">
        <v>318</v>
      </c>
      <c r="BX698" s="1312">
        <v>360</v>
      </c>
      <c r="BY698">
        <v>450</v>
      </c>
      <c r="BZ698" s="1312" t="s">
        <v>1444</v>
      </c>
      <c r="CA698" s="1352"/>
    </row>
    <row r="699" spans="73:79" x14ac:dyDescent="0.3">
      <c r="BU699" s="165" t="str">
        <f>IF(COUNTIF(BV$76:BV699,BV699)=1,MAX(BU$76:BU698)+1,"")</f>
        <v/>
      </c>
      <c r="BV699" s="1312">
        <v>235</v>
      </c>
      <c r="BW699" s="1312">
        <v>318</v>
      </c>
      <c r="BX699" s="1312">
        <v>375</v>
      </c>
      <c r="BY699">
        <v>450</v>
      </c>
      <c r="BZ699" s="1312" t="s">
        <v>1444</v>
      </c>
      <c r="CA699" s="1352"/>
    </row>
    <row r="700" spans="73:79" x14ac:dyDescent="0.3">
      <c r="BU700" s="165" t="str">
        <f>IF(COUNTIF(BV$76:BV700,BV700)=1,MAX(BU$76:BU699)+1,"")</f>
        <v/>
      </c>
      <c r="BV700" s="1312">
        <v>235</v>
      </c>
      <c r="BW700" s="1312">
        <v>380</v>
      </c>
      <c r="BX700" s="1312">
        <v>360</v>
      </c>
      <c r="BY700">
        <v>450</v>
      </c>
      <c r="BZ700" s="1312" t="s">
        <v>1445</v>
      </c>
      <c r="CA700" s="1352"/>
    </row>
    <row r="701" spans="73:79" x14ac:dyDescent="0.3">
      <c r="BU701" s="165" t="str">
        <f>IF(COUNTIF(BV$76:BV701,BV701)=1,MAX(BU$76:BU700)+1,"")</f>
        <v/>
      </c>
      <c r="BV701" s="1312">
        <v>235</v>
      </c>
      <c r="BW701" s="1312">
        <v>258</v>
      </c>
      <c r="BX701" s="1312">
        <v>360</v>
      </c>
      <c r="BY701">
        <v>450</v>
      </c>
      <c r="BZ701" s="1312" t="s">
        <v>1446</v>
      </c>
      <c r="CA701" s="1352"/>
    </row>
    <row r="702" spans="73:79" x14ac:dyDescent="0.3">
      <c r="BU702" s="165" t="str">
        <f>IF(COUNTIF(BV$76:BV702,BV702)=1,MAX(BU$76:BU701)+1,"")</f>
        <v/>
      </c>
      <c r="BV702" s="1312">
        <v>235</v>
      </c>
      <c r="BW702" s="1312">
        <v>377</v>
      </c>
      <c r="BX702" s="1312">
        <v>360</v>
      </c>
      <c r="BY702">
        <v>450</v>
      </c>
      <c r="BZ702" s="1312" t="s">
        <v>1445</v>
      </c>
      <c r="CA702" s="1352"/>
    </row>
    <row r="703" spans="73:79" x14ac:dyDescent="0.3">
      <c r="BU703" s="165" t="str">
        <f>IF(COUNTIF(BV$76:BV703,BV703)=1,MAX(BU$76:BU702)+1,"")</f>
        <v/>
      </c>
      <c r="BV703" s="1312">
        <v>235</v>
      </c>
      <c r="BW703" s="1312">
        <v>380</v>
      </c>
      <c r="BX703" s="1312">
        <v>360</v>
      </c>
      <c r="BY703">
        <v>450</v>
      </c>
      <c r="BZ703" s="1312" t="s">
        <v>1445</v>
      </c>
      <c r="CA703" s="1352"/>
    </row>
    <row r="704" spans="73:79" x14ac:dyDescent="0.3">
      <c r="BU704" s="165">
        <f>IF(COUNTIF(BV$76:BV704,BV704)=1,MAX(BU$76:BU703)+1,"")</f>
        <v>60</v>
      </c>
      <c r="BV704" s="1312">
        <v>237.5</v>
      </c>
      <c r="BW704" s="1312">
        <v>317</v>
      </c>
      <c r="BX704" s="1312">
        <v>360</v>
      </c>
      <c r="BY704">
        <v>450</v>
      </c>
      <c r="BZ704" s="1312" t="s">
        <v>1447</v>
      </c>
      <c r="CA704" s="1352"/>
    </row>
    <row r="705" spans="73:79" x14ac:dyDescent="0.3">
      <c r="BU705" s="165" t="str">
        <f>IF(COUNTIF(BV$76:BV705,BV705)=1,MAX(BU$76:BU704)+1,"")</f>
        <v/>
      </c>
      <c r="BV705" s="1312">
        <v>237.5</v>
      </c>
      <c r="BW705" s="1312">
        <v>260</v>
      </c>
      <c r="BX705" s="1312">
        <v>360</v>
      </c>
      <c r="BY705">
        <v>450</v>
      </c>
      <c r="BZ705" s="1312" t="s">
        <v>1448</v>
      </c>
      <c r="CA705" s="1352"/>
    </row>
    <row r="706" spans="73:79" x14ac:dyDescent="0.3">
      <c r="BU706" s="165" t="str">
        <f>IF(COUNTIF(BV$76:BV706,BV706)=1,MAX(BU$76:BU705)+1,"")</f>
        <v/>
      </c>
      <c r="BV706" s="1312">
        <v>237.5</v>
      </c>
      <c r="BW706" s="1312">
        <v>323</v>
      </c>
      <c r="BX706" s="1312">
        <v>360</v>
      </c>
      <c r="BY706">
        <v>450</v>
      </c>
      <c r="BZ706" s="1312" t="s">
        <v>1447</v>
      </c>
      <c r="CA706" s="1352"/>
    </row>
    <row r="707" spans="73:79" x14ac:dyDescent="0.3">
      <c r="BU707" s="165" t="str">
        <f>IF(COUNTIF(BV$76:BV707,BV707)=1,MAX(BU$76:BU706)+1,"")</f>
        <v/>
      </c>
      <c r="BV707" s="1312">
        <v>237.5</v>
      </c>
      <c r="BW707" s="1312">
        <v>260</v>
      </c>
      <c r="BX707" s="1312">
        <v>360</v>
      </c>
      <c r="BY707">
        <v>450</v>
      </c>
      <c r="BZ707" s="1312" t="s">
        <v>1448</v>
      </c>
      <c r="CA707" s="1352"/>
    </row>
    <row r="708" spans="73:79" x14ac:dyDescent="0.3">
      <c r="BU708" s="165" t="str">
        <f>IF(COUNTIF(BV$76:BV708,BV708)=1,MAX(BU$76:BU707)+1,"")</f>
        <v/>
      </c>
      <c r="BV708" s="1312">
        <v>237.5</v>
      </c>
      <c r="BW708" s="1312">
        <v>320</v>
      </c>
      <c r="BX708" s="1312">
        <v>375</v>
      </c>
      <c r="BY708">
        <v>450</v>
      </c>
      <c r="BZ708" s="1312" t="s">
        <v>1447</v>
      </c>
      <c r="CA708" s="1352"/>
    </row>
    <row r="709" spans="73:79" x14ac:dyDescent="0.3">
      <c r="BU709" s="165" t="str">
        <f>IF(COUNTIF(BV$76:BV709,BV709)=1,MAX(BU$76:BU708)+1,"")</f>
        <v/>
      </c>
      <c r="BV709" s="1312">
        <v>237.5</v>
      </c>
      <c r="BW709" s="1312">
        <v>378</v>
      </c>
      <c r="BX709" s="1312">
        <v>360</v>
      </c>
      <c r="BY709">
        <v>450</v>
      </c>
      <c r="BZ709" s="1312" t="s">
        <v>1449</v>
      </c>
      <c r="CA709" s="1352"/>
    </row>
    <row r="710" spans="73:79" x14ac:dyDescent="0.3">
      <c r="BU710" s="165">
        <f>IF(COUNTIF(BV$76:BV710,BV710)=1,MAX(BU$76:BU709)+1,"")</f>
        <v>61</v>
      </c>
      <c r="BV710" s="1312">
        <v>240</v>
      </c>
      <c r="BW710" s="1312">
        <v>215</v>
      </c>
      <c r="BX710" s="1312">
        <v>375</v>
      </c>
      <c r="BY710">
        <v>450</v>
      </c>
      <c r="BZ710" s="1312" t="s">
        <v>1450</v>
      </c>
      <c r="CA710" s="1352"/>
    </row>
    <row r="711" spans="73:79" x14ac:dyDescent="0.3">
      <c r="BU711" s="165" t="str">
        <f>IF(COUNTIF(BV$76:BV711,BV711)=1,MAX(BU$76:BU710)+1,"")</f>
        <v/>
      </c>
      <c r="BV711" s="1312">
        <v>240</v>
      </c>
      <c r="BW711" s="1312">
        <v>500</v>
      </c>
      <c r="BX711" s="1312">
        <v>375</v>
      </c>
      <c r="BY711">
        <v>400</v>
      </c>
      <c r="BZ711" s="1312" t="s">
        <v>1451</v>
      </c>
      <c r="CA711" s="1352"/>
    </row>
    <row r="712" spans="73:79" x14ac:dyDescent="0.3">
      <c r="BU712" s="165" t="str">
        <f>IF(COUNTIF(BV$76:BV712,BV712)=1,MAX(BU$76:BU711)+1,"")</f>
        <v/>
      </c>
      <c r="BV712" s="1312">
        <v>240</v>
      </c>
      <c r="BW712" s="1312">
        <v>215</v>
      </c>
      <c r="BX712" s="1312">
        <v>375</v>
      </c>
      <c r="BY712">
        <v>450</v>
      </c>
      <c r="BZ712" s="1312" t="s">
        <v>1450</v>
      </c>
      <c r="CA712" s="1352"/>
    </row>
    <row r="713" spans="73:79" x14ac:dyDescent="0.3">
      <c r="BU713" s="165" t="str">
        <f>IF(COUNTIF(BV$76:BV713,BV713)=1,MAX(BU$76:BU712)+1,"")</f>
        <v/>
      </c>
      <c r="BV713" s="1312">
        <v>240</v>
      </c>
      <c r="BW713" s="1312">
        <v>215</v>
      </c>
      <c r="BX713" s="1312">
        <v>375</v>
      </c>
      <c r="BY713">
        <v>450</v>
      </c>
      <c r="BZ713" s="1312" t="s">
        <v>1450</v>
      </c>
      <c r="CA713" s="1352"/>
    </row>
    <row r="714" spans="73:79" x14ac:dyDescent="0.3">
      <c r="BU714" s="165" t="str">
        <f>IF(COUNTIF(BV$76:BV714,BV714)=1,MAX(BU$76:BU713)+1,"")</f>
        <v/>
      </c>
      <c r="BV714" s="1312">
        <v>240</v>
      </c>
      <c r="BW714" s="1312">
        <v>213</v>
      </c>
      <c r="BX714" s="1312">
        <v>375</v>
      </c>
      <c r="BY714">
        <v>450</v>
      </c>
      <c r="BZ714" s="1312" t="s">
        <v>1450</v>
      </c>
      <c r="CA714" s="1352"/>
    </row>
    <row r="715" spans="73:79" x14ac:dyDescent="0.3">
      <c r="BU715" s="165" t="str">
        <f>IF(COUNTIF(BV$76:BV715,BV715)=1,MAX(BU$76:BU714)+1,"")</f>
        <v/>
      </c>
      <c r="BV715" s="1312">
        <v>240</v>
      </c>
      <c r="BW715" s="1312">
        <v>318</v>
      </c>
      <c r="BX715" s="1312">
        <v>360</v>
      </c>
      <c r="BY715">
        <v>450</v>
      </c>
      <c r="BZ715" s="1312" t="s">
        <v>1452</v>
      </c>
      <c r="CA715" s="1352"/>
    </row>
    <row r="716" spans="73:79" x14ac:dyDescent="0.3">
      <c r="BU716" s="165" t="str">
        <f>IF(COUNTIF(BV$76:BV716,BV716)=1,MAX(BU$76:BU715)+1,"")</f>
        <v/>
      </c>
      <c r="BV716" s="1312">
        <v>240</v>
      </c>
      <c r="BW716" s="1312">
        <v>320</v>
      </c>
      <c r="BX716" s="1312">
        <v>360</v>
      </c>
      <c r="BY716">
        <v>450</v>
      </c>
      <c r="BZ716" s="1312" t="s">
        <v>1452</v>
      </c>
      <c r="CA716" s="1352"/>
    </row>
    <row r="717" spans="73:79" x14ac:dyDescent="0.3">
      <c r="BU717" s="165" t="str">
        <f>IF(COUNTIF(BV$76:BV717,BV717)=1,MAX(BU$76:BU716)+1,"")</f>
        <v/>
      </c>
      <c r="BV717" s="1312">
        <v>240</v>
      </c>
      <c r="BW717" s="1312">
        <v>315</v>
      </c>
      <c r="BX717" s="1312">
        <v>360</v>
      </c>
      <c r="BY717">
        <v>450</v>
      </c>
      <c r="BZ717" s="1312" t="s">
        <v>1452</v>
      </c>
      <c r="CA717" s="1352"/>
    </row>
    <row r="718" spans="73:79" x14ac:dyDescent="0.3">
      <c r="BU718" s="165" t="str">
        <f>IF(COUNTIF(BV$76:BV718,BV718)=1,MAX(BU$76:BU717)+1,"")</f>
        <v/>
      </c>
      <c r="BV718" s="1312">
        <v>240</v>
      </c>
      <c r="BW718" s="1312">
        <v>380</v>
      </c>
      <c r="BX718" s="1312">
        <v>360</v>
      </c>
      <c r="BY718">
        <v>450</v>
      </c>
      <c r="BZ718" s="1312" t="s">
        <v>1453</v>
      </c>
      <c r="CA718" s="1352"/>
    </row>
    <row r="719" spans="73:79" x14ac:dyDescent="0.3">
      <c r="BU719" s="165" t="str">
        <f>IF(COUNTIF(BV$76:BV719,BV719)=1,MAX(BU$76:BU718)+1,"")</f>
        <v/>
      </c>
      <c r="BV719" s="1312">
        <v>240</v>
      </c>
      <c r="BW719" s="1312">
        <v>320</v>
      </c>
      <c r="BX719" s="1312">
        <v>360</v>
      </c>
      <c r="BY719">
        <v>450</v>
      </c>
      <c r="BZ719" s="1312" t="s">
        <v>1452</v>
      </c>
      <c r="CA719" s="1352"/>
    </row>
    <row r="720" spans="73:79" x14ac:dyDescent="0.3">
      <c r="BU720" s="165" t="str">
        <f>IF(COUNTIF(BV$76:BV720,BV720)=1,MAX(BU$76:BU719)+1,"")</f>
        <v/>
      </c>
      <c r="BV720" s="1312">
        <v>240</v>
      </c>
      <c r="BW720" s="1312">
        <v>320</v>
      </c>
      <c r="BX720" s="1312">
        <v>360</v>
      </c>
      <c r="BY720">
        <v>450</v>
      </c>
      <c r="BZ720" s="1312" t="s">
        <v>1452</v>
      </c>
      <c r="CA720" s="1352"/>
    </row>
    <row r="721" spans="73:79" x14ac:dyDescent="0.3">
      <c r="BU721" s="165">
        <f>IF(COUNTIF(BV$76:BV721,BV721)=1,MAX(BU$76:BU720)+1,"")</f>
        <v>62</v>
      </c>
      <c r="BV721" s="1312">
        <v>242.5</v>
      </c>
      <c r="BW721" s="1312">
        <v>377</v>
      </c>
      <c r="BX721" s="1312">
        <v>375</v>
      </c>
      <c r="BY721">
        <v>450</v>
      </c>
      <c r="BZ721" s="1312" t="s">
        <v>1454</v>
      </c>
      <c r="CA721" s="1352"/>
    </row>
    <row r="722" spans="73:79" x14ac:dyDescent="0.3">
      <c r="BU722" s="165">
        <f>IF(COUNTIF(BV$76:BV722,BV722)=1,MAX(BU$76:BU721)+1,"")</f>
        <v>63</v>
      </c>
      <c r="BV722" s="1312">
        <v>245</v>
      </c>
      <c r="BW722" s="1312">
        <v>497</v>
      </c>
      <c r="BX722" s="1312">
        <v>360</v>
      </c>
      <c r="BY722">
        <v>400</v>
      </c>
      <c r="BZ722" s="1312" t="s">
        <v>1455</v>
      </c>
      <c r="CA722" s="1352"/>
    </row>
    <row r="723" spans="73:79" x14ac:dyDescent="0.3">
      <c r="BU723" s="165" t="str">
        <f>IF(COUNTIF(BV$76:BV723,BV723)=1,MAX(BU$76:BU722)+1,"")</f>
        <v/>
      </c>
      <c r="BV723" s="1312">
        <v>245</v>
      </c>
      <c r="BW723" s="1312">
        <v>500</v>
      </c>
      <c r="BX723" s="1312">
        <v>375</v>
      </c>
      <c r="BY723">
        <v>450</v>
      </c>
      <c r="BZ723" s="1312" t="s">
        <v>1455</v>
      </c>
      <c r="CA723" s="1352"/>
    </row>
    <row r="724" spans="73:79" x14ac:dyDescent="0.3">
      <c r="BU724" s="165" t="str">
        <f>IF(COUNTIF(BV$76:BV724,BV724)=1,MAX(BU$76:BU723)+1,"")</f>
        <v/>
      </c>
      <c r="BV724" s="1312">
        <v>245</v>
      </c>
      <c r="BW724" s="1312">
        <v>260</v>
      </c>
      <c r="BX724" s="1312">
        <v>360</v>
      </c>
      <c r="BY724">
        <v>450</v>
      </c>
      <c r="BZ724" s="1312" t="s">
        <v>1456</v>
      </c>
      <c r="CA724" s="1352"/>
    </row>
    <row r="725" spans="73:79" x14ac:dyDescent="0.3">
      <c r="BU725" s="165" t="str">
        <f>IF(COUNTIF(BV$76:BV725,BV725)=1,MAX(BU$76:BU724)+1,"")</f>
        <v/>
      </c>
      <c r="BV725" s="1312">
        <v>245</v>
      </c>
      <c r="BW725" s="1312">
        <v>257</v>
      </c>
      <c r="BX725" s="1312">
        <v>360</v>
      </c>
      <c r="BY725">
        <v>450</v>
      </c>
      <c r="BZ725" s="1312" t="s">
        <v>1456</v>
      </c>
      <c r="CA725" s="1352"/>
    </row>
    <row r="726" spans="73:79" x14ac:dyDescent="0.3">
      <c r="BU726" s="165" t="str">
        <f>IF(COUNTIF(BV$76:BV726,BV726)=1,MAX(BU$76:BU725)+1,"")</f>
        <v/>
      </c>
      <c r="BV726" s="1312">
        <v>245</v>
      </c>
      <c r="BW726" s="1312">
        <v>257</v>
      </c>
      <c r="BX726" s="1312">
        <v>360</v>
      </c>
      <c r="BY726">
        <v>450</v>
      </c>
      <c r="BZ726" s="1312" t="s">
        <v>1456</v>
      </c>
      <c r="CA726" s="1352"/>
    </row>
    <row r="727" spans="73:79" x14ac:dyDescent="0.3">
      <c r="BU727" s="165" t="str">
        <f>IF(COUNTIF(BV$76:BV727,BV727)=1,MAX(BU$76:BU726)+1,"")</f>
        <v/>
      </c>
      <c r="BV727" s="1312">
        <v>245</v>
      </c>
      <c r="BW727" s="1312">
        <v>497</v>
      </c>
      <c r="BX727" s="1312">
        <v>360</v>
      </c>
      <c r="BY727">
        <v>400</v>
      </c>
      <c r="BZ727" s="1312" t="s">
        <v>1455</v>
      </c>
      <c r="CA727" s="1352"/>
    </row>
    <row r="728" spans="73:79" x14ac:dyDescent="0.3">
      <c r="BU728" s="165" t="str">
        <f>IF(COUNTIF(BV$76:BV728,BV728)=1,MAX(BU$76:BU727)+1,"")</f>
        <v/>
      </c>
      <c r="BV728" s="1312">
        <v>245</v>
      </c>
      <c r="BW728" s="1312">
        <v>257</v>
      </c>
      <c r="BX728" s="1312">
        <v>360</v>
      </c>
      <c r="BY728">
        <v>450</v>
      </c>
      <c r="BZ728" s="1312" t="s">
        <v>1456</v>
      </c>
      <c r="CA728" s="1352"/>
    </row>
    <row r="729" spans="73:79" x14ac:dyDescent="0.3">
      <c r="BU729" s="165" t="str">
        <f>IF(COUNTIF(BV$76:BV729,BV729)=1,MAX(BU$76:BU728)+1,"")</f>
        <v/>
      </c>
      <c r="BV729" s="1312">
        <v>245</v>
      </c>
      <c r="BW729" s="1312">
        <v>455</v>
      </c>
      <c r="BX729" s="1312">
        <v>360</v>
      </c>
      <c r="BY729">
        <v>400</v>
      </c>
      <c r="BZ729" s="1312" t="s">
        <v>1457</v>
      </c>
      <c r="CA729" s="1352"/>
    </row>
    <row r="730" spans="73:79" x14ac:dyDescent="0.3">
      <c r="BU730" s="165" t="str">
        <f>IF(COUNTIF(BV$76:BV730,BV730)=1,MAX(BU$76:BU729)+1,"")</f>
        <v/>
      </c>
      <c r="BV730" s="1312">
        <v>245</v>
      </c>
      <c r="BW730" s="1312">
        <v>500</v>
      </c>
      <c r="BX730" s="1312">
        <v>360</v>
      </c>
      <c r="BY730">
        <v>400</v>
      </c>
      <c r="BZ730" s="1312" t="s">
        <v>1455</v>
      </c>
      <c r="CA730" s="1352"/>
    </row>
    <row r="731" spans="73:79" ht="28.8" x14ac:dyDescent="0.3">
      <c r="BU731" s="165" t="str">
        <f>IF(COUNTIF(BV$76:BV731,BV731)=1,MAX(BU$76:BU730)+1,"")</f>
        <v/>
      </c>
      <c r="BV731" s="1312">
        <v>245</v>
      </c>
      <c r="BW731" s="1312">
        <v>640</v>
      </c>
      <c r="BX731" s="1312">
        <v>320</v>
      </c>
      <c r="BY731">
        <v>320</v>
      </c>
      <c r="BZ731" s="1312" t="s">
        <v>1458</v>
      </c>
      <c r="CA731" s="1352" t="s">
        <v>1594</v>
      </c>
    </row>
    <row r="732" spans="73:79" x14ac:dyDescent="0.3">
      <c r="BU732" s="165">
        <f>IF(COUNTIF(BV$76:BV732,BV732)=1,MAX(BU$76:BU731)+1,"")</f>
        <v>64</v>
      </c>
      <c r="BV732" s="1312">
        <v>247.5</v>
      </c>
      <c r="BW732" s="1312">
        <v>505</v>
      </c>
      <c r="BX732" s="1312">
        <v>360</v>
      </c>
      <c r="BY732">
        <v>450</v>
      </c>
      <c r="BZ732" s="1312" t="s">
        <v>1459</v>
      </c>
      <c r="CA732" s="1352"/>
    </row>
    <row r="733" spans="73:79" x14ac:dyDescent="0.3">
      <c r="BU733" s="165" t="str">
        <f>IF(COUNTIF(BV$76:BV733,BV733)=1,MAX(BU$76:BU732)+1,"")</f>
        <v/>
      </c>
      <c r="BV733" s="1312">
        <v>247.5</v>
      </c>
      <c r="BW733" s="1312">
        <v>260</v>
      </c>
      <c r="BX733" s="1312">
        <v>360</v>
      </c>
      <c r="BY733">
        <v>450</v>
      </c>
      <c r="BZ733" s="1312" t="s">
        <v>1460</v>
      </c>
      <c r="CA733" s="1352"/>
    </row>
    <row r="734" spans="73:79" x14ac:dyDescent="0.3">
      <c r="BU734" s="165" t="str">
        <f>IF(COUNTIF(BV$76:BV734,BV734)=1,MAX(BU$76:BU733)+1,"")</f>
        <v/>
      </c>
      <c r="BV734" s="1312">
        <v>247.5</v>
      </c>
      <c r="BW734" s="1312">
        <v>320</v>
      </c>
      <c r="BX734" s="1312">
        <v>375</v>
      </c>
      <c r="BY734">
        <v>450</v>
      </c>
      <c r="BZ734" s="1312" t="s">
        <v>1461</v>
      </c>
      <c r="CA734" s="1352"/>
    </row>
    <row r="735" spans="73:79" x14ac:dyDescent="0.3">
      <c r="BU735" s="165">
        <f>IF(COUNTIF(BV$76:BV735,BV735)=1,MAX(BU$76:BU734)+1,"")</f>
        <v>65</v>
      </c>
      <c r="BV735" s="1312">
        <v>250</v>
      </c>
      <c r="BW735" s="1312">
        <v>318</v>
      </c>
      <c r="BX735" s="1312">
        <v>360</v>
      </c>
      <c r="BY735">
        <v>450</v>
      </c>
      <c r="BZ735" s="1312" t="s">
        <v>1462</v>
      </c>
      <c r="CA735" s="1352"/>
    </row>
    <row r="736" spans="73:79" x14ac:dyDescent="0.3">
      <c r="BU736" s="165" t="str">
        <f>IF(COUNTIF(BV$76:BV736,BV736)=1,MAX(BU$76:BU735)+1,"")</f>
        <v/>
      </c>
      <c r="BV736" s="1312">
        <v>250</v>
      </c>
      <c r="BW736" s="1312">
        <v>257</v>
      </c>
      <c r="BX736" s="1312">
        <v>360</v>
      </c>
      <c r="BY736">
        <v>450</v>
      </c>
      <c r="BZ736" s="1312" t="s">
        <v>1463</v>
      </c>
      <c r="CA736" s="1352"/>
    </row>
    <row r="737" spans="73:79" x14ac:dyDescent="0.3">
      <c r="BU737" s="165" t="str">
        <f>IF(COUNTIF(BV$76:BV737,BV737)=1,MAX(BU$76:BU736)+1,"")</f>
        <v/>
      </c>
      <c r="BV737" s="1312">
        <v>250</v>
      </c>
      <c r="BW737" s="1312">
        <v>257</v>
      </c>
      <c r="BX737" s="1312">
        <v>375</v>
      </c>
      <c r="BY737">
        <v>450</v>
      </c>
      <c r="BZ737" s="1312" t="s">
        <v>1463</v>
      </c>
      <c r="CA737" s="1352"/>
    </row>
    <row r="738" spans="73:79" x14ac:dyDescent="0.3">
      <c r="BU738" s="165" t="str">
        <f>IF(COUNTIF(BV$76:BV738,BV738)=1,MAX(BU$76:BU737)+1,"")</f>
        <v/>
      </c>
      <c r="BV738" s="1312">
        <v>250</v>
      </c>
      <c r="BW738" s="1312">
        <v>375</v>
      </c>
      <c r="BX738" s="1312">
        <v>360</v>
      </c>
      <c r="BY738">
        <v>450</v>
      </c>
      <c r="BZ738" s="1312" t="s">
        <v>1464</v>
      </c>
      <c r="CA738" s="1352"/>
    </row>
    <row r="739" spans="73:79" x14ac:dyDescent="0.3">
      <c r="BU739" s="165" t="str">
        <f>IF(COUNTIF(BV$76:BV739,BV739)=1,MAX(BU$76:BU738)+1,"")</f>
        <v/>
      </c>
      <c r="BV739" s="1312">
        <v>250</v>
      </c>
      <c r="BW739" s="1312">
        <v>320</v>
      </c>
      <c r="BX739" s="1312">
        <v>360</v>
      </c>
      <c r="BY739">
        <v>450</v>
      </c>
      <c r="BZ739" s="1312" t="s">
        <v>1462</v>
      </c>
      <c r="CA739" s="1352"/>
    </row>
    <row r="740" spans="73:79" x14ac:dyDescent="0.3">
      <c r="BU740" s="165" t="str">
        <f>IF(COUNTIF(BV$76:BV740,BV740)=1,MAX(BU$76:BU739)+1,"")</f>
        <v/>
      </c>
      <c r="BV740" s="1312">
        <v>250</v>
      </c>
      <c r="BW740" s="1312">
        <v>497</v>
      </c>
      <c r="BX740" s="1312">
        <v>360</v>
      </c>
      <c r="BY740">
        <v>450</v>
      </c>
      <c r="BZ740" s="1312" t="s">
        <v>1465</v>
      </c>
      <c r="CA740" s="1352"/>
    </row>
    <row r="741" spans="73:79" x14ac:dyDescent="0.3">
      <c r="BU741" s="165" t="str">
        <f>IF(COUNTIF(BV$76:BV741,BV741)=1,MAX(BU$76:BU740)+1,"")</f>
        <v/>
      </c>
      <c r="BV741" s="1312">
        <v>250</v>
      </c>
      <c r="BW741" s="1312">
        <v>260</v>
      </c>
      <c r="BX741" s="1312">
        <v>360</v>
      </c>
      <c r="BY741">
        <v>450</v>
      </c>
      <c r="BZ741" s="1312" t="s">
        <v>1463</v>
      </c>
      <c r="CA741" s="1352"/>
    </row>
    <row r="742" spans="73:79" x14ac:dyDescent="0.3">
      <c r="BU742" s="165" t="str">
        <f>IF(COUNTIF(BV$76:BV742,BV742)=1,MAX(BU$76:BU741)+1,"")</f>
        <v/>
      </c>
      <c r="BV742" s="1312">
        <v>250</v>
      </c>
      <c r="BW742" s="1312">
        <v>1130</v>
      </c>
      <c r="BX742" s="1312">
        <v>336</v>
      </c>
      <c r="BY742">
        <v>300</v>
      </c>
      <c r="BZ742" s="1312" t="s">
        <v>1466</v>
      </c>
      <c r="CA742" s="1352" t="s">
        <v>1595</v>
      </c>
    </row>
    <row r="743" spans="73:79" x14ac:dyDescent="0.3">
      <c r="BU743" s="165">
        <f>IF(COUNTIF(BV$76:BV743,BV743)=1,MAX(BU$76:BU742)+1,"")</f>
        <v>66</v>
      </c>
      <c r="BV743" s="1312">
        <v>252.5</v>
      </c>
      <c r="BW743" s="1312">
        <v>378</v>
      </c>
      <c r="BX743" s="1312">
        <v>360</v>
      </c>
      <c r="BY743">
        <v>450</v>
      </c>
      <c r="BZ743" s="1312" t="s">
        <v>1467</v>
      </c>
      <c r="CA743" s="1352"/>
    </row>
    <row r="744" spans="73:79" x14ac:dyDescent="0.3">
      <c r="BU744" s="165" t="str">
        <f>IF(COUNTIF(BV$76:BV744,BV744)=1,MAX(BU$76:BU743)+1,"")</f>
        <v/>
      </c>
      <c r="BV744" s="1312">
        <v>252.5</v>
      </c>
      <c r="BW744" s="1312">
        <v>260</v>
      </c>
      <c r="BX744" s="1312">
        <v>360</v>
      </c>
      <c r="BY744">
        <v>450</v>
      </c>
      <c r="BZ744" s="1312" t="s">
        <v>1468</v>
      </c>
      <c r="CA744" s="1352"/>
    </row>
    <row r="745" spans="73:79" x14ac:dyDescent="0.3">
      <c r="BU745" s="165" t="str">
        <f>IF(COUNTIF(BV$76:BV745,BV745)=1,MAX(BU$76:BU744)+1,"")</f>
        <v/>
      </c>
      <c r="BV745" s="1312">
        <v>252.5</v>
      </c>
      <c r="BW745" s="1312">
        <v>260</v>
      </c>
      <c r="BX745" s="1312">
        <v>360</v>
      </c>
      <c r="BY745">
        <v>450</v>
      </c>
      <c r="BZ745" s="1312" t="s">
        <v>1468</v>
      </c>
      <c r="CA745" s="1352"/>
    </row>
    <row r="746" spans="73:79" x14ac:dyDescent="0.3">
      <c r="BU746" s="165" t="str">
        <f>IF(COUNTIF(BV$76:BV746,BV746)=1,MAX(BU$76:BU745)+1,"")</f>
        <v/>
      </c>
      <c r="BV746" s="1312">
        <v>252.5</v>
      </c>
      <c r="BW746" s="1312">
        <v>260</v>
      </c>
      <c r="BX746" s="1312">
        <v>360</v>
      </c>
      <c r="BY746">
        <v>450</v>
      </c>
      <c r="BZ746" s="1312" t="s">
        <v>1468</v>
      </c>
      <c r="CA746" s="1352"/>
    </row>
    <row r="747" spans="73:79" x14ac:dyDescent="0.3">
      <c r="BU747" s="165" t="str">
        <f>IF(COUNTIF(BV$76:BV747,BV747)=1,MAX(BU$76:BU746)+1,"")</f>
        <v/>
      </c>
      <c r="BV747" s="1312">
        <v>252.5</v>
      </c>
      <c r="BW747" s="1312">
        <v>497</v>
      </c>
      <c r="BX747" s="1312">
        <v>375</v>
      </c>
      <c r="BY747">
        <v>400</v>
      </c>
      <c r="BZ747" s="1312" t="s">
        <v>1469</v>
      </c>
      <c r="CA747" s="1352"/>
    </row>
    <row r="748" spans="73:79" x14ac:dyDescent="0.3">
      <c r="BU748" s="165" t="str">
        <f>IF(COUNTIF(BV$76:BV748,BV748)=1,MAX(BU$76:BU747)+1,"")</f>
        <v/>
      </c>
      <c r="BV748" s="1312">
        <v>252.5</v>
      </c>
      <c r="BW748" s="1312">
        <v>495</v>
      </c>
      <c r="BX748" s="1312">
        <v>360</v>
      </c>
      <c r="BY748">
        <v>400</v>
      </c>
      <c r="BZ748" s="1312" t="s">
        <v>1469</v>
      </c>
      <c r="CA748" s="1352"/>
    </row>
    <row r="749" spans="73:79" x14ac:dyDescent="0.3">
      <c r="BU749" s="165" t="str">
        <f>IF(COUNTIF(BV$76:BV749,BV749)=1,MAX(BU$76:BU748)+1,"")</f>
        <v/>
      </c>
      <c r="BV749" s="1312">
        <v>252.5</v>
      </c>
      <c r="BW749" s="1312">
        <v>260</v>
      </c>
      <c r="BX749" s="1312">
        <v>375</v>
      </c>
      <c r="BY749">
        <v>450</v>
      </c>
      <c r="BZ749" s="1312" t="s">
        <v>1468</v>
      </c>
      <c r="CA749" s="1352"/>
    </row>
    <row r="750" spans="73:79" x14ac:dyDescent="0.3">
      <c r="BU750" s="165" t="str">
        <f>IF(COUNTIF(BV$76:BV750,BV750)=1,MAX(BU$76:BU749)+1,"")</f>
        <v/>
      </c>
      <c r="BV750" s="1312">
        <v>252.5</v>
      </c>
      <c r="BW750" s="1312">
        <v>260</v>
      </c>
      <c r="BX750" s="1312">
        <v>360</v>
      </c>
      <c r="BY750">
        <v>450</v>
      </c>
      <c r="BZ750" s="1312" t="s">
        <v>1468</v>
      </c>
      <c r="CA750" s="1352"/>
    </row>
    <row r="751" spans="73:79" x14ac:dyDescent="0.3">
      <c r="BU751" s="165">
        <f>IF(COUNTIF(BV$76:BV751,BV751)=1,MAX(BU$76:BU750)+1,"")</f>
        <v>67</v>
      </c>
      <c r="BV751" s="1312">
        <v>255</v>
      </c>
      <c r="BW751" s="1312">
        <v>257</v>
      </c>
      <c r="BX751" s="1312">
        <v>360</v>
      </c>
      <c r="BY751">
        <v>450</v>
      </c>
      <c r="BZ751" s="1312" t="s">
        <v>1470</v>
      </c>
      <c r="CA751" s="1352"/>
    </row>
    <row r="752" spans="73:79" x14ac:dyDescent="0.3">
      <c r="BU752" s="165" t="str">
        <f>IF(COUNTIF(BV$76:BV752,BV752)=1,MAX(BU$76:BU751)+1,"")</f>
        <v/>
      </c>
      <c r="BV752" s="1312">
        <v>255</v>
      </c>
      <c r="BW752" s="1312">
        <v>258</v>
      </c>
      <c r="BX752" s="1312">
        <v>360</v>
      </c>
      <c r="BY752">
        <v>450</v>
      </c>
      <c r="BZ752" s="1312" t="s">
        <v>1470</v>
      </c>
      <c r="CA752" s="1352"/>
    </row>
    <row r="753" spans="73:79" x14ac:dyDescent="0.3">
      <c r="BU753" s="165" t="str">
        <f>IF(COUNTIF(BV$76:BV753,BV753)=1,MAX(BU$76:BU752)+1,"")</f>
        <v/>
      </c>
      <c r="BV753" s="1312">
        <v>255</v>
      </c>
      <c r="BW753" s="1312">
        <v>260</v>
      </c>
      <c r="BX753" s="1312">
        <v>360</v>
      </c>
      <c r="BY753">
        <v>450</v>
      </c>
      <c r="BZ753" s="1312" t="s">
        <v>1470</v>
      </c>
      <c r="CA753" s="1352"/>
    </row>
    <row r="754" spans="73:79" x14ac:dyDescent="0.3">
      <c r="BU754" s="165" t="str">
        <f>IF(COUNTIF(BV$76:BV754,BV754)=1,MAX(BU$76:BU753)+1,"")</f>
        <v/>
      </c>
      <c r="BV754" s="1312">
        <v>255</v>
      </c>
      <c r="BW754" s="1312">
        <v>377</v>
      </c>
      <c r="BX754" s="1312">
        <v>360</v>
      </c>
      <c r="BY754">
        <v>450</v>
      </c>
      <c r="BZ754" s="1312" t="s">
        <v>1471</v>
      </c>
      <c r="CA754" s="1352"/>
    </row>
    <row r="755" spans="73:79" x14ac:dyDescent="0.3">
      <c r="BU755" s="165" t="str">
        <f>IF(COUNTIF(BV$76:BV755,BV755)=1,MAX(BU$76:BU754)+1,"")</f>
        <v/>
      </c>
      <c r="BV755" s="1312">
        <v>255</v>
      </c>
      <c r="BW755" s="1312">
        <v>320</v>
      </c>
      <c r="BX755" s="1312">
        <v>360</v>
      </c>
      <c r="BY755">
        <v>450</v>
      </c>
      <c r="BZ755" s="1312" t="s">
        <v>1472</v>
      </c>
      <c r="CA755" s="1352"/>
    </row>
    <row r="756" spans="73:79" x14ac:dyDescent="0.3">
      <c r="BU756" s="165" t="str">
        <f>IF(COUNTIF(BV$76:BV756,BV756)=1,MAX(BU$76:BU755)+1,"")</f>
        <v/>
      </c>
      <c r="BV756" s="1312">
        <v>255</v>
      </c>
      <c r="BW756" s="1312">
        <v>260</v>
      </c>
      <c r="BX756" s="1312">
        <v>360</v>
      </c>
      <c r="BY756">
        <v>450</v>
      </c>
      <c r="BZ756" s="1312" t="s">
        <v>1470</v>
      </c>
      <c r="CA756" s="1352"/>
    </row>
    <row r="757" spans="73:79" x14ac:dyDescent="0.3">
      <c r="BU757" s="165" t="str">
        <f>IF(COUNTIF(BV$76:BV757,BV757)=1,MAX(BU$76:BU756)+1,"")</f>
        <v/>
      </c>
      <c r="BV757" s="1312">
        <v>255</v>
      </c>
      <c r="BW757" s="1312">
        <v>260</v>
      </c>
      <c r="BX757" s="1312">
        <v>360</v>
      </c>
      <c r="BY757">
        <v>450</v>
      </c>
      <c r="BZ757" s="1312" t="s">
        <v>1470</v>
      </c>
      <c r="CA757" s="1352"/>
    </row>
    <row r="758" spans="73:79" x14ac:dyDescent="0.3">
      <c r="BU758" s="165">
        <f>IF(COUNTIF(BV$76:BV758,BV758)=1,MAX(BU$76:BU757)+1,"")</f>
        <v>68</v>
      </c>
      <c r="BV758" s="1312">
        <v>257.5</v>
      </c>
      <c r="BW758" s="1312">
        <v>380</v>
      </c>
      <c r="BX758" s="1312">
        <v>375</v>
      </c>
      <c r="BY758">
        <v>450</v>
      </c>
      <c r="BZ758" s="1312" t="s">
        <v>1473</v>
      </c>
      <c r="CA758" s="1352"/>
    </row>
    <row r="759" spans="73:79" x14ac:dyDescent="0.3">
      <c r="BU759" s="165" t="str">
        <f>IF(COUNTIF(BV$76:BV759,BV759)=1,MAX(BU$76:BU758)+1,"")</f>
        <v/>
      </c>
      <c r="BV759" s="1312">
        <v>257.5</v>
      </c>
      <c r="BW759" s="1312">
        <v>260</v>
      </c>
      <c r="BX759" s="1312">
        <v>360</v>
      </c>
      <c r="BY759">
        <v>450</v>
      </c>
      <c r="BZ759" s="1312" t="s">
        <v>1474</v>
      </c>
      <c r="CA759" s="1352"/>
    </row>
    <row r="760" spans="73:79" x14ac:dyDescent="0.3">
      <c r="BU760" s="165" t="str">
        <f>IF(COUNTIF(BV$76:BV760,BV760)=1,MAX(BU$76:BU759)+1,"")</f>
        <v/>
      </c>
      <c r="BV760" s="1312">
        <v>257.5</v>
      </c>
      <c r="BW760" s="1312">
        <v>260</v>
      </c>
      <c r="BX760" s="1312">
        <v>360</v>
      </c>
      <c r="BY760">
        <v>450</v>
      </c>
      <c r="BZ760" s="1312" t="s">
        <v>1474</v>
      </c>
      <c r="CA760" s="1352"/>
    </row>
    <row r="761" spans="73:79" x14ac:dyDescent="0.3">
      <c r="BU761" s="165" t="str">
        <f>IF(COUNTIF(BV$76:BV761,BV761)=1,MAX(BU$76:BU760)+1,"")</f>
        <v/>
      </c>
      <c r="BV761" s="1312">
        <v>257.5</v>
      </c>
      <c r="BW761" s="1312">
        <v>500</v>
      </c>
      <c r="BX761" s="1312">
        <v>360</v>
      </c>
      <c r="BY761">
        <v>400</v>
      </c>
      <c r="BZ761" s="1312" t="s">
        <v>1475</v>
      </c>
      <c r="CA761" s="1352"/>
    </row>
    <row r="762" spans="73:79" x14ac:dyDescent="0.3">
      <c r="BU762" s="165">
        <f>IF(COUNTIF(BV$76:BV762,BV762)=1,MAX(BU$76:BU761)+1,"")</f>
        <v>69</v>
      </c>
      <c r="BV762" s="1312">
        <v>260</v>
      </c>
      <c r="BW762" s="1312">
        <v>500</v>
      </c>
      <c r="BX762" s="1312">
        <v>360</v>
      </c>
      <c r="BY762">
        <v>400</v>
      </c>
      <c r="BZ762" s="1312" t="s">
        <v>1476</v>
      </c>
      <c r="CA762" s="1352"/>
    </row>
    <row r="763" spans="73:79" x14ac:dyDescent="0.3">
      <c r="BU763" s="165" t="str">
        <f>IF(COUNTIF(BV$76:BV763,BV763)=1,MAX(BU$76:BU762)+1,"")</f>
        <v/>
      </c>
      <c r="BV763" s="1312">
        <v>260</v>
      </c>
      <c r="BW763" s="1312">
        <v>495</v>
      </c>
      <c r="BX763" s="1312">
        <v>375</v>
      </c>
      <c r="BY763">
        <v>400</v>
      </c>
      <c r="BZ763" s="1312" t="s">
        <v>1476</v>
      </c>
      <c r="CA763" s="1352"/>
    </row>
    <row r="764" spans="73:79" x14ac:dyDescent="0.3">
      <c r="BU764" s="165" t="str">
        <f>IF(COUNTIF(BV$76:BV764,BV764)=1,MAX(BU$76:BU763)+1,"")</f>
        <v/>
      </c>
      <c r="BV764" s="1312">
        <v>260</v>
      </c>
      <c r="BW764" s="1312">
        <v>377</v>
      </c>
      <c r="BX764" s="1312">
        <v>360</v>
      </c>
      <c r="BY764">
        <v>450</v>
      </c>
      <c r="BZ764" s="1312" t="s">
        <v>1477</v>
      </c>
      <c r="CA764" s="1352"/>
    </row>
    <row r="765" spans="73:79" x14ac:dyDescent="0.3">
      <c r="BU765" s="165" t="str">
        <f>IF(COUNTIF(BV$76:BV765,BV765)=1,MAX(BU$76:BU764)+1,"")</f>
        <v/>
      </c>
      <c r="BV765" s="1312">
        <v>260</v>
      </c>
      <c r="BW765" s="1312">
        <v>258</v>
      </c>
      <c r="BX765" s="1312">
        <v>375</v>
      </c>
      <c r="BY765">
        <v>450</v>
      </c>
      <c r="BZ765" s="1312" t="s">
        <v>1478</v>
      </c>
      <c r="CA765" s="1352"/>
    </row>
    <row r="766" spans="73:79" x14ac:dyDescent="0.3">
      <c r="BU766" s="165" t="str">
        <f>IF(COUNTIF(BV$76:BV766,BV766)=1,MAX(BU$76:BU765)+1,"")</f>
        <v/>
      </c>
      <c r="BV766" s="1312">
        <v>260</v>
      </c>
      <c r="BW766" s="1312">
        <v>260</v>
      </c>
      <c r="BX766" s="1312">
        <v>375</v>
      </c>
      <c r="BY766">
        <v>450</v>
      </c>
      <c r="BZ766" s="1312" t="s">
        <v>1478</v>
      </c>
      <c r="CA766" s="1352"/>
    </row>
    <row r="767" spans="73:79" x14ac:dyDescent="0.3">
      <c r="BU767" s="165" t="str">
        <f>IF(COUNTIF(BV$76:BV767,BV767)=1,MAX(BU$76:BU766)+1,"")</f>
        <v/>
      </c>
      <c r="BV767" s="1312">
        <v>260</v>
      </c>
      <c r="BW767" s="1312">
        <v>318</v>
      </c>
      <c r="BX767" s="1312">
        <v>360</v>
      </c>
      <c r="BY767">
        <v>450</v>
      </c>
      <c r="BZ767" s="1312" t="s">
        <v>1479</v>
      </c>
      <c r="CA767" s="1352"/>
    </row>
    <row r="768" spans="73:79" x14ac:dyDescent="0.3">
      <c r="BU768" s="165" t="str">
        <f>IF(COUNTIF(BV$76:BV768,BV768)=1,MAX(BU$76:BU767)+1,"")</f>
        <v/>
      </c>
      <c r="BV768" s="1312">
        <v>260</v>
      </c>
      <c r="BW768" s="1312">
        <v>495</v>
      </c>
      <c r="BX768" s="1312">
        <v>360</v>
      </c>
      <c r="BY768">
        <v>400</v>
      </c>
      <c r="BZ768" s="1312" t="s">
        <v>1476</v>
      </c>
      <c r="CA768" s="1352"/>
    </row>
    <row r="769" spans="73:79" x14ac:dyDescent="0.3">
      <c r="BU769" s="165" t="str">
        <f>IF(COUNTIF(BV$76:BV769,BV769)=1,MAX(BU$76:BU768)+1,"")</f>
        <v/>
      </c>
      <c r="BV769" s="1312">
        <v>260</v>
      </c>
      <c r="BW769" s="1312">
        <v>257</v>
      </c>
      <c r="BX769" s="1312">
        <v>360</v>
      </c>
      <c r="BY769">
        <v>450</v>
      </c>
      <c r="BZ769" s="1312" t="s">
        <v>1478</v>
      </c>
      <c r="CA769" s="1352"/>
    </row>
    <row r="770" spans="73:79" x14ac:dyDescent="0.3">
      <c r="BU770" s="165" t="str">
        <f>IF(COUNTIF(BV$76:BV770,BV770)=1,MAX(BU$76:BU769)+1,"")</f>
        <v/>
      </c>
      <c r="BV770" s="1312">
        <v>260</v>
      </c>
      <c r="BW770" s="1312">
        <v>320</v>
      </c>
      <c r="BX770" s="1312">
        <v>375</v>
      </c>
      <c r="BY770">
        <v>450</v>
      </c>
      <c r="BZ770" s="1312" t="s">
        <v>1479</v>
      </c>
      <c r="CA770" s="1352"/>
    </row>
    <row r="771" spans="73:79" x14ac:dyDescent="0.3">
      <c r="BU771" s="165" t="str">
        <f>IF(COUNTIF(BV$76:BV771,BV771)=1,MAX(BU$76:BU770)+1,"")</f>
        <v/>
      </c>
      <c r="BV771" s="1312">
        <v>260</v>
      </c>
      <c r="BW771" s="1312">
        <v>380</v>
      </c>
      <c r="BX771" s="1312">
        <v>360</v>
      </c>
      <c r="BY771">
        <v>450</v>
      </c>
      <c r="BZ771" s="1312" t="s">
        <v>1477</v>
      </c>
      <c r="CA771" s="1352"/>
    </row>
    <row r="772" spans="73:79" x14ac:dyDescent="0.3">
      <c r="BU772" s="165" t="str">
        <f>IF(COUNTIF(BV$76:BV772,BV772)=1,MAX(BU$76:BU771)+1,"")</f>
        <v/>
      </c>
      <c r="BV772" s="1312">
        <v>260</v>
      </c>
      <c r="BW772" s="1312">
        <v>260</v>
      </c>
      <c r="BX772" s="1312">
        <v>360</v>
      </c>
      <c r="BY772">
        <v>450</v>
      </c>
      <c r="BZ772" s="1312" t="s">
        <v>1478</v>
      </c>
      <c r="CA772" s="1352"/>
    </row>
    <row r="773" spans="73:79" x14ac:dyDescent="0.3">
      <c r="BU773" s="165">
        <f>IF(COUNTIF(BV$76:BV773,BV773)=1,MAX(BU$76:BU772)+1,"")</f>
        <v>70</v>
      </c>
      <c r="BV773" s="1312">
        <v>262.5</v>
      </c>
      <c r="BW773" s="1312">
        <v>377</v>
      </c>
      <c r="BX773" s="1312">
        <v>360</v>
      </c>
      <c r="BY773">
        <v>450</v>
      </c>
      <c r="BZ773" s="1312" t="s">
        <v>1480</v>
      </c>
      <c r="CA773" s="1352"/>
    </row>
    <row r="774" spans="73:79" x14ac:dyDescent="0.3">
      <c r="BU774" s="165" t="str">
        <f>IF(COUNTIF(BV$76:BV774,BV774)=1,MAX(BU$76:BU773)+1,"")</f>
        <v/>
      </c>
      <c r="BV774" s="1312">
        <v>262.5</v>
      </c>
      <c r="BW774" s="1312">
        <v>377</v>
      </c>
      <c r="BX774" s="1312">
        <v>360</v>
      </c>
      <c r="BY774">
        <v>450</v>
      </c>
      <c r="BZ774" s="1312" t="s">
        <v>1480</v>
      </c>
      <c r="CA774" s="1352"/>
    </row>
    <row r="775" spans="73:79" x14ac:dyDescent="0.3">
      <c r="BU775" s="165" t="str">
        <f>IF(COUNTIF(BV$76:BV775,BV775)=1,MAX(BU$76:BU774)+1,"")</f>
        <v/>
      </c>
      <c r="BV775" s="1312">
        <v>262.5</v>
      </c>
      <c r="BW775" s="1312">
        <v>260</v>
      </c>
      <c r="BX775" s="1312">
        <v>360</v>
      </c>
      <c r="BY775">
        <v>450</v>
      </c>
      <c r="BZ775" s="1312" t="s">
        <v>1481</v>
      </c>
      <c r="CA775" s="1352"/>
    </row>
    <row r="776" spans="73:79" x14ac:dyDescent="0.3">
      <c r="BU776" s="165" t="str">
        <f>IF(COUNTIF(BV$76:BV776,BV776)=1,MAX(BU$76:BU775)+1,"")</f>
        <v/>
      </c>
      <c r="BV776" s="1312">
        <v>262.5</v>
      </c>
      <c r="BW776" s="1312">
        <v>213</v>
      </c>
      <c r="BX776" s="1312">
        <v>375</v>
      </c>
      <c r="BY776">
        <v>450</v>
      </c>
      <c r="BZ776" s="1312" t="s">
        <v>1482</v>
      </c>
      <c r="CA776" s="1352"/>
    </row>
    <row r="777" spans="73:79" x14ac:dyDescent="0.3">
      <c r="BU777" s="165">
        <f>IF(COUNTIF(BV$76:BV777,BV777)=1,MAX(BU$76:BU776)+1,"")</f>
        <v>71</v>
      </c>
      <c r="BV777" s="1312">
        <v>265</v>
      </c>
      <c r="BW777" s="1312">
        <v>215</v>
      </c>
      <c r="BX777" s="1312">
        <v>375</v>
      </c>
      <c r="BY777">
        <v>450</v>
      </c>
      <c r="BZ777" s="1312" t="s">
        <v>1483</v>
      </c>
      <c r="CA777" s="1352"/>
    </row>
    <row r="778" spans="73:79" x14ac:dyDescent="0.3">
      <c r="BU778" s="165" t="str">
        <f>IF(COUNTIF(BV$76:BV778,BV778)=1,MAX(BU$76:BU777)+1,"")</f>
        <v/>
      </c>
      <c r="BV778" s="1312">
        <v>265</v>
      </c>
      <c r="BW778" s="1312">
        <v>215</v>
      </c>
      <c r="BX778" s="1312">
        <v>375</v>
      </c>
      <c r="BY778">
        <v>450</v>
      </c>
      <c r="BZ778" s="1312" t="s">
        <v>1483</v>
      </c>
      <c r="CA778" s="1352"/>
    </row>
    <row r="779" spans="73:79" x14ac:dyDescent="0.3">
      <c r="BU779" s="165" t="str">
        <f>IF(COUNTIF(BV$76:BV779,BV779)=1,MAX(BU$76:BU778)+1,"")</f>
        <v/>
      </c>
      <c r="BV779" s="1312">
        <v>265</v>
      </c>
      <c r="BW779" s="1312">
        <v>378</v>
      </c>
      <c r="BX779" s="1312">
        <v>360</v>
      </c>
      <c r="BY779">
        <v>450</v>
      </c>
      <c r="BZ779" s="1312" t="s">
        <v>1484</v>
      </c>
      <c r="CA779" s="1352"/>
    </row>
    <row r="780" spans="73:79" x14ac:dyDescent="0.3">
      <c r="BU780" s="165" t="str">
        <f>IF(COUNTIF(BV$76:BV780,BV780)=1,MAX(BU$76:BU779)+1,"")</f>
        <v/>
      </c>
      <c r="BV780" s="1312">
        <v>265</v>
      </c>
      <c r="BW780" s="1312">
        <v>540</v>
      </c>
      <c r="BX780" s="1312">
        <v>415</v>
      </c>
      <c r="BY780">
        <v>400</v>
      </c>
      <c r="BZ780" s="1312" t="s">
        <v>1485</v>
      </c>
      <c r="CA780" s="1352"/>
    </row>
    <row r="781" spans="73:79" x14ac:dyDescent="0.3">
      <c r="BU781" s="165">
        <f>IF(COUNTIF(BV$76:BV781,BV781)=1,MAX(BU$76:BU780)+1,"")</f>
        <v>72</v>
      </c>
      <c r="BV781" s="1312">
        <v>267.5</v>
      </c>
      <c r="BW781" s="1312">
        <v>318</v>
      </c>
      <c r="BX781" s="1312">
        <v>375</v>
      </c>
      <c r="BY781">
        <v>450</v>
      </c>
      <c r="BZ781" s="1312" t="s">
        <v>1486</v>
      </c>
      <c r="CA781" s="1352"/>
    </row>
    <row r="782" spans="73:79" x14ac:dyDescent="0.3">
      <c r="BU782" s="165" t="str">
        <f>IF(COUNTIF(BV$76:BV782,BV782)=1,MAX(BU$76:BU781)+1,"")</f>
        <v/>
      </c>
      <c r="BV782" s="1312">
        <v>267.5</v>
      </c>
      <c r="BW782" s="1312">
        <v>500</v>
      </c>
      <c r="BX782" s="1312">
        <v>360</v>
      </c>
      <c r="BY782">
        <v>400</v>
      </c>
      <c r="BZ782" s="1312" t="s">
        <v>1487</v>
      </c>
      <c r="CA782" s="1352"/>
    </row>
    <row r="783" spans="73:79" x14ac:dyDescent="0.3">
      <c r="BU783" s="165">
        <f>IF(COUNTIF(BV$76:BV783,BV783)=1,MAX(BU$76:BU782)+1,"")</f>
        <v>73</v>
      </c>
      <c r="BV783" s="1312">
        <v>270</v>
      </c>
      <c r="BW783" s="1312">
        <v>540</v>
      </c>
      <c r="BX783" s="1312">
        <v>415</v>
      </c>
      <c r="BY783">
        <v>400</v>
      </c>
      <c r="BZ783" s="1312" t="s">
        <v>1488</v>
      </c>
      <c r="CA783" s="1352"/>
    </row>
    <row r="784" spans="73:79" x14ac:dyDescent="0.3">
      <c r="BU784" s="165" t="str">
        <f>IF(COUNTIF(BV$76:BV784,BV784)=1,MAX(BU$76:BU783)+1,"")</f>
        <v/>
      </c>
      <c r="BV784" s="1312">
        <v>270</v>
      </c>
      <c r="BW784" s="1312">
        <v>315</v>
      </c>
      <c r="BX784" s="1312">
        <v>360</v>
      </c>
      <c r="BY784">
        <v>450</v>
      </c>
      <c r="BZ784" s="1312" t="s">
        <v>1489</v>
      </c>
      <c r="CA784" s="1352"/>
    </row>
    <row r="785" spans="73:79" x14ac:dyDescent="0.3">
      <c r="BU785" s="165" t="str">
        <f>IF(COUNTIF(BV$76:BV785,BV785)=1,MAX(BU$76:BU784)+1,"")</f>
        <v/>
      </c>
      <c r="BV785" s="1312">
        <v>270</v>
      </c>
      <c r="BW785" s="1312">
        <v>318</v>
      </c>
      <c r="BX785" s="1312">
        <v>360</v>
      </c>
      <c r="BY785">
        <v>450</v>
      </c>
      <c r="BZ785" s="1312" t="s">
        <v>1489</v>
      </c>
      <c r="CA785" s="1352"/>
    </row>
    <row r="786" spans="73:79" x14ac:dyDescent="0.3">
      <c r="BU786" s="165" t="str">
        <f>IF(COUNTIF(BV$76:BV786,BV786)=1,MAX(BU$76:BU785)+1,"")</f>
        <v/>
      </c>
      <c r="BV786" s="1312">
        <v>270</v>
      </c>
      <c r="BW786" s="1312">
        <v>260</v>
      </c>
      <c r="BX786" s="1312">
        <v>360</v>
      </c>
      <c r="BY786">
        <v>450</v>
      </c>
      <c r="BZ786" s="1312" t="s">
        <v>1490</v>
      </c>
      <c r="CA786" s="1352"/>
    </row>
    <row r="787" spans="73:79" x14ac:dyDescent="0.3">
      <c r="BU787" s="165">
        <f>IF(COUNTIF(BV$76:BV787,BV787)=1,MAX(BU$76:BU786)+1,"")</f>
        <v>74</v>
      </c>
      <c r="BV787" s="1312">
        <v>275</v>
      </c>
      <c r="BW787" s="1312">
        <v>320</v>
      </c>
      <c r="BX787" s="1312">
        <v>360</v>
      </c>
      <c r="BY787">
        <v>450</v>
      </c>
      <c r="BZ787" s="1312" t="s">
        <v>1491</v>
      </c>
      <c r="CA787" s="1352"/>
    </row>
    <row r="788" spans="73:79" x14ac:dyDescent="0.3">
      <c r="BU788" s="165" t="str">
        <f>IF(COUNTIF(BV$76:BV788,BV788)=1,MAX(BU$76:BU787)+1,"")</f>
        <v/>
      </c>
      <c r="BV788" s="1312">
        <v>275</v>
      </c>
      <c r="BW788" s="1312">
        <v>380</v>
      </c>
      <c r="BX788" s="1312">
        <v>360</v>
      </c>
      <c r="BY788">
        <v>450</v>
      </c>
      <c r="BZ788" s="1312" t="s">
        <v>1491</v>
      </c>
      <c r="CA788" s="1352"/>
    </row>
    <row r="789" spans="73:79" x14ac:dyDescent="0.3">
      <c r="BU789" s="165" t="str">
        <f>IF(COUNTIF(BV$76:BV789,BV789)=1,MAX(BU$76:BU788)+1,"")</f>
        <v/>
      </c>
      <c r="BV789" s="1312">
        <v>275</v>
      </c>
      <c r="BW789" s="1312">
        <v>258</v>
      </c>
      <c r="BX789" s="1312">
        <v>375</v>
      </c>
      <c r="BY789">
        <v>450</v>
      </c>
      <c r="BZ789" s="1312" t="s">
        <v>1492</v>
      </c>
      <c r="CA789" s="1352"/>
    </row>
    <row r="790" spans="73:79" x14ac:dyDescent="0.3">
      <c r="BU790" s="165" t="str">
        <f>IF(COUNTIF(BV$76:BV790,BV790)=1,MAX(BU$76:BU789)+1,"")</f>
        <v/>
      </c>
      <c r="BV790" s="1312">
        <v>275</v>
      </c>
      <c r="BW790" s="1312">
        <v>260</v>
      </c>
      <c r="BX790" s="1312">
        <v>375</v>
      </c>
      <c r="BY790">
        <v>450</v>
      </c>
      <c r="BZ790" s="1312" t="s">
        <v>1492</v>
      </c>
      <c r="CA790" s="1352"/>
    </row>
    <row r="791" spans="73:79" x14ac:dyDescent="0.3">
      <c r="BU791" s="165" t="str">
        <f>IF(COUNTIF(BV$76:BV791,BV791)=1,MAX(BU$76:BU790)+1,"")</f>
        <v/>
      </c>
      <c r="BV791" s="1312">
        <v>275</v>
      </c>
      <c r="BW791" s="1312">
        <v>257</v>
      </c>
      <c r="BX791" s="1312">
        <v>360</v>
      </c>
      <c r="BY791">
        <v>450</v>
      </c>
      <c r="BZ791" s="1312" t="s">
        <v>1492</v>
      </c>
      <c r="CA791" s="1352"/>
    </row>
    <row r="792" spans="73:79" x14ac:dyDescent="0.3">
      <c r="BU792" s="165" t="str">
        <f>IF(COUNTIF(BV$76:BV792,BV792)=1,MAX(BU$76:BU791)+1,"")</f>
        <v/>
      </c>
      <c r="BV792" s="1312">
        <v>275</v>
      </c>
      <c r="BW792" s="1312">
        <v>260</v>
      </c>
      <c r="BX792" s="1312">
        <v>375</v>
      </c>
      <c r="BY792">
        <v>450</v>
      </c>
      <c r="BZ792" s="1312" t="s">
        <v>1492</v>
      </c>
      <c r="CA792" s="1352"/>
    </row>
    <row r="793" spans="73:79" x14ac:dyDescent="0.3">
      <c r="BU793" s="165" t="str">
        <f>IF(COUNTIF(BV$76:BV793,BV793)=1,MAX(BU$76:BU792)+1,"")</f>
        <v/>
      </c>
      <c r="BV793" s="1312">
        <v>275</v>
      </c>
      <c r="BW793" s="1312">
        <v>213</v>
      </c>
      <c r="BX793" s="1312">
        <v>375</v>
      </c>
      <c r="BY793">
        <v>450</v>
      </c>
      <c r="BZ793" s="1312" t="s">
        <v>1493</v>
      </c>
      <c r="CA793" s="1352"/>
    </row>
    <row r="794" spans="73:79" x14ac:dyDescent="0.3">
      <c r="BU794" s="165" t="str">
        <f>IF(COUNTIF(BV$76:BV794,BV794)=1,MAX(BU$76:BU793)+1,"")</f>
        <v/>
      </c>
      <c r="BV794" s="1312">
        <v>275</v>
      </c>
      <c r="BW794" s="1312">
        <v>317</v>
      </c>
      <c r="BX794" s="1312">
        <v>360</v>
      </c>
      <c r="BY794">
        <v>450</v>
      </c>
      <c r="BZ794" s="1312" t="s">
        <v>1491</v>
      </c>
      <c r="CA794" s="1352"/>
    </row>
    <row r="795" spans="73:79" x14ac:dyDescent="0.3">
      <c r="BU795" s="165" t="str">
        <f>IF(COUNTIF(BV$76:BV795,BV795)=1,MAX(BU$76:BU794)+1,"")</f>
        <v/>
      </c>
      <c r="BV795" s="1312">
        <v>275</v>
      </c>
      <c r="BW795" s="1312">
        <v>495</v>
      </c>
      <c r="BX795" s="1312">
        <v>360</v>
      </c>
      <c r="BY795">
        <v>400</v>
      </c>
      <c r="BZ795" s="1312" t="s">
        <v>1494</v>
      </c>
      <c r="CA795" s="1352"/>
    </row>
    <row r="796" spans="73:79" x14ac:dyDescent="0.3">
      <c r="BU796" s="165" t="str">
        <f>IF(COUNTIF(BV$76:BV796,BV796)=1,MAX(BU$76:BU795)+1,"")</f>
        <v/>
      </c>
      <c r="BV796" s="1312">
        <v>275</v>
      </c>
      <c r="BW796" s="1312">
        <v>260</v>
      </c>
      <c r="BX796" s="1312">
        <v>360</v>
      </c>
      <c r="BY796">
        <v>450</v>
      </c>
      <c r="BZ796" s="1312" t="s">
        <v>1492</v>
      </c>
      <c r="CA796" s="1352"/>
    </row>
    <row r="797" spans="73:79" x14ac:dyDescent="0.3">
      <c r="BU797" s="165" t="str">
        <f>IF(COUNTIF(BV$76:BV797,BV797)=1,MAX(BU$76:BU796)+1,"")</f>
        <v/>
      </c>
      <c r="BV797" s="1312">
        <v>275</v>
      </c>
      <c r="BW797" s="1312">
        <v>260</v>
      </c>
      <c r="BX797" s="1312">
        <v>375</v>
      </c>
      <c r="BY797">
        <v>450</v>
      </c>
      <c r="BZ797" s="1312" t="s">
        <v>1492</v>
      </c>
      <c r="CA797" s="1352"/>
    </row>
    <row r="798" spans="73:79" x14ac:dyDescent="0.3">
      <c r="BU798" s="165" t="str">
        <f>IF(COUNTIF(BV$76:BV798,BV798)=1,MAX(BU$76:BU797)+1,"")</f>
        <v/>
      </c>
      <c r="BV798" s="1312">
        <v>275</v>
      </c>
      <c r="BW798" s="1312">
        <v>375</v>
      </c>
      <c r="BX798" s="1312">
        <v>360</v>
      </c>
      <c r="BY798">
        <v>450</v>
      </c>
      <c r="BZ798" s="1312" t="s">
        <v>1495</v>
      </c>
      <c r="CA798" s="1352"/>
    </row>
    <row r="799" spans="73:79" x14ac:dyDescent="0.3">
      <c r="BU799" s="165">
        <f>IF(COUNTIF(BV$76:BV799,BV799)=1,MAX(BU$76:BU798)+1,"")</f>
        <v>75</v>
      </c>
      <c r="BV799" s="1312">
        <v>277.5</v>
      </c>
      <c r="BW799" s="1312">
        <v>260</v>
      </c>
      <c r="BX799" s="1312">
        <v>375</v>
      </c>
      <c r="BY799">
        <v>450</v>
      </c>
      <c r="BZ799" s="1312" t="s">
        <v>1496</v>
      </c>
      <c r="CA799" s="1352"/>
    </row>
    <row r="800" spans="73:79" x14ac:dyDescent="0.3">
      <c r="BU800" s="165" t="str">
        <f>IF(COUNTIF(BV$76:BV800,BV800)=1,MAX(BU$76:BU799)+1,"")</f>
        <v/>
      </c>
      <c r="BV800" s="1312">
        <v>277.5</v>
      </c>
      <c r="BW800" s="1312">
        <v>260</v>
      </c>
      <c r="BX800" s="1312">
        <v>375</v>
      </c>
      <c r="BY800">
        <v>450</v>
      </c>
      <c r="BZ800" s="1312" t="s">
        <v>1496</v>
      </c>
      <c r="CA800" s="1352"/>
    </row>
    <row r="801" spans="73:79" x14ac:dyDescent="0.3">
      <c r="BU801" s="165" t="str">
        <f>IF(COUNTIF(BV$76:BV801,BV801)=1,MAX(BU$76:BU800)+1,"")</f>
        <v/>
      </c>
      <c r="BV801" s="1312">
        <v>277.5</v>
      </c>
      <c r="BW801" s="1312">
        <v>260</v>
      </c>
      <c r="BX801" s="1312">
        <v>360</v>
      </c>
      <c r="BY801">
        <v>450</v>
      </c>
      <c r="BZ801" s="1312" t="s">
        <v>1496</v>
      </c>
      <c r="CA801" s="1352"/>
    </row>
    <row r="802" spans="73:79" x14ac:dyDescent="0.3">
      <c r="BU802" s="165" t="str">
        <f>IF(COUNTIF(BV$76:BV802,BV802)=1,MAX(BU$76:BU801)+1,"")</f>
        <v/>
      </c>
      <c r="BV802" s="1312">
        <v>277.5</v>
      </c>
      <c r="BW802" s="1312">
        <v>320</v>
      </c>
      <c r="BX802" s="1312">
        <v>360</v>
      </c>
      <c r="BY802">
        <v>450</v>
      </c>
      <c r="BZ802" s="1312" t="s">
        <v>1497</v>
      </c>
      <c r="CA802" s="1352"/>
    </row>
    <row r="803" spans="73:79" x14ac:dyDescent="0.3">
      <c r="BU803" s="165">
        <f>IF(COUNTIF(BV$76:BV803,BV803)=1,MAX(BU$76:BU802)+1,"")</f>
        <v>76</v>
      </c>
      <c r="BV803" s="1312">
        <v>280</v>
      </c>
      <c r="BW803" s="1312">
        <v>375</v>
      </c>
      <c r="BX803" s="1312">
        <v>375</v>
      </c>
      <c r="BY803">
        <v>450</v>
      </c>
      <c r="BZ803" s="1312" t="s">
        <v>1498</v>
      </c>
      <c r="CA803" s="1352"/>
    </row>
    <row r="804" spans="73:79" x14ac:dyDescent="0.3">
      <c r="BU804" s="165" t="str">
        <f>IF(COUNTIF(BV$76:BV804,BV804)=1,MAX(BU$76:BU803)+1,"")</f>
        <v/>
      </c>
      <c r="BV804" s="1312">
        <v>280</v>
      </c>
      <c r="BW804" s="1312">
        <v>260</v>
      </c>
      <c r="BX804" s="1312">
        <v>375</v>
      </c>
      <c r="BY804">
        <v>450</v>
      </c>
      <c r="BZ804" s="1312" t="s">
        <v>1499</v>
      </c>
      <c r="CA804" s="1352"/>
    </row>
    <row r="805" spans="73:79" x14ac:dyDescent="0.3">
      <c r="BU805" s="165" t="str">
        <f>IF(COUNTIF(BV$76:BV805,BV805)=1,MAX(BU$76:BU804)+1,"")</f>
        <v/>
      </c>
      <c r="BV805" s="1312">
        <v>280</v>
      </c>
      <c r="BW805" s="1312">
        <v>260</v>
      </c>
      <c r="BX805" s="1312">
        <v>360</v>
      </c>
      <c r="BY805">
        <v>450</v>
      </c>
      <c r="BZ805" s="1312" t="s">
        <v>1499</v>
      </c>
      <c r="CA805" s="1352"/>
    </row>
    <row r="806" spans="73:79" x14ac:dyDescent="0.3">
      <c r="BU806" s="165" t="str">
        <f>IF(COUNTIF(BV$76:BV806,BV806)=1,MAX(BU$76:BU805)+1,"")</f>
        <v/>
      </c>
      <c r="BV806" s="1312">
        <v>280</v>
      </c>
      <c r="BW806" s="1312">
        <v>260</v>
      </c>
      <c r="BX806" s="1312">
        <v>360</v>
      </c>
      <c r="BY806">
        <v>450</v>
      </c>
      <c r="BZ806" s="1312" t="s">
        <v>1499</v>
      </c>
      <c r="CA806" s="1352"/>
    </row>
    <row r="807" spans="73:79" x14ac:dyDescent="0.3">
      <c r="BU807" s="165" t="str">
        <f>IF(COUNTIF(BV$76:BV807,BV807)=1,MAX(BU$76:BU806)+1,"")</f>
        <v/>
      </c>
      <c r="BV807" s="1312">
        <v>280</v>
      </c>
      <c r="BW807" s="1312">
        <v>318</v>
      </c>
      <c r="BX807" s="1312">
        <v>375</v>
      </c>
      <c r="BY807">
        <v>450</v>
      </c>
      <c r="BZ807" s="1312" t="s">
        <v>1500</v>
      </c>
      <c r="CA807" s="1352"/>
    </row>
    <row r="808" spans="73:79" x14ac:dyDescent="0.3">
      <c r="BU808" s="165" t="str">
        <f>IF(COUNTIF(BV$76:BV808,BV808)=1,MAX(BU$76:BU807)+1,"")</f>
        <v/>
      </c>
      <c r="BV808" s="1312">
        <v>280</v>
      </c>
      <c r="BW808" s="1312">
        <v>320</v>
      </c>
      <c r="BX808" s="1312">
        <v>360</v>
      </c>
      <c r="BY808">
        <v>450</v>
      </c>
      <c r="BZ808" s="1312" t="s">
        <v>1500</v>
      </c>
      <c r="CA808" s="1352"/>
    </row>
    <row r="809" spans="73:79" x14ac:dyDescent="0.3">
      <c r="BU809" s="165" t="str">
        <f>IF(COUNTIF(BV$76:BV809,BV809)=1,MAX(BU$76:BU808)+1,"")</f>
        <v/>
      </c>
      <c r="BV809" s="1312">
        <v>280</v>
      </c>
      <c r="BW809" s="1312">
        <v>377</v>
      </c>
      <c r="BX809" s="1312">
        <v>360</v>
      </c>
      <c r="BY809">
        <v>450</v>
      </c>
      <c r="BZ809" s="1312" t="s">
        <v>1498</v>
      </c>
      <c r="CA809" s="1352"/>
    </row>
    <row r="810" spans="73:79" x14ac:dyDescent="0.3">
      <c r="BU810" s="165" t="str">
        <f>IF(COUNTIF(BV$76:BV810,BV810)=1,MAX(BU$76:BU809)+1,"")</f>
        <v/>
      </c>
      <c r="BV810" s="1312">
        <v>280</v>
      </c>
      <c r="BW810" s="1312">
        <v>382</v>
      </c>
      <c r="BX810" s="1312">
        <v>360</v>
      </c>
      <c r="BY810">
        <v>450</v>
      </c>
      <c r="BZ810" s="1312" t="s">
        <v>1498</v>
      </c>
      <c r="CA810" s="1352"/>
    </row>
    <row r="811" spans="73:79" x14ac:dyDescent="0.3">
      <c r="BU811" s="165" t="str">
        <f>IF(COUNTIF(BV$76:BV811,BV811)=1,MAX(BU$76:BU810)+1,"")</f>
        <v/>
      </c>
      <c r="BV811" s="1312">
        <v>280</v>
      </c>
      <c r="BW811" s="1312">
        <v>257</v>
      </c>
      <c r="BX811" s="1312">
        <v>360</v>
      </c>
      <c r="BY811">
        <v>450</v>
      </c>
      <c r="BZ811" s="1312" t="s">
        <v>1499</v>
      </c>
      <c r="CA811" s="1352"/>
    </row>
    <row r="812" spans="73:79" x14ac:dyDescent="0.3">
      <c r="BU812" s="165" t="str">
        <f>IF(COUNTIF(BV$76:BV812,BV812)=1,MAX(BU$76:BU811)+1,"")</f>
        <v/>
      </c>
      <c r="BV812" s="1312">
        <v>280</v>
      </c>
      <c r="BW812" s="1312">
        <v>260</v>
      </c>
      <c r="BX812" s="1312">
        <v>375</v>
      </c>
      <c r="BY812">
        <v>450</v>
      </c>
      <c r="BZ812" s="1312" t="s">
        <v>1499</v>
      </c>
      <c r="CA812" s="1352"/>
    </row>
    <row r="813" spans="73:79" x14ac:dyDescent="0.3">
      <c r="BU813" s="165" t="str">
        <f>IF(COUNTIF(BV$76:BV813,BV813)=1,MAX(BU$76:BU812)+1,"")</f>
        <v/>
      </c>
      <c r="BV813" s="1312">
        <v>280</v>
      </c>
      <c r="BW813" s="1312">
        <v>260</v>
      </c>
      <c r="BX813" s="1312">
        <v>360</v>
      </c>
      <c r="BY813">
        <v>450</v>
      </c>
      <c r="BZ813" s="1312" t="s">
        <v>1499</v>
      </c>
      <c r="CA813" s="1352"/>
    </row>
    <row r="814" spans="73:79" x14ac:dyDescent="0.3">
      <c r="BU814" s="165">
        <f>IF(COUNTIF(BV$76:BV814,BV814)=1,MAX(BU$76:BU813)+1,"")</f>
        <v>77</v>
      </c>
      <c r="BV814" s="1312">
        <v>282.5</v>
      </c>
      <c r="BW814" s="1312">
        <v>260</v>
      </c>
      <c r="BX814" s="1312">
        <v>360</v>
      </c>
      <c r="BY814">
        <v>450</v>
      </c>
      <c r="BZ814" s="1312" t="s">
        <v>1501</v>
      </c>
      <c r="CA814" s="1352"/>
    </row>
    <row r="815" spans="73:79" x14ac:dyDescent="0.3">
      <c r="BU815" s="165" t="str">
        <f>IF(COUNTIF(BV$76:BV815,BV815)=1,MAX(BU$76:BU814)+1,"")</f>
        <v/>
      </c>
      <c r="BV815" s="1312">
        <v>282.5</v>
      </c>
      <c r="BW815" s="1312">
        <v>260</v>
      </c>
      <c r="BX815" s="1312">
        <v>375</v>
      </c>
      <c r="BY815">
        <v>450</v>
      </c>
      <c r="BZ815" s="1312" t="s">
        <v>1501</v>
      </c>
      <c r="CA815" s="1352"/>
    </row>
    <row r="816" spans="73:79" x14ac:dyDescent="0.3">
      <c r="BU816" s="165" t="str">
        <f>IF(COUNTIF(BV$76:BV816,BV816)=1,MAX(BU$76:BU815)+1,"")</f>
        <v/>
      </c>
      <c r="BV816" s="1312">
        <v>282.5</v>
      </c>
      <c r="BW816" s="1312">
        <v>380</v>
      </c>
      <c r="BX816" s="1312">
        <v>360</v>
      </c>
      <c r="BY816">
        <v>450</v>
      </c>
      <c r="BZ816" s="1312" t="s">
        <v>1502</v>
      </c>
      <c r="CA816" s="1352"/>
    </row>
    <row r="817" spans="73:79" x14ac:dyDescent="0.3">
      <c r="BU817" s="165" t="str">
        <f>IF(COUNTIF(BV$76:BV817,BV817)=1,MAX(BU$76:BU816)+1,"")</f>
        <v/>
      </c>
      <c r="BV817" s="1312">
        <v>282.5</v>
      </c>
      <c r="BW817" s="1312">
        <v>317</v>
      </c>
      <c r="BX817" s="1312">
        <v>360</v>
      </c>
      <c r="BY817">
        <v>450</v>
      </c>
      <c r="BZ817" s="1312" t="s">
        <v>1503</v>
      </c>
      <c r="CA817" s="1352"/>
    </row>
    <row r="818" spans="73:79" x14ac:dyDescent="0.3">
      <c r="BU818" s="165" t="str">
        <f>IF(COUNTIF(BV$76:BV818,BV818)=1,MAX(BU$76:BU817)+1,"")</f>
        <v/>
      </c>
      <c r="BV818" s="1312">
        <v>282.5</v>
      </c>
      <c r="BW818" s="1312">
        <v>258</v>
      </c>
      <c r="BX818" s="1312">
        <v>360</v>
      </c>
      <c r="BY818">
        <v>450</v>
      </c>
      <c r="BZ818" s="1312" t="s">
        <v>1501</v>
      </c>
      <c r="CA818" s="1352"/>
    </row>
    <row r="819" spans="73:79" x14ac:dyDescent="0.3">
      <c r="BU819" s="165" t="str">
        <f>IF(COUNTIF(BV$76:BV819,BV819)=1,MAX(BU$76:BU818)+1,"")</f>
        <v/>
      </c>
      <c r="BV819" s="1312">
        <v>282.5</v>
      </c>
      <c r="BW819" s="1312">
        <v>260</v>
      </c>
      <c r="BX819" s="1312">
        <v>360</v>
      </c>
      <c r="BY819">
        <v>450</v>
      </c>
      <c r="BZ819" s="1312" t="s">
        <v>1501</v>
      </c>
      <c r="CA819" s="1352"/>
    </row>
    <row r="820" spans="73:79" x14ac:dyDescent="0.3">
      <c r="BU820" s="165" t="str">
        <f>IF(COUNTIF(BV$76:BV820,BV820)=1,MAX(BU$76:BU819)+1,"")</f>
        <v/>
      </c>
      <c r="BV820" s="1312">
        <v>282.5</v>
      </c>
      <c r="BW820" s="1312">
        <v>260</v>
      </c>
      <c r="BX820" s="1312">
        <v>360</v>
      </c>
      <c r="BY820">
        <v>450</v>
      </c>
      <c r="BZ820" s="1312" t="s">
        <v>1501</v>
      </c>
      <c r="CA820" s="1352"/>
    </row>
    <row r="821" spans="73:79" x14ac:dyDescent="0.3">
      <c r="BU821" s="165" t="str">
        <f>IF(COUNTIF(BV$76:BV821,BV821)=1,MAX(BU$76:BU820)+1,"")</f>
        <v/>
      </c>
      <c r="BV821" s="1312">
        <v>282.5</v>
      </c>
      <c r="BW821" s="1312">
        <v>260</v>
      </c>
      <c r="BX821" s="1312">
        <v>375</v>
      </c>
      <c r="BY821">
        <v>450</v>
      </c>
      <c r="BZ821" s="1312" t="s">
        <v>1501</v>
      </c>
      <c r="CA821" s="1352"/>
    </row>
    <row r="822" spans="73:79" x14ac:dyDescent="0.3">
      <c r="BU822" s="165" t="str">
        <f>IF(COUNTIF(BV$76:BV822,BV822)=1,MAX(BU$76:BU821)+1,"")</f>
        <v/>
      </c>
      <c r="BV822" s="1312">
        <v>282.5</v>
      </c>
      <c r="BW822" s="1312">
        <v>377</v>
      </c>
      <c r="BX822" s="1312">
        <v>360</v>
      </c>
      <c r="BY822">
        <v>450</v>
      </c>
      <c r="BZ822" s="1312" t="s">
        <v>1502</v>
      </c>
      <c r="CA822" s="1352"/>
    </row>
    <row r="823" spans="73:79" x14ac:dyDescent="0.3">
      <c r="BU823" s="165" t="str">
        <f>IF(COUNTIF(BV$76:BV823,BV823)=1,MAX(BU$76:BU822)+1,"")</f>
        <v/>
      </c>
      <c r="BV823" s="1312">
        <v>282.5</v>
      </c>
      <c r="BW823" s="1312">
        <v>320</v>
      </c>
      <c r="BX823" s="1312">
        <v>360</v>
      </c>
      <c r="BY823">
        <v>450</v>
      </c>
      <c r="BZ823" s="1312" t="s">
        <v>1503</v>
      </c>
      <c r="CA823" s="1352"/>
    </row>
    <row r="824" spans="73:79" x14ac:dyDescent="0.3">
      <c r="BU824" s="165" t="str">
        <f>IF(COUNTIF(BV$76:BV824,BV824)=1,MAX(BU$76:BU823)+1,"")</f>
        <v/>
      </c>
      <c r="BV824" s="1312">
        <v>282.5</v>
      </c>
      <c r="BW824" s="1312">
        <v>440</v>
      </c>
      <c r="BX824" s="1312">
        <v>375</v>
      </c>
      <c r="BY824">
        <v>400</v>
      </c>
      <c r="BZ824" s="1312" t="s">
        <v>1504</v>
      </c>
      <c r="CA824" s="1352"/>
    </row>
    <row r="825" spans="73:79" x14ac:dyDescent="0.3">
      <c r="BU825" s="165" t="str">
        <f>IF(COUNTIF(BV$76:BV825,BV825)=1,MAX(BU$76:BU824)+1,"")</f>
        <v/>
      </c>
      <c r="BV825" s="1312">
        <v>282.5</v>
      </c>
      <c r="BW825" s="1312">
        <v>377</v>
      </c>
      <c r="BX825" s="1312">
        <v>360</v>
      </c>
      <c r="BY825">
        <v>450</v>
      </c>
      <c r="BZ825" s="1312" t="s">
        <v>1502</v>
      </c>
      <c r="CA825" s="1352"/>
    </row>
    <row r="826" spans="73:79" x14ac:dyDescent="0.3">
      <c r="BU826" s="165" t="str">
        <f>IF(COUNTIF(BV$76:BV826,BV826)=1,MAX(BU$76:BU825)+1,"")</f>
        <v/>
      </c>
      <c r="BV826" s="1312">
        <v>282.5</v>
      </c>
      <c r="BW826" s="1312">
        <v>383</v>
      </c>
      <c r="BX826" s="1312">
        <v>375</v>
      </c>
      <c r="BY826">
        <v>450</v>
      </c>
      <c r="BZ826" s="1312" t="s">
        <v>1502</v>
      </c>
      <c r="CA826" s="1352"/>
    </row>
    <row r="827" spans="73:79" x14ac:dyDescent="0.3">
      <c r="BU827" s="165" t="str">
        <f>IF(COUNTIF(BV$76:BV827,BV827)=1,MAX(BU$76:BU826)+1,"")</f>
        <v/>
      </c>
      <c r="BV827" s="1312">
        <v>282.5</v>
      </c>
      <c r="BW827" s="1312">
        <v>420</v>
      </c>
      <c r="BX827" s="1312">
        <v>360</v>
      </c>
      <c r="BY827">
        <v>400</v>
      </c>
      <c r="BZ827" s="1312" t="s">
        <v>1504</v>
      </c>
      <c r="CA827" s="1352"/>
    </row>
    <row r="828" spans="73:79" x14ac:dyDescent="0.3">
      <c r="BU828" s="165" t="str">
        <f>IF(COUNTIF(BV$76:BV828,BV828)=1,MAX(BU$76:BU827)+1,"")</f>
        <v/>
      </c>
      <c r="BV828" s="1312">
        <v>282.5</v>
      </c>
      <c r="BW828" s="1312">
        <v>257</v>
      </c>
      <c r="BX828" s="1312">
        <v>360</v>
      </c>
      <c r="BY828">
        <v>450</v>
      </c>
      <c r="BZ828" s="1312" t="s">
        <v>1501</v>
      </c>
      <c r="CA828" s="1352"/>
    </row>
    <row r="829" spans="73:79" x14ac:dyDescent="0.3">
      <c r="BU829" s="165" t="str">
        <f>IF(COUNTIF(BV$76:BV829,BV829)=1,MAX(BU$76:BU828)+1,"")</f>
        <v/>
      </c>
      <c r="BV829" s="1312">
        <v>282.5</v>
      </c>
      <c r="BW829" s="1312">
        <v>260</v>
      </c>
      <c r="BX829" s="1312">
        <v>360</v>
      </c>
      <c r="BY829">
        <v>450</v>
      </c>
      <c r="BZ829" s="1312" t="s">
        <v>1501</v>
      </c>
      <c r="CA829" s="1352"/>
    </row>
    <row r="830" spans="73:79" x14ac:dyDescent="0.3">
      <c r="BU830" s="165">
        <f>IF(COUNTIF(BV$76:BV830,BV830)=1,MAX(BU$76:BU829)+1,"")</f>
        <v>78</v>
      </c>
      <c r="BV830" s="1312">
        <v>285</v>
      </c>
      <c r="BW830" s="1312">
        <v>440</v>
      </c>
      <c r="BX830" s="1312">
        <v>375</v>
      </c>
      <c r="BY830">
        <v>400</v>
      </c>
      <c r="BZ830" s="1312" t="s">
        <v>1505</v>
      </c>
      <c r="CA830" s="1352"/>
    </row>
    <row r="831" spans="73:79" x14ac:dyDescent="0.3">
      <c r="BU831" s="165" t="str">
        <f>IF(COUNTIF(BV$76:BV831,BV831)=1,MAX(BU$76:BU830)+1,"")</f>
        <v/>
      </c>
      <c r="BV831" s="1312">
        <v>285</v>
      </c>
      <c r="BW831" s="1312">
        <v>213</v>
      </c>
      <c r="BX831" s="1312">
        <v>360</v>
      </c>
      <c r="BY831">
        <v>450</v>
      </c>
      <c r="BZ831" s="1312" t="s">
        <v>1506</v>
      </c>
      <c r="CA831" s="1352"/>
    </row>
    <row r="832" spans="73:79" x14ac:dyDescent="0.3">
      <c r="BU832" s="165" t="str">
        <f>IF(COUNTIF(BV$76:BV832,BV832)=1,MAX(BU$76:BU831)+1,"")</f>
        <v/>
      </c>
      <c r="BV832" s="1312">
        <v>285</v>
      </c>
      <c r="BW832" s="1312">
        <v>415</v>
      </c>
      <c r="BX832" s="1312">
        <v>360</v>
      </c>
      <c r="BY832">
        <v>400</v>
      </c>
      <c r="BZ832" s="1312" t="s">
        <v>1507</v>
      </c>
      <c r="CA832" s="1352"/>
    </row>
    <row r="833" spans="73:79" x14ac:dyDescent="0.3">
      <c r="BU833" s="165" t="str">
        <f>IF(COUNTIF(BV$76:BV833,BV833)=1,MAX(BU$76:BU832)+1,"")</f>
        <v/>
      </c>
      <c r="BV833" s="1312">
        <v>285</v>
      </c>
      <c r="BW833" s="1312">
        <v>440</v>
      </c>
      <c r="BX833" s="1312">
        <v>375</v>
      </c>
      <c r="BY833">
        <v>400</v>
      </c>
      <c r="BZ833" s="1312" t="s">
        <v>1505</v>
      </c>
      <c r="CA833" s="1352"/>
    </row>
    <row r="834" spans="73:79" x14ac:dyDescent="0.3">
      <c r="BU834" s="165" t="str">
        <f>IF(COUNTIF(BV$76:BV834,BV834)=1,MAX(BU$76:BU833)+1,"")</f>
        <v/>
      </c>
      <c r="BV834" s="1312">
        <v>285</v>
      </c>
      <c r="BW834" s="1312">
        <v>260</v>
      </c>
      <c r="BX834" s="1312">
        <v>375</v>
      </c>
      <c r="BY834">
        <v>450</v>
      </c>
      <c r="BZ834" s="1312" t="s">
        <v>1508</v>
      </c>
      <c r="CA834" s="1352"/>
    </row>
    <row r="835" spans="73:79" x14ac:dyDescent="0.3">
      <c r="BU835" s="165" t="str">
        <f>IF(COUNTIF(BV$76:BV835,BV835)=1,MAX(BU$76:BU834)+1,"")</f>
        <v/>
      </c>
      <c r="BV835" s="1312">
        <v>285</v>
      </c>
      <c r="BW835" s="1312">
        <v>260</v>
      </c>
      <c r="BX835" s="1312">
        <v>375</v>
      </c>
      <c r="BY835">
        <v>450</v>
      </c>
      <c r="BZ835" s="1312" t="s">
        <v>1508</v>
      </c>
      <c r="CA835" s="1352"/>
    </row>
    <row r="836" spans="73:79" x14ac:dyDescent="0.3">
      <c r="BU836" s="165" t="str">
        <f>IF(COUNTIF(BV$76:BV836,BV836)=1,MAX(BU$76:BU835)+1,"")</f>
        <v/>
      </c>
      <c r="BV836" s="1312">
        <v>285</v>
      </c>
      <c r="BW836" s="1312">
        <v>260</v>
      </c>
      <c r="BX836" s="1312">
        <v>360</v>
      </c>
      <c r="BY836">
        <v>450</v>
      </c>
      <c r="BZ836" s="1312" t="s">
        <v>1508</v>
      </c>
      <c r="CA836" s="1352"/>
    </row>
    <row r="837" spans="73:79" x14ac:dyDescent="0.3">
      <c r="BU837" s="165" t="str">
        <f>IF(COUNTIF(BV$76:BV837,BV837)=1,MAX(BU$76:BU836)+1,"")</f>
        <v/>
      </c>
      <c r="BV837" s="1312">
        <v>285</v>
      </c>
      <c r="BW837" s="1312">
        <v>260</v>
      </c>
      <c r="BX837" s="1312">
        <v>375</v>
      </c>
      <c r="BY837">
        <v>450</v>
      </c>
      <c r="BZ837" s="1312" t="s">
        <v>1508</v>
      </c>
      <c r="CA837" s="1352"/>
    </row>
    <row r="838" spans="73:79" x14ac:dyDescent="0.3">
      <c r="BU838" s="165" t="str">
        <f>IF(COUNTIF(BV$76:BV838,BV838)=1,MAX(BU$76:BU837)+1,"")</f>
        <v/>
      </c>
      <c r="BV838" s="1312">
        <v>285</v>
      </c>
      <c r="BW838" s="1312">
        <v>320</v>
      </c>
      <c r="BX838" s="1312">
        <v>360</v>
      </c>
      <c r="BY838">
        <v>450</v>
      </c>
      <c r="BZ838" s="1312" t="s">
        <v>1509</v>
      </c>
      <c r="CA838" s="1352"/>
    </row>
    <row r="839" spans="73:79" x14ac:dyDescent="0.3">
      <c r="BU839" s="165" t="str">
        <f>IF(COUNTIF(BV$76:BV839,BV839)=1,MAX(BU$76:BU838)+1,"")</f>
        <v/>
      </c>
      <c r="BV839" s="1312">
        <v>285</v>
      </c>
      <c r="BW839" s="1312">
        <v>260</v>
      </c>
      <c r="BX839" s="1312">
        <v>375</v>
      </c>
      <c r="BY839">
        <v>450</v>
      </c>
      <c r="BZ839" s="1312" t="s">
        <v>1508</v>
      </c>
      <c r="CA839" s="1352"/>
    </row>
    <row r="840" spans="73:79" x14ac:dyDescent="0.3">
      <c r="BU840" s="165" t="str">
        <f>IF(COUNTIF(BV$76:BV840,BV840)=1,MAX(BU$76:BU839)+1,"")</f>
        <v/>
      </c>
      <c r="BV840" s="1312">
        <v>285</v>
      </c>
      <c r="BW840" s="1312">
        <v>210</v>
      </c>
      <c r="BX840" s="1312">
        <v>360</v>
      </c>
      <c r="BY840">
        <v>450</v>
      </c>
      <c r="BZ840" s="1312" t="s">
        <v>1506</v>
      </c>
      <c r="CA840" s="1352"/>
    </row>
    <row r="841" spans="73:79" x14ac:dyDescent="0.3">
      <c r="BU841" s="165" t="str">
        <f>IF(COUNTIF(BV$76:BV841,BV841)=1,MAX(BU$76:BU840)+1,"")</f>
        <v/>
      </c>
      <c r="BV841" s="1312">
        <v>285</v>
      </c>
      <c r="BW841" s="1312">
        <v>260</v>
      </c>
      <c r="BX841" s="1312">
        <v>360</v>
      </c>
      <c r="BY841">
        <v>450</v>
      </c>
      <c r="BZ841" s="1312" t="s">
        <v>1508</v>
      </c>
      <c r="CA841" s="1352"/>
    </row>
    <row r="842" spans="73:79" x14ac:dyDescent="0.3">
      <c r="BU842" s="165" t="str">
        <f>IF(COUNTIF(BV$76:BV842,BV842)=1,MAX(BU$76:BU841)+1,"")</f>
        <v/>
      </c>
      <c r="BV842" s="1312">
        <v>285</v>
      </c>
      <c r="BW842" s="1312">
        <v>257</v>
      </c>
      <c r="BX842" s="1312">
        <v>375</v>
      </c>
      <c r="BY842">
        <v>450</v>
      </c>
      <c r="BZ842" s="1312" t="s">
        <v>1508</v>
      </c>
      <c r="CA842" s="1352"/>
    </row>
    <row r="843" spans="73:79" x14ac:dyDescent="0.3">
      <c r="BU843" s="165" t="str">
        <f>IF(COUNTIF(BV$76:BV843,BV843)=1,MAX(BU$76:BU842)+1,"")</f>
        <v/>
      </c>
      <c r="BV843" s="1312">
        <v>285</v>
      </c>
      <c r="BW843" s="1312">
        <v>378</v>
      </c>
      <c r="BX843" s="1312">
        <v>360</v>
      </c>
      <c r="BY843">
        <v>450</v>
      </c>
      <c r="BZ843" s="1312" t="s">
        <v>1510</v>
      </c>
      <c r="CA843" s="1352"/>
    </row>
    <row r="844" spans="73:79" x14ac:dyDescent="0.3">
      <c r="BU844" s="165" t="str">
        <f>IF(COUNTIF(BV$76:BV844,BV844)=1,MAX(BU$76:BU843)+1,"")</f>
        <v/>
      </c>
      <c r="BV844" s="1312">
        <v>285</v>
      </c>
      <c r="BW844" s="1312">
        <v>379</v>
      </c>
      <c r="BX844" s="1312">
        <v>360</v>
      </c>
      <c r="BY844">
        <v>450</v>
      </c>
      <c r="BZ844" s="1312" t="s">
        <v>1510</v>
      </c>
      <c r="CA844" s="1352"/>
    </row>
    <row r="845" spans="73:79" x14ac:dyDescent="0.3">
      <c r="BU845" s="165" t="str">
        <f>IF(COUNTIF(BV$76:BV845,BV845)=1,MAX(BU$76:BU844)+1,"")</f>
        <v/>
      </c>
      <c r="BV845" s="1312">
        <v>285</v>
      </c>
      <c r="BW845" s="1312">
        <v>315</v>
      </c>
      <c r="BX845" s="1312">
        <v>375</v>
      </c>
      <c r="BY845">
        <v>450</v>
      </c>
      <c r="BZ845" s="1312" t="s">
        <v>1509</v>
      </c>
      <c r="CA845" s="1352"/>
    </row>
    <row r="846" spans="73:79" x14ac:dyDescent="0.3">
      <c r="BU846" s="165" t="str">
        <f>IF(COUNTIF(BV$76:BV846,BV846)=1,MAX(BU$76:BU845)+1,"")</f>
        <v/>
      </c>
      <c r="BV846" s="1312">
        <v>285</v>
      </c>
      <c r="BW846" s="1312">
        <v>375</v>
      </c>
      <c r="BX846" s="1312">
        <v>360</v>
      </c>
      <c r="BY846">
        <v>450</v>
      </c>
      <c r="BZ846" s="1312" t="s">
        <v>1510</v>
      </c>
      <c r="CA846" s="1352"/>
    </row>
    <row r="847" spans="73:79" x14ac:dyDescent="0.3">
      <c r="BU847" s="165" t="str">
        <f>IF(COUNTIF(BV$76:BV847,BV847)=1,MAX(BU$76:BU846)+1,"")</f>
        <v/>
      </c>
      <c r="BV847" s="1312">
        <v>285</v>
      </c>
      <c r="BW847" s="1312">
        <v>375</v>
      </c>
      <c r="BX847" s="1312">
        <v>375</v>
      </c>
      <c r="BY847">
        <v>450</v>
      </c>
      <c r="BZ847" s="1312" t="s">
        <v>1510</v>
      </c>
      <c r="CA847" s="1352"/>
    </row>
    <row r="848" spans="73:79" x14ac:dyDescent="0.3">
      <c r="BU848" s="165" t="str">
        <f>IF(COUNTIF(BV$76:BV848,BV848)=1,MAX(BU$76:BU847)+1,"")</f>
        <v/>
      </c>
      <c r="BV848" s="1312">
        <v>285</v>
      </c>
      <c r="BW848" s="1312">
        <v>317</v>
      </c>
      <c r="BX848" s="1312">
        <v>360</v>
      </c>
      <c r="BY848">
        <v>450</v>
      </c>
      <c r="BZ848" s="1312" t="s">
        <v>1509</v>
      </c>
      <c r="CA848" s="1352"/>
    </row>
    <row r="849" spans="73:79" x14ac:dyDescent="0.3">
      <c r="BU849" s="165" t="str">
        <f>IF(COUNTIF(BV$76:BV849,BV849)=1,MAX(BU$76:BU848)+1,"")</f>
        <v/>
      </c>
      <c r="BV849" s="1312">
        <v>285</v>
      </c>
      <c r="BW849" s="1312">
        <v>318</v>
      </c>
      <c r="BX849" s="1312">
        <v>360</v>
      </c>
      <c r="BY849">
        <v>450</v>
      </c>
      <c r="BZ849" s="1312" t="s">
        <v>1509</v>
      </c>
      <c r="CA849" s="1352"/>
    </row>
    <row r="850" spans="73:79" x14ac:dyDescent="0.3">
      <c r="BU850" s="165" t="str">
        <f>IF(COUNTIF(BV$76:BV850,BV850)=1,MAX(BU$76:BU849)+1,"")</f>
        <v/>
      </c>
      <c r="BV850" s="1312">
        <v>285</v>
      </c>
      <c r="BW850" s="1312">
        <v>437</v>
      </c>
      <c r="BX850" s="1312">
        <v>375</v>
      </c>
      <c r="BY850">
        <v>400</v>
      </c>
      <c r="BZ850" s="1312" t="s">
        <v>1505</v>
      </c>
      <c r="CA850" s="1352"/>
    </row>
    <row r="851" spans="73:79" x14ac:dyDescent="0.3">
      <c r="BU851" s="165" t="str">
        <f>IF(COUNTIF(BV$76:BV851,BV851)=1,MAX(BU$76:BU850)+1,"")</f>
        <v/>
      </c>
      <c r="BV851" s="1312">
        <v>285</v>
      </c>
      <c r="BW851" s="1312">
        <v>320</v>
      </c>
      <c r="BX851" s="1312">
        <v>360</v>
      </c>
      <c r="BY851">
        <v>450</v>
      </c>
      <c r="BZ851" s="1312" t="s">
        <v>1509</v>
      </c>
      <c r="CA851" s="1352"/>
    </row>
    <row r="852" spans="73:79" x14ac:dyDescent="0.3">
      <c r="BU852" s="165" t="str">
        <f>IF(COUNTIF(BV$76:BV852,BV852)=1,MAX(BU$76:BU851)+1,"")</f>
        <v/>
      </c>
      <c r="BV852" s="1312">
        <v>285</v>
      </c>
      <c r="BW852" s="1312">
        <v>260</v>
      </c>
      <c r="BX852" s="1312">
        <v>360</v>
      </c>
      <c r="BY852">
        <v>450</v>
      </c>
      <c r="BZ852" s="1312" t="s">
        <v>1508</v>
      </c>
      <c r="CA852" s="1352"/>
    </row>
    <row r="853" spans="73:79" x14ac:dyDescent="0.3">
      <c r="BU853" s="165" t="str">
        <f>IF(COUNTIF(BV$76:BV853,BV853)=1,MAX(BU$76:BU852)+1,"")</f>
        <v/>
      </c>
      <c r="BV853" s="1312">
        <v>285</v>
      </c>
      <c r="BW853" s="1312">
        <v>257</v>
      </c>
      <c r="BX853" s="1312">
        <v>360</v>
      </c>
      <c r="BY853">
        <v>450</v>
      </c>
      <c r="BZ853" s="1312" t="s">
        <v>1508</v>
      </c>
      <c r="CA853" s="1352"/>
    </row>
    <row r="854" spans="73:79" x14ac:dyDescent="0.3">
      <c r="BU854" s="165" t="str">
        <f>IF(COUNTIF(BV$76:BV854,BV854)=1,MAX(BU$76:BU853)+1,"")</f>
        <v/>
      </c>
      <c r="BV854" s="1312">
        <v>285</v>
      </c>
      <c r="BW854" s="1312">
        <v>440</v>
      </c>
      <c r="BX854" s="1312">
        <v>375</v>
      </c>
      <c r="BY854">
        <v>400</v>
      </c>
      <c r="BZ854" s="1312" t="s">
        <v>1505</v>
      </c>
      <c r="CA854" s="1352"/>
    </row>
    <row r="855" spans="73:79" x14ac:dyDescent="0.3">
      <c r="BU855" s="165" t="str">
        <f>IF(COUNTIF(BV$76:BV855,BV855)=1,MAX(BU$76:BU854)+1,"")</f>
        <v/>
      </c>
      <c r="BV855" s="1312">
        <v>285</v>
      </c>
      <c r="BW855" s="1312">
        <v>320</v>
      </c>
      <c r="BX855" s="1312">
        <v>360</v>
      </c>
      <c r="BY855">
        <v>450</v>
      </c>
      <c r="BZ855" s="1312" t="s">
        <v>1509</v>
      </c>
      <c r="CA855" s="1352"/>
    </row>
    <row r="856" spans="73:79" x14ac:dyDescent="0.3">
      <c r="BU856" s="165" t="str">
        <f>IF(COUNTIF(BV$76:BV856,BV856)=1,MAX(BU$76:BU855)+1,"")</f>
        <v/>
      </c>
      <c r="BV856" s="1312">
        <v>285</v>
      </c>
      <c r="BW856" s="1312">
        <v>260</v>
      </c>
      <c r="BX856" s="1312">
        <v>375</v>
      </c>
      <c r="BY856">
        <v>450</v>
      </c>
      <c r="BZ856" s="1312" t="s">
        <v>1508</v>
      </c>
      <c r="CA856" s="1352"/>
    </row>
    <row r="857" spans="73:79" x14ac:dyDescent="0.3">
      <c r="BU857" s="165" t="str">
        <f>IF(COUNTIF(BV$76:BV857,BV857)=1,MAX(BU$76:BU856)+1,"")</f>
        <v/>
      </c>
      <c r="BV857" s="1312">
        <v>285</v>
      </c>
      <c r="BW857" s="1312">
        <v>318</v>
      </c>
      <c r="BX857" s="1312">
        <v>360</v>
      </c>
      <c r="BY857">
        <v>450</v>
      </c>
      <c r="BZ857" s="1312" t="s">
        <v>1509</v>
      </c>
      <c r="CA857" s="1352"/>
    </row>
    <row r="858" spans="73:79" x14ac:dyDescent="0.3">
      <c r="BU858" s="165" t="str">
        <f>IF(COUNTIF(BV$76:BV858,BV858)=1,MAX(BU$76:BU857)+1,"")</f>
        <v/>
      </c>
      <c r="BV858" s="1312">
        <v>285</v>
      </c>
      <c r="BW858" s="1312">
        <v>260</v>
      </c>
      <c r="BX858" s="1312">
        <v>360</v>
      </c>
      <c r="BY858">
        <v>450</v>
      </c>
      <c r="BZ858" s="1312" t="s">
        <v>1508</v>
      </c>
      <c r="CA858" s="1352"/>
    </row>
    <row r="859" spans="73:79" x14ac:dyDescent="0.3">
      <c r="BU859" s="165">
        <f>IF(COUNTIF(BV$76:BV859,BV859)=1,MAX(BU$76:BU858)+1,"")</f>
        <v>79</v>
      </c>
      <c r="BV859" s="1312">
        <v>287.5</v>
      </c>
      <c r="BW859" s="1312">
        <v>495</v>
      </c>
      <c r="BX859" s="1312">
        <v>375</v>
      </c>
      <c r="BY859">
        <v>400</v>
      </c>
      <c r="BZ859" s="1312" t="s">
        <v>1511</v>
      </c>
      <c r="CA859" s="1352"/>
    </row>
    <row r="860" spans="73:79" x14ac:dyDescent="0.3">
      <c r="BU860" s="165" t="str">
        <f>IF(COUNTIF(BV$76:BV860,BV860)=1,MAX(BU$76:BU859)+1,"")</f>
        <v/>
      </c>
      <c r="BV860" s="1312">
        <v>287.5</v>
      </c>
      <c r="BW860" s="1312">
        <v>258</v>
      </c>
      <c r="BX860" s="1312">
        <v>360</v>
      </c>
      <c r="BY860">
        <v>450</v>
      </c>
      <c r="BZ860" s="1312" t="s">
        <v>1512</v>
      </c>
      <c r="CA860" s="1352"/>
    </row>
    <row r="861" spans="73:79" x14ac:dyDescent="0.3">
      <c r="BU861" s="165" t="str">
        <f>IF(COUNTIF(BV$76:BV861,BV861)=1,MAX(BU$76:BU860)+1,"")</f>
        <v/>
      </c>
      <c r="BV861" s="1312">
        <v>287.5</v>
      </c>
      <c r="BW861" s="1312">
        <v>415</v>
      </c>
      <c r="BX861" s="1312">
        <v>360</v>
      </c>
      <c r="BY861">
        <v>400</v>
      </c>
      <c r="BZ861" s="1312" t="s">
        <v>1513</v>
      </c>
      <c r="CA861" s="1352"/>
    </row>
    <row r="862" spans="73:79" x14ac:dyDescent="0.3">
      <c r="BU862" s="165" t="str">
        <f>IF(COUNTIF(BV$76:BV862,BV862)=1,MAX(BU$76:BU861)+1,"")</f>
        <v/>
      </c>
      <c r="BV862" s="1312">
        <v>287.5</v>
      </c>
      <c r="BW862" s="1312">
        <v>440</v>
      </c>
      <c r="BX862" s="1312">
        <v>375</v>
      </c>
      <c r="BY862">
        <v>400</v>
      </c>
      <c r="BZ862" s="1312" t="s">
        <v>1514</v>
      </c>
      <c r="CA862" s="1352"/>
    </row>
    <row r="863" spans="73:79" x14ac:dyDescent="0.3">
      <c r="BU863" s="165" t="str">
        <f>IF(COUNTIF(BV$76:BV863,BV863)=1,MAX(BU$76:BU862)+1,"")</f>
        <v/>
      </c>
      <c r="BV863" s="1312">
        <v>287.5</v>
      </c>
      <c r="BW863" s="1312">
        <v>260</v>
      </c>
      <c r="BX863" s="1312">
        <v>360</v>
      </c>
      <c r="BY863">
        <v>450</v>
      </c>
      <c r="BZ863" s="1312" t="s">
        <v>1512</v>
      </c>
      <c r="CA863" s="1352"/>
    </row>
    <row r="864" spans="73:79" x14ac:dyDescent="0.3">
      <c r="BU864" s="165" t="str">
        <f>IF(COUNTIF(BV$76:BV864,BV864)=1,MAX(BU$76:BU863)+1,"")</f>
        <v/>
      </c>
      <c r="BV864" s="1312">
        <v>287.5</v>
      </c>
      <c r="BW864" s="1312">
        <v>258</v>
      </c>
      <c r="BX864" s="1312">
        <v>360</v>
      </c>
      <c r="BY864">
        <v>450</v>
      </c>
      <c r="BZ864" s="1312" t="s">
        <v>1512</v>
      </c>
      <c r="CA864" s="1352"/>
    </row>
    <row r="865" spans="73:79" x14ac:dyDescent="0.3">
      <c r="BU865" s="165" t="str">
        <f>IF(COUNTIF(BV$76:BV865,BV865)=1,MAX(BU$76:BU864)+1,"")</f>
        <v/>
      </c>
      <c r="BV865" s="1312">
        <v>287.5</v>
      </c>
      <c r="BW865" s="1312">
        <v>440</v>
      </c>
      <c r="BX865" s="1312">
        <v>375</v>
      </c>
      <c r="BY865">
        <v>400</v>
      </c>
      <c r="BZ865" s="1312" t="s">
        <v>1514</v>
      </c>
      <c r="CA865" s="1352"/>
    </row>
    <row r="866" spans="73:79" x14ac:dyDescent="0.3">
      <c r="BU866" s="165" t="str">
        <f>IF(COUNTIF(BV$76:BV866,BV866)=1,MAX(BU$76:BU865)+1,"")</f>
        <v/>
      </c>
      <c r="BV866" s="1312">
        <v>287.5</v>
      </c>
      <c r="BW866" s="1312">
        <v>260</v>
      </c>
      <c r="BX866" s="1312">
        <v>360</v>
      </c>
      <c r="BY866">
        <v>450</v>
      </c>
      <c r="BZ866" s="1312" t="s">
        <v>1512</v>
      </c>
      <c r="CA866" s="1352"/>
    </row>
    <row r="867" spans="73:79" x14ac:dyDescent="0.3">
      <c r="BU867" s="165" t="str">
        <f>IF(COUNTIF(BV$76:BV867,BV867)=1,MAX(BU$76:BU866)+1,"")</f>
        <v/>
      </c>
      <c r="BV867" s="1312">
        <v>287.5</v>
      </c>
      <c r="BW867" s="1312">
        <v>260</v>
      </c>
      <c r="BX867" s="1312">
        <v>360</v>
      </c>
      <c r="BY867">
        <v>450</v>
      </c>
      <c r="BZ867" s="1312" t="s">
        <v>1512</v>
      </c>
      <c r="CA867" s="1352"/>
    </row>
    <row r="868" spans="73:79" x14ac:dyDescent="0.3">
      <c r="BU868" s="165" t="str">
        <f>IF(COUNTIF(BV$76:BV868,BV868)=1,MAX(BU$76:BU867)+1,"")</f>
        <v/>
      </c>
      <c r="BV868" s="1312">
        <v>287.5</v>
      </c>
      <c r="BW868" s="1312">
        <v>438</v>
      </c>
      <c r="BX868" s="1312">
        <v>375</v>
      </c>
      <c r="BY868">
        <v>400</v>
      </c>
      <c r="BZ868" s="1312" t="s">
        <v>1514</v>
      </c>
      <c r="CA868" s="1352"/>
    </row>
    <row r="869" spans="73:79" x14ac:dyDescent="0.3">
      <c r="BU869" s="165">
        <f>IF(COUNTIF(BV$76:BV869,BV869)=1,MAX(BU$76:BU868)+1,"")</f>
        <v>80</v>
      </c>
      <c r="BV869" s="1312">
        <v>290</v>
      </c>
      <c r="BW869" s="1312">
        <v>255</v>
      </c>
      <c r="BX869" s="1312">
        <v>360</v>
      </c>
      <c r="BY869">
        <v>450</v>
      </c>
      <c r="BZ869" s="1312" t="s">
        <v>1515</v>
      </c>
      <c r="CA869" s="1352"/>
    </row>
    <row r="870" spans="73:79" x14ac:dyDescent="0.3">
      <c r="BU870" s="165" t="str">
        <f>IF(COUNTIF(BV$76:BV870,BV870)=1,MAX(BU$76:BU869)+1,"")</f>
        <v/>
      </c>
      <c r="BV870" s="1312">
        <v>290</v>
      </c>
      <c r="BW870" s="1312">
        <v>260</v>
      </c>
      <c r="BX870" s="1312">
        <v>360</v>
      </c>
      <c r="BY870">
        <v>450</v>
      </c>
      <c r="BZ870" s="1312" t="s">
        <v>1515</v>
      </c>
      <c r="CA870" s="1352"/>
    </row>
    <row r="871" spans="73:79" x14ac:dyDescent="0.3">
      <c r="BU871" s="165" t="str">
        <f>IF(COUNTIF(BV$76:BV871,BV871)=1,MAX(BU$76:BU870)+1,"")</f>
        <v/>
      </c>
      <c r="BV871" s="1312">
        <v>290</v>
      </c>
      <c r="BW871" s="1312">
        <v>260</v>
      </c>
      <c r="BX871" s="1312">
        <v>360</v>
      </c>
      <c r="BY871">
        <v>450</v>
      </c>
      <c r="BZ871" s="1312" t="s">
        <v>1515</v>
      </c>
      <c r="CA871" s="1352"/>
    </row>
    <row r="872" spans="73:79" x14ac:dyDescent="0.3">
      <c r="BU872" s="165" t="str">
        <f>IF(COUNTIF(BV$76:BV872,BV872)=1,MAX(BU$76:BU871)+1,"")</f>
        <v/>
      </c>
      <c r="BV872" s="1312">
        <v>290</v>
      </c>
      <c r="BW872" s="1312">
        <v>260</v>
      </c>
      <c r="BX872" s="1312">
        <v>360</v>
      </c>
      <c r="BY872">
        <v>450</v>
      </c>
      <c r="BZ872" s="1312" t="s">
        <v>1515</v>
      </c>
      <c r="CA872" s="1352"/>
    </row>
    <row r="873" spans="73:79" x14ac:dyDescent="0.3">
      <c r="BU873" s="165" t="str">
        <f>IF(COUNTIF(BV$76:BV873,BV873)=1,MAX(BU$76:BU872)+1,"")</f>
        <v/>
      </c>
      <c r="BV873" s="1312">
        <v>290</v>
      </c>
      <c r="BW873" s="1312">
        <v>260</v>
      </c>
      <c r="BX873" s="1312">
        <v>375</v>
      </c>
      <c r="BY873">
        <v>450</v>
      </c>
      <c r="BZ873" s="1312" t="s">
        <v>1515</v>
      </c>
      <c r="CA873" s="1352"/>
    </row>
    <row r="874" spans="73:79" x14ac:dyDescent="0.3">
      <c r="BU874" s="165" t="str">
        <f>IF(COUNTIF(BV$76:BV874,BV874)=1,MAX(BU$76:BU873)+1,"")</f>
        <v/>
      </c>
      <c r="BV874" s="1312">
        <v>290</v>
      </c>
      <c r="BW874" s="1312">
        <v>317</v>
      </c>
      <c r="BX874" s="1312">
        <v>375</v>
      </c>
      <c r="BY874">
        <v>450</v>
      </c>
      <c r="BZ874" s="1312" t="s">
        <v>1516</v>
      </c>
      <c r="CA874" s="1352"/>
    </row>
    <row r="875" spans="73:79" x14ac:dyDescent="0.3">
      <c r="BU875" s="165" t="str">
        <f>IF(COUNTIF(BV$76:BV875,BV875)=1,MAX(BU$76:BU874)+1,"")</f>
        <v/>
      </c>
      <c r="BV875" s="1312">
        <v>290</v>
      </c>
      <c r="BW875" s="1312">
        <v>315</v>
      </c>
      <c r="BX875" s="1312">
        <v>375</v>
      </c>
      <c r="BY875">
        <v>450</v>
      </c>
      <c r="BZ875" s="1312" t="s">
        <v>1516</v>
      </c>
      <c r="CA875" s="1352"/>
    </row>
    <row r="876" spans="73:79" x14ac:dyDescent="0.3">
      <c r="BU876" s="165" t="str">
        <f>IF(COUNTIF(BV$76:BV876,BV876)=1,MAX(BU$76:BU875)+1,"")</f>
        <v/>
      </c>
      <c r="BV876" s="1312">
        <v>290</v>
      </c>
      <c r="BW876" s="1312">
        <v>412</v>
      </c>
      <c r="BX876" s="1312">
        <v>360</v>
      </c>
      <c r="BY876">
        <v>400</v>
      </c>
      <c r="BZ876" s="1312" t="s">
        <v>1517</v>
      </c>
      <c r="CA876" s="1352"/>
    </row>
    <row r="877" spans="73:79" x14ac:dyDescent="0.3">
      <c r="BU877" s="165" t="str">
        <f>IF(COUNTIF(BV$76:BV877,BV877)=1,MAX(BU$76:BU876)+1,"")</f>
        <v/>
      </c>
      <c r="BV877" s="1312">
        <v>290</v>
      </c>
      <c r="BW877" s="1312">
        <v>375</v>
      </c>
      <c r="BX877" s="1312">
        <v>360</v>
      </c>
      <c r="BY877">
        <v>450</v>
      </c>
      <c r="BZ877" s="1312" t="s">
        <v>1518</v>
      </c>
      <c r="CA877" s="1352"/>
    </row>
    <row r="878" spans="73:79" x14ac:dyDescent="0.3">
      <c r="BU878" s="165" t="str">
        <f>IF(COUNTIF(BV$76:BV878,BV878)=1,MAX(BU$76:BU877)+1,"")</f>
        <v/>
      </c>
      <c r="BV878" s="1312">
        <v>290</v>
      </c>
      <c r="BW878" s="1312">
        <v>380</v>
      </c>
      <c r="BX878" s="1312">
        <v>360</v>
      </c>
      <c r="BY878">
        <v>450</v>
      </c>
      <c r="BZ878" s="1312" t="s">
        <v>1518</v>
      </c>
      <c r="CA878" s="1352"/>
    </row>
    <row r="879" spans="73:79" x14ac:dyDescent="0.3">
      <c r="BU879" s="165">
        <f>IF(COUNTIF(BV$76:BV879,BV879)=1,MAX(BU$76:BU878)+1,"")</f>
        <v>81</v>
      </c>
      <c r="BV879" s="1312">
        <v>292.5</v>
      </c>
      <c r="BW879" s="1312">
        <v>440</v>
      </c>
      <c r="BX879" s="1312">
        <v>375</v>
      </c>
      <c r="BY879">
        <v>400</v>
      </c>
      <c r="BZ879" s="1312" t="s">
        <v>1519</v>
      </c>
      <c r="CA879" s="1352"/>
    </row>
    <row r="880" spans="73:79" x14ac:dyDescent="0.3">
      <c r="BU880" s="165" t="str">
        <f>IF(COUNTIF(BV$76:BV880,BV880)=1,MAX(BU$76:BU879)+1,"")</f>
        <v/>
      </c>
      <c r="BV880" s="1312">
        <v>292.5</v>
      </c>
      <c r="BW880" s="1312">
        <v>495</v>
      </c>
      <c r="BX880" s="1312">
        <v>375</v>
      </c>
      <c r="BY880">
        <v>400</v>
      </c>
      <c r="BZ880" s="1312" t="s">
        <v>1520</v>
      </c>
      <c r="CA880" s="1352"/>
    </row>
    <row r="881" spans="73:79" x14ac:dyDescent="0.3">
      <c r="BU881" s="165">
        <f>IF(COUNTIF(BV$76:BV881,BV881)=1,MAX(BU$76:BU880)+1,"")</f>
        <v>82</v>
      </c>
      <c r="BV881" s="1312">
        <v>295</v>
      </c>
      <c r="BW881" s="1312">
        <v>543</v>
      </c>
      <c r="BX881" s="1312">
        <v>375</v>
      </c>
      <c r="BY881">
        <v>400</v>
      </c>
      <c r="BZ881" s="1312" t="s">
        <v>1485</v>
      </c>
      <c r="CA881" s="1352"/>
    </row>
    <row r="882" spans="73:79" x14ac:dyDescent="0.3">
      <c r="BU882" s="165" t="str">
        <f>IF(COUNTIF(BV$76:BV882,BV882)=1,MAX(BU$76:BU881)+1,"")</f>
        <v/>
      </c>
      <c r="BV882" s="1312">
        <v>295</v>
      </c>
      <c r="BW882" s="1312">
        <v>260</v>
      </c>
      <c r="BX882" s="1312">
        <v>360</v>
      </c>
      <c r="BY882">
        <v>450</v>
      </c>
      <c r="BZ882" s="1312" t="s">
        <v>1521</v>
      </c>
      <c r="CA882" s="1352"/>
    </row>
    <row r="883" spans="73:79" x14ac:dyDescent="0.3">
      <c r="BU883" s="165" t="str">
        <f>IF(COUNTIF(BV$76:BV883,BV883)=1,MAX(BU$76:BU882)+1,"")</f>
        <v/>
      </c>
      <c r="BV883" s="1312">
        <v>295</v>
      </c>
      <c r="BW883" s="1312">
        <v>378</v>
      </c>
      <c r="BX883" s="1312">
        <v>360</v>
      </c>
      <c r="BY883">
        <v>450</v>
      </c>
      <c r="BZ883" s="1312" t="s">
        <v>1522</v>
      </c>
      <c r="CA883" s="1352"/>
    </row>
    <row r="884" spans="73:79" x14ac:dyDescent="0.3">
      <c r="BU884" s="165" t="str">
        <f>IF(COUNTIF(BV$76:BV884,BV884)=1,MAX(BU$76:BU883)+1,"")</f>
        <v/>
      </c>
      <c r="BV884" s="1312">
        <v>295</v>
      </c>
      <c r="BW884" s="1312">
        <v>260</v>
      </c>
      <c r="BX884" s="1312">
        <v>360</v>
      </c>
      <c r="BY884">
        <v>450</v>
      </c>
      <c r="BZ884" s="1312" t="s">
        <v>1521</v>
      </c>
      <c r="CA884" s="1352"/>
    </row>
    <row r="885" spans="73:79" x14ac:dyDescent="0.3">
      <c r="BU885" s="165" t="str">
        <f>IF(COUNTIF(BV$76:BV885,BV885)=1,MAX(BU$76:BU884)+1,"")</f>
        <v/>
      </c>
      <c r="BV885" s="1312">
        <v>295</v>
      </c>
      <c r="BW885" s="1312">
        <v>315</v>
      </c>
      <c r="BX885" s="1312">
        <v>360</v>
      </c>
      <c r="BY885">
        <v>450</v>
      </c>
      <c r="BZ885" s="1312" t="s">
        <v>1523</v>
      </c>
      <c r="CA885" s="1352"/>
    </row>
    <row r="886" spans="73:79" x14ac:dyDescent="0.3">
      <c r="BU886" s="165" t="str">
        <f>IF(COUNTIF(BV$76:BV886,BV886)=1,MAX(BU$76:BU885)+1,"")</f>
        <v/>
      </c>
      <c r="BV886" s="1312">
        <v>295</v>
      </c>
      <c r="BW886" s="1312">
        <v>317</v>
      </c>
      <c r="BX886" s="1312">
        <v>375</v>
      </c>
      <c r="BY886">
        <v>450</v>
      </c>
      <c r="BZ886" s="1312" t="s">
        <v>1523</v>
      </c>
      <c r="CA886" s="1352"/>
    </row>
    <row r="887" spans="73:79" x14ac:dyDescent="0.3">
      <c r="BU887" s="165" t="str">
        <f>IF(COUNTIF(BV$76:BV887,BV887)=1,MAX(BU$76:BU886)+1,"")</f>
        <v/>
      </c>
      <c r="BV887" s="1312">
        <v>295</v>
      </c>
      <c r="BW887" s="1312">
        <v>320</v>
      </c>
      <c r="BX887" s="1312">
        <v>360</v>
      </c>
      <c r="BY887">
        <v>450</v>
      </c>
      <c r="BZ887" s="1312" t="s">
        <v>1523</v>
      </c>
      <c r="CA887" s="1352"/>
    </row>
    <row r="888" spans="73:79" x14ac:dyDescent="0.3">
      <c r="BU888" s="165" t="str">
        <f>IF(COUNTIF(BV$76:BV888,BV888)=1,MAX(BU$76:BU887)+1,"")</f>
        <v/>
      </c>
      <c r="BV888" s="1312">
        <v>295</v>
      </c>
      <c r="BW888" s="1312">
        <v>317</v>
      </c>
      <c r="BX888" s="1312">
        <v>360</v>
      </c>
      <c r="BY888">
        <v>450</v>
      </c>
      <c r="BZ888" s="1312" t="s">
        <v>1523</v>
      </c>
      <c r="CA888" s="1352"/>
    </row>
    <row r="889" spans="73:79" x14ac:dyDescent="0.3">
      <c r="BU889" s="165" t="str">
        <f>IF(COUNTIF(BV$76:BV889,BV889)=1,MAX(BU$76:BU888)+1,"")</f>
        <v/>
      </c>
      <c r="BV889" s="1312">
        <v>295</v>
      </c>
      <c r="BW889" s="1312">
        <v>258</v>
      </c>
      <c r="BX889" s="1312">
        <v>360</v>
      </c>
      <c r="BY889">
        <v>450</v>
      </c>
      <c r="BZ889" s="1312" t="s">
        <v>1521</v>
      </c>
      <c r="CA889" s="1352"/>
    </row>
    <row r="890" spans="73:79" x14ac:dyDescent="0.3">
      <c r="BU890" s="165">
        <f>IF(COUNTIF(BV$76:BV890,BV890)=1,MAX(BU$76:BU889)+1,"")</f>
        <v>83</v>
      </c>
      <c r="BV890" s="1312">
        <v>297.5</v>
      </c>
      <c r="BW890" s="1312">
        <v>260</v>
      </c>
      <c r="BX890" s="1312">
        <v>375</v>
      </c>
      <c r="BY890">
        <v>450</v>
      </c>
      <c r="BZ890" s="1312" t="s">
        <v>1524</v>
      </c>
      <c r="CA890" s="1352"/>
    </row>
    <row r="891" spans="73:79" x14ac:dyDescent="0.3">
      <c r="BU891" s="165" t="str">
        <f>IF(COUNTIF(BV$76:BV891,BV891)=1,MAX(BU$76:BU890)+1,"")</f>
        <v/>
      </c>
      <c r="BV891" s="1312">
        <v>297.5</v>
      </c>
      <c r="BW891" s="1312">
        <v>260</v>
      </c>
      <c r="BX891" s="1312">
        <v>375</v>
      </c>
      <c r="BY891">
        <v>450</v>
      </c>
      <c r="BZ891" s="1312" t="s">
        <v>1524</v>
      </c>
      <c r="CA891" s="1352"/>
    </row>
    <row r="892" spans="73:79" x14ac:dyDescent="0.3">
      <c r="BU892" s="165" t="str">
        <f>IF(COUNTIF(BV$76:BV892,BV892)=1,MAX(BU$76:BU891)+1,"")</f>
        <v/>
      </c>
      <c r="BV892" s="1312">
        <v>297.5</v>
      </c>
      <c r="BW892" s="1312">
        <v>253</v>
      </c>
      <c r="BX892" s="1312">
        <v>360</v>
      </c>
      <c r="BY892">
        <v>450</v>
      </c>
      <c r="BZ892" s="1312" t="s">
        <v>1524</v>
      </c>
      <c r="CA892" s="1352"/>
    </row>
    <row r="893" spans="73:79" x14ac:dyDescent="0.3">
      <c r="BU893" s="165" t="str">
        <f>IF(COUNTIF(BV$76:BV893,BV893)=1,MAX(BU$76:BU892)+1,"")</f>
        <v/>
      </c>
      <c r="BV893" s="1312">
        <v>297.5</v>
      </c>
      <c r="BW893" s="1312">
        <v>438</v>
      </c>
      <c r="BX893" s="1312">
        <v>375</v>
      </c>
      <c r="BY893">
        <v>400</v>
      </c>
      <c r="BZ893" s="1312" t="s">
        <v>1525</v>
      </c>
      <c r="CA893" s="1352"/>
    </row>
    <row r="894" spans="73:79" x14ac:dyDescent="0.3">
      <c r="BU894" s="165">
        <f>IF(COUNTIF(BV$76:BV894,BV894)=1,MAX(BU$76:BU893)+1,"")</f>
        <v>84</v>
      </c>
      <c r="BV894" s="1312">
        <v>300</v>
      </c>
      <c r="BW894" s="1312">
        <v>440</v>
      </c>
      <c r="BX894" s="1312">
        <v>375</v>
      </c>
      <c r="BY894">
        <v>400</v>
      </c>
      <c r="BZ894" s="1312" t="s">
        <v>1526</v>
      </c>
      <c r="CA894" s="1352"/>
    </row>
    <row r="895" spans="73:79" x14ac:dyDescent="0.3">
      <c r="BU895" s="165" t="str">
        <f>IF(COUNTIF(BV$76:BV895,BV895)=1,MAX(BU$76:BU894)+1,"")</f>
        <v/>
      </c>
      <c r="BV895" s="1312">
        <v>300</v>
      </c>
      <c r="BW895" s="1312">
        <v>470</v>
      </c>
      <c r="BX895" s="1312">
        <v>400</v>
      </c>
      <c r="BY895">
        <v>400</v>
      </c>
      <c r="BZ895" s="1312" t="s">
        <v>1527</v>
      </c>
      <c r="CA895" s="1352"/>
    </row>
    <row r="896" spans="73:79" x14ac:dyDescent="0.3">
      <c r="BU896" s="165" t="str">
        <f>IF(COUNTIF(BV$76:BV896,BV896)=1,MAX(BU$76:BU895)+1,"")</f>
        <v/>
      </c>
      <c r="BV896" s="1312">
        <v>300</v>
      </c>
      <c r="BW896" s="1312">
        <v>318</v>
      </c>
      <c r="BX896" s="1312">
        <v>375</v>
      </c>
      <c r="BY896">
        <v>450</v>
      </c>
      <c r="BZ896" s="1312" t="s">
        <v>1528</v>
      </c>
      <c r="CA896" s="1352"/>
    </row>
    <row r="897" spans="73:79" x14ac:dyDescent="0.3">
      <c r="BU897" s="165" t="str">
        <f>IF(COUNTIF(BV$76:BV897,BV897)=1,MAX(BU$76:BU896)+1,"")</f>
        <v/>
      </c>
      <c r="BV897" s="1312">
        <v>300</v>
      </c>
      <c r="BW897" s="1312">
        <v>320</v>
      </c>
      <c r="BX897" s="1312">
        <v>360</v>
      </c>
      <c r="BY897">
        <v>450</v>
      </c>
      <c r="BZ897" s="1312" t="s">
        <v>1528</v>
      </c>
      <c r="CA897" s="1352"/>
    </row>
    <row r="898" spans="73:79" x14ac:dyDescent="0.3">
      <c r="BU898" s="165" t="str">
        <f>IF(COUNTIF(BV$76:BV898,BV898)=1,MAX(BU$76:BU897)+1,"")</f>
        <v/>
      </c>
      <c r="BV898" s="1312">
        <v>300</v>
      </c>
      <c r="BW898" s="1312">
        <v>373</v>
      </c>
      <c r="BX898" s="1312">
        <v>360</v>
      </c>
      <c r="BY898">
        <v>450</v>
      </c>
      <c r="BZ898" s="1312" t="s">
        <v>1529</v>
      </c>
      <c r="CA898" s="1352"/>
    </row>
    <row r="899" spans="73:79" x14ac:dyDescent="0.3">
      <c r="BU899" s="165" t="str">
        <f>IF(COUNTIF(BV$76:BV899,BV899)=1,MAX(BU$76:BU898)+1,"")</f>
        <v/>
      </c>
      <c r="BV899" s="1312">
        <v>300</v>
      </c>
      <c r="BW899" s="1312">
        <v>378</v>
      </c>
      <c r="BX899" s="1312">
        <v>360</v>
      </c>
      <c r="BY899">
        <v>450</v>
      </c>
      <c r="BZ899" s="1312" t="s">
        <v>1529</v>
      </c>
      <c r="CA899" s="1352"/>
    </row>
    <row r="900" spans="73:79" x14ac:dyDescent="0.3">
      <c r="BU900" s="165" t="str">
        <f>IF(COUNTIF(BV$76:BV900,BV900)=1,MAX(BU$76:BU899)+1,"")</f>
        <v/>
      </c>
      <c r="BV900" s="1312">
        <v>300</v>
      </c>
      <c r="BW900" s="1312">
        <v>310</v>
      </c>
      <c r="BX900" s="1312">
        <v>360</v>
      </c>
      <c r="BY900">
        <v>450</v>
      </c>
      <c r="BZ900" s="1312" t="s">
        <v>1528</v>
      </c>
      <c r="CA900" s="1352"/>
    </row>
    <row r="901" spans="73:79" x14ac:dyDescent="0.3">
      <c r="BU901" s="165" t="str">
        <f>IF(COUNTIF(BV$76:BV901,BV901)=1,MAX(BU$76:BU900)+1,"")</f>
        <v/>
      </c>
      <c r="BV901" s="1312">
        <v>300</v>
      </c>
      <c r="BW901" s="1312">
        <v>435</v>
      </c>
      <c r="BX901" s="1312">
        <v>360</v>
      </c>
      <c r="BY901">
        <v>400</v>
      </c>
      <c r="BZ901" s="1312" t="s">
        <v>1526</v>
      </c>
      <c r="CA901" s="1352"/>
    </row>
    <row r="902" spans="73:79" x14ac:dyDescent="0.3">
      <c r="BU902" s="165" t="str">
        <f>IF(COUNTIF(BV$76:BV902,BV902)=1,MAX(BU$76:BU901)+1,"")</f>
        <v/>
      </c>
      <c r="BV902" s="1312">
        <v>300</v>
      </c>
      <c r="BW902" s="1312">
        <v>320</v>
      </c>
      <c r="BX902" s="1312">
        <v>360</v>
      </c>
      <c r="BY902">
        <v>450</v>
      </c>
      <c r="BZ902" s="1312" t="s">
        <v>1528</v>
      </c>
      <c r="CA902" s="1352"/>
    </row>
    <row r="903" spans="73:79" x14ac:dyDescent="0.3">
      <c r="BU903" s="165" t="str">
        <f>IF(COUNTIF(BV$76:BV903,BV903)=1,MAX(BU$76:BU902)+1,"")</f>
        <v/>
      </c>
      <c r="BV903" s="1312">
        <v>300</v>
      </c>
      <c r="BW903" s="1312">
        <v>320</v>
      </c>
      <c r="BX903" s="1312">
        <v>360</v>
      </c>
      <c r="BY903">
        <v>450</v>
      </c>
      <c r="BZ903" s="1312" t="s">
        <v>1528</v>
      </c>
      <c r="CA903" s="1352"/>
    </row>
    <row r="904" spans="73:79" x14ac:dyDescent="0.3">
      <c r="BU904" s="165" t="str">
        <f>IF(COUNTIF(BV$76:BV904,BV904)=1,MAX(BU$76:BU903)+1,"")</f>
        <v/>
      </c>
      <c r="BV904" s="1312">
        <v>300</v>
      </c>
      <c r="BW904" s="1312">
        <v>260</v>
      </c>
      <c r="BX904" s="1312">
        <v>360</v>
      </c>
      <c r="BY904">
        <v>450</v>
      </c>
      <c r="BZ904" s="1312" t="s">
        <v>1530</v>
      </c>
      <c r="CA904" s="1352"/>
    </row>
    <row r="905" spans="73:79" x14ac:dyDescent="0.3">
      <c r="BU905" s="165" t="str">
        <f>IF(COUNTIF(BV$76:BV905,BV905)=1,MAX(BU$76:BU904)+1,"")</f>
        <v/>
      </c>
      <c r="BV905" s="1312">
        <v>300</v>
      </c>
      <c r="BW905" s="1312">
        <v>260</v>
      </c>
      <c r="BX905" s="1312">
        <v>360</v>
      </c>
      <c r="BY905">
        <v>450</v>
      </c>
      <c r="BZ905" s="1312" t="s">
        <v>1530</v>
      </c>
      <c r="CA905" s="1352"/>
    </row>
    <row r="906" spans="73:79" x14ac:dyDescent="0.3">
      <c r="BU906" s="165" t="str">
        <f>IF(COUNTIF(BV$76:BV906,BV906)=1,MAX(BU$76:BU905)+1,"")</f>
        <v/>
      </c>
      <c r="BV906" s="1312">
        <v>300</v>
      </c>
      <c r="BW906" s="1312">
        <v>260</v>
      </c>
      <c r="BX906" s="1312">
        <v>375</v>
      </c>
      <c r="BY906">
        <v>450</v>
      </c>
      <c r="BZ906" s="1312" t="s">
        <v>1530</v>
      </c>
      <c r="CA906" s="1352"/>
    </row>
    <row r="907" spans="73:79" x14ac:dyDescent="0.3">
      <c r="BU907" s="165">
        <f>IF(COUNTIF(BV$76:BV907,BV907)=1,MAX(BU$76:BU906)+1,"")</f>
        <v>85</v>
      </c>
      <c r="BV907" s="1312">
        <v>302.5</v>
      </c>
      <c r="BW907" s="1312">
        <v>465</v>
      </c>
      <c r="BX907" s="1312">
        <v>400</v>
      </c>
      <c r="BY907">
        <v>400</v>
      </c>
      <c r="BZ907" s="1312" t="s">
        <v>1531</v>
      </c>
      <c r="CA907" s="1352"/>
    </row>
    <row r="908" spans="73:79" x14ac:dyDescent="0.3">
      <c r="BU908" s="165" t="str">
        <f>IF(COUNTIF(BV$76:BV908,BV908)=1,MAX(BU$76:BU907)+1,"")</f>
        <v/>
      </c>
      <c r="BV908" s="1312">
        <v>302.5</v>
      </c>
      <c r="BW908" s="1312">
        <v>470</v>
      </c>
      <c r="BX908" s="1312">
        <v>400</v>
      </c>
      <c r="BY908">
        <v>400</v>
      </c>
      <c r="BZ908" s="1312" t="s">
        <v>1531</v>
      </c>
      <c r="CA908" s="1352"/>
    </row>
    <row r="909" spans="73:79" x14ac:dyDescent="0.3">
      <c r="BU909" s="165" t="str">
        <f>IF(COUNTIF(BV$76:BV909,BV909)=1,MAX(BU$76:BU908)+1,"")</f>
        <v/>
      </c>
      <c r="BV909" s="1312">
        <v>302.5</v>
      </c>
      <c r="BW909" s="1312">
        <v>470</v>
      </c>
      <c r="BX909" s="1312">
        <v>400</v>
      </c>
      <c r="BY909">
        <v>400</v>
      </c>
      <c r="BZ909" s="1312" t="s">
        <v>1531</v>
      </c>
      <c r="CA909" s="1352"/>
    </row>
    <row r="910" spans="73:79" x14ac:dyDescent="0.3">
      <c r="BU910" s="165">
        <f>IF(COUNTIF(BV$76:BV910,BV910)=1,MAX(BU$76:BU909)+1,"")</f>
        <v>86</v>
      </c>
      <c r="BV910" s="1312">
        <v>305</v>
      </c>
      <c r="BW910" s="1312">
        <v>372</v>
      </c>
      <c r="BX910" s="1312">
        <v>375</v>
      </c>
      <c r="BY910">
        <v>450</v>
      </c>
      <c r="BZ910" s="1312" t="s">
        <v>1532</v>
      </c>
      <c r="CA910" s="1352"/>
    </row>
    <row r="911" spans="73:79" x14ac:dyDescent="0.3">
      <c r="BU911" s="165">
        <f>IF(COUNTIF(BV$76:BV911,BV911)=1,MAX(BU$76:BU910)+1,"")</f>
        <v>87</v>
      </c>
      <c r="BV911" s="1312">
        <v>307.5</v>
      </c>
      <c r="BW911" s="1312">
        <v>260</v>
      </c>
      <c r="BX911" s="1312">
        <v>415</v>
      </c>
      <c r="BY911">
        <v>450</v>
      </c>
      <c r="BZ911" s="1312" t="s">
        <v>1533</v>
      </c>
      <c r="CA911" s="1352"/>
    </row>
    <row r="912" spans="73:79" x14ac:dyDescent="0.3">
      <c r="BU912" s="165" t="str">
        <f>IF(COUNTIF(BV$76:BV912,BV912)=1,MAX(BU$76:BU911)+1,"")</f>
        <v/>
      </c>
      <c r="BV912" s="1312">
        <v>307.5</v>
      </c>
      <c r="BW912" s="1312">
        <v>467</v>
      </c>
      <c r="BX912" s="1312">
        <v>400</v>
      </c>
      <c r="BY912">
        <v>400</v>
      </c>
      <c r="BZ912" s="1312" t="s">
        <v>1534</v>
      </c>
      <c r="CA912" s="1352"/>
    </row>
    <row r="913" spans="73:79" x14ac:dyDescent="0.3">
      <c r="BU913" s="165" t="str">
        <f>IF(COUNTIF(BV$76:BV913,BV913)=1,MAX(BU$76:BU912)+1,"")</f>
        <v/>
      </c>
      <c r="BV913" s="1312">
        <v>307.5</v>
      </c>
      <c r="BW913" s="1312">
        <v>257</v>
      </c>
      <c r="BX913" s="1312">
        <v>360</v>
      </c>
      <c r="BY913">
        <v>450</v>
      </c>
      <c r="BZ913" s="1312" t="s">
        <v>1535</v>
      </c>
      <c r="CA913" s="1352"/>
    </row>
    <row r="914" spans="73:79" x14ac:dyDescent="0.3">
      <c r="BU914" s="165" t="str">
        <f>IF(COUNTIF(BV$76:BV914,BV914)=1,MAX(BU$76:BU913)+1,"")</f>
        <v/>
      </c>
      <c r="BV914" s="1312">
        <v>307.5</v>
      </c>
      <c r="BW914" s="1312">
        <v>260</v>
      </c>
      <c r="BX914" s="1312">
        <v>415</v>
      </c>
      <c r="BY914">
        <v>450</v>
      </c>
      <c r="BZ914" s="1312" t="s">
        <v>1533</v>
      </c>
      <c r="CA914" s="1352"/>
    </row>
    <row r="915" spans="73:79" x14ac:dyDescent="0.3">
      <c r="BU915" s="165" t="str">
        <f>IF(COUNTIF(BV$76:BV915,BV915)=1,MAX(BU$76:BU914)+1,"")</f>
        <v/>
      </c>
      <c r="BV915" s="1312">
        <v>307.5</v>
      </c>
      <c r="BW915" s="1312">
        <v>318</v>
      </c>
      <c r="BX915" s="1312">
        <v>375</v>
      </c>
      <c r="BY915">
        <v>450</v>
      </c>
      <c r="BZ915" s="1312" t="s">
        <v>1536</v>
      </c>
      <c r="CA915" s="1352"/>
    </row>
    <row r="916" spans="73:79" x14ac:dyDescent="0.3">
      <c r="BU916" s="165" t="str">
        <f>IF(COUNTIF(BV$76:BV916,BV916)=1,MAX(BU$76:BU915)+1,"")</f>
        <v/>
      </c>
      <c r="BV916" s="1312">
        <v>307.5</v>
      </c>
      <c r="BW916" s="1312">
        <v>260</v>
      </c>
      <c r="BX916" s="1312">
        <v>360</v>
      </c>
      <c r="BY916">
        <v>450</v>
      </c>
      <c r="BZ916" s="1312" t="s">
        <v>1535</v>
      </c>
      <c r="CA916" s="1352"/>
    </row>
    <row r="917" spans="73:79" x14ac:dyDescent="0.3">
      <c r="BU917" s="165">
        <f>IF(COUNTIF(BV$76:BV917,BV917)=1,MAX(BU$76:BU916)+1,"")</f>
        <v>88</v>
      </c>
      <c r="BV917" s="1312">
        <v>310</v>
      </c>
      <c r="BW917" s="1312">
        <v>255</v>
      </c>
      <c r="BX917" s="1312">
        <v>375</v>
      </c>
      <c r="BY917">
        <v>450</v>
      </c>
      <c r="BZ917" s="1312" t="s">
        <v>1537</v>
      </c>
      <c r="CA917" s="1352"/>
    </row>
    <row r="918" spans="73:79" x14ac:dyDescent="0.3">
      <c r="BU918" s="165" t="str">
        <f>IF(COUNTIF(BV$76:BV918,BV918)=1,MAX(BU$76:BU917)+1,"")</f>
        <v/>
      </c>
      <c r="BV918" s="1312">
        <v>310</v>
      </c>
      <c r="BW918" s="1312">
        <v>255</v>
      </c>
      <c r="BX918" s="1312">
        <v>360</v>
      </c>
      <c r="BY918">
        <v>450</v>
      </c>
      <c r="BZ918" s="1312" t="s">
        <v>1537</v>
      </c>
      <c r="CA918" s="1352"/>
    </row>
    <row r="919" spans="73:79" x14ac:dyDescent="0.3">
      <c r="BU919" s="165" t="str">
        <f>IF(COUNTIF(BV$76:BV919,BV919)=1,MAX(BU$76:BU918)+1,"")</f>
        <v/>
      </c>
      <c r="BV919" s="1312">
        <v>310</v>
      </c>
      <c r="BW919" s="1312">
        <v>255</v>
      </c>
      <c r="BX919" s="1312">
        <v>375</v>
      </c>
      <c r="BY919">
        <v>450</v>
      </c>
      <c r="BZ919" s="1312" t="s">
        <v>1537</v>
      </c>
      <c r="CA919" s="1352"/>
    </row>
    <row r="920" spans="73:79" x14ac:dyDescent="0.3">
      <c r="BU920" s="165" t="str">
        <f>IF(COUNTIF(BV$76:BV920,BV920)=1,MAX(BU$76:BU919)+1,"")</f>
        <v/>
      </c>
      <c r="BV920" s="1312">
        <v>310</v>
      </c>
      <c r="BW920" s="1312">
        <v>318</v>
      </c>
      <c r="BX920" s="1312">
        <v>360</v>
      </c>
      <c r="BY920">
        <v>450</v>
      </c>
      <c r="BZ920" s="1312" t="s">
        <v>1538</v>
      </c>
      <c r="CA920" s="1352"/>
    </row>
    <row r="921" spans="73:79" x14ac:dyDescent="0.3">
      <c r="BU921" s="165" t="str">
        <f>IF(COUNTIF(BV$76:BV921,BV921)=1,MAX(BU$76:BU920)+1,"")</f>
        <v/>
      </c>
      <c r="BV921" s="1312">
        <v>310</v>
      </c>
      <c r="BW921" s="1312">
        <v>367</v>
      </c>
      <c r="BX921" s="1312">
        <v>375</v>
      </c>
      <c r="BY921">
        <v>450</v>
      </c>
      <c r="BZ921" s="1312" t="s">
        <v>1539</v>
      </c>
      <c r="CA921" s="1352"/>
    </row>
    <row r="922" spans="73:79" x14ac:dyDescent="0.3">
      <c r="BU922" s="165" t="str">
        <f>IF(COUNTIF(BV$76:BV922,BV922)=1,MAX(BU$76:BU921)+1,"")</f>
        <v/>
      </c>
      <c r="BV922" s="1312">
        <v>310</v>
      </c>
      <c r="BW922" s="1312">
        <v>375</v>
      </c>
      <c r="BX922" s="1312">
        <v>360</v>
      </c>
      <c r="BY922">
        <v>450</v>
      </c>
      <c r="BZ922" s="1312" t="s">
        <v>1539</v>
      </c>
      <c r="CA922" s="1352"/>
    </row>
    <row r="923" spans="73:79" x14ac:dyDescent="0.3">
      <c r="BU923" s="165" t="str">
        <f>IF(COUNTIF(BV$76:BV923,BV923)=1,MAX(BU$76:BU922)+1,"")</f>
        <v/>
      </c>
      <c r="BV923" s="1312">
        <v>310</v>
      </c>
      <c r="BW923" s="1312">
        <v>320</v>
      </c>
      <c r="BX923" s="1312">
        <v>375</v>
      </c>
      <c r="BY923">
        <v>450</v>
      </c>
      <c r="BZ923" s="1312" t="s">
        <v>1538</v>
      </c>
      <c r="CA923" s="1352"/>
    </row>
    <row r="924" spans="73:79" x14ac:dyDescent="0.3">
      <c r="BU924" s="165" t="str">
        <f>IF(COUNTIF(BV$76:BV924,BV924)=1,MAX(BU$76:BU923)+1,"")</f>
        <v/>
      </c>
      <c r="BV924" s="1312">
        <v>310</v>
      </c>
      <c r="BW924" s="1312">
        <v>317</v>
      </c>
      <c r="BX924" s="1312">
        <v>415</v>
      </c>
      <c r="BY924">
        <v>450</v>
      </c>
      <c r="BZ924" s="1312" t="s">
        <v>1538</v>
      </c>
      <c r="CA924" s="1352"/>
    </row>
    <row r="925" spans="73:79" x14ac:dyDescent="0.3">
      <c r="BU925" s="165" t="str">
        <f>IF(COUNTIF(BV$76:BV925,BV925)=1,MAX(BU$76:BU924)+1,"")</f>
        <v/>
      </c>
      <c r="BV925" s="1312">
        <v>310</v>
      </c>
      <c r="BW925" s="1312">
        <v>260</v>
      </c>
      <c r="BX925" s="1312">
        <v>360</v>
      </c>
      <c r="BY925">
        <v>450</v>
      </c>
      <c r="BZ925" s="1312" t="s">
        <v>1537</v>
      </c>
      <c r="CA925" s="1352"/>
    </row>
    <row r="926" spans="73:79" x14ac:dyDescent="0.3">
      <c r="BU926" s="165">
        <f>IF(COUNTIF(BV$76:BV926,BV926)=1,MAX(BU$76:BU925)+1,"")</f>
        <v>89</v>
      </c>
      <c r="BV926" s="1312">
        <v>312.5</v>
      </c>
      <c r="BW926" s="1312">
        <v>470</v>
      </c>
      <c r="BX926" s="1312">
        <v>400</v>
      </c>
      <c r="BY926">
        <v>400</v>
      </c>
      <c r="BZ926" s="1312" t="s">
        <v>1540</v>
      </c>
      <c r="CA926" s="1352"/>
    </row>
    <row r="927" spans="73:79" x14ac:dyDescent="0.3">
      <c r="BU927" s="165" t="str">
        <f>IF(COUNTIF(BV$76:BV927,BV927)=1,MAX(BU$76:BU926)+1,"")</f>
        <v/>
      </c>
      <c r="BV927" s="1312">
        <v>312.5</v>
      </c>
      <c r="BW927" s="1312">
        <v>470</v>
      </c>
      <c r="BX927" s="1312">
        <v>400</v>
      </c>
      <c r="BY927">
        <v>400</v>
      </c>
      <c r="BZ927" s="1312" t="s">
        <v>1540</v>
      </c>
      <c r="CA927" s="1352"/>
    </row>
    <row r="928" spans="73:79" x14ac:dyDescent="0.3">
      <c r="BU928" s="165" t="str">
        <f>IF(COUNTIF(BV$76:BV928,BV928)=1,MAX(BU$76:BU927)+1,"")</f>
        <v/>
      </c>
      <c r="BV928" s="1312">
        <v>312.5</v>
      </c>
      <c r="BW928" s="1312">
        <v>470</v>
      </c>
      <c r="BX928" s="1312">
        <v>400</v>
      </c>
      <c r="BY928">
        <v>400</v>
      </c>
      <c r="BZ928" s="1312" t="s">
        <v>1540</v>
      </c>
      <c r="CA928" s="1352"/>
    </row>
    <row r="929" spans="73:79" x14ac:dyDescent="0.3">
      <c r="BU929" s="165" t="str">
        <f>IF(COUNTIF(BV$76:BV929,BV929)=1,MAX(BU$76:BU928)+1,"")</f>
        <v/>
      </c>
      <c r="BV929" s="1312">
        <v>312.5</v>
      </c>
      <c r="BW929" s="1312">
        <v>365</v>
      </c>
      <c r="BX929" s="1312">
        <v>375</v>
      </c>
      <c r="BY929">
        <v>450</v>
      </c>
      <c r="BZ929" s="1312" t="s">
        <v>1541</v>
      </c>
      <c r="CA929" s="1352"/>
    </row>
    <row r="930" spans="73:79" x14ac:dyDescent="0.3">
      <c r="BU930" s="165" t="str">
        <f>IF(COUNTIF(BV$76:BV930,BV930)=1,MAX(BU$76:BU929)+1,"")</f>
        <v/>
      </c>
      <c r="BV930" s="1312">
        <v>312.5</v>
      </c>
      <c r="BW930" s="1312">
        <v>470</v>
      </c>
      <c r="BX930" s="1312">
        <v>400</v>
      </c>
      <c r="BY930">
        <v>400</v>
      </c>
      <c r="BZ930" s="1312" t="s">
        <v>1540</v>
      </c>
      <c r="CA930" s="1352"/>
    </row>
    <row r="931" spans="73:79" x14ac:dyDescent="0.3">
      <c r="BU931" s="165" t="str">
        <f>IF(COUNTIF(BV$76:BV931,BV931)=1,MAX(BU$76:BU930)+1,"")</f>
        <v/>
      </c>
      <c r="BV931" s="1312">
        <v>312.5</v>
      </c>
      <c r="BW931" s="1312">
        <v>470</v>
      </c>
      <c r="BX931" s="1312">
        <v>400</v>
      </c>
      <c r="BY931">
        <v>400</v>
      </c>
      <c r="BZ931" s="1312" t="s">
        <v>1540</v>
      </c>
      <c r="CA931" s="1352"/>
    </row>
    <row r="932" spans="73:79" x14ac:dyDescent="0.3">
      <c r="BU932" s="165" t="str">
        <f>IF(COUNTIF(BV$76:BV932,BV932)=1,MAX(BU$76:BU931)+1,"")</f>
        <v/>
      </c>
      <c r="BV932" s="1312">
        <v>312.5</v>
      </c>
      <c r="BW932" s="1312">
        <v>260</v>
      </c>
      <c r="BX932" s="1312">
        <v>360</v>
      </c>
      <c r="BY932">
        <v>450</v>
      </c>
      <c r="BZ932" s="1312" t="s">
        <v>1542</v>
      </c>
      <c r="CA932" s="1352"/>
    </row>
    <row r="933" spans="73:79" x14ac:dyDescent="0.3">
      <c r="BU933" s="165" t="str">
        <f>IF(COUNTIF(BV$76:BV933,BV933)=1,MAX(BU$76:BU932)+1,"")</f>
        <v/>
      </c>
      <c r="BV933" s="1312">
        <v>312.5</v>
      </c>
      <c r="BW933" s="1312">
        <v>260</v>
      </c>
      <c r="BX933" s="1312">
        <v>360</v>
      </c>
      <c r="BY933">
        <v>450</v>
      </c>
      <c r="BZ933" s="1312" t="s">
        <v>1542</v>
      </c>
      <c r="CA933" s="1352"/>
    </row>
    <row r="934" spans="73:79" x14ac:dyDescent="0.3">
      <c r="BU934" s="165" t="str">
        <f>IF(COUNTIF(BV$76:BV934,BV934)=1,MAX(BU$76:BU933)+1,"")</f>
        <v/>
      </c>
      <c r="BV934" s="1312">
        <v>312.5</v>
      </c>
      <c r="BW934" s="1312">
        <v>467</v>
      </c>
      <c r="BX934" s="1312">
        <v>400</v>
      </c>
      <c r="BY934">
        <v>400</v>
      </c>
      <c r="BZ934" s="1312" t="s">
        <v>1540</v>
      </c>
      <c r="CA934" s="1352"/>
    </row>
    <row r="935" spans="73:79" x14ac:dyDescent="0.3">
      <c r="BU935" s="165" t="str">
        <f>IF(COUNTIF(BV$76:BV935,BV935)=1,MAX(BU$76:BU934)+1,"")</f>
        <v/>
      </c>
      <c r="BV935" s="1312">
        <v>312.5</v>
      </c>
      <c r="BW935" s="1312">
        <v>467</v>
      </c>
      <c r="BX935" s="1312">
        <v>400</v>
      </c>
      <c r="BY935">
        <v>400</v>
      </c>
      <c r="BZ935" s="1312" t="s">
        <v>1540</v>
      </c>
      <c r="CA935" s="1352"/>
    </row>
    <row r="936" spans="73:79" x14ac:dyDescent="0.3">
      <c r="BU936" s="165">
        <f>IF(COUNTIF(BV$76:BV936,BV936)=1,MAX(BU$76:BU935)+1,"")</f>
        <v>90</v>
      </c>
      <c r="BV936" s="1312">
        <v>315</v>
      </c>
      <c r="BW936" s="1312">
        <v>530</v>
      </c>
      <c r="BX936" s="1312">
        <v>415</v>
      </c>
      <c r="BY936">
        <v>400</v>
      </c>
      <c r="BZ936" s="1312" t="s">
        <v>1543</v>
      </c>
      <c r="CA936" s="1352" t="s">
        <v>1596</v>
      </c>
    </row>
    <row r="937" spans="73:79" x14ac:dyDescent="0.3">
      <c r="BU937" s="165" t="str">
        <f>IF(COUNTIF(BV$76:BV937,BV937)=1,MAX(BU$76:BU936)+1,"")</f>
        <v/>
      </c>
      <c r="BV937" s="1312">
        <v>315</v>
      </c>
      <c r="BW937" s="1312">
        <v>260</v>
      </c>
      <c r="BX937" s="1312">
        <v>360</v>
      </c>
      <c r="BY937">
        <v>450</v>
      </c>
      <c r="BZ937" s="1312" t="s">
        <v>1544</v>
      </c>
      <c r="CA937" s="1352"/>
    </row>
    <row r="938" spans="73:79" x14ac:dyDescent="0.3">
      <c r="BU938" s="165" t="str">
        <f>IF(COUNTIF(BV$76:BV938,BV938)=1,MAX(BU$76:BU937)+1,"")</f>
        <v/>
      </c>
      <c r="BV938" s="1312">
        <v>315</v>
      </c>
      <c r="BW938" s="1312">
        <v>260</v>
      </c>
      <c r="BX938" s="1312">
        <v>375</v>
      </c>
      <c r="BY938">
        <v>450</v>
      </c>
      <c r="BZ938" s="1312" t="s">
        <v>1544</v>
      </c>
      <c r="CA938" s="1352"/>
    </row>
    <row r="939" spans="73:79" x14ac:dyDescent="0.3">
      <c r="BU939" s="165" t="str">
        <f>IF(COUNTIF(BV$76:BV939,BV939)=1,MAX(BU$76:BU938)+1,"")</f>
        <v/>
      </c>
      <c r="BV939" s="1312">
        <v>315</v>
      </c>
      <c r="BW939" s="1312">
        <v>397</v>
      </c>
      <c r="BX939" s="1312">
        <v>415</v>
      </c>
      <c r="BY939">
        <v>400</v>
      </c>
      <c r="BZ939" s="1312" t="s">
        <v>1545</v>
      </c>
      <c r="CA939" s="1352"/>
    </row>
    <row r="940" spans="73:79" x14ac:dyDescent="0.3">
      <c r="BU940" s="165" t="str">
        <f>IF(COUNTIF(BV$76:BV940,BV940)=1,MAX(BU$76:BU939)+1,"")</f>
        <v/>
      </c>
      <c r="BV940" s="1312">
        <v>315</v>
      </c>
      <c r="BW940" s="1312">
        <v>470</v>
      </c>
      <c r="BX940" s="1312">
        <v>400</v>
      </c>
      <c r="BY940">
        <v>400</v>
      </c>
      <c r="BZ940" s="1312" t="s">
        <v>1546</v>
      </c>
      <c r="CA940" s="1352"/>
    </row>
    <row r="941" spans="73:79" x14ac:dyDescent="0.3">
      <c r="BU941" s="165" t="str">
        <f>IF(COUNTIF(BV$76:BV941,BV941)=1,MAX(BU$76:BU940)+1,"")</f>
        <v/>
      </c>
      <c r="BV941" s="1312">
        <v>315</v>
      </c>
      <c r="BW941" s="1312">
        <v>257</v>
      </c>
      <c r="BX941" s="1312">
        <v>375</v>
      </c>
      <c r="BY941">
        <v>450</v>
      </c>
      <c r="BZ941" s="1312" t="s">
        <v>1544</v>
      </c>
      <c r="CA941" s="1352"/>
    </row>
    <row r="942" spans="73:79" x14ac:dyDescent="0.3">
      <c r="BU942" s="165" t="str">
        <f>IF(COUNTIF(BV$76:BV942,BV942)=1,MAX(BU$76:BU941)+1,"")</f>
        <v/>
      </c>
      <c r="BV942" s="1312">
        <v>315</v>
      </c>
      <c r="BW942" s="1312">
        <v>530</v>
      </c>
      <c r="BX942" s="1312">
        <v>415</v>
      </c>
      <c r="BY942">
        <v>400</v>
      </c>
      <c r="BZ942" s="1312" t="s">
        <v>1543</v>
      </c>
      <c r="CA942" s="1352"/>
    </row>
    <row r="943" spans="73:79" x14ac:dyDescent="0.3">
      <c r="BU943" s="165" t="str">
        <f>IF(COUNTIF(BV$76:BV943,BV943)=1,MAX(BU$76:BU942)+1,"")</f>
        <v/>
      </c>
      <c r="BV943" s="1312">
        <v>315</v>
      </c>
      <c r="BW943" s="1312">
        <v>255</v>
      </c>
      <c r="BX943" s="1312">
        <v>360</v>
      </c>
      <c r="BY943">
        <v>450</v>
      </c>
      <c r="BZ943" s="1312" t="s">
        <v>1544</v>
      </c>
      <c r="CA943" s="1352"/>
    </row>
    <row r="944" spans="73:79" x14ac:dyDescent="0.3">
      <c r="BU944" s="165">
        <f>IF(COUNTIF(BV$76:BV944,BV944)=1,MAX(BU$76:BU943)+1,"")</f>
        <v>91</v>
      </c>
      <c r="BV944" s="1312">
        <v>317.5</v>
      </c>
      <c r="BW944" s="1312">
        <v>363</v>
      </c>
      <c r="BX944" s="1312">
        <v>375</v>
      </c>
      <c r="BY944">
        <v>450</v>
      </c>
      <c r="BZ944" s="1312" t="s">
        <v>1547</v>
      </c>
      <c r="CA944" s="1352"/>
    </row>
    <row r="945" spans="73:79" x14ac:dyDescent="0.3">
      <c r="BU945" s="165" t="str">
        <f>IF(COUNTIF(BV$76:BV945,BV945)=1,MAX(BU$76:BU944)+1,"")</f>
        <v/>
      </c>
      <c r="BV945" s="1312">
        <v>317.5</v>
      </c>
      <c r="BW945" s="1312">
        <v>257</v>
      </c>
      <c r="BX945" s="1312">
        <v>360</v>
      </c>
      <c r="BY945">
        <v>450</v>
      </c>
      <c r="BZ945" s="1312" t="s">
        <v>1548</v>
      </c>
      <c r="CA945" s="1352"/>
    </row>
    <row r="946" spans="73:79" x14ac:dyDescent="0.3">
      <c r="BU946" s="165" t="str">
        <f>IF(COUNTIF(BV$76:BV946,BV946)=1,MAX(BU$76:BU945)+1,"")</f>
        <v/>
      </c>
      <c r="BV946" s="1312">
        <v>317.5</v>
      </c>
      <c r="BW946" s="1312">
        <v>257</v>
      </c>
      <c r="BX946" s="1312">
        <v>360</v>
      </c>
      <c r="BY946">
        <v>450</v>
      </c>
      <c r="BZ946" s="1312" t="s">
        <v>1548</v>
      </c>
      <c r="CA946" s="1352"/>
    </row>
    <row r="947" spans="73:79" x14ac:dyDescent="0.3">
      <c r="BU947" s="165">
        <f>IF(COUNTIF(BV$76:BV947,BV947)=1,MAX(BU$76:BU946)+1,"")</f>
        <v>92</v>
      </c>
      <c r="BV947" s="1312">
        <v>320</v>
      </c>
      <c r="BW947" s="1312">
        <v>525</v>
      </c>
      <c r="BX947" s="1312">
        <v>415</v>
      </c>
      <c r="BY947">
        <v>400</v>
      </c>
      <c r="BZ947" s="1312" t="s">
        <v>1549</v>
      </c>
      <c r="CA947" s="1352" t="s">
        <v>1597</v>
      </c>
    </row>
    <row r="948" spans="73:79" x14ac:dyDescent="0.3">
      <c r="BU948" s="165" t="str">
        <f>IF(COUNTIF(BV$76:BV948,BV948)=1,MAX(BU$76:BU947)+1,"")</f>
        <v/>
      </c>
      <c r="BV948" s="1312">
        <v>320</v>
      </c>
      <c r="BW948" s="1312">
        <v>255</v>
      </c>
      <c r="BX948" s="1312">
        <v>375</v>
      </c>
      <c r="BY948">
        <v>450</v>
      </c>
      <c r="BZ948" s="1312" t="s">
        <v>1550</v>
      </c>
      <c r="CA948" s="1352"/>
    </row>
    <row r="949" spans="73:79" x14ac:dyDescent="0.3">
      <c r="BU949" s="165" t="str">
        <f>IF(COUNTIF(BV$76:BV949,BV949)=1,MAX(BU$76:BU948)+1,"")</f>
        <v/>
      </c>
      <c r="BV949" s="1312">
        <v>320</v>
      </c>
      <c r="BW949" s="1312">
        <v>260</v>
      </c>
      <c r="BX949" s="1312">
        <v>360</v>
      </c>
      <c r="BY949">
        <v>450</v>
      </c>
      <c r="BZ949" s="1312" t="s">
        <v>1550</v>
      </c>
      <c r="CA949" s="1352"/>
    </row>
    <row r="950" spans="73:79" x14ac:dyDescent="0.3">
      <c r="BU950" s="165" t="str">
        <f>IF(COUNTIF(BV$76:BV950,BV950)=1,MAX(BU$76:BU949)+1,"")</f>
        <v/>
      </c>
      <c r="BV950" s="1312">
        <v>320</v>
      </c>
      <c r="BW950" s="1312">
        <v>257</v>
      </c>
      <c r="BX950" s="1312">
        <v>360</v>
      </c>
      <c r="BY950">
        <v>450</v>
      </c>
      <c r="BZ950" s="1312" t="s">
        <v>1550</v>
      </c>
      <c r="CA950" s="1352"/>
    </row>
    <row r="951" spans="73:79" x14ac:dyDescent="0.3">
      <c r="BU951" s="165" t="str">
        <f>IF(COUNTIF(BV$76:BV951,BV951)=1,MAX(BU$76:BU950)+1,"")</f>
        <v/>
      </c>
      <c r="BV951" s="1312">
        <v>320</v>
      </c>
      <c r="BW951" s="1312">
        <v>260</v>
      </c>
      <c r="BX951" s="1312">
        <v>360</v>
      </c>
      <c r="BY951">
        <v>450</v>
      </c>
      <c r="BZ951" s="1312" t="s">
        <v>1550</v>
      </c>
      <c r="CA951" s="1352"/>
    </row>
    <row r="952" spans="73:79" x14ac:dyDescent="0.3">
      <c r="BU952" s="165" t="str">
        <f>IF(COUNTIF(BV$76:BV952,BV952)=1,MAX(BU$76:BU951)+1,"")</f>
        <v/>
      </c>
      <c r="BV952" s="1312">
        <v>320</v>
      </c>
      <c r="BW952" s="1312">
        <v>467</v>
      </c>
      <c r="BX952" s="1312">
        <v>400</v>
      </c>
      <c r="BY952">
        <v>400</v>
      </c>
      <c r="BZ952" s="1312" t="s">
        <v>1551</v>
      </c>
      <c r="CA952" s="1352"/>
    </row>
    <row r="953" spans="73:79" x14ac:dyDescent="0.3">
      <c r="BU953" s="165" t="str">
        <f>IF(COUNTIF(BV$76:BV953,BV953)=1,MAX(BU$76:BU952)+1,"")</f>
        <v/>
      </c>
      <c r="BV953" s="1312">
        <v>320</v>
      </c>
      <c r="BW953" s="1312">
        <v>265</v>
      </c>
      <c r="BX953" s="1312">
        <v>415</v>
      </c>
      <c r="BY953">
        <v>450</v>
      </c>
      <c r="BZ953" s="1312" t="s">
        <v>1550</v>
      </c>
      <c r="CA953" s="1352"/>
    </row>
    <row r="954" spans="73:79" x14ac:dyDescent="0.3">
      <c r="BU954" s="165" t="str">
        <f>IF(COUNTIF(BV$76:BV954,BV954)=1,MAX(BU$76:BU953)+1,"")</f>
        <v/>
      </c>
      <c r="BV954" s="1312">
        <v>320</v>
      </c>
      <c r="BW954" s="1312">
        <v>257</v>
      </c>
      <c r="BX954" s="1312">
        <v>360</v>
      </c>
      <c r="BY954">
        <v>450</v>
      </c>
      <c r="BZ954" s="1312" t="s">
        <v>1550</v>
      </c>
      <c r="CA954" s="1352"/>
    </row>
    <row r="955" spans="73:79" x14ac:dyDescent="0.3">
      <c r="BU955" s="165">
        <f>IF(COUNTIF(BV$76:BV955,BV955)=1,MAX(BU$76:BU954)+1,"")</f>
        <v>93</v>
      </c>
      <c r="BV955" s="1312">
        <v>322.5</v>
      </c>
      <c r="BW955" s="1312">
        <v>265</v>
      </c>
      <c r="BX955" s="1312">
        <v>415</v>
      </c>
      <c r="BY955">
        <v>450</v>
      </c>
      <c r="BZ955" s="1312" t="s">
        <v>1552</v>
      </c>
      <c r="CA955" s="1352"/>
    </row>
    <row r="956" spans="73:79" x14ac:dyDescent="0.3">
      <c r="BU956" s="165" t="str">
        <f>IF(COUNTIF(BV$76:BV956,BV956)=1,MAX(BU$76:BU955)+1,"")</f>
        <v/>
      </c>
      <c r="BV956" s="1312">
        <v>322.5</v>
      </c>
      <c r="BW956" s="1312">
        <v>257</v>
      </c>
      <c r="BX956" s="1312">
        <v>360</v>
      </c>
      <c r="BY956">
        <v>450</v>
      </c>
      <c r="BZ956" s="1312" t="s">
        <v>1552</v>
      </c>
      <c r="CA956" s="1352"/>
    </row>
    <row r="957" spans="73:79" x14ac:dyDescent="0.3">
      <c r="BU957" s="165" t="str">
        <f>IF(COUNTIF(BV$76:BV957,BV957)=1,MAX(BU$76:BU956)+1,"")</f>
        <v/>
      </c>
      <c r="BV957" s="1312">
        <v>322.5</v>
      </c>
      <c r="BW957" s="1312">
        <v>375</v>
      </c>
      <c r="BX957" s="1312">
        <v>360</v>
      </c>
      <c r="BY957">
        <v>450</v>
      </c>
      <c r="BZ957" s="1312" t="s">
        <v>1541</v>
      </c>
      <c r="CA957" s="1352"/>
    </row>
    <row r="958" spans="73:79" x14ac:dyDescent="0.3">
      <c r="BU958" s="165" t="str">
        <f>IF(COUNTIF(BV$76:BV958,BV958)=1,MAX(BU$76:BU957)+1,"")</f>
        <v/>
      </c>
      <c r="BV958" s="1312">
        <v>322.5</v>
      </c>
      <c r="BW958" s="1312">
        <v>378</v>
      </c>
      <c r="BX958" s="1312">
        <v>360</v>
      </c>
      <c r="BY958">
        <v>450</v>
      </c>
      <c r="BZ958" s="1312" t="s">
        <v>1541</v>
      </c>
      <c r="CA958" s="1352"/>
    </row>
    <row r="959" spans="73:79" x14ac:dyDescent="0.3">
      <c r="BU959" s="165" t="str">
        <f>IF(COUNTIF(BV$76:BV959,BV959)=1,MAX(BU$76:BU958)+1,"")</f>
        <v/>
      </c>
      <c r="BV959" s="1312">
        <v>322.5</v>
      </c>
      <c r="BW959" s="1312">
        <v>260</v>
      </c>
      <c r="BX959" s="1312">
        <v>415</v>
      </c>
      <c r="BY959">
        <v>450</v>
      </c>
      <c r="BZ959" s="1312" t="s">
        <v>1552</v>
      </c>
      <c r="CA959" s="1352"/>
    </row>
    <row r="960" spans="73:79" x14ac:dyDescent="0.3">
      <c r="BU960" s="165">
        <f>IF(COUNTIF(BV$76:BV960,BV960)=1,MAX(BU$76:BU959)+1,"")</f>
        <v>94</v>
      </c>
      <c r="BV960" s="1312">
        <v>325</v>
      </c>
      <c r="BW960" s="1312">
        <v>235</v>
      </c>
      <c r="BX960" s="1312">
        <v>415</v>
      </c>
      <c r="BY960">
        <v>450</v>
      </c>
      <c r="BZ960" s="1312" t="s">
        <v>1553</v>
      </c>
      <c r="CA960" s="1352"/>
    </row>
    <row r="961" spans="73:79" x14ac:dyDescent="0.3">
      <c r="BU961" s="165" t="str">
        <f>IF(COUNTIF(BV$76:BV961,BV961)=1,MAX(BU$76:BU960)+1,"")</f>
        <v/>
      </c>
      <c r="BV961" s="1312">
        <v>325</v>
      </c>
      <c r="BW961" s="1312">
        <v>400</v>
      </c>
      <c r="BX961" s="1312">
        <v>415</v>
      </c>
      <c r="BY961">
        <v>400</v>
      </c>
      <c r="BZ961" s="1312" t="s">
        <v>1554</v>
      </c>
      <c r="CA961" s="1352"/>
    </row>
    <row r="962" spans="73:79" x14ac:dyDescent="0.3">
      <c r="BU962" s="165" t="str">
        <f>IF(COUNTIF(BV$76:BV962,BV962)=1,MAX(BU$76:BU961)+1,"")</f>
        <v/>
      </c>
      <c r="BV962" s="1312">
        <v>325</v>
      </c>
      <c r="BW962" s="1312">
        <v>260</v>
      </c>
      <c r="BX962" s="1312">
        <v>360</v>
      </c>
      <c r="BY962">
        <v>450</v>
      </c>
      <c r="BZ962" s="1312" t="s">
        <v>1555</v>
      </c>
      <c r="CA962" s="1352"/>
    </row>
    <row r="963" spans="73:79" x14ac:dyDescent="0.3">
      <c r="BU963" s="165" t="str">
        <f>IF(COUNTIF(BV$76:BV963,BV963)=1,MAX(BU$76:BU962)+1,"")</f>
        <v/>
      </c>
      <c r="BV963" s="1312">
        <v>325</v>
      </c>
      <c r="BW963" s="1312">
        <v>360</v>
      </c>
      <c r="BX963" s="1312">
        <v>360</v>
      </c>
      <c r="BY963">
        <v>450</v>
      </c>
      <c r="BZ963" s="1312" t="s">
        <v>1554</v>
      </c>
      <c r="CA963" s="1352"/>
    </row>
    <row r="964" spans="73:79" x14ac:dyDescent="0.3">
      <c r="BU964" s="165">
        <f>IF(COUNTIF(BV$76:BV964,BV964)=1,MAX(BU$76:BU963)+1,"")</f>
        <v>95</v>
      </c>
      <c r="BV964" s="1312">
        <v>327.5</v>
      </c>
      <c r="BW964" s="1312">
        <v>375</v>
      </c>
      <c r="BX964" s="1312">
        <v>360</v>
      </c>
      <c r="BY964">
        <v>450</v>
      </c>
      <c r="BZ964" s="1312" t="s">
        <v>1556</v>
      </c>
      <c r="CA964" s="1352"/>
    </row>
    <row r="965" spans="73:79" x14ac:dyDescent="0.3">
      <c r="BU965" s="165">
        <f>IF(COUNTIF(BV$76:BV965,BV965)=1,MAX(BU$76:BU964)+1,"")</f>
        <v>96</v>
      </c>
      <c r="BV965" s="1312">
        <v>330</v>
      </c>
      <c r="BW965" s="1312">
        <v>385</v>
      </c>
      <c r="BX965" s="1312">
        <v>375</v>
      </c>
      <c r="BY965">
        <v>450</v>
      </c>
      <c r="BZ965" s="1312" t="s">
        <v>1557</v>
      </c>
      <c r="CA965" s="1352"/>
    </row>
    <row r="966" spans="73:79" x14ac:dyDescent="0.3">
      <c r="BU966" s="165" t="str">
        <f>IF(COUNTIF(BV$76:BV966,BV966)=1,MAX(BU$76:BU965)+1,"")</f>
        <v/>
      </c>
      <c r="BV966" s="1312">
        <v>330</v>
      </c>
      <c r="BW966" s="1312">
        <v>400</v>
      </c>
      <c r="BX966" s="1312">
        <v>415</v>
      </c>
      <c r="BY966">
        <v>400</v>
      </c>
      <c r="BZ966" s="1312" t="s">
        <v>1558</v>
      </c>
      <c r="CA966" s="1352"/>
    </row>
    <row r="967" spans="73:79" x14ac:dyDescent="0.3">
      <c r="BU967" s="165" t="str">
        <f>IF(COUNTIF(BV$76:BV967,BV967)=1,MAX(BU$76:BU966)+1,"")</f>
        <v/>
      </c>
      <c r="BV967" s="1312">
        <v>330</v>
      </c>
      <c r="BW967" s="1312">
        <v>495</v>
      </c>
      <c r="BX967" s="1312">
        <v>450</v>
      </c>
      <c r="BY967">
        <v>400</v>
      </c>
      <c r="BZ967" s="1312" t="s">
        <v>1559</v>
      </c>
      <c r="CA967" s="1352"/>
    </row>
    <row r="968" spans="73:79" x14ac:dyDescent="0.3">
      <c r="BU968" s="165" t="str">
        <f>IF(COUNTIF(BV$76:BV968,BV968)=1,MAX(BU$76:BU967)+1,"")</f>
        <v/>
      </c>
      <c r="BV968" s="1312">
        <v>330</v>
      </c>
      <c r="BW968" s="1312">
        <v>525</v>
      </c>
      <c r="BX968" s="1312">
        <v>415</v>
      </c>
      <c r="BY968">
        <v>400</v>
      </c>
      <c r="BZ968" s="1312" t="s">
        <v>1549</v>
      </c>
      <c r="CA968" s="1352" t="s">
        <v>1598</v>
      </c>
    </row>
    <row r="969" spans="73:79" x14ac:dyDescent="0.3">
      <c r="BU969" s="165">
        <f>IF(COUNTIF(BV$76:BV969,BV969)=1,MAX(BU$76:BU968)+1,"")</f>
        <v>97</v>
      </c>
      <c r="BV969" s="1312">
        <v>332.5</v>
      </c>
      <c r="BW969" s="1312">
        <v>395</v>
      </c>
      <c r="BX969" s="1312">
        <v>415</v>
      </c>
      <c r="BY969">
        <v>400</v>
      </c>
      <c r="BZ969" s="1312" t="s">
        <v>1560</v>
      </c>
      <c r="CA969" s="1352"/>
    </row>
    <row r="970" spans="73:79" x14ac:dyDescent="0.3">
      <c r="BU970" s="165" t="str">
        <f>IF(COUNTIF(BV$76:BV970,BV970)=1,MAX(BU$76:BU969)+1,"")</f>
        <v/>
      </c>
      <c r="BV970" s="1312">
        <v>332.5</v>
      </c>
      <c r="BW970" s="1312">
        <v>215</v>
      </c>
      <c r="BX970" s="1312">
        <v>415</v>
      </c>
      <c r="BY970">
        <v>450</v>
      </c>
      <c r="BZ970" s="1312" t="s">
        <v>1561</v>
      </c>
      <c r="CA970" s="1352"/>
    </row>
    <row r="971" spans="73:79" x14ac:dyDescent="0.3">
      <c r="BU971" s="165" t="str">
        <f>IF(COUNTIF(BV$76:BV971,BV971)=1,MAX(BU$76:BU970)+1,"")</f>
        <v/>
      </c>
      <c r="BV971" s="1312">
        <v>332.5</v>
      </c>
      <c r="BW971" s="1312">
        <v>395</v>
      </c>
      <c r="BX971" s="1312">
        <v>415</v>
      </c>
      <c r="BY971">
        <v>400</v>
      </c>
      <c r="BZ971" s="1312" t="s">
        <v>1560</v>
      </c>
      <c r="CA971" s="1352"/>
    </row>
    <row r="972" spans="73:79" x14ac:dyDescent="0.3">
      <c r="BU972" s="165">
        <f>IF(COUNTIF(BV$76:BV972,BV972)=1,MAX(BU$76:BU971)+1,"")</f>
        <v>98</v>
      </c>
      <c r="BV972" s="1312">
        <v>335</v>
      </c>
      <c r="BW972" s="1312">
        <v>210</v>
      </c>
      <c r="BX972" s="1312">
        <v>415</v>
      </c>
      <c r="BY972">
        <v>450</v>
      </c>
      <c r="BZ972" s="1312" t="s">
        <v>1562</v>
      </c>
      <c r="CA972" s="1352"/>
    </row>
    <row r="973" spans="73:79" x14ac:dyDescent="0.3">
      <c r="BU973" s="165" t="str">
        <f>IF(COUNTIF(BV$76:BV973,BV973)=1,MAX(BU$76:BU972)+1,"")</f>
        <v/>
      </c>
      <c r="BV973" s="1312">
        <v>335</v>
      </c>
      <c r="BW973" s="1312">
        <v>210</v>
      </c>
      <c r="BX973" s="1312">
        <v>415</v>
      </c>
      <c r="BY973">
        <v>450</v>
      </c>
      <c r="BZ973" s="1312" t="s">
        <v>1562</v>
      </c>
      <c r="CA973" s="1352"/>
    </row>
    <row r="974" spans="73:79" x14ac:dyDescent="0.3">
      <c r="BU974" s="165" t="str">
        <f>IF(COUNTIF(BV$76:BV974,BV974)=1,MAX(BU$76:BU973)+1,"")</f>
        <v/>
      </c>
      <c r="BV974" s="1312">
        <v>335</v>
      </c>
      <c r="BW974" s="1312">
        <v>210</v>
      </c>
      <c r="BX974" s="1312">
        <v>415</v>
      </c>
      <c r="BY974">
        <v>450</v>
      </c>
      <c r="BZ974" s="1312" t="s">
        <v>1562</v>
      </c>
      <c r="CA974" s="1352"/>
    </row>
    <row r="975" spans="73:79" x14ac:dyDescent="0.3">
      <c r="BU975" s="165" t="str">
        <f>IF(COUNTIF(BV$76:BV975,BV975)=1,MAX(BU$76:BU974)+1,"")</f>
        <v/>
      </c>
      <c r="BV975" s="1312">
        <v>335</v>
      </c>
      <c r="BW975" s="1312">
        <v>212</v>
      </c>
      <c r="BX975" s="1312">
        <v>415</v>
      </c>
      <c r="BY975">
        <v>450</v>
      </c>
      <c r="BZ975" s="1312" t="s">
        <v>1562</v>
      </c>
      <c r="CA975" s="1352"/>
    </row>
    <row r="976" spans="73:79" x14ac:dyDescent="0.3">
      <c r="BU976" s="165" t="str">
        <f>IF(COUNTIF(BV$76:BV976,BV976)=1,MAX(BU$76:BU975)+1,"")</f>
        <v/>
      </c>
      <c r="BV976" s="1312">
        <v>335</v>
      </c>
      <c r="BW976" s="1312">
        <v>210</v>
      </c>
      <c r="BX976" s="1312">
        <v>360</v>
      </c>
      <c r="BY976">
        <v>450</v>
      </c>
      <c r="BZ976" s="1312" t="s">
        <v>1562</v>
      </c>
      <c r="CA976" s="1352"/>
    </row>
    <row r="977" spans="73:79" x14ac:dyDescent="0.3">
      <c r="BU977" s="165" t="str">
        <f>IF(COUNTIF(BV$76:BV977,BV977)=1,MAX(BU$76:BU976)+1,"")</f>
        <v/>
      </c>
      <c r="BV977" s="1312">
        <v>335</v>
      </c>
      <c r="BW977" s="1312">
        <v>258</v>
      </c>
      <c r="BX977" s="1312">
        <v>360</v>
      </c>
      <c r="BY977">
        <v>450</v>
      </c>
      <c r="BZ977" s="1312" t="s">
        <v>1563</v>
      </c>
      <c r="CA977" s="1352"/>
    </row>
    <row r="978" spans="73:79" x14ac:dyDescent="0.3">
      <c r="BU978" s="165" t="str">
        <f>IF(COUNTIF(BV$76:BV978,BV978)=1,MAX(BU$76:BU977)+1,"")</f>
        <v/>
      </c>
      <c r="BV978" s="1312">
        <v>335</v>
      </c>
      <c r="BW978" s="1312">
        <v>255</v>
      </c>
      <c r="BX978" s="1312">
        <v>360</v>
      </c>
      <c r="BY978">
        <v>450</v>
      </c>
      <c r="BZ978" s="1312" t="s">
        <v>1563</v>
      </c>
      <c r="CA978" s="1352"/>
    </row>
    <row r="979" spans="73:79" x14ac:dyDescent="0.3">
      <c r="BU979" s="165">
        <f>IF(COUNTIF(BV$76:BV979,BV979)=1,MAX(BU$76:BU978)+1,"")</f>
        <v>99</v>
      </c>
      <c r="BV979" s="1312">
        <v>337.5</v>
      </c>
      <c r="BW979" s="1312">
        <v>260</v>
      </c>
      <c r="BX979" s="1312">
        <v>375</v>
      </c>
      <c r="BY979">
        <v>450</v>
      </c>
      <c r="BZ979" s="1312" t="s">
        <v>1564</v>
      </c>
      <c r="CA979" s="1352"/>
    </row>
    <row r="980" spans="73:79" x14ac:dyDescent="0.3">
      <c r="BU980" s="165" t="str">
        <f>IF(COUNTIF(BV$76:BV980,BV980)=1,MAX(BU$76:BU979)+1,"")</f>
        <v/>
      </c>
      <c r="BV980" s="1312">
        <v>337.5</v>
      </c>
      <c r="BW980" s="1312">
        <v>260</v>
      </c>
      <c r="BX980" s="1312">
        <v>360</v>
      </c>
      <c r="BY980">
        <v>450</v>
      </c>
      <c r="BZ980" s="1312" t="s">
        <v>1564</v>
      </c>
      <c r="CA980" s="1352"/>
    </row>
    <row r="981" spans="73:79" x14ac:dyDescent="0.3">
      <c r="BU981" s="165">
        <f>IF(COUNTIF(BV$76:BV981,BV981)=1,MAX(BU$76:BU980)+1,"")</f>
        <v>100</v>
      </c>
      <c r="BV981" s="1312">
        <v>340</v>
      </c>
      <c r="BW981" s="1312">
        <v>315</v>
      </c>
      <c r="BX981" s="1312">
        <v>415</v>
      </c>
      <c r="BY981">
        <v>450</v>
      </c>
      <c r="BZ981" s="1312" t="s">
        <v>1565</v>
      </c>
      <c r="CA981" s="1352"/>
    </row>
    <row r="982" spans="73:79" x14ac:dyDescent="0.3">
      <c r="BU982" s="165" t="str">
        <f>IF(COUNTIF(BV$76:BV982,BV982)=1,MAX(BU$76:BU981)+1,"")</f>
        <v/>
      </c>
      <c r="BV982" s="1312">
        <v>340</v>
      </c>
      <c r="BW982" s="1312">
        <v>380</v>
      </c>
      <c r="BX982" s="1312">
        <v>415</v>
      </c>
      <c r="BY982">
        <v>450</v>
      </c>
      <c r="BZ982" s="1312" t="s">
        <v>1566</v>
      </c>
      <c r="CA982" s="1352"/>
    </row>
    <row r="983" spans="73:79" x14ac:dyDescent="0.3">
      <c r="BU983" s="165">
        <f>IF(COUNTIF(BV$76:BV983,BV983)=1,MAX(BU$76:BU982)+1,"")</f>
        <v>101</v>
      </c>
      <c r="BV983" s="1312">
        <v>347.5</v>
      </c>
      <c r="BW983" s="1312">
        <v>263</v>
      </c>
      <c r="BX983" s="1312">
        <v>415</v>
      </c>
      <c r="BY983">
        <v>450</v>
      </c>
      <c r="BZ983" s="1312" t="s">
        <v>1567</v>
      </c>
      <c r="CA983" s="1352"/>
    </row>
    <row r="984" spans="73:79" x14ac:dyDescent="0.3">
      <c r="BU984" s="165" t="str">
        <f>IF(COUNTIF(BV$76:BV984,BV984)=1,MAX(BU$76:BU983)+1,"")</f>
        <v/>
      </c>
      <c r="BV984" s="1312">
        <v>347.5</v>
      </c>
      <c r="BW984" s="1312">
        <v>495</v>
      </c>
      <c r="BX984" s="1312">
        <v>450</v>
      </c>
      <c r="BY984">
        <v>400</v>
      </c>
      <c r="BZ984" s="1312" t="s">
        <v>1568</v>
      </c>
      <c r="CA984" s="1352"/>
    </row>
    <row r="985" spans="73:79" x14ac:dyDescent="0.3">
      <c r="BU985" s="165" t="str">
        <f>IF(COUNTIF(BV$76:BV985,BV985)=1,MAX(BU$76:BU984)+1,"")</f>
        <v/>
      </c>
      <c r="BV985" s="1312">
        <v>347.5</v>
      </c>
      <c r="BW985" s="1312">
        <v>495</v>
      </c>
      <c r="BX985" s="1312">
        <v>450</v>
      </c>
      <c r="BY985">
        <v>400</v>
      </c>
      <c r="BZ985" s="1312" t="s">
        <v>1568</v>
      </c>
      <c r="CA985" s="1352"/>
    </row>
    <row r="986" spans="73:79" x14ac:dyDescent="0.3">
      <c r="BU986" s="165">
        <f>IF(COUNTIF(BV$76:BV986,BV986)=1,MAX(BU$76:BU985)+1,"")</f>
        <v>102</v>
      </c>
      <c r="BV986" s="1312">
        <v>350</v>
      </c>
      <c r="BW986" s="1312">
        <v>397</v>
      </c>
      <c r="BX986" s="1312">
        <v>415</v>
      </c>
      <c r="BY986">
        <v>400</v>
      </c>
      <c r="BZ986" s="1312" t="s">
        <v>1569</v>
      </c>
      <c r="CA986" s="1352"/>
    </row>
    <row r="987" spans="73:79" x14ac:dyDescent="0.3">
      <c r="BU987" s="165" t="str">
        <f>IF(COUNTIF(BV$76:BV987,BV987)=1,MAX(BU$76:BU986)+1,"")</f>
        <v/>
      </c>
      <c r="BV987" s="1312">
        <v>350</v>
      </c>
      <c r="BW987" s="1312">
        <v>398</v>
      </c>
      <c r="BX987" s="1312">
        <v>415</v>
      </c>
      <c r="BY987">
        <v>400</v>
      </c>
      <c r="BZ987" s="1312" t="s">
        <v>1569</v>
      </c>
      <c r="CA987" s="1352"/>
    </row>
    <row r="988" spans="73:79" x14ac:dyDescent="0.3">
      <c r="BU988" s="165" t="str">
        <f>IF(COUNTIF(BV$76:BV988,BV988)=1,MAX(BU$76:BU987)+1,"")</f>
        <v/>
      </c>
      <c r="BV988" s="1312">
        <v>350</v>
      </c>
      <c r="BW988" s="1312">
        <v>257</v>
      </c>
      <c r="BX988" s="1312">
        <v>415</v>
      </c>
      <c r="BY988">
        <v>450</v>
      </c>
      <c r="BZ988" s="1312" t="s">
        <v>1570</v>
      </c>
      <c r="CA988" s="1352"/>
    </row>
    <row r="989" spans="73:79" x14ac:dyDescent="0.3">
      <c r="BU989" s="165" t="str">
        <f>IF(COUNTIF(BV$76:BV989,BV989)=1,MAX(BU$76:BU988)+1,"")</f>
        <v/>
      </c>
      <c r="BV989" s="1312">
        <v>350</v>
      </c>
      <c r="BW989" s="1312">
        <v>257</v>
      </c>
      <c r="BX989" s="1312">
        <v>400</v>
      </c>
      <c r="BY989">
        <v>450</v>
      </c>
      <c r="BZ989" s="1312" t="s">
        <v>1570</v>
      </c>
      <c r="CA989" s="1352"/>
    </row>
    <row r="990" spans="73:79" x14ac:dyDescent="0.3">
      <c r="BU990" s="165" t="str">
        <f>IF(COUNTIF(BV$76:BV990,BV990)=1,MAX(BU$76:BU989)+1,"")</f>
        <v/>
      </c>
      <c r="BV990" s="1312">
        <v>350</v>
      </c>
      <c r="BW990" s="1312">
        <v>397</v>
      </c>
      <c r="BX990" s="1312">
        <v>415</v>
      </c>
      <c r="BY990">
        <v>400</v>
      </c>
      <c r="BZ990" s="1312" t="s">
        <v>1569</v>
      </c>
      <c r="CA990" s="1352"/>
    </row>
    <row r="991" spans="73:79" x14ac:dyDescent="0.3">
      <c r="BU991" s="165">
        <f>IF(COUNTIF(BV$76:BV991,BV991)=1,MAX(BU$76:BU990)+1,"")</f>
        <v>103</v>
      </c>
      <c r="BV991" s="1312">
        <v>355</v>
      </c>
      <c r="BW991" s="1312">
        <v>495</v>
      </c>
      <c r="BX991" s="1312">
        <v>450</v>
      </c>
      <c r="BY991">
        <v>400</v>
      </c>
      <c r="BZ991" s="1312" t="s">
        <v>1571</v>
      </c>
      <c r="CA991" s="1352"/>
    </row>
    <row r="992" spans="73:79" x14ac:dyDescent="0.3">
      <c r="BU992" s="165" t="str">
        <f>IF(COUNTIF(BV$76:BV992,BV992)=1,MAX(BU$76:BU991)+1,"")</f>
        <v/>
      </c>
      <c r="BV992" s="1312">
        <v>355</v>
      </c>
      <c r="BW992" s="1312">
        <v>495</v>
      </c>
      <c r="BX992" s="1312">
        <v>450</v>
      </c>
      <c r="BY992">
        <v>400</v>
      </c>
      <c r="BZ992" s="1312" t="s">
        <v>1571</v>
      </c>
      <c r="CA992" s="1352"/>
    </row>
    <row r="993" spans="73:79" x14ac:dyDescent="0.3">
      <c r="BU993" s="165" t="str">
        <f>IF(COUNTIF(BV$76:BV993,BV993)=1,MAX(BU$76:BU992)+1,"")</f>
        <v/>
      </c>
      <c r="BV993" s="1312">
        <v>355</v>
      </c>
      <c r="BW993" s="1312">
        <v>240</v>
      </c>
      <c r="BX993" s="1312">
        <v>415</v>
      </c>
      <c r="BY993">
        <v>450</v>
      </c>
      <c r="BZ993" s="1312" t="s">
        <v>1553</v>
      </c>
      <c r="CA993" s="1352"/>
    </row>
    <row r="994" spans="73:79" x14ac:dyDescent="0.3">
      <c r="BU994" s="165" t="str">
        <f>IF(COUNTIF(BV$76:BV994,BV994)=1,MAX(BU$76:BU993)+1,"")</f>
        <v/>
      </c>
      <c r="BV994" s="1312">
        <v>355</v>
      </c>
      <c r="BW994" s="1312">
        <v>387</v>
      </c>
      <c r="BX994" s="1312">
        <v>375</v>
      </c>
      <c r="BY994">
        <v>450</v>
      </c>
      <c r="BZ994" s="1312" t="s">
        <v>1572</v>
      </c>
      <c r="CA994" s="1352"/>
    </row>
    <row r="995" spans="73:79" x14ac:dyDescent="0.3">
      <c r="BU995" s="165">
        <f>IF(COUNTIF(BV$76:BV995,BV995)=1,MAX(BU$76:BU994)+1,"")</f>
        <v>104</v>
      </c>
      <c r="BV995" s="1312">
        <v>360</v>
      </c>
      <c r="BW995" s="1312">
        <v>500</v>
      </c>
      <c r="BX995" s="1312">
        <v>470</v>
      </c>
      <c r="BY995">
        <v>400</v>
      </c>
      <c r="BZ995" s="1312" t="s">
        <v>1573</v>
      </c>
      <c r="CA995" s="1352"/>
    </row>
    <row r="996" spans="73:79" x14ac:dyDescent="0.3">
      <c r="BU996" s="165">
        <f>IF(COUNTIF(BV$76:BV996,BV996)=1,MAX(BU$76:BU995)+1,"")</f>
        <v>105</v>
      </c>
      <c r="BV996" s="1312">
        <v>365</v>
      </c>
      <c r="BW996" s="1312">
        <v>495</v>
      </c>
      <c r="BX996" s="1312">
        <v>470</v>
      </c>
      <c r="BY996">
        <v>400</v>
      </c>
      <c r="BZ996" s="1312" t="s">
        <v>1574</v>
      </c>
      <c r="CA996" s="1352"/>
    </row>
    <row r="997" spans="73:79" x14ac:dyDescent="0.3">
      <c r="BU997" s="165" t="str">
        <f>IF(COUNTIF(BV$76:BV997,BV997)=1,MAX(BU$76:BU996)+1,"")</f>
        <v/>
      </c>
      <c r="BV997" s="1312">
        <v>365</v>
      </c>
      <c r="BW997" s="1312">
        <v>317</v>
      </c>
      <c r="BX997" s="1312">
        <v>415</v>
      </c>
      <c r="BY997">
        <v>450</v>
      </c>
      <c r="BZ997" s="1312" t="s">
        <v>1575</v>
      </c>
      <c r="CA997" s="1352"/>
    </row>
    <row r="998" spans="73:79" x14ac:dyDescent="0.3">
      <c r="BU998" s="165" t="str">
        <f>IF(COUNTIF(BV$76:BV998,BV998)=1,MAX(BU$76:BU997)+1,"")</f>
        <v/>
      </c>
      <c r="BV998" s="1312">
        <v>365</v>
      </c>
      <c r="BW998" s="1312">
        <v>315</v>
      </c>
      <c r="BX998" s="1312">
        <v>415</v>
      </c>
      <c r="BY998">
        <v>450</v>
      </c>
      <c r="BZ998" s="1312" t="s">
        <v>1575</v>
      </c>
      <c r="CA998" s="1352"/>
    </row>
    <row r="999" spans="73:79" x14ac:dyDescent="0.3">
      <c r="BU999" s="165" t="str">
        <f>IF(COUNTIF(BV$76:BV999,BV999)=1,MAX(BU$76:BU998)+1,"")</f>
        <v/>
      </c>
      <c r="BV999" s="1312">
        <v>365</v>
      </c>
      <c r="BW999" s="1312">
        <v>500</v>
      </c>
      <c r="BX999" s="1312">
        <v>470</v>
      </c>
      <c r="BY999">
        <v>400</v>
      </c>
      <c r="BZ999" s="1312" t="s">
        <v>1574</v>
      </c>
      <c r="CA999" s="1352"/>
    </row>
    <row r="1000" spans="73:79" x14ac:dyDescent="0.3">
      <c r="BU1000" s="165">
        <f>IF(COUNTIF(BV$76:BV1000,BV1000)=1,MAX(BU$76:BU999)+1,"")</f>
        <v>106</v>
      </c>
      <c r="BV1000" s="1312">
        <v>367.5</v>
      </c>
      <c r="BW1000" s="1312">
        <v>654</v>
      </c>
      <c r="BX1000" s="1312">
        <v>400</v>
      </c>
      <c r="BY1000">
        <v>400</v>
      </c>
      <c r="BZ1000" s="1312" t="s">
        <v>1874</v>
      </c>
      <c r="CA1000" s="1352" t="s">
        <v>1875</v>
      </c>
    </row>
    <row r="1001" spans="73:79" x14ac:dyDescent="0.3">
      <c r="BU1001" s="165">
        <f>IF(COUNTIF(BV$76:BV1001,BV1001)=1,MAX(BU$76:BU1000)+1,"")</f>
        <v>107</v>
      </c>
      <c r="BV1001" s="1312">
        <v>370</v>
      </c>
      <c r="BW1001" s="1312">
        <v>255</v>
      </c>
      <c r="BX1001" s="1312">
        <v>400</v>
      </c>
      <c r="BY1001">
        <v>450</v>
      </c>
      <c r="BZ1001" s="1312" t="s">
        <v>1876</v>
      </c>
      <c r="CA1001" s="1352"/>
    </row>
    <row r="1002" spans="73:79" x14ac:dyDescent="0.3">
      <c r="BU1002" s="165">
        <f>IF(COUNTIF(BV$76:BV1002,BV1002)=1,MAX(BU$76:BU1001)+1,"")</f>
        <v>108</v>
      </c>
      <c r="BV1002" s="1312">
        <v>372.5</v>
      </c>
      <c r="BW1002" s="1312">
        <v>498</v>
      </c>
      <c r="BX1002" s="1312">
        <v>470</v>
      </c>
      <c r="BY1002">
        <v>400</v>
      </c>
      <c r="BZ1002" s="1312" t="s">
        <v>1877</v>
      </c>
      <c r="CA1002" s="1352"/>
    </row>
    <row r="1003" spans="73:79" x14ac:dyDescent="0.3">
      <c r="BU1003" s="165" t="str">
        <f>IF(COUNTIF(BV$76:BV1003,BV1003)=1,MAX(BU$76:BU1002)+1,"")</f>
        <v/>
      </c>
      <c r="BV1003" s="1312">
        <v>372.5</v>
      </c>
      <c r="BW1003" s="1312">
        <v>495</v>
      </c>
      <c r="BX1003" s="1312">
        <v>470</v>
      </c>
      <c r="BY1003">
        <v>400</v>
      </c>
      <c r="BZ1003" s="1312" t="s">
        <v>1877</v>
      </c>
      <c r="CA1003" s="1352"/>
    </row>
    <row r="1004" spans="73:79" x14ac:dyDescent="0.3">
      <c r="BU1004" s="165" t="str">
        <f>IF(COUNTIF(BV$76:BV1004,BV1004)=1,MAX(BU$76:BU1003)+1,"")</f>
        <v/>
      </c>
      <c r="BV1004" s="1312">
        <v>372.5</v>
      </c>
      <c r="BW1004" s="1312">
        <v>397</v>
      </c>
      <c r="BX1004" s="1312">
        <v>470</v>
      </c>
      <c r="BY1004">
        <v>400</v>
      </c>
      <c r="BZ1004" s="1312" t="s">
        <v>1878</v>
      </c>
      <c r="CA1004" s="1352"/>
    </row>
    <row r="1005" spans="73:79" ht="28.8" x14ac:dyDescent="0.3">
      <c r="BU1005" s="165">
        <f>IF(COUNTIF(BV$76:BV1005,BV1005)=1,MAX(BU$76:BU1004)+1,"")</f>
        <v>109</v>
      </c>
      <c r="BV1005" s="1312">
        <v>377.5</v>
      </c>
      <c r="BW1005" s="1312">
        <v>655</v>
      </c>
      <c r="BX1005" s="1312">
        <v>470</v>
      </c>
      <c r="BY1005">
        <v>400</v>
      </c>
      <c r="BZ1005" s="1312" t="s">
        <v>1874</v>
      </c>
      <c r="CA1005" s="1352" t="s">
        <v>1879</v>
      </c>
    </row>
    <row r="1006" spans="73:79" x14ac:dyDescent="0.3">
      <c r="BU1006" s="165" t="str">
        <f>IF(COUNTIF(BV$76:BV1006,BV1006)=1,MAX(BU$76:BU1005)+1,"")</f>
        <v/>
      </c>
      <c r="BV1006" s="1312">
        <v>377.5</v>
      </c>
      <c r="BW1006" s="1312">
        <v>230</v>
      </c>
      <c r="BX1006" s="1312">
        <v>415</v>
      </c>
      <c r="BY1006">
        <v>400</v>
      </c>
      <c r="BZ1006" s="1312" t="s">
        <v>1880</v>
      </c>
      <c r="CA1006" s="1352"/>
    </row>
    <row r="1007" spans="73:79" x14ac:dyDescent="0.3">
      <c r="BU1007" s="165" t="str">
        <f>IF(COUNTIF(BV$76:BV1007,BV1007)=1,MAX(BU$76:BU1006)+1,"")</f>
        <v/>
      </c>
      <c r="BV1007" s="1312">
        <v>377.5</v>
      </c>
      <c r="BW1007" s="1312">
        <v>455</v>
      </c>
      <c r="BX1007" s="1312">
        <v>470</v>
      </c>
      <c r="BY1007">
        <v>400</v>
      </c>
      <c r="BZ1007" s="1312" t="s">
        <v>1881</v>
      </c>
      <c r="CA1007" s="1352"/>
    </row>
    <row r="1008" spans="73:79" x14ac:dyDescent="0.3">
      <c r="BU1008" s="165" t="str">
        <f>IF(COUNTIF(BV$76:BV1008,BV1008)=1,MAX(BU$76:BU1007)+1,"")</f>
        <v/>
      </c>
      <c r="BV1008" s="1312">
        <v>377.5</v>
      </c>
      <c r="BW1008" s="1312">
        <v>457</v>
      </c>
      <c r="BX1008" s="1312">
        <v>500</v>
      </c>
      <c r="BY1008">
        <v>400</v>
      </c>
      <c r="BZ1008" s="1312" t="s">
        <v>1881</v>
      </c>
      <c r="CA1008" s="1352"/>
    </row>
    <row r="1009" spans="73:79" x14ac:dyDescent="0.3">
      <c r="BU1009" s="165" t="str">
        <f>IF(COUNTIF(BV$76:BV1009,BV1009)=1,MAX(BU$76:BU1008)+1,"")</f>
        <v/>
      </c>
      <c r="BV1009" s="1312">
        <v>377.5</v>
      </c>
      <c r="BW1009" s="1312">
        <v>457</v>
      </c>
      <c r="BX1009" s="1312">
        <v>500</v>
      </c>
      <c r="BY1009">
        <v>400</v>
      </c>
      <c r="BZ1009" s="1312" t="s">
        <v>1881</v>
      </c>
      <c r="CA1009" s="1352"/>
    </row>
    <row r="1010" spans="73:79" x14ac:dyDescent="0.3">
      <c r="BU1010" s="165" t="str">
        <f>IF(COUNTIF(BV$76:BV1010,BV1010)=1,MAX(BU$76:BU1009)+1,"")</f>
        <v/>
      </c>
      <c r="BV1010" s="1312">
        <v>377.5</v>
      </c>
      <c r="BW1010" s="1312">
        <v>460</v>
      </c>
      <c r="BX1010" s="1312">
        <v>500</v>
      </c>
      <c r="BY1010">
        <v>400</v>
      </c>
      <c r="BZ1010" s="1312" t="s">
        <v>1881</v>
      </c>
      <c r="CA1010" s="1352"/>
    </row>
    <row r="1011" spans="73:79" x14ac:dyDescent="0.3">
      <c r="BU1011" s="165">
        <f>IF(COUNTIF(BV$76:BV1011,BV1011)=1,MAX(BU$76:BU1010)+1,"")</f>
        <v>110</v>
      </c>
      <c r="BV1011" s="1312">
        <v>380</v>
      </c>
      <c r="BW1011" s="1312">
        <v>420</v>
      </c>
      <c r="BX1011" s="1312">
        <v>520</v>
      </c>
      <c r="BY1011">
        <v>400</v>
      </c>
      <c r="BZ1011" s="1312" t="s">
        <v>1882</v>
      </c>
      <c r="CA1011" s="1352"/>
    </row>
    <row r="1012" spans="73:79" x14ac:dyDescent="0.3">
      <c r="BU1012" s="165" t="str">
        <f>IF(COUNTIF(BV$76:BV1012,BV1012)=1,MAX(BU$76:BU1011)+1,"")</f>
        <v/>
      </c>
      <c r="BV1012" s="1312">
        <v>380</v>
      </c>
      <c r="BW1012" s="1312">
        <v>460</v>
      </c>
      <c r="BX1012" s="1312">
        <v>500</v>
      </c>
      <c r="BY1012">
        <v>400</v>
      </c>
      <c r="BZ1012" s="1312" t="s">
        <v>1883</v>
      </c>
      <c r="CA1012" s="1352"/>
    </row>
    <row r="1013" spans="73:79" x14ac:dyDescent="0.3">
      <c r="BU1013" s="165" t="str">
        <f>IF(COUNTIF(BV$76:BV1013,BV1013)=1,MAX(BU$76:BU1012)+1,"")</f>
        <v/>
      </c>
      <c r="BV1013" s="1312">
        <v>380</v>
      </c>
      <c r="BW1013" s="1312">
        <v>413</v>
      </c>
      <c r="BX1013" s="1312">
        <v>500</v>
      </c>
      <c r="BY1013">
        <v>400</v>
      </c>
      <c r="BZ1013" s="1312" t="s">
        <v>1882</v>
      </c>
      <c r="CA1013" s="1352"/>
    </row>
    <row r="1014" spans="73:79" x14ac:dyDescent="0.3">
      <c r="BU1014" s="165" t="str">
        <f>IF(COUNTIF(BV$76:BV1014,BV1014)=1,MAX(BU$76:BU1013)+1,"")</f>
        <v/>
      </c>
      <c r="BV1014" s="1312">
        <v>380</v>
      </c>
      <c r="BW1014" s="1312">
        <v>540</v>
      </c>
      <c r="BX1014" s="1312">
        <v>470</v>
      </c>
      <c r="BY1014">
        <v>400</v>
      </c>
      <c r="BZ1014" s="1312" t="s">
        <v>1884</v>
      </c>
      <c r="CA1014" s="1352"/>
    </row>
    <row r="1015" spans="73:79" x14ac:dyDescent="0.3">
      <c r="BU1015" s="165">
        <f>IF(COUNTIF(BV$76:BV1015,BV1015)=1,MAX(BU$76:BU1014)+1,"")</f>
        <v>111</v>
      </c>
      <c r="BV1015" s="1312">
        <v>382.5</v>
      </c>
      <c r="BW1015" s="1312">
        <v>540</v>
      </c>
      <c r="BX1015" s="1312">
        <v>470</v>
      </c>
      <c r="BY1015">
        <v>400</v>
      </c>
      <c r="BZ1015" s="1312" t="s">
        <v>1885</v>
      </c>
      <c r="CA1015" s="1352"/>
    </row>
    <row r="1016" spans="73:79" x14ac:dyDescent="0.3">
      <c r="BU1016" s="165">
        <f>IF(COUNTIF(BV$76:BV1016,BV1016)=1,MAX(BU$76:BU1015)+1,"")</f>
        <v>112</v>
      </c>
      <c r="BV1016" s="1312">
        <v>385</v>
      </c>
      <c r="BW1016" s="1312">
        <v>455</v>
      </c>
      <c r="BX1016" s="1312">
        <v>500</v>
      </c>
      <c r="BY1016">
        <v>400</v>
      </c>
      <c r="BZ1016" s="1312" t="s">
        <v>1886</v>
      </c>
      <c r="CA1016" s="1352"/>
    </row>
    <row r="1017" spans="73:79" x14ac:dyDescent="0.3">
      <c r="BU1017" s="165" t="str">
        <f>IF(COUNTIF(BV$76:BV1017,BV1017)=1,MAX(BU$76:BU1016)+1,"")</f>
        <v/>
      </c>
      <c r="BV1017" s="1312">
        <v>385</v>
      </c>
      <c r="BW1017" s="1312">
        <v>455</v>
      </c>
      <c r="BX1017" s="1312">
        <v>470</v>
      </c>
      <c r="BY1017">
        <v>400</v>
      </c>
      <c r="BZ1017" s="1312" t="s">
        <v>1886</v>
      </c>
      <c r="CA1017" s="1352"/>
    </row>
    <row r="1018" spans="73:79" x14ac:dyDescent="0.3">
      <c r="BU1018" s="165" t="str">
        <f>IF(COUNTIF(BV$76:BV1018,BV1018)=1,MAX(BU$76:BU1017)+1,"")</f>
        <v/>
      </c>
      <c r="BV1018" s="1312">
        <v>385</v>
      </c>
      <c r="BW1018" s="1312">
        <v>457</v>
      </c>
      <c r="BX1018" s="1312">
        <v>500</v>
      </c>
      <c r="BY1018">
        <v>400</v>
      </c>
      <c r="BZ1018" s="1312" t="s">
        <v>1886</v>
      </c>
      <c r="CA1018" s="1352"/>
    </row>
    <row r="1019" spans="73:79" x14ac:dyDescent="0.3">
      <c r="BU1019" s="165" t="str">
        <f>IF(COUNTIF(BV$76:BV1019,BV1019)=1,MAX(BU$76:BU1018)+1,"")</f>
        <v/>
      </c>
      <c r="BV1019" s="1312">
        <v>385</v>
      </c>
      <c r="BW1019" s="1312">
        <v>460</v>
      </c>
      <c r="BX1019" s="1312">
        <v>470</v>
      </c>
      <c r="BY1019">
        <v>400</v>
      </c>
      <c r="BZ1019" s="1312" t="s">
        <v>1886</v>
      </c>
      <c r="CA1019" s="1352"/>
    </row>
    <row r="1020" spans="73:79" x14ac:dyDescent="0.3">
      <c r="BU1020" s="165">
        <f>IF(COUNTIF(BV$76:BV1020,BV1020)=1,MAX(BU$76:BU1019)+1,"")</f>
        <v>113</v>
      </c>
      <c r="BV1020" s="1312">
        <v>390</v>
      </c>
      <c r="BW1020" s="1312">
        <v>453</v>
      </c>
      <c r="BX1020" s="1312">
        <v>470</v>
      </c>
      <c r="BY1020">
        <v>400</v>
      </c>
      <c r="BZ1020" s="1312" t="s">
        <v>1887</v>
      </c>
      <c r="CA1020" s="1352"/>
    </row>
    <row r="1021" spans="73:79" x14ac:dyDescent="0.3">
      <c r="BU1021" s="165" t="str">
        <f>IF(COUNTIF(BV$76:BV1021,BV1021)=1,MAX(BU$76:BU1020)+1,"")</f>
        <v/>
      </c>
      <c r="BV1021" s="1312">
        <v>390</v>
      </c>
      <c r="BW1021" s="1312">
        <v>455</v>
      </c>
      <c r="BX1021" s="1312">
        <v>470</v>
      </c>
      <c r="BY1021">
        <v>400</v>
      </c>
      <c r="BZ1021" s="1312" t="s">
        <v>1887</v>
      </c>
      <c r="CA1021" s="1352"/>
    </row>
    <row r="1022" spans="73:79" x14ac:dyDescent="0.3">
      <c r="BU1022" s="165">
        <f>IF(COUNTIF(BV$76:BV1022,BV1022)=1,MAX(BU$76:BU1021)+1,"")</f>
        <v>114</v>
      </c>
      <c r="BV1022" s="1312">
        <v>392.5</v>
      </c>
      <c r="BW1022" s="1312">
        <v>327</v>
      </c>
      <c r="BX1022" s="1312">
        <v>520</v>
      </c>
      <c r="BY1022">
        <v>400</v>
      </c>
      <c r="BZ1022" s="1312" t="s">
        <v>1888</v>
      </c>
      <c r="CA1022" s="1352"/>
    </row>
    <row r="1023" spans="73:79" x14ac:dyDescent="0.3">
      <c r="BU1023" s="165" t="str">
        <f>IF(COUNTIF(BV$76:BV1023,BV1023)=1,MAX(BU$76:BU1022)+1,"")</f>
        <v/>
      </c>
      <c r="BV1023" s="1312">
        <v>392.5</v>
      </c>
      <c r="BW1023" s="1312">
        <v>330</v>
      </c>
      <c r="BX1023" s="1312">
        <v>520</v>
      </c>
      <c r="BY1023">
        <v>400</v>
      </c>
      <c r="BZ1023" s="1312" t="s">
        <v>1888</v>
      </c>
      <c r="CA1023" s="1352"/>
    </row>
    <row r="1024" spans="73:79" x14ac:dyDescent="0.3">
      <c r="BU1024" s="165" t="str">
        <f>IF(COUNTIF(BV$76:BV1024,BV1024)=1,MAX(BU$76:BU1023)+1,"")</f>
        <v/>
      </c>
      <c r="BV1024" s="1312">
        <v>392.5</v>
      </c>
      <c r="BW1024" s="1312">
        <v>300</v>
      </c>
      <c r="BX1024" s="1312">
        <v>520</v>
      </c>
      <c r="BY1024">
        <v>400</v>
      </c>
      <c r="BZ1024" s="1312" t="s">
        <v>1889</v>
      </c>
      <c r="CA1024" s="1352"/>
    </row>
    <row r="1025" spans="73:79" x14ac:dyDescent="0.3">
      <c r="BU1025" s="165" t="str">
        <f>IF(COUNTIF(BV$76:BV1025,BV1025)=1,MAX(BU$76:BU1024)+1,"")</f>
        <v/>
      </c>
      <c r="BV1025" s="1312">
        <v>392.5</v>
      </c>
      <c r="BW1025" s="1312">
        <v>345</v>
      </c>
      <c r="BX1025" s="1312">
        <v>470</v>
      </c>
      <c r="BY1025">
        <v>400</v>
      </c>
      <c r="BZ1025" s="1312" t="s">
        <v>1888</v>
      </c>
      <c r="CA1025" s="1352"/>
    </row>
    <row r="1026" spans="73:79" x14ac:dyDescent="0.3">
      <c r="BU1026" s="165">
        <f>IF(COUNTIF(BV$76:BV1026,BV1026)=1,MAX(BU$76:BU1025)+1,"")</f>
        <v>115</v>
      </c>
      <c r="BV1026" s="1312">
        <v>397.5</v>
      </c>
      <c r="BW1026" s="1312">
        <v>327</v>
      </c>
      <c r="BX1026" s="1312">
        <v>520</v>
      </c>
      <c r="BY1026">
        <v>400</v>
      </c>
      <c r="BZ1026" s="1312" t="s">
        <v>1888</v>
      </c>
      <c r="CA1026" s="1352"/>
    </row>
    <row r="1027" spans="73:79" x14ac:dyDescent="0.3">
      <c r="BU1027" s="165" t="str">
        <f>IF(COUNTIF(BV$76:BV1027,BV1027)=1,MAX(BU$76:BU1026)+1,"")</f>
        <v/>
      </c>
      <c r="BV1027" s="1312">
        <v>397.5</v>
      </c>
      <c r="BW1027" s="1312">
        <v>228</v>
      </c>
      <c r="BX1027" s="1312">
        <v>470</v>
      </c>
      <c r="BY1027">
        <v>400</v>
      </c>
      <c r="BZ1027" s="1312" t="s">
        <v>1890</v>
      </c>
      <c r="CA1027" s="1352"/>
    </row>
    <row r="1028" spans="73:79" x14ac:dyDescent="0.3">
      <c r="BU1028" s="165">
        <f>IF(COUNTIF(BV$76:BV1028,BV1028)=1,MAX(BU$76:BU1027)+1,"")</f>
        <v>116</v>
      </c>
      <c r="BV1028" s="1312">
        <v>405</v>
      </c>
      <c r="BW1028" s="1312">
        <v>460</v>
      </c>
      <c r="BX1028" s="1312">
        <v>470</v>
      </c>
      <c r="BY1028">
        <v>400</v>
      </c>
      <c r="BZ1028" s="1312" t="s">
        <v>1891</v>
      </c>
      <c r="CA1028" s="1352" t="s">
        <v>2032</v>
      </c>
    </row>
    <row r="1029" spans="73:79" x14ac:dyDescent="0.3">
      <c r="BU1029" s="165">
        <f>IF(COUNTIF(BV$76:BV1029,BV1029)=1,MAX(BU$76:BU1028)+1,"")</f>
        <v>117</v>
      </c>
      <c r="BV1029" s="1312">
        <v>410</v>
      </c>
      <c r="BW1029" s="1312">
        <v>460</v>
      </c>
      <c r="BX1029" s="1312">
        <v>470</v>
      </c>
      <c r="BY1029">
        <v>400</v>
      </c>
      <c r="BZ1029" s="1312" t="s">
        <v>1892</v>
      </c>
      <c r="CA1029" s="1352" t="s">
        <v>2033</v>
      </c>
    </row>
    <row r="1030" spans="73:79" x14ac:dyDescent="0.3">
      <c r="BU1030" s="165">
        <f>IF(COUNTIF(BV$76:BV1030,BV1030)=1,MAX(BU$76:BU1029)+1,"")</f>
        <v>118</v>
      </c>
      <c r="BV1030" s="1312">
        <v>412.5</v>
      </c>
      <c r="BW1030" s="1312">
        <v>512</v>
      </c>
      <c r="BX1030" s="1312">
        <v>500</v>
      </c>
      <c r="BY1030">
        <v>400</v>
      </c>
      <c r="BZ1030" s="1312" t="s">
        <v>1893</v>
      </c>
      <c r="CA1030" s="1352"/>
    </row>
    <row r="1031" spans="73:79" x14ac:dyDescent="0.3">
      <c r="BU1031" s="165">
        <f>IF(COUNTIF(BV$76:BV1031,BV1031)=1,MAX(BU$76:BU1030)+1,"")</f>
        <v>119</v>
      </c>
      <c r="BV1031" s="1312">
        <v>415</v>
      </c>
      <c r="BW1031" s="1312">
        <v>275</v>
      </c>
      <c r="BX1031" s="1312">
        <v>520</v>
      </c>
      <c r="BY1031">
        <v>400</v>
      </c>
      <c r="BZ1031" s="1312" t="s">
        <v>1894</v>
      </c>
      <c r="CA1031" s="1352"/>
    </row>
    <row r="1032" spans="73:79" x14ac:dyDescent="0.3">
      <c r="BU1032" s="165" t="str">
        <f>IF(COUNTIF(BV$76:BV1032,BV1032)=1,MAX(BU$76:BU1031)+1,"")</f>
        <v/>
      </c>
      <c r="BV1032" s="1312">
        <v>415</v>
      </c>
      <c r="BW1032" s="1312">
        <v>280</v>
      </c>
      <c r="BX1032" s="1312">
        <v>520</v>
      </c>
      <c r="BY1032">
        <v>400</v>
      </c>
      <c r="BZ1032" s="1312" t="s">
        <v>1894</v>
      </c>
      <c r="CA1032" s="1352"/>
    </row>
    <row r="1033" spans="73:79" x14ac:dyDescent="0.3">
      <c r="BU1033" s="165" t="str">
        <f>IF(COUNTIF(BV$76:BV1033,BV1033)=1,MAX(BU$76:BU1032)+1,"")</f>
        <v/>
      </c>
      <c r="BV1033" s="1312">
        <v>415</v>
      </c>
      <c r="BW1033" s="1312">
        <v>275</v>
      </c>
      <c r="BX1033" s="1312">
        <v>500</v>
      </c>
      <c r="BY1033">
        <v>400</v>
      </c>
      <c r="BZ1033" s="1312" t="s">
        <v>1894</v>
      </c>
      <c r="CA1033" s="1352"/>
    </row>
    <row r="1034" spans="73:79" x14ac:dyDescent="0.3">
      <c r="BU1034" s="165">
        <f>IF(COUNTIF(BV$76:BV1034,BV1034)=1,MAX(BU$76:BU1033)+1,"")</f>
        <v>120</v>
      </c>
      <c r="BV1034" s="1312">
        <v>417.5</v>
      </c>
      <c r="BW1034" s="1312">
        <v>257</v>
      </c>
      <c r="BX1034" s="1312">
        <v>470</v>
      </c>
      <c r="BY1034">
        <v>400</v>
      </c>
      <c r="BZ1034" s="1312" t="s">
        <v>1895</v>
      </c>
      <c r="CA1034" s="1352"/>
    </row>
    <row r="1035" spans="73:79" x14ac:dyDescent="0.3">
      <c r="BU1035" s="165" t="str">
        <f>IF(COUNTIF(BV$76:BV1035,BV1035)=1,MAX(BU$76:BU1034)+1,"")</f>
        <v/>
      </c>
      <c r="BV1035" s="1312">
        <v>417.5</v>
      </c>
      <c r="BW1035" s="1312">
        <v>515</v>
      </c>
      <c r="BX1035" s="1312">
        <v>520</v>
      </c>
      <c r="BY1035">
        <v>400</v>
      </c>
      <c r="BZ1035" s="1312" t="s">
        <v>1896</v>
      </c>
      <c r="CA1035" s="1352"/>
    </row>
    <row r="1036" spans="73:79" x14ac:dyDescent="0.3">
      <c r="BU1036" s="165" t="str">
        <f>IF(COUNTIF(BV$76:BV1036,BV1036)=1,MAX(BU$76:BU1035)+1,"")</f>
        <v/>
      </c>
      <c r="BV1036" s="1312">
        <v>417.5</v>
      </c>
      <c r="BW1036" s="1312">
        <v>257</v>
      </c>
      <c r="BX1036" s="1312">
        <v>470</v>
      </c>
      <c r="BY1036">
        <v>400</v>
      </c>
      <c r="BZ1036" s="1312" t="s">
        <v>1895</v>
      </c>
      <c r="CA1036" s="1352"/>
    </row>
    <row r="1037" spans="73:79" x14ac:dyDescent="0.3">
      <c r="BU1037" s="165">
        <f>IF(COUNTIF(BV$76:BV1037,BV1037)=1,MAX(BU$76:BU1036)+1,"")</f>
        <v>121</v>
      </c>
      <c r="BV1037" s="1312">
        <v>420</v>
      </c>
      <c r="BW1037" s="1312">
        <v>510</v>
      </c>
      <c r="BX1037" s="1312">
        <v>520</v>
      </c>
      <c r="BY1037">
        <v>400</v>
      </c>
      <c r="BZ1037" s="1312" t="s">
        <v>1896</v>
      </c>
      <c r="CA1037" s="1352"/>
    </row>
    <row r="1038" spans="73:79" x14ac:dyDescent="0.3">
      <c r="BU1038" s="165" t="str">
        <f>IF(COUNTIF(BV$76:BV1038,BV1038)=1,MAX(BU$76:BU1037)+1,"")</f>
        <v/>
      </c>
      <c r="BV1038" s="1312">
        <v>420</v>
      </c>
      <c r="BW1038" s="1312">
        <v>300</v>
      </c>
      <c r="BX1038" s="1312">
        <v>520</v>
      </c>
      <c r="BY1038">
        <v>400</v>
      </c>
      <c r="BZ1038" s="1312" t="s">
        <v>1897</v>
      </c>
      <c r="CA1038" s="1352"/>
    </row>
    <row r="1039" spans="73:79" x14ac:dyDescent="0.3">
      <c r="BU1039" s="165" t="str">
        <f>IF(COUNTIF(BV$76:BV1039,BV1039)=1,MAX(BU$76:BU1038)+1,"")</f>
        <v/>
      </c>
      <c r="BV1039" s="1312">
        <v>420</v>
      </c>
      <c r="BW1039" s="1312">
        <v>295</v>
      </c>
      <c r="BX1039" s="1312">
        <v>520</v>
      </c>
      <c r="BY1039">
        <v>400</v>
      </c>
      <c r="BZ1039" s="1312" t="s">
        <v>1897</v>
      </c>
      <c r="CA1039" s="1352"/>
    </row>
    <row r="1040" spans="73:79" x14ac:dyDescent="0.3">
      <c r="BU1040" s="165" t="str">
        <f>IF(COUNTIF(BV$76:BV1040,BV1040)=1,MAX(BU$76:BU1039)+1,"")</f>
        <v/>
      </c>
      <c r="BV1040" s="1312">
        <v>420</v>
      </c>
      <c r="BW1040" s="1312">
        <v>260</v>
      </c>
      <c r="BX1040" s="1312">
        <v>500</v>
      </c>
      <c r="BY1040">
        <v>400</v>
      </c>
      <c r="BZ1040" s="1312" t="s">
        <v>1898</v>
      </c>
      <c r="CA1040" s="1352"/>
    </row>
    <row r="1041" spans="73:79" x14ac:dyDescent="0.3">
      <c r="BU1041" s="165" t="str">
        <f>IF(COUNTIF(BV$76:BV1041,BV1041)=1,MAX(BU$76:BU1040)+1,"")</f>
        <v/>
      </c>
      <c r="BV1041" s="1312">
        <v>420</v>
      </c>
      <c r="BW1041" s="1312">
        <v>260</v>
      </c>
      <c r="BX1041" s="1312">
        <v>500</v>
      </c>
      <c r="BY1041">
        <v>400</v>
      </c>
      <c r="BZ1041" s="1312" t="s">
        <v>1898</v>
      </c>
      <c r="CA1041" s="1352"/>
    </row>
    <row r="1042" spans="73:79" x14ac:dyDescent="0.3">
      <c r="BU1042" s="165" t="str">
        <f>IF(COUNTIF(BV$76:BV1042,BV1042)=1,MAX(BU$76:BU1041)+1,"")</f>
        <v/>
      </c>
      <c r="BV1042" s="1312">
        <v>420</v>
      </c>
      <c r="BW1042" s="1312">
        <v>300</v>
      </c>
      <c r="BX1042" s="1312">
        <v>520</v>
      </c>
      <c r="BY1042">
        <v>400</v>
      </c>
      <c r="BZ1042" s="1312" t="s">
        <v>1897</v>
      </c>
      <c r="CA1042" s="1352"/>
    </row>
    <row r="1043" spans="73:79" x14ac:dyDescent="0.3">
      <c r="BU1043" s="165" t="str">
        <f>IF(COUNTIF(BV$76:BV1043,BV1043)=1,MAX(BU$76:BU1042)+1,"")</f>
        <v/>
      </c>
      <c r="BV1043" s="1312">
        <v>420</v>
      </c>
      <c r="BW1043" s="1312">
        <v>245</v>
      </c>
      <c r="BX1043" s="1312">
        <v>500</v>
      </c>
      <c r="BY1043">
        <v>400</v>
      </c>
      <c r="BZ1043" s="1312" t="s">
        <v>1898</v>
      </c>
      <c r="CA1043" s="1352"/>
    </row>
    <row r="1044" spans="73:79" x14ac:dyDescent="0.3">
      <c r="BU1044" s="165" t="str">
        <f>IF(COUNTIF(BV$76:BV1044,BV1044)=1,MAX(BU$76:BU1043)+1,"")</f>
        <v/>
      </c>
      <c r="BV1044" s="1312">
        <v>420</v>
      </c>
      <c r="BW1044" s="1312">
        <v>257</v>
      </c>
      <c r="BX1044" s="1312">
        <v>500</v>
      </c>
      <c r="BY1044">
        <v>400</v>
      </c>
      <c r="BZ1044" s="1312" t="s">
        <v>1898</v>
      </c>
      <c r="CA1044" s="1352"/>
    </row>
    <row r="1045" spans="73:79" x14ac:dyDescent="0.3">
      <c r="BU1045" s="165" t="str">
        <f>IF(COUNTIF(BV$76:BV1045,BV1045)=1,MAX(BU$76:BU1044)+1,"")</f>
        <v/>
      </c>
      <c r="BV1045" s="1312">
        <v>420</v>
      </c>
      <c r="BW1045" s="1312">
        <v>300</v>
      </c>
      <c r="BX1045" s="1312">
        <v>520</v>
      </c>
      <c r="BY1045">
        <v>400</v>
      </c>
      <c r="BZ1045" s="1312" t="s">
        <v>1897</v>
      </c>
      <c r="CA1045" s="1352"/>
    </row>
    <row r="1046" spans="73:79" x14ac:dyDescent="0.3">
      <c r="BU1046" s="165">
        <f>IF(COUNTIF(BV$76:BV1046,BV1046)=1,MAX(BU$76:BU1045)+1,"")</f>
        <v>122</v>
      </c>
      <c r="BV1046" s="1312">
        <v>425</v>
      </c>
      <c r="BW1046" s="1312">
        <v>333</v>
      </c>
      <c r="BX1046" s="1312">
        <v>520</v>
      </c>
      <c r="BY1046">
        <v>400</v>
      </c>
      <c r="BZ1046" s="1312" t="s">
        <v>1899</v>
      </c>
      <c r="CA1046" s="1352"/>
    </row>
    <row r="1047" spans="73:79" x14ac:dyDescent="0.3">
      <c r="BU1047" s="165" t="str">
        <f>IF(COUNTIF(BV$76:BV1047,BV1047)=1,MAX(BU$76:BU1046)+1,"")</f>
        <v/>
      </c>
      <c r="BV1047" s="1312">
        <v>425</v>
      </c>
      <c r="BW1047" s="1312">
        <v>335</v>
      </c>
      <c r="BX1047" s="1312">
        <v>520</v>
      </c>
      <c r="BY1047">
        <v>400</v>
      </c>
      <c r="BZ1047" s="1312" t="s">
        <v>1899</v>
      </c>
      <c r="CA1047" s="1352"/>
    </row>
    <row r="1048" spans="73:79" x14ac:dyDescent="0.3">
      <c r="BU1048" s="165">
        <f>IF(COUNTIF(BV$76:BV1048,BV1048)=1,MAX(BU$76:BU1047)+1,"")</f>
        <v>123</v>
      </c>
      <c r="BV1048" s="1312">
        <v>427.5</v>
      </c>
      <c r="BW1048" s="1312">
        <v>335</v>
      </c>
      <c r="BX1048" s="1312">
        <v>520</v>
      </c>
      <c r="BY1048">
        <v>400</v>
      </c>
      <c r="BZ1048" s="1312" t="s">
        <v>1900</v>
      </c>
      <c r="CA1048" s="1352"/>
    </row>
    <row r="1049" spans="73:79" x14ac:dyDescent="0.3">
      <c r="BU1049" s="165" t="str">
        <f>IF(COUNTIF(BV$76:BV1049,BV1049)=1,MAX(BU$76:BU1048)+1,"")</f>
        <v/>
      </c>
      <c r="BV1049" s="1312">
        <v>427.5</v>
      </c>
      <c r="BW1049" s="1312">
        <v>505</v>
      </c>
      <c r="BX1049" s="1312">
        <v>520</v>
      </c>
      <c r="BY1049">
        <v>400</v>
      </c>
      <c r="BZ1049" s="1312" t="s">
        <v>1901</v>
      </c>
      <c r="CA1049" s="1352"/>
    </row>
    <row r="1050" spans="73:79" x14ac:dyDescent="0.3">
      <c r="BU1050" s="165">
        <f>IF(COUNTIF(BV$76:BV1050,BV1050)=1,MAX(BU$76:BU1049)+1,"")</f>
        <v>124</v>
      </c>
      <c r="BV1050" s="1312">
        <v>430</v>
      </c>
      <c r="BW1050" s="1312">
        <v>180</v>
      </c>
      <c r="BX1050" s="1312">
        <v>520</v>
      </c>
      <c r="BY1050">
        <v>400</v>
      </c>
      <c r="BZ1050" s="1312" t="s">
        <v>1902</v>
      </c>
      <c r="CA1050" s="1352"/>
    </row>
    <row r="1051" spans="73:79" x14ac:dyDescent="0.3">
      <c r="BU1051" s="165" t="str">
        <f>IF(COUNTIF(BV$76:BV1051,BV1051)=1,MAX(BU$76:BU1050)+1,"")</f>
        <v/>
      </c>
      <c r="BV1051" s="1312">
        <v>430</v>
      </c>
      <c r="BW1051" s="1312">
        <v>550</v>
      </c>
      <c r="BX1051" s="1312">
        <v>550</v>
      </c>
      <c r="BY1051">
        <v>400</v>
      </c>
      <c r="BZ1051" s="1312" t="s">
        <v>1903</v>
      </c>
      <c r="CA1051" s="1352"/>
    </row>
    <row r="1052" spans="73:79" x14ac:dyDescent="0.3">
      <c r="BU1052" s="165" t="str">
        <f>IF(COUNTIF(BV$76:BV1052,BV1052)=1,MAX(BU$76:BU1051)+1,"")</f>
        <v/>
      </c>
      <c r="BV1052" s="1312">
        <v>430</v>
      </c>
      <c r="BW1052" s="1312">
        <v>612</v>
      </c>
      <c r="BX1052" s="1312">
        <v>500</v>
      </c>
      <c r="BY1052">
        <v>400</v>
      </c>
      <c r="BZ1052" s="1312" t="s">
        <v>1904</v>
      </c>
      <c r="CA1052" s="1352" t="s">
        <v>2034</v>
      </c>
    </row>
    <row r="1053" spans="73:79" x14ac:dyDescent="0.3">
      <c r="BU1053" s="165">
        <f>IF(COUNTIF(BV$76:BV1053,BV1053)=1,MAX(BU$76:BU1052)+1,"")</f>
        <v>125</v>
      </c>
      <c r="BV1053" s="1312">
        <v>432.5</v>
      </c>
      <c r="BW1053" s="1312">
        <v>510</v>
      </c>
      <c r="BX1053" s="1312">
        <v>520</v>
      </c>
      <c r="BY1053">
        <v>400</v>
      </c>
      <c r="BZ1053" s="1312" t="s">
        <v>1905</v>
      </c>
      <c r="CA1053" s="1352"/>
    </row>
    <row r="1054" spans="73:79" x14ac:dyDescent="0.3">
      <c r="BU1054" s="165">
        <f>IF(COUNTIF(BV$76:BV1054,BV1054)=1,MAX(BU$76:BU1053)+1,"")</f>
        <v>126</v>
      </c>
      <c r="BV1054" s="1312">
        <v>440</v>
      </c>
      <c r="BW1054" s="1312">
        <v>255</v>
      </c>
      <c r="BX1054" s="1312">
        <v>550</v>
      </c>
      <c r="BY1054">
        <v>400</v>
      </c>
      <c r="BZ1054" s="1312" t="s">
        <v>1906</v>
      </c>
      <c r="CA1054" s="1352"/>
    </row>
    <row r="1055" spans="73:79" x14ac:dyDescent="0.3">
      <c r="BU1055" s="165" t="str">
        <f>IF(COUNTIF(BV$76:BV1055,BV1055)=1,MAX(BU$76:BU1054)+1,"")</f>
        <v/>
      </c>
      <c r="BV1055" s="1312">
        <v>440</v>
      </c>
      <c r="BW1055" s="1312">
        <v>265</v>
      </c>
      <c r="BX1055" s="1312">
        <v>550</v>
      </c>
      <c r="BY1055">
        <v>400</v>
      </c>
      <c r="BZ1055" s="1312" t="s">
        <v>1906</v>
      </c>
      <c r="CA1055" s="1352"/>
    </row>
    <row r="1056" spans="73:79" x14ac:dyDescent="0.3">
      <c r="BU1056" s="165" t="str">
        <f>IF(COUNTIF(BV$76:BV1056,BV1056)=1,MAX(BU$76:BU1055)+1,"")</f>
        <v/>
      </c>
      <c r="BV1056" s="1312">
        <v>440</v>
      </c>
      <c r="BW1056" s="1312">
        <v>513</v>
      </c>
      <c r="BX1056" s="1312">
        <v>500</v>
      </c>
      <c r="BY1056">
        <v>400</v>
      </c>
      <c r="BZ1056" s="1312" t="s">
        <v>1907</v>
      </c>
      <c r="CA1056" s="1352"/>
    </row>
    <row r="1057" spans="73:79" x14ac:dyDescent="0.3">
      <c r="BU1057" s="165" t="str">
        <f>IF(COUNTIF(BV$76:BV1057,BV1057)=1,MAX(BU$76:BU1056)+1,"")</f>
        <v/>
      </c>
      <c r="BV1057" s="1312">
        <v>440</v>
      </c>
      <c r="BW1057" s="1312">
        <v>512</v>
      </c>
      <c r="BX1057" s="1312">
        <v>500</v>
      </c>
      <c r="BY1057">
        <v>400</v>
      </c>
      <c r="BZ1057" s="1312" t="s">
        <v>1907</v>
      </c>
      <c r="CA1057" s="1352"/>
    </row>
    <row r="1058" spans="73:79" x14ac:dyDescent="0.3">
      <c r="BU1058" s="165" t="str">
        <f>IF(COUNTIF(BV$76:BV1058,BV1058)=1,MAX(BU$76:BU1057)+1,"")</f>
        <v/>
      </c>
      <c r="BV1058" s="1312">
        <v>440</v>
      </c>
      <c r="BW1058" s="1312">
        <v>505</v>
      </c>
      <c r="BX1058" s="1312">
        <v>500</v>
      </c>
      <c r="BY1058">
        <v>400</v>
      </c>
      <c r="BZ1058" s="1312" t="s">
        <v>1905</v>
      </c>
      <c r="CA1058" s="1352"/>
    </row>
    <row r="1059" spans="73:79" x14ac:dyDescent="0.3">
      <c r="BU1059" s="165">
        <f>IF(COUNTIF(BV$76:BV1059,BV1059)=1,MAX(BU$76:BU1058)+1,"")</f>
        <v>127</v>
      </c>
      <c r="BV1059" s="1312">
        <v>442.5</v>
      </c>
      <c r="BW1059" s="1312">
        <v>160</v>
      </c>
      <c r="BX1059" s="1312">
        <v>520</v>
      </c>
      <c r="BY1059">
        <v>400</v>
      </c>
      <c r="BZ1059" s="1312" t="s">
        <v>1908</v>
      </c>
      <c r="CA1059" s="1352"/>
    </row>
    <row r="1060" spans="73:79" x14ac:dyDescent="0.3">
      <c r="BU1060" s="165" t="str">
        <f>IF(COUNTIF(BV$76:BV1060,BV1060)=1,MAX(BU$76:BU1059)+1,"")</f>
        <v/>
      </c>
      <c r="BV1060" s="1312">
        <v>442.5</v>
      </c>
      <c r="BW1060" s="1312">
        <v>355</v>
      </c>
      <c r="BX1060" s="1312">
        <v>520</v>
      </c>
      <c r="BY1060">
        <v>400</v>
      </c>
      <c r="BZ1060" s="1312" t="s">
        <v>1909</v>
      </c>
      <c r="CA1060" s="1352"/>
    </row>
    <row r="1061" spans="73:79" x14ac:dyDescent="0.3">
      <c r="BU1061" s="165">
        <f>IF(COUNTIF(BV$76:BV1061,BV1061)=1,MAX(BU$76:BU1060)+1,"")</f>
        <v>128</v>
      </c>
      <c r="BV1061" s="1312">
        <v>445</v>
      </c>
      <c r="BW1061" s="1312">
        <v>160</v>
      </c>
      <c r="BX1061" s="1312">
        <v>520</v>
      </c>
      <c r="BY1061">
        <v>400</v>
      </c>
      <c r="BZ1061" s="1312" t="s">
        <v>1910</v>
      </c>
      <c r="CA1061" s="1352"/>
    </row>
    <row r="1062" spans="73:79" x14ac:dyDescent="0.3">
      <c r="BU1062" s="165" t="str">
        <f>IF(COUNTIF(BV$76:BV1062,BV1062)=1,MAX(BU$76:BU1061)+1,"")</f>
        <v/>
      </c>
      <c r="BV1062" s="1312">
        <v>445</v>
      </c>
      <c r="BW1062" s="1312">
        <v>160</v>
      </c>
      <c r="BX1062" s="1312">
        <v>520</v>
      </c>
      <c r="BY1062">
        <v>400</v>
      </c>
      <c r="BZ1062" s="1312" t="s">
        <v>1910</v>
      </c>
      <c r="CA1062" s="1352"/>
    </row>
    <row r="1063" spans="73:79" x14ac:dyDescent="0.3">
      <c r="BU1063" s="165" t="str">
        <f>IF(COUNTIF(BV$76:BV1063,BV1063)=1,MAX(BU$76:BU1062)+1,"")</f>
        <v/>
      </c>
      <c r="BV1063" s="1312">
        <v>445</v>
      </c>
      <c r="BW1063" s="1312">
        <v>160</v>
      </c>
      <c r="BX1063" s="1312">
        <v>520</v>
      </c>
      <c r="BY1063">
        <v>400</v>
      </c>
      <c r="BZ1063" s="1312" t="s">
        <v>1910</v>
      </c>
      <c r="CA1063" s="1352"/>
    </row>
    <row r="1064" spans="73:79" x14ac:dyDescent="0.3">
      <c r="BU1064" s="165" t="str">
        <f>IF(COUNTIF(BV$76:BV1064,BV1064)=1,MAX(BU$76:BU1063)+1,"")</f>
        <v/>
      </c>
      <c r="BV1064" s="1312">
        <v>445</v>
      </c>
      <c r="BW1064" s="1312">
        <v>160</v>
      </c>
      <c r="BX1064" s="1312">
        <v>520</v>
      </c>
      <c r="BY1064">
        <v>400</v>
      </c>
      <c r="BZ1064" s="1312" t="s">
        <v>1910</v>
      </c>
      <c r="CA1064" s="1352"/>
    </row>
    <row r="1065" spans="73:79" x14ac:dyDescent="0.3">
      <c r="BU1065" s="165" t="str">
        <f>IF(COUNTIF(BV$76:BV1065,BV1065)=1,MAX(BU$76:BU1064)+1,"")</f>
        <v/>
      </c>
      <c r="BV1065" s="1312">
        <v>445</v>
      </c>
      <c r="BW1065" s="1312">
        <v>1140</v>
      </c>
      <c r="BX1065" s="1312">
        <v>530</v>
      </c>
      <c r="BY1065" t="s">
        <v>2147</v>
      </c>
      <c r="BZ1065" s="1312" t="s">
        <v>1124</v>
      </c>
      <c r="CA1065" s="1352" t="s">
        <v>1911</v>
      </c>
    </row>
    <row r="1066" spans="73:79" x14ac:dyDescent="0.3">
      <c r="BU1066" s="165">
        <f>IF(COUNTIF(BV$76:BV1066,BV1066)=1,MAX(BU$76:BU1065)+1,"")</f>
        <v>129</v>
      </c>
      <c r="BV1066" s="1312">
        <v>447.5</v>
      </c>
      <c r="BW1066" s="1312">
        <v>160</v>
      </c>
      <c r="BX1066" s="1312">
        <v>520</v>
      </c>
      <c r="BY1066">
        <v>400</v>
      </c>
      <c r="BZ1066" s="1312" t="s">
        <v>1912</v>
      </c>
      <c r="CA1066" s="1352"/>
    </row>
    <row r="1067" spans="73:79" x14ac:dyDescent="0.3">
      <c r="BU1067" s="165">
        <f>IF(COUNTIF(BV$76:BV1067,BV1067)=1,MAX(BU$76:BU1066)+1,"")</f>
        <v>130</v>
      </c>
      <c r="BV1067" s="1312">
        <v>457.5</v>
      </c>
      <c r="BW1067" s="1312">
        <v>540</v>
      </c>
      <c r="BX1067" s="1312">
        <v>520</v>
      </c>
      <c r="BY1067">
        <v>400</v>
      </c>
      <c r="BZ1067" s="1312" t="s">
        <v>1913</v>
      </c>
      <c r="CA1067" s="1352" t="s">
        <v>1914</v>
      </c>
    </row>
    <row r="1068" spans="73:79" x14ac:dyDescent="0.3">
      <c r="BU1068" s="165">
        <f>IF(COUNTIF(BV$76:BV1068,BV1068)=1,MAX(BU$76:BU1067)+1,"")</f>
        <v>131</v>
      </c>
      <c r="BV1068" s="1312">
        <v>460</v>
      </c>
      <c r="BW1068" s="1312">
        <v>218</v>
      </c>
      <c r="BX1068" s="1312">
        <v>520</v>
      </c>
      <c r="BY1068">
        <v>400</v>
      </c>
      <c r="BZ1068" s="1312" t="s">
        <v>1915</v>
      </c>
      <c r="CA1068" s="1352"/>
    </row>
    <row r="1069" spans="73:79" x14ac:dyDescent="0.3">
      <c r="BU1069" s="165">
        <f>IF(COUNTIF(BV$76:BV1069,BV1069)=1,MAX(BU$76:BU1068)+1,"")</f>
        <v>132</v>
      </c>
      <c r="BV1069" s="1312">
        <v>475</v>
      </c>
      <c r="BW1069" s="1312">
        <v>270</v>
      </c>
      <c r="BX1069" s="1312">
        <v>520</v>
      </c>
      <c r="BY1069">
        <v>400</v>
      </c>
      <c r="BZ1069" s="1312" t="s">
        <v>1916</v>
      </c>
      <c r="CA1069" s="1352" t="s">
        <v>2035</v>
      </c>
    </row>
    <row r="1070" spans="73:79" x14ac:dyDescent="0.3">
      <c r="BU1070" s="165" t="str">
        <f>IF(COUNTIF(BV$76:BV1070,BV1070)=1,MAX(BU$76:BU1069)+1,"")</f>
        <v/>
      </c>
      <c r="BV1070" s="1312">
        <v>475</v>
      </c>
      <c r="BW1070" s="1312">
        <v>397</v>
      </c>
      <c r="BX1070" s="1312">
        <v>520</v>
      </c>
      <c r="BY1070">
        <v>400</v>
      </c>
      <c r="BZ1070" s="1312" t="s">
        <v>1917</v>
      </c>
      <c r="CA1070" s="1352" t="s">
        <v>1918</v>
      </c>
    </row>
    <row r="1071" spans="73:79" x14ac:dyDescent="0.3">
      <c r="BU1071" s="165">
        <f>IF(COUNTIF(BV$76:BV1071,BV1071)=1,MAX(BU$76:BU1070)+1,"")</f>
        <v>133</v>
      </c>
      <c r="BV1071" s="1312">
        <v>480</v>
      </c>
      <c r="BW1071" s="1312">
        <v>630</v>
      </c>
      <c r="BX1071" s="1312">
        <v>610</v>
      </c>
      <c r="BY1071">
        <v>400</v>
      </c>
      <c r="BZ1071" s="1312" t="s">
        <v>1919</v>
      </c>
      <c r="CA1071" s="1352" t="s">
        <v>1920</v>
      </c>
    </row>
    <row r="1072" spans="73:79" x14ac:dyDescent="0.3">
      <c r="BU1072" s="165" t="str">
        <f>IF(COUNTIF(BV$76:BV1072,BV1072)=1,MAX(BU$76:BU1071)+1,"")</f>
        <v/>
      </c>
      <c r="BV1072" s="1312">
        <v>480</v>
      </c>
      <c r="BW1072" s="1312">
        <v>630</v>
      </c>
      <c r="BX1072" s="1312">
        <v>610</v>
      </c>
      <c r="BY1072">
        <v>400</v>
      </c>
      <c r="BZ1072" s="1312" t="s">
        <v>1919</v>
      </c>
      <c r="CA1072" s="1352"/>
    </row>
    <row r="1073" spans="73:79" x14ac:dyDescent="0.3">
      <c r="BU1073" s="165">
        <f>IF(COUNTIF(BV$76:BV1073,BV1073)=1,MAX(BU$76:BU1072)+1,"")</f>
        <v>134</v>
      </c>
      <c r="BV1073" s="1312">
        <v>482.5</v>
      </c>
      <c r="BW1073" s="1312">
        <v>633</v>
      </c>
      <c r="BX1073" s="1312">
        <v>610</v>
      </c>
      <c r="BY1073">
        <v>400</v>
      </c>
      <c r="BZ1073" s="1312" t="s">
        <v>1919</v>
      </c>
      <c r="CA1073" s="1352"/>
    </row>
    <row r="1074" spans="73:79" x14ac:dyDescent="0.3">
      <c r="BU1074" s="165">
        <f>IF(COUNTIF(BV$76:BV1074,BV1074)=1,MAX(BU$76:BU1073)+1,"")</f>
        <v>135</v>
      </c>
      <c r="BV1074" s="1312">
        <v>495</v>
      </c>
      <c r="BW1074" s="1312">
        <v>375</v>
      </c>
      <c r="BX1074" s="1312">
        <v>550</v>
      </c>
      <c r="BY1074">
        <v>400</v>
      </c>
      <c r="BZ1074" s="1312" t="s">
        <v>1921</v>
      </c>
      <c r="CA1074" s="1352" t="s">
        <v>1922</v>
      </c>
    </row>
    <row r="1075" spans="73:79" x14ac:dyDescent="0.3">
      <c r="BU1075" s="165" t="str">
        <f>IF(COUNTIF(BV$76:BV1075,BV1075)=1,MAX(BU$76:BU1074)+1,"")</f>
        <v/>
      </c>
      <c r="BV1075" s="1312">
        <v>495</v>
      </c>
      <c r="BW1075" s="1312">
        <v>380</v>
      </c>
      <c r="BX1075" s="1312">
        <v>550</v>
      </c>
      <c r="BY1075">
        <v>400</v>
      </c>
      <c r="BZ1075" s="1312" t="s">
        <v>1921</v>
      </c>
      <c r="CA1075" s="1352"/>
    </row>
    <row r="1076" spans="73:79" x14ac:dyDescent="0.3">
      <c r="BU1076" s="165">
        <f>IF(COUNTIF(BV$76:BV1076,BV1076)=1,MAX(BU$76:BU1075)+1,"")</f>
        <v>136</v>
      </c>
      <c r="BV1076" s="1312">
        <v>500</v>
      </c>
      <c r="BW1076" s="1312">
        <v>128</v>
      </c>
      <c r="BX1076" s="1312">
        <v>610</v>
      </c>
      <c r="BY1076">
        <v>400</v>
      </c>
      <c r="BZ1076" s="1312" t="s">
        <v>1923</v>
      </c>
      <c r="CA1076" s="1352"/>
    </row>
    <row r="1077" spans="73:79" x14ac:dyDescent="0.3">
      <c r="BU1077" s="165" t="str">
        <f>IF(COUNTIF(BV$76:BV1077,BV1077)=1,MAX(BU$76:BU1076)+1,"")</f>
        <v/>
      </c>
      <c r="BV1077" s="1312">
        <v>500</v>
      </c>
      <c r="BW1077" s="1312">
        <v>680</v>
      </c>
      <c r="BX1077" s="1312">
        <v>610</v>
      </c>
      <c r="BY1077">
        <v>400</v>
      </c>
      <c r="BZ1077" s="1312" t="s">
        <v>1924</v>
      </c>
      <c r="CA1077" s="1352"/>
    </row>
    <row r="1078" spans="73:79" x14ac:dyDescent="0.3">
      <c r="BU1078" s="165" t="str">
        <f>IF(COUNTIF(BV$76:BV1078,BV1078)=1,MAX(BU$76:BU1077)+1,"")</f>
        <v/>
      </c>
      <c r="BV1078" s="1312">
        <v>500</v>
      </c>
      <c r="BW1078" s="1312">
        <v>248</v>
      </c>
      <c r="BX1078" s="1312">
        <v>570</v>
      </c>
      <c r="BY1078">
        <v>400</v>
      </c>
      <c r="BZ1078" s="1312" t="s">
        <v>1925</v>
      </c>
      <c r="CA1078" s="1352"/>
    </row>
    <row r="1079" spans="73:79" x14ac:dyDescent="0.3">
      <c r="BU1079" s="165" t="str">
        <f>IF(COUNTIF(BV$76:BV1079,BV1079)=1,MAX(BU$76:BU1078)+1,"")</f>
        <v/>
      </c>
      <c r="BV1079" s="1312">
        <v>500</v>
      </c>
      <c r="BW1079" s="1312">
        <v>247</v>
      </c>
      <c r="BX1079" s="1312">
        <v>570</v>
      </c>
      <c r="BY1079">
        <v>400</v>
      </c>
      <c r="BZ1079" s="1312" t="s">
        <v>1925</v>
      </c>
      <c r="CA1079" s="1352"/>
    </row>
    <row r="1080" spans="73:79" x14ac:dyDescent="0.3">
      <c r="BU1080" s="165">
        <f>IF(COUNTIF(BV$76:BV1080,BV1080)=1,MAX(BU$76:BU1079)+1,"")</f>
        <v>137</v>
      </c>
      <c r="BV1080" s="1312">
        <v>502.5</v>
      </c>
      <c r="BW1080" s="1312">
        <v>205</v>
      </c>
      <c r="BX1080" s="1312">
        <v>570</v>
      </c>
      <c r="BY1080">
        <v>400</v>
      </c>
      <c r="BZ1080" s="1312" t="s">
        <v>1926</v>
      </c>
      <c r="CA1080" s="1352"/>
    </row>
    <row r="1081" spans="73:79" x14ac:dyDescent="0.3">
      <c r="BU1081" s="165">
        <f>IF(COUNTIF(BV$76:BV1081,BV1081)=1,MAX(BU$76:BU1080)+1,"")</f>
        <v>138</v>
      </c>
      <c r="BV1081" s="1312">
        <v>505</v>
      </c>
      <c r="BW1081" s="1312">
        <v>680</v>
      </c>
      <c r="BX1081" s="1312">
        <v>610</v>
      </c>
      <c r="BY1081">
        <v>400</v>
      </c>
      <c r="BZ1081" s="1312" t="s">
        <v>1924</v>
      </c>
      <c r="CA1081" s="1352"/>
    </row>
    <row r="1082" spans="73:79" x14ac:dyDescent="0.3">
      <c r="BU1082" s="165" t="str">
        <f>IF(COUNTIF(BV$76:BV1082,BV1082)=1,MAX(BU$76:BU1081)+1,"")</f>
        <v/>
      </c>
      <c r="BV1082" s="1312">
        <v>505</v>
      </c>
      <c r="BW1082" s="1312">
        <v>245</v>
      </c>
      <c r="BX1082" s="1312">
        <v>550</v>
      </c>
      <c r="BY1082">
        <v>400</v>
      </c>
      <c r="BZ1082" s="1312" t="s">
        <v>1925</v>
      </c>
      <c r="CA1082" s="1352"/>
    </row>
    <row r="1083" spans="73:79" x14ac:dyDescent="0.3">
      <c r="BU1083" s="165">
        <f>IF(COUNTIF(BV$76:BV1083,BV1083)=1,MAX(BU$76:BU1082)+1,"")</f>
        <v>139</v>
      </c>
      <c r="BV1083" s="1312">
        <v>507.5</v>
      </c>
      <c r="BW1083" s="1312">
        <v>580</v>
      </c>
      <c r="BX1083" s="1312">
        <v>570</v>
      </c>
      <c r="BY1083">
        <v>400</v>
      </c>
      <c r="BZ1083" s="1312" t="s">
        <v>1927</v>
      </c>
      <c r="CA1083" s="1352"/>
    </row>
    <row r="1084" spans="73:79" x14ac:dyDescent="0.3">
      <c r="BU1084" s="165" t="str">
        <f>IF(COUNTIF(BV$76:BV1084,BV1084)=1,MAX(BU$76:BU1083)+1,"")</f>
        <v/>
      </c>
      <c r="BV1084" s="1312">
        <v>507.5</v>
      </c>
      <c r="BW1084" s="1312">
        <v>545</v>
      </c>
      <c r="BX1084" s="1312">
        <v>610</v>
      </c>
      <c r="BY1084">
        <v>400</v>
      </c>
      <c r="BZ1084" s="1312" t="s">
        <v>1927</v>
      </c>
      <c r="CA1084" s="1352"/>
    </row>
    <row r="1085" spans="73:79" x14ac:dyDescent="0.3">
      <c r="BU1085" s="165">
        <f>IF(COUNTIF(BV$76:BV1085,BV1085)=1,MAX(BU$76:BU1084)+1,"")</f>
        <v>140</v>
      </c>
      <c r="BV1085" s="1312">
        <v>510</v>
      </c>
      <c r="BW1085" s="1312">
        <v>120</v>
      </c>
      <c r="BX1085" s="1312">
        <v>610</v>
      </c>
      <c r="BY1085">
        <v>400</v>
      </c>
      <c r="BZ1085" s="1312" t="s">
        <v>1928</v>
      </c>
      <c r="CA1085" s="1352"/>
    </row>
    <row r="1086" spans="73:79" x14ac:dyDescent="0.3">
      <c r="BU1086" s="165" t="str">
        <f>IF(COUNTIF(BV$76:BV1086,BV1086)=1,MAX(BU$76:BU1085)+1,"")</f>
        <v/>
      </c>
      <c r="BV1086" s="1312">
        <v>510</v>
      </c>
      <c r="BW1086" s="1312">
        <v>120</v>
      </c>
      <c r="BX1086" s="1312">
        <v>570</v>
      </c>
      <c r="BY1086">
        <v>400</v>
      </c>
      <c r="BZ1086" s="1312" t="s">
        <v>1928</v>
      </c>
      <c r="CA1086" s="1352"/>
    </row>
    <row r="1087" spans="73:79" x14ac:dyDescent="0.3">
      <c r="BU1087" s="165" t="str">
        <f>IF(COUNTIF(BV$76:BV1087,BV1087)=1,MAX(BU$76:BU1086)+1,"")</f>
        <v/>
      </c>
      <c r="BV1087" s="1312">
        <v>510</v>
      </c>
      <c r="BW1087" s="1312">
        <v>120</v>
      </c>
      <c r="BX1087" s="1312">
        <v>610</v>
      </c>
      <c r="BY1087">
        <v>400</v>
      </c>
      <c r="BZ1087" s="1312" t="s">
        <v>1928</v>
      </c>
      <c r="CA1087" s="1352"/>
    </row>
    <row r="1088" spans="73:79" x14ac:dyDescent="0.3">
      <c r="BU1088" s="165" t="str">
        <f>IF(COUNTIF(BV$76:BV1088,BV1088)=1,MAX(BU$76:BU1087)+1,"")</f>
        <v/>
      </c>
      <c r="BV1088" s="1312">
        <v>510</v>
      </c>
      <c r="BW1088" s="1312">
        <v>120</v>
      </c>
      <c r="BX1088" s="1312">
        <v>610</v>
      </c>
      <c r="BY1088">
        <v>400</v>
      </c>
      <c r="BZ1088" s="1312" t="s">
        <v>1928</v>
      </c>
      <c r="CA1088" s="1352"/>
    </row>
    <row r="1089" spans="73:79" x14ac:dyDescent="0.3">
      <c r="BU1089" s="165">
        <f>IF(COUNTIF(BV$76:BV1089,BV1089)=1,MAX(BU$76:BU1088)+1,"")</f>
        <v>141</v>
      </c>
      <c r="BV1089" s="1312">
        <v>515</v>
      </c>
      <c r="BW1089" s="1312">
        <v>265</v>
      </c>
      <c r="BX1089" s="1312">
        <v>610</v>
      </c>
      <c r="BY1089">
        <v>400</v>
      </c>
      <c r="BZ1089" s="1312" t="s">
        <v>1906</v>
      </c>
      <c r="CA1089" s="1352"/>
    </row>
    <row r="1090" spans="73:79" x14ac:dyDescent="0.3">
      <c r="BU1090" s="165">
        <f>IF(COUNTIF(BV$76:BV1090,BV1090)=1,MAX(BU$76:BU1089)+1,"")</f>
        <v>142</v>
      </c>
      <c r="BV1090" s="1312">
        <v>517.5</v>
      </c>
      <c r="BW1090" s="1312">
        <v>510</v>
      </c>
      <c r="BX1090" s="1312">
        <v>610</v>
      </c>
      <c r="BY1090">
        <v>400</v>
      </c>
      <c r="BZ1090" s="1312" t="s">
        <v>1929</v>
      </c>
      <c r="CA1090" s="1352"/>
    </row>
    <row r="1091" spans="73:79" x14ac:dyDescent="0.3">
      <c r="BU1091" s="165">
        <f>IF(COUNTIF(BV$76:BV1091,BV1091)=1,MAX(BU$76:BU1090)+1,"")</f>
        <v>143</v>
      </c>
      <c r="BV1091" s="1312">
        <v>520</v>
      </c>
      <c r="BW1091" s="1312">
        <v>230</v>
      </c>
      <c r="BX1091" s="1312">
        <v>570</v>
      </c>
      <c r="BY1091">
        <v>400</v>
      </c>
      <c r="BZ1091" s="1312" t="s">
        <v>1930</v>
      </c>
      <c r="CA1091" s="1352" t="s">
        <v>1931</v>
      </c>
    </row>
    <row r="1092" spans="73:79" x14ac:dyDescent="0.3">
      <c r="BU1092" s="165" t="str">
        <f>IF(COUNTIF(BV$76:BV1092,BV1092)=1,MAX(BU$76:BU1091)+1,"")</f>
        <v/>
      </c>
      <c r="BV1092" s="1312">
        <v>520</v>
      </c>
      <c r="BW1092" s="1312">
        <v>615</v>
      </c>
      <c r="BX1092" s="1312">
        <v>570</v>
      </c>
      <c r="BY1092">
        <v>400</v>
      </c>
      <c r="BZ1092" s="1312" t="s">
        <v>1932</v>
      </c>
      <c r="CA1092" s="1352"/>
    </row>
    <row r="1093" spans="73:79" x14ac:dyDescent="0.3">
      <c r="BU1093" s="165" t="str">
        <f>IF(COUNTIF(BV$76:BV1093,BV1093)=1,MAX(BU$76:BU1092)+1,"")</f>
        <v/>
      </c>
      <c r="BV1093" s="1312">
        <v>520</v>
      </c>
      <c r="BW1093" s="1312">
        <v>510</v>
      </c>
      <c r="BX1093" s="1312">
        <v>570</v>
      </c>
      <c r="BY1093">
        <v>400</v>
      </c>
      <c r="BZ1093" s="1312" t="s">
        <v>1929</v>
      </c>
      <c r="CA1093" s="1352"/>
    </row>
    <row r="1094" spans="73:79" x14ac:dyDescent="0.3">
      <c r="BU1094" s="165">
        <f>IF(COUNTIF(BV$76:BV1094,BV1094)=1,MAX(BU$76:BU1093)+1,"")</f>
        <v>144</v>
      </c>
      <c r="BV1094" s="1312">
        <v>522.5</v>
      </c>
      <c r="BW1094" s="1312">
        <v>510</v>
      </c>
      <c r="BX1094" s="1312">
        <v>610</v>
      </c>
      <c r="BY1094">
        <v>400</v>
      </c>
      <c r="BZ1094" s="1312" t="s">
        <v>1933</v>
      </c>
      <c r="CA1094" s="1352"/>
    </row>
    <row r="1095" spans="73:79" x14ac:dyDescent="0.3">
      <c r="BU1095" s="165" t="str">
        <f>IF(COUNTIF(BV$76:BV1095,BV1095)=1,MAX(BU$76:BU1094)+1,"")</f>
        <v/>
      </c>
      <c r="BV1095" s="1312">
        <v>522.5</v>
      </c>
      <c r="BW1095" s="1312">
        <v>277</v>
      </c>
      <c r="BX1095" s="1312">
        <v>570</v>
      </c>
      <c r="BY1095">
        <v>400</v>
      </c>
      <c r="BZ1095" s="1312" t="s">
        <v>1930</v>
      </c>
      <c r="CA1095" s="1352"/>
    </row>
    <row r="1096" spans="73:79" x14ac:dyDescent="0.3">
      <c r="BU1096" s="165">
        <f>IF(COUNTIF(BV$76:BV1096,BV1096)=1,MAX(BU$76:BU1095)+1,"")</f>
        <v>145</v>
      </c>
      <c r="BV1096" s="1312">
        <v>525</v>
      </c>
      <c r="BW1096" s="1312">
        <v>165</v>
      </c>
      <c r="BX1096" s="1312">
        <v>610</v>
      </c>
      <c r="BY1096">
        <v>400</v>
      </c>
      <c r="BZ1096" s="1312" t="s">
        <v>1934</v>
      </c>
      <c r="CA1096" s="1352"/>
    </row>
    <row r="1097" spans="73:79" x14ac:dyDescent="0.3">
      <c r="BU1097" s="165" t="str">
        <f>IF(COUNTIF(BV$76:BV1097,BV1097)=1,MAX(BU$76:BU1096)+1,"")</f>
        <v/>
      </c>
      <c r="BV1097" s="1312">
        <v>525</v>
      </c>
      <c r="BW1097" s="1312">
        <v>615</v>
      </c>
      <c r="BX1097" s="1312">
        <v>570</v>
      </c>
      <c r="BY1097">
        <v>400</v>
      </c>
      <c r="BZ1097" s="1312" t="s">
        <v>1935</v>
      </c>
      <c r="CA1097" s="1352"/>
    </row>
    <row r="1098" spans="73:79" x14ac:dyDescent="0.3">
      <c r="BU1098" s="165">
        <f>IF(COUNTIF(BV$76:BV1098,BV1098)=1,MAX(BU$76:BU1097)+1,"")</f>
        <v>146</v>
      </c>
      <c r="BV1098" s="1312">
        <v>527.5</v>
      </c>
      <c r="BW1098" s="1312">
        <v>508</v>
      </c>
      <c r="BX1098" s="1312">
        <v>610</v>
      </c>
      <c r="BY1098">
        <v>400</v>
      </c>
      <c r="BZ1098" s="1312" t="s">
        <v>1936</v>
      </c>
      <c r="CA1098" s="1352"/>
    </row>
    <row r="1099" spans="73:79" x14ac:dyDescent="0.3">
      <c r="BU1099" s="165" t="str">
        <f>IF(COUNTIF(BV$76:BV1099,BV1099)=1,MAX(BU$76:BU1098)+1,"")</f>
        <v/>
      </c>
      <c r="BV1099" s="1312">
        <v>527.5</v>
      </c>
      <c r="BW1099" s="1312">
        <v>677</v>
      </c>
      <c r="BX1099" s="1312">
        <v>570</v>
      </c>
      <c r="BY1099">
        <v>400</v>
      </c>
      <c r="BZ1099" s="1312" t="s">
        <v>1924</v>
      </c>
      <c r="CA1099" s="1352" t="s">
        <v>1937</v>
      </c>
    </row>
    <row r="1100" spans="73:79" x14ac:dyDescent="0.3">
      <c r="BU1100" s="165">
        <f>IF(COUNTIF(BV$76:BV1100,BV1100)=1,MAX(BU$76:BU1099)+1,"")</f>
        <v>147</v>
      </c>
      <c r="BV1100" s="1312">
        <v>530</v>
      </c>
      <c r="BW1100" s="1312">
        <v>375</v>
      </c>
      <c r="BX1100" s="1312">
        <v>610</v>
      </c>
      <c r="BY1100">
        <v>400</v>
      </c>
      <c r="BZ1100" s="1312" t="s">
        <v>1938</v>
      </c>
      <c r="CA1100" s="1352" t="s">
        <v>1939</v>
      </c>
    </row>
    <row r="1101" spans="73:79" x14ac:dyDescent="0.3">
      <c r="BU1101" s="165" t="str">
        <f>IF(COUNTIF(BV$76:BV1101,BV1101)=1,MAX(BU$76:BU1100)+1,"")</f>
        <v/>
      </c>
      <c r="BV1101" s="1312">
        <v>530</v>
      </c>
      <c r="BW1101" s="1312">
        <v>374</v>
      </c>
      <c r="BX1101" s="1312">
        <v>610</v>
      </c>
      <c r="BY1101">
        <v>400</v>
      </c>
      <c r="BZ1101" s="1312" t="s">
        <v>1938</v>
      </c>
      <c r="CA1101" s="1352"/>
    </row>
    <row r="1102" spans="73:79" x14ac:dyDescent="0.3">
      <c r="BU1102" s="165">
        <f>IF(COUNTIF(BV$76:BV1102,BV1102)=1,MAX(BU$76:BU1101)+1,"")</f>
        <v>148</v>
      </c>
      <c r="BV1102" s="1312">
        <v>532.5</v>
      </c>
      <c r="BW1102" s="1312">
        <v>550</v>
      </c>
      <c r="BX1102" s="1312">
        <v>610</v>
      </c>
      <c r="BY1102">
        <v>400</v>
      </c>
      <c r="BZ1102" s="1312" t="s">
        <v>1940</v>
      </c>
      <c r="CA1102" s="1352"/>
    </row>
    <row r="1103" spans="73:79" x14ac:dyDescent="0.3">
      <c r="BU1103" s="165">
        <f>IF(COUNTIF(BV$76:BV1103,BV1103)=1,MAX(BU$76:BU1102)+1,"")</f>
        <v>149</v>
      </c>
      <c r="BV1103" s="1312">
        <v>535</v>
      </c>
      <c r="BW1103" s="1312">
        <v>170</v>
      </c>
      <c r="BX1103" s="1312">
        <v>610</v>
      </c>
      <c r="BY1103">
        <v>400</v>
      </c>
      <c r="BZ1103" s="1312" t="s">
        <v>1941</v>
      </c>
      <c r="CA1103" s="1352" t="s">
        <v>1942</v>
      </c>
    </row>
    <row r="1104" spans="73:79" x14ac:dyDescent="0.3">
      <c r="BU1104" s="165">
        <f>IF(COUNTIF(BV$76:BV1104,BV1104)=1,MAX(BU$76:BU1103)+1,"")</f>
        <v>150</v>
      </c>
      <c r="BV1104" s="1312">
        <v>537.5</v>
      </c>
      <c r="BW1104" s="1312">
        <v>260</v>
      </c>
      <c r="BX1104" s="1312">
        <v>610</v>
      </c>
      <c r="BY1104">
        <v>400</v>
      </c>
      <c r="BZ1104" s="1312" t="s">
        <v>1943</v>
      </c>
      <c r="CA1104" s="1352"/>
    </row>
    <row r="1105" spans="73:79" x14ac:dyDescent="0.3">
      <c r="BU1105" s="165">
        <f>IF(COUNTIF(BV$76:BV1105,BV1105)=1,MAX(BU$76:BU1104)+1,"")</f>
        <v>151</v>
      </c>
      <c r="BV1105" s="1312">
        <v>545</v>
      </c>
      <c r="BW1105" s="1312">
        <v>403</v>
      </c>
      <c r="BX1105" s="1312">
        <v>640</v>
      </c>
      <c r="BY1105">
        <v>400</v>
      </c>
      <c r="BZ1105" s="1312" t="s">
        <v>1944</v>
      </c>
      <c r="CA1105" s="1352"/>
    </row>
    <row r="1106" spans="73:79" x14ac:dyDescent="0.3">
      <c r="BU1106" s="165">
        <f>IF(COUNTIF(BV$76:BV1106,BV1106)=1,MAX(BU$76:BU1105)+1,"")</f>
        <v>152</v>
      </c>
      <c r="BV1106" s="1312">
        <v>547.5</v>
      </c>
      <c r="BW1106" s="1312">
        <v>263</v>
      </c>
      <c r="BX1106" s="1312">
        <v>610</v>
      </c>
      <c r="BY1106">
        <v>400</v>
      </c>
      <c r="BZ1106" s="1312" t="s">
        <v>1943</v>
      </c>
      <c r="CA1106" s="1352"/>
    </row>
    <row r="1107" spans="73:79" x14ac:dyDescent="0.3">
      <c r="BU1107" s="165">
        <f>IF(COUNTIF(BV$76:BV1107,BV1107)=1,MAX(BU$76:BU1106)+1,"")</f>
        <v>153</v>
      </c>
      <c r="BV1107" s="1312">
        <v>555</v>
      </c>
      <c r="BW1107" s="1312">
        <v>135</v>
      </c>
      <c r="BX1107" s="1312">
        <v>640</v>
      </c>
      <c r="BY1107">
        <v>400</v>
      </c>
      <c r="BZ1107" s="1312" t="s">
        <v>1945</v>
      </c>
      <c r="CA1107" s="1352"/>
    </row>
    <row r="1108" spans="73:79" x14ac:dyDescent="0.3">
      <c r="BU1108" s="165" t="str">
        <f>IF(COUNTIF(BV$76:BV1108,BV1108)=1,MAX(BU$76:BU1107)+1,"")</f>
        <v/>
      </c>
      <c r="BV1108" s="1312">
        <v>555</v>
      </c>
      <c r="BW1108" s="1312">
        <v>132</v>
      </c>
      <c r="BX1108" s="1312">
        <v>640</v>
      </c>
      <c r="BY1108">
        <v>400</v>
      </c>
      <c r="BZ1108" s="1312" t="s">
        <v>1945</v>
      </c>
      <c r="CA1108" s="1352"/>
    </row>
    <row r="1109" spans="73:79" x14ac:dyDescent="0.3">
      <c r="BU1109" s="165" t="str">
        <f>IF(COUNTIF(BV$76:BV1109,BV1109)=1,MAX(BU$76:BU1108)+1,"")</f>
        <v/>
      </c>
      <c r="BV1109" s="1312">
        <v>555</v>
      </c>
      <c r="BW1109" s="1312">
        <v>645</v>
      </c>
      <c r="BX1109" s="1312">
        <v>640</v>
      </c>
      <c r="BY1109">
        <v>400</v>
      </c>
      <c r="BZ1109" s="1312" t="s">
        <v>1946</v>
      </c>
      <c r="CA1109" s="1352" t="s">
        <v>1947</v>
      </c>
    </row>
    <row r="1110" spans="73:79" x14ac:dyDescent="0.3">
      <c r="BU1110" s="165">
        <f>IF(COUNTIF(BV$76:BV1110,BV1110)=1,MAX(BU$76:BU1109)+1,"")</f>
        <v>154</v>
      </c>
      <c r="BV1110" s="1312">
        <v>560</v>
      </c>
      <c r="BW1110" s="1312">
        <v>135</v>
      </c>
      <c r="BX1110" s="1312">
        <v>610</v>
      </c>
      <c r="BY1110">
        <v>400</v>
      </c>
      <c r="BZ1110" s="1312" t="s">
        <v>1945</v>
      </c>
      <c r="CA1110" s="1352"/>
    </row>
    <row r="1111" spans="73:79" x14ac:dyDescent="0.3">
      <c r="BU1111" s="165">
        <f>IF(COUNTIF(BV$76:BV1111,BV1111)=1,MAX(BU$76:BU1110)+1,"")</f>
        <v>155</v>
      </c>
      <c r="BV1111" s="1312">
        <v>565</v>
      </c>
      <c r="BW1111" s="1312">
        <v>350</v>
      </c>
      <c r="BX1111" s="1312">
        <v>640</v>
      </c>
      <c r="BY1111">
        <v>400</v>
      </c>
      <c r="BZ1111" s="1312" t="s">
        <v>1909</v>
      </c>
      <c r="CA1111" s="1352" t="s">
        <v>1948</v>
      </c>
    </row>
    <row r="1112" spans="73:79" x14ac:dyDescent="0.3">
      <c r="BU1112" s="165" t="str">
        <f>IF(COUNTIF(BV$76:BV1112,BV1112)=1,MAX(BU$76:BU1111)+1,"")</f>
        <v/>
      </c>
      <c r="BV1112" s="1312">
        <v>565</v>
      </c>
      <c r="BW1112" s="1312">
        <v>588</v>
      </c>
      <c r="BX1112" s="1312">
        <v>640</v>
      </c>
      <c r="BY1112">
        <v>400</v>
      </c>
      <c r="BZ1112" s="1312" t="s">
        <v>1927</v>
      </c>
      <c r="CA1112" s="1352"/>
    </row>
    <row r="1113" spans="73:79" x14ac:dyDescent="0.3">
      <c r="BU1113" s="165">
        <f>IF(COUNTIF(BV$76:BV1113,BV1113)=1,MAX(BU$76:BU1112)+1,"")</f>
        <v>156</v>
      </c>
      <c r="BV1113" s="1312">
        <v>572.5</v>
      </c>
      <c r="BW1113" s="1312">
        <v>645</v>
      </c>
      <c r="BX1113" s="1312">
        <v>670</v>
      </c>
      <c r="BY1113">
        <v>400</v>
      </c>
      <c r="BZ1113" s="1312" t="s">
        <v>1946</v>
      </c>
      <c r="CA1113" s="1352"/>
    </row>
    <row r="1114" spans="73:79" x14ac:dyDescent="0.3">
      <c r="BU1114" s="165">
        <f>IF(COUNTIF(BV$76:BV1114,BV1114)=1,MAX(BU$76:BU1113)+1,"")</f>
        <v>157</v>
      </c>
      <c r="BV1114" s="1312">
        <v>575</v>
      </c>
      <c r="BW1114" s="1312">
        <v>280</v>
      </c>
      <c r="BX1114" s="1312">
        <v>640</v>
      </c>
      <c r="BY1114">
        <v>400</v>
      </c>
      <c r="BZ1114" s="1312" t="s">
        <v>1916</v>
      </c>
      <c r="CA1114" s="1352" t="s">
        <v>1948</v>
      </c>
    </row>
    <row r="1115" spans="73:79" x14ac:dyDescent="0.3">
      <c r="BU1115" s="165" t="str">
        <f>IF(COUNTIF(BV$76:BV1115,BV1115)=1,MAX(BU$76:BU1114)+1,"")</f>
        <v/>
      </c>
      <c r="BV1115" s="1312">
        <v>575</v>
      </c>
      <c r="BW1115" s="1312">
        <v>483</v>
      </c>
      <c r="BX1115" s="1312">
        <v>640</v>
      </c>
      <c r="BY1115">
        <v>400</v>
      </c>
      <c r="BZ1115" s="1312" t="s">
        <v>1949</v>
      </c>
      <c r="CA1115" s="1352"/>
    </row>
    <row r="1116" spans="73:79" x14ac:dyDescent="0.3">
      <c r="BU1116" s="165">
        <f>IF(COUNTIF(BV$76:BV1116,BV1116)=1,MAX(BU$76:BU1115)+1,"")</f>
        <v>158</v>
      </c>
      <c r="BV1116" s="1312">
        <v>580</v>
      </c>
      <c r="BW1116" s="1312">
        <v>457</v>
      </c>
      <c r="BX1116" s="1312">
        <v>670</v>
      </c>
      <c r="BY1116">
        <v>400</v>
      </c>
      <c r="BZ1116" s="1312" t="s">
        <v>1949</v>
      </c>
      <c r="CA1116" s="1352"/>
    </row>
    <row r="1117" spans="73:79" x14ac:dyDescent="0.3">
      <c r="BU1117" s="165">
        <f>IF(COUNTIF(BV$76:BV1117,BV1117)=1,MAX(BU$76:BU1116)+1,"")</f>
        <v>159</v>
      </c>
      <c r="BV1117" s="1312">
        <v>585</v>
      </c>
      <c r="BW1117" s="1312">
        <v>315</v>
      </c>
      <c r="BX1117" s="1312">
        <v>700</v>
      </c>
      <c r="BY1117">
        <v>400</v>
      </c>
      <c r="BZ1117" s="1312" t="s">
        <v>1950</v>
      </c>
      <c r="CA1117" s="1352" t="s">
        <v>1951</v>
      </c>
    </row>
    <row r="1118" spans="73:79" x14ac:dyDescent="0.3">
      <c r="BU1118" s="165" t="str">
        <f>IF(COUNTIF(BV$76:BV1118,BV1118)=1,MAX(BU$76:BU1117)+1,"")</f>
        <v/>
      </c>
      <c r="BV1118" s="1312">
        <v>585</v>
      </c>
      <c r="BW1118" s="1312">
        <v>360</v>
      </c>
      <c r="BX1118" s="1312">
        <v>670</v>
      </c>
      <c r="BY1118">
        <v>400</v>
      </c>
      <c r="BZ1118" s="1312" t="s">
        <v>1952</v>
      </c>
      <c r="CA1118" s="1352"/>
    </row>
    <row r="1119" spans="73:79" x14ac:dyDescent="0.3">
      <c r="BU1119" s="165">
        <f>IF(COUNTIF(BV$76:BV1119,BV1119)=1,MAX(BU$76:BU1118)+1,"")</f>
        <v>160</v>
      </c>
      <c r="BV1119" s="1312">
        <v>590</v>
      </c>
      <c r="BW1119" s="1312">
        <v>363</v>
      </c>
      <c r="BX1119" s="1312">
        <v>700</v>
      </c>
      <c r="BY1119">
        <v>400</v>
      </c>
      <c r="BZ1119" s="1312" t="s">
        <v>1952</v>
      </c>
      <c r="CA1119" s="1352" t="s">
        <v>1953</v>
      </c>
    </row>
    <row r="1120" spans="73:79" x14ac:dyDescent="0.3">
      <c r="BU1120" s="165">
        <f>IF(COUNTIF(BV$76:BV1120,BV1120)=1,MAX(BU$76:BU1119)+1,"")</f>
        <v>161</v>
      </c>
      <c r="BV1120" s="1312">
        <v>592.5</v>
      </c>
      <c r="BW1120" s="1312">
        <v>270</v>
      </c>
      <c r="BX1120" s="1312">
        <v>700</v>
      </c>
      <c r="BY1120">
        <v>400</v>
      </c>
      <c r="BZ1120" s="1312" t="s">
        <v>1954</v>
      </c>
      <c r="CA1120" s="1352"/>
    </row>
    <row r="1121" spans="73:79" x14ac:dyDescent="0.3">
      <c r="BU1121" s="165">
        <f>IF(COUNTIF(BV$76:BV1121,BV1121)=1,MAX(BU$76:BU1120)+1,"")</f>
        <v>162</v>
      </c>
      <c r="BV1121" s="1312">
        <v>595</v>
      </c>
      <c r="BW1121" s="1312">
        <v>300</v>
      </c>
      <c r="BX1121" s="1312">
        <v>670</v>
      </c>
      <c r="BY1121">
        <v>400</v>
      </c>
      <c r="BZ1121" s="1312" t="s">
        <v>1955</v>
      </c>
      <c r="CA1121" s="1352"/>
    </row>
    <row r="1122" spans="73:79" x14ac:dyDescent="0.3">
      <c r="BU1122" s="165">
        <f>IF(COUNTIF(BV$76:BV1122,BV1122)=1,MAX(BU$76:BU1121)+1,"")</f>
        <v>163</v>
      </c>
      <c r="BV1122" s="1312">
        <v>597.5</v>
      </c>
      <c r="BW1122" s="1312">
        <v>592</v>
      </c>
      <c r="BX1122" s="1312">
        <v>700</v>
      </c>
      <c r="BY1122">
        <v>400</v>
      </c>
      <c r="BZ1122" s="1312" t="s">
        <v>1956</v>
      </c>
      <c r="CA1122" s="1352"/>
    </row>
    <row r="1123" spans="73:79" x14ac:dyDescent="0.3">
      <c r="BU1123" s="165">
        <f>IF(COUNTIF(BV$76:BV1123,BV1123)=1,MAX(BU$76:BU1122)+1,"")</f>
        <v>164</v>
      </c>
      <c r="BV1123" s="1312">
        <v>600</v>
      </c>
      <c r="BW1123" s="1312">
        <v>260</v>
      </c>
      <c r="BX1123" s="1312">
        <v>670</v>
      </c>
      <c r="BY1123">
        <v>400</v>
      </c>
      <c r="BZ1123" s="1312" t="s">
        <v>1957</v>
      </c>
      <c r="CA1123" s="1352"/>
    </row>
    <row r="1124" spans="73:79" x14ac:dyDescent="0.3">
      <c r="BU1124" s="165">
        <f>IF(COUNTIF(BV$76:BV1124,BV1124)=1,MAX(BU$76:BU1123)+1,"")</f>
        <v>165</v>
      </c>
      <c r="BV1124" s="1312">
        <v>610</v>
      </c>
      <c r="BW1124" s="1312">
        <v>643</v>
      </c>
      <c r="BX1124" s="1312">
        <v>670</v>
      </c>
      <c r="BY1124">
        <v>400</v>
      </c>
      <c r="BZ1124" s="1312" t="s">
        <v>1956</v>
      </c>
      <c r="CA1124" s="1352"/>
    </row>
    <row r="1125" spans="73:79" x14ac:dyDescent="0.3">
      <c r="BU1125" s="165" t="str">
        <f>IF(COUNTIF(BV$76:BV1125,BV1125)=1,MAX(BU$76:BU1124)+1,"")</f>
        <v/>
      </c>
      <c r="BV1125" s="1312">
        <v>610</v>
      </c>
      <c r="BW1125" s="1312">
        <v>420</v>
      </c>
      <c r="BX1125" s="1312">
        <v>700</v>
      </c>
      <c r="BY1125">
        <v>400</v>
      </c>
      <c r="BZ1125" s="1312" t="s">
        <v>1958</v>
      </c>
      <c r="CA1125" s="1352"/>
    </row>
    <row r="1126" spans="73:79" x14ac:dyDescent="0.3">
      <c r="BU1126" s="165">
        <f>IF(COUNTIF(BV$76:BV1126,BV1126)=1,MAX(BU$76:BU1125)+1,"")</f>
        <v>166</v>
      </c>
      <c r="BV1126" s="1312">
        <v>620</v>
      </c>
      <c r="BW1126" s="1312">
        <v>640</v>
      </c>
      <c r="BX1126" s="1312">
        <v>700</v>
      </c>
      <c r="BY1126">
        <v>400</v>
      </c>
      <c r="BZ1126" s="1312" t="s">
        <v>1956</v>
      </c>
      <c r="CA1126" s="1352"/>
    </row>
    <row r="1127" spans="73:79" x14ac:dyDescent="0.3">
      <c r="BU1127" s="165">
        <f>IF(COUNTIF(BV$76:BV1127,BV1127)=1,MAX(BU$76:BU1126)+1,"")</f>
        <v>167</v>
      </c>
      <c r="BV1127" s="1312">
        <v>622.5</v>
      </c>
      <c r="BW1127" s="1312">
        <v>200</v>
      </c>
      <c r="BX1127" s="1312">
        <v>700</v>
      </c>
      <c r="BY1127">
        <v>400</v>
      </c>
      <c r="BZ1127" s="1312" t="s">
        <v>1959</v>
      </c>
      <c r="CA1127" s="1352" t="s">
        <v>1960</v>
      </c>
    </row>
    <row r="1128" spans="73:79" x14ac:dyDescent="0.3">
      <c r="BU1128" s="165">
        <f>IF(COUNTIF(BV$76:BV1128,BV1128)=1,MAX(BU$76:BU1127)+1,"")</f>
        <v>168</v>
      </c>
      <c r="BV1128" s="1312">
        <v>625</v>
      </c>
      <c r="BW1128" s="1312">
        <v>200</v>
      </c>
      <c r="BX1128" s="1312">
        <v>700</v>
      </c>
      <c r="BY1128">
        <v>400</v>
      </c>
      <c r="BZ1128" s="1312" t="s">
        <v>1961</v>
      </c>
      <c r="CA1128" s="1352"/>
    </row>
    <row r="1129" spans="73:79" ht="28.8" x14ac:dyDescent="0.3">
      <c r="BU1129" s="165">
        <f>IF(COUNTIF(BV$76:BV1129,BV1129)=1,MAX(BU$76:BU1128)+1,"")</f>
        <v>169</v>
      </c>
      <c r="BV1129" s="1312">
        <v>627.5</v>
      </c>
      <c r="BW1129" s="1312">
        <v>200</v>
      </c>
      <c r="BX1129" s="1312">
        <v>670</v>
      </c>
      <c r="BY1129">
        <v>400</v>
      </c>
      <c r="BZ1129" s="1312" t="s">
        <v>1962</v>
      </c>
      <c r="CA1129" s="1352" t="s">
        <v>1963</v>
      </c>
    </row>
    <row r="1130" spans="73:79" x14ac:dyDescent="0.3">
      <c r="BU1130" s="165">
        <f>IF(COUNTIF(BV$76:BV1130,BV1130)=1,MAX(BU$76:BU1129)+1,"")</f>
        <v>170</v>
      </c>
      <c r="BV1130" s="1312">
        <v>630</v>
      </c>
      <c r="BW1130" s="1312">
        <v>420</v>
      </c>
      <c r="BX1130" s="1312">
        <v>700</v>
      </c>
      <c r="BY1130">
        <v>400</v>
      </c>
      <c r="BZ1130" s="1312" t="s">
        <v>1964</v>
      </c>
      <c r="CA1130" s="1352"/>
    </row>
    <row r="1131" spans="73:79" x14ac:dyDescent="0.3">
      <c r="BU1131" s="165">
        <f>IF(COUNTIF(BV$76:BV1131,BV1131)=1,MAX(BU$76:BU1130)+1,"")</f>
        <v>171</v>
      </c>
      <c r="BV1131" s="1312">
        <v>635</v>
      </c>
      <c r="BW1131" s="1312">
        <v>320</v>
      </c>
      <c r="BX1131" s="1312">
        <v>700</v>
      </c>
      <c r="BY1131">
        <v>400</v>
      </c>
      <c r="BZ1131" s="1312" t="s">
        <v>1965</v>
      </c>
      <c r="CA1131" s="1352"/>
    </row>
    <row r="1132" spans="73:79" x14ac:dyDescent="0.3">
      <c r="BU1132" s="165" t="str">
        <f>IF(COUNTIF(BV$76:BV1132,BV1132)=1,MAX(BU$76:BU1131)+1,"")</f>
        <v/>
      </c>
      <c r="BV1132" s="1312">
        <v>635</v>
      </c>
      <c r="BW1132" s="1312">
        <v>420</v>
      </c>
      <c r="BX1132" s="1312">
        <v>700</v>
      </c>
      <c r="BY1132">
        <v>400</v>
      </c>
      <c r="BZ1132" s="1312" t="s">
        <v>1966</v>
      </c>
      <c r="CA1132" s="1352"/>
    </row>
    <row r="1133" spans="73:79" x14ac:dyDescent="0.3">
      <c r="BU1133" s="165">
        <f>IF(COUNTIF(BV$76:BV1133,BV1133)=1,MAX(BU$76:BU1132)+1,"")</f>
        <v>172</v>
      </c>
      <c r="BV1133" s="1312">
        <v>637.5</v>
      </c>
      <c r="BW1133" s="1312">
        <v>470</v>
      </c>
      <c r="BX1133" s="1312">
        <v>700</v>
      </c>
      <c r="BY1133">
        <v>400</v>
      </c>
      <c r="BZ1133" s="1312">
        <v>7260106</v>
      </c>
      <c r="CA1133" s="1352"/>
    </row>
    <row r="1134" spans="73:79" ht="28.8" x14ac:dyDescent="0.3">
      <c r="BU1134" s="165">
        <f>IF(COUNTIF(BV$76:BV1134,BV1134)=1,MAX(BU$76:BU1133)+1,"")</f>
        <v>173</v>
      </c>
      <c r="BV1134" s="1312">
        <v>642.5</v>
      </c>
      <c r="BW1134" s="1312">
        <v>575</v>
      </c>
      <c r="BX1134" s="1312">
        <v>700</v>
      </c>
      <c r="BY1134">
        <v>400</v>
      </c>
      <c r="BZ1134" s="1312" t="s">
        <v>1967</v>
      </c>
      <c r="CA1134" s="1352" t="s">
        <v>2036</v>
      </c>
    </row>
    <row r="1135" spans="73:79" x14ac:dyDescent="0.3">
      <c r="BU1135" s="165">
        <f>IF(COUNTIF(BV$76:BV1135,BV1135)=1,MAX(BU$76:BU1134)+1,"")</f>
        <v>174</v>
      </c>
      <c r="BV1135" s="1312">
        <v>650</v>
      </c>
      <c r="BW1135" s="1312">
        <v>155</v>
      </c>
      <c r="BX1135" s="1312">
        <v>700</v>
      </c>
      <c r="BY1135">
        <v>400</v>
      </c>
      <c r="BZ1135" s="1312" t="s">
        <v>1968</v>
      </c>
      <c r="CA1135" s="1352" t="s">
        <v>1969</v>
      </c>
    </row>
    <row r="1136" spans="73:79" x14ac:dyDescent="0.3">
      <c r="BU1136" s="165" t="str">
        <f>IF(COUNTIF(BV$76:BV1136,BV1136)=1,MAX(BU$76:BU1135)+1,"")</f>
        <v/>
      </c>
      <c r="BV1136" s="1312">
        <v>650</v>
      </c>
      <c r="BW1136" s="1312">
        <v>153</v>
      </c>
      <c r="BX1136" s="1312">
        <v>700</v>
      </c>
      <c r="BY1136">
        <v>400</v>
      </c>
      <c r="BZ1136" s="1312" t="s">
        <v>1968</v>
      </c>
      <c r="CA1136" s="1352" t="s">
        <v>2037</v>
      </c>
    </row>
    <row r="1137" spans="73:79" x14ac:dyDescent="0.3">
      <c r="BU1137" s="165" t="str">
        <f>IF(COUNTIF(BV$76:BV1137,BV1137)=1,MAX(BU$76:BU1136)+1,"")</f>
        <v/>
      </c>
      <c r="BV1137" s="1312">
        <v>650</v>
      </c>
      <c r="BW1137" s="1312">
        <v>155</v>
      </c>
      <c r="BX1137" s="1312">
        <v>700</v>
      </c>
      <c r="BY1137">
        <v>400</v>
      </c>
      <c r="BZ1137" s="1312" t="s">
        <v>1968</v>
      </c>
      <c r="CA1137" s="1352"/>
    </row>
    <row r="1138" spans="73:79" x14ac:dyDescent="0.3">
      <c r="BU1138" s="165" t="str">
        <f>IF(COUNTIF(BV$76:BV1138,BV1138)=1,MAX(BU$76:BU1137)+1,"")</f>
        <v/>
      </c>
      <c r="BV1138" s="1312">
        <v>650</v>
      </c>
      <c r="BW1138" s="1312">
        <v>150</v>
      </c>
      <c r="BX1138" s="1312">
        <v>700</v>
      </c>
      <c r="BY1138">
        <v>400</v>
      </c>
      <c r="BZ1138" s="1312" t="s">
        <v>1968</v>
      </c>
      <c r="CA1138" s="1352"/>
    </row>
    <row r="1139" spans="73:79" x14ac:dyDescent="0.3">
      <c r="BU1139" s="165">
        <f>IF(COUNTIF(BV$76:BV1139,BV1139)=1,MAX(BU$76:BU1138)+1,"")</f>
        <v>175</v>
      </c>
      <c r="BV1139" s="1312">
        <v>652.5</v>
      </c>
      <c r="BW1139" s="1312">
        <v>154</v>
      </c>
      <c r="BX1139" s="1312">
        <v>700</v>
      </c>
      <c r="BY1139">
        <v>400</v>
      </c>
      <c r="BZ1139" s="1312" t="s">
        <v>1968</v>
      </c>
      <c r="CA1139" s="1352"/>
    </row>
    <row r="1140" spans="73:79" x14ac:dyDescent="0.3">
      <c r="BU1140" s="165" t="str">
        <f>IF(COUNTIF(BV$76:BV1140,BV1140)=1,MAX(BU$76:BU1139)+1,"")</f>
        <v/>
      </c>
      <c r="BV1140" s="1312">
        <v>652.5</v>
      </c>
      <c r="BW1140" s="1312">
        <v>150</v>
      </c>
      <c r="BX1140" s="1312">
        <v>700</v>
      </c>
      <c r="BY1140">
        <v>400</v>
      </c>
      <c r="BZ1140" s="1312" t="s">
        <v>1968</v>
      </c>
      <c r="CA1140" s="1352"/>
    </row>
    <row r="1141" spans="73:79" x14ac:dyDescent="0.3">
      <c r="BU1141" s="165">
        <f>IF(COUNTIF(BV$76:BV1141,BV1141)=1,MAX(BU$76:BU1140)+1,"")</f>
        <v>176</v>
      </c>
      <c r="BV1141" s="1312">
        <v>655</v>
      </c>
      <c r="BW1141" s="1312">
        <v>175</v>
      </c>
      <c r="BX1141" s="1312">
        <v>700</v>
      </c>
      <c r="BY1141">
        <v>400</v>
      </c>
      <c r="BZ1141" s="1312" t="s">
        <v>1970</v>
      </c>
      <c r="CA1141" s="1352"/>
    </row>
    <row r="1142" spans="73:79" x14ac:dyDescent="0.3">
      <c r="BU1142" s="165" t="str">
        <f>IF(COUNTIF(BV$76:BV1142,BV1142)=1,MAX(BU$76:BU1141)+1,"")</f>
        <v/>
      </c>
      <c r="BV1142" s="1312">
        <v>655</v>
      </c>
      <c r="BW1142" s="1312">
        <v>153</v>
      </c>
      <c r="BX1142" s="1312">
        <v>700</v>
      </c>
      <c r="BY1142">
        <v>400</v>
      </c>
      <c r="BZ1142" s="1312" t="s">
        <v>1968</v>
      </c>
      <c r="CA1142" s="1352"/>
    </row>
    <row r="1143" spans="73:79" x14ac:dyDescent="0.3">
      <c r="BU1143" s="165" t="str">
        <f>IF(COUNTIF(BV$76:BV1143,BV1143)=1,MAX(BU$76:BU1142)+1,"")</f>
        <v/>
      </c>
      <c r="BV1143" s="1312">
        <v>655</v>
      </c>
      <c r="BW1143" s="1312">
        <v>155</v>
      </c>
      <c r="BX1143" s="1312">
        <v>700</v>
      </c>
      <c r="BY1143">
        <v>400</v>
      </c>
      <c r="BZ1143" s="1312" t="s">
        <v>1968</v>
      </c>
      <c r="CA1143" s="1352"/>
    </row>
    <row r="1144" spans="73:79" x14ac:dyDescent="0.3">
      <c r="BU1144" s="165" t="str">
        <f>IF(COUNTIF(BV$76:BV1144,BV1144)=1,MAX(BU$76:BU1143)+1,"")</f>
        <v/>
      </c>
      <c r="BV1144" s="1312">
        <v>655</v>
      </c>
      <c r="BW1144" s="1312">
        <v>155</v>
      </c>
      <c r="BX1144" s="1312">
        <v>700</v>
      </c>
      <c r="BY1144">
        <v>400</v>
      </c>
      <c r="BZ1144" s="1312" t="s">
        <v>1968</v>
      </c>
      <c r="CA1144" s="1352"/>
    </row>
    <row r="1145" spans="73:79" x14ac:dyDescent="0.3">
      <c r="BU1145" s="165" t="str">
        <f>IF(COUNTIF(BV$76:BV1145,BV1145)=1,MAX(BU$76:BU1144)+1,"")</f>
        <v/>
      </c>
      <c r="BV1145" s="1312">
        <v>655</v>
      </c>
      <c r="BW1145" s="1312">
        <v>155</v>
      </c>
      <c r="BX1145" s="1312">
        <v>700</v>
      </c>
      <c r="BY1145">
        <v>400</v>
      </c>
      <c r="BZ1145" s="1312" t="s">
        <v>1968</v>
      </c>
      <c r="CA1145" s="1352"/>
    </row>
    <row r="1146" spans="73:79" x14ac:dyDescent="0.3">
      <c r="BU1146" s="165">
        <f>IF(COUNTIF(BV$76:BV1146,BV1146)=1,MAX(BU$76:BU1145)+1,"")</f>
        <v>177</v>
      </c>
      <c r="BV1146" s="1312">
        <v>657.5</v>
      </c>
      <c r="BW1146" s="1312">
        <v>150</v>
      </c>
      <c r="BX1146" s="1312">
        <v>700</v>
      </c>
      <c r="BY1146">
        <v>400</v>
      </c>
      <c r="BZ1146" s="1312" t="s">
        <v>1968</v>
      </c>
      <c r="CA1146" s="1352" t="s">
        <v>1969</v>
      </c>
    </row>
    <row r="1147" spans="73:79" x14ac:dyDescent="0.3">
      <c r="BU1147" s="165">
        <f>IF(COUNTIF(BV$76:BV1147,BV1147)=1,MAX(BU$76:BU1146)+1,"")</f>
        <v>178</v>
      </c>
      <c r="BV1147" s="1312">
        <v>660</v>
      </c>
      <c r="BW1147" s="1312">
        <v>150</v>
      </c>
      <c r="BX1147" s="1312">
        <v>700</v>
      </c>
      <c r="BY1147">
        <v>400</v>
      </c>
      <c r="BZ1147" s="1312" t="s">
        <v>1968</v>
      </c>
      <c r="CA1147" s="1352" t="s">
        <v>1969</v>
      </c>
    </row>
    <row r="1148" spans="73:79" x14ac:dyDescent="0.3">
      <c r="BU1148" s="165" t="str">
        <f>IF(COUNTIF(BV$76:BV1148,BV1148)=1,MAX(BU$76:BU1147)+1,"")</f>
        <v/>
      </c>
      <c r="BV1148" s="1312">
        <v>660</v>
      </c>
      <c r="BW1148" s="1312">
        <v>150</v>
      </c>
      <c r="BX1148" s="1312">
        <v>700</v>
      </c>
      <c r="BY1148">
        <v>400</v>
      </c>
      <c r="BZ1148" s="1312" t="s">
        <v>1968</v>
      </c>
      <c r="CA1148" s="1352"/>
    </row>
    <row r="1149" spans="73:79" x14ac:dyDescent="0.3">
      <c r="BU1149" s="165">
        <f>IF(COUNTIF(BV$76:BV1149,BV1149)=1,MAX(BU$76:BU1148)+1,"")</f>
        <v>179</v>
      </c>
      <c r="BV1149" s="1312">
        <v>665</v>
      </c>
      <c r="BW1149" s="1312">
        <v>175</v>
      </c>
      <c r="BX1149" s="1312">
        <v>700</v>
      </c>
      <c r="BY1149">
        <v>400</v>
      </c>
      <c r="BZ1149" s="1312" t="s">
        <v>1970</v>
      </c>
      <c r="CA1149" s="1352" t="s">
        <v>2038</v>
      </c>
    </row>
    <row r="1150" spans="73:79" x14ac:dyDescent="0.3">
      <c r="BU1150" s="165" t="str">
        <f>IF(COUNTIF(BV$76:BV1150,BV1150)=1,MAX(BU$76:BU1149)+1,"")</f>
        <v/>
      </c>
      <c r="BV1150" s="1312">
        <v>665</v>
      </c>
      <c r="BW1150" s="1312">
        <v>175</v>
      </c>
      <c r="BX1150" s="1312"/>
      <c r="BZ1150" s="1312" t="s">
        <v>1971</v>
      </c>
      <c r="CA1150" s="1352" t="s">
        <v>1972</v>
      </c>
    </row>
    <row r="1151" spans="73:79" x14ac:dyDescent="0.3">
      <c r="BU1151" s="165">
        <f>IF(COUNTIF(BV$76:BV1151,BV1151)=1,MAX(BU$76:BU1150)+1,"")</f>
        <v>180</v>
      </c>
      <c r="BV1151" s="1312">
        <v>667.5</v>
      </c>
      <c r="BW1151" s="1312">
        <v>173</v>
      </c>
      <c r="BX1151" s="1312">
        <v>700</v>
      </c>
      <c r="BY1151">
        <v>400</v>
      </c>
      <c r="BZ1151" s="1312" t="s">
        <v>1971</v>
      </c>
      <c r="CA1151" s="1352" t="s">
        <v>1969</v>
      </c>
    </row>
    <row r="1152" spans="73:79" ht="28.8" x14ac:dyDescent="0.3">
      <c r="BU1152" s="165">
        <f>IF(COUNTIF(BV$76:BV1152,BV1152)=1,MAX(BU$76:BU1151)+1,"")</f>
        <v>181</v>
      </c>
      <c r="BV1152" s="1312">
        <v>700</v>
      </c>
      <c r="BW1152" s="1312">
        <v>260</v>
      </c>
      <c r="BX1152" s="1312">
        <v>743</v>
      </c>
      <c r="BY1152">
        <v>400</v>
      </c>
      <c r="BZ1152" s="1312" t="s">
        <v>1973</v>
      </c>
      <c r="CA1152" s="1352" t="s">
        <v>1974</v>
      </c>
    </row>
    <row r="1153" spans="73:79" x14ac:dyDescent="0.3">
      <c r="BU1153" s="165" t="str">
        <f>IF(COUNTIF(BV$76:BV1154,BV1154)=1,MAX(BU$76:BU1152)+1,"")</f>
        <v/>
      </c>
      <c r="BV1153" s="1312"/>
      <c r="BW1153" s="1312"/>
      <c r="BX1153" s="1312"/>
      <c r="CA1153" s="1352"/>
    </row>
    <row r="1154" spans="73:79" x14ac:dyDescent="0.3">
      <c r="BU1154" s="165" t="str">
        <f>IF(COUNTIF(BV$76:BV998,#REF!)=1,MAX(BU$76:BU1153)+1,"")</f>
        <v/>
      </c>
      <c r="BV1154" s="1312"/>
      <c r="BW1154" s="1312"/>
      <c r="BX1154" s="1312"/>
      <c r="CA1154" s="1352" t="s">
        <v>1975</v>
      </c>
    </row>
    <row r="1155" spans="73:79" x14ac:dyDescent="0.3">
      <c r="BU1155" s="165" t="str">
        <f>IF(COUNTIF(BV$76:BV998,#REF!)=1,MAX(BU$76:BU1154)+1,"")</f>
        <v/>
      </c>
    </row>
    <row r="1156" spans="73:79" x14ac:dyDescent="0.3">
      <c r="BU1156" s="165" t="str">
        <f>IF(COUNTIF(BV$76:BV1154,BV1154)=1,MAX(BU$76:BU1155)+1,"")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13</vt:i4>
      </vt:variant>
    </vt:vector>
  </HeadingPairs>
  <TitlesOfParts>
    <vt:vector size="28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захват</vt:lpstr>
      <vt:lpstr>литн_461</vt:lpstr>
      <vt:lpstr>литн_462</vt:lpstr>
      <vt:lpstr>литн_463</vt:lpstr>
      <vt:lpstr>литн_464</vt:lpstr>
      <vt:lpstr>планки_фас</vt:lpstr>
      <vt:lpstr>прип.ал</vt:lpstr>
      <vt:lpstr>прип.лат</vt:lpstr>
      <vt:lpstr>прип.ол</vt:lpstr>
      <vt:lpstr>Прип_фас_алюм_лат</vt:lpstr>
      <vt:lpstr>Прип_фас_олов</vt:lpstr>
      <vt:lpstr>разрезка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/>
  <cp:lastModifiedBy>Александр С. Ковалев</cp:lastModifiedBy>
  <cp:revision>1</cp:revision>
  <cp:lastPrinted>2024-10-15T04:58:36Z</cp:lastPrinted>
  <dcterms:created xsi:type="dcterms:W3CDTF">2006-09-16T00:00:00Z</dcterms:created>
  <dcterms:modified xsi:type="dcterms:W3CDTF">2024-10-25T03:38:41Z</dcterms:modified>
  <cp:category>Special Soft</cp:category>
  <cp:contentStatus>v. 2.2.6 ReleaseCandidate</cp:contentStatus>
  <dc:language>ru-RU</dc:language>
</cp:coreProperties>
</file>