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tables/table15.xml" ContentType="application/vnd.openxmlformats-officedocument.spreadsheetml.table+xml"/>
  <Override PartName="/xl/queryTables/queryTable8.xml" ContentType="application/vnd.openxmlformats-officedocument.spreadsheetml.queryTable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tables/table17.xml" ContentType="application/vnd.openxmlformats-officedocument.spreadsheetml.table+xml"/>
  <Override PartName="/xl/queryTables/queryTable10.xml" ContentType="application/vnd.openxmlformats-officedocument.spreadsheetml.queryTable+xml"/>
  <Override PartName="/xl/tables/table18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6AF11F5A-4255-452D-89DD-F4BA7ABC509B}" xr6:coauthVersionLast="37" xr6:coauthVersionMax="37" xr10:uidLastSave="{00000000-0000-0000-0000-000000000000}"/>
  <bookViews>
    <workbookView xWindow="0" yWindow="0" windowWidth="23040" windowHeight="9060" tabRatio="830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Таблицы!$A$1:$O$146</definedName>
    <definedName name="ExternalData_13" localSheetId="14" hidden="1">Таблицы!$R$1:$W$125</definedName>
    <definedName name="ExternalData_14" localSheetId="1" hidden="1">Конусная!$P$2:$AD$11</definedName>
    <definedName name="ExternalData_15" localSheetId="14" hidden="1">Таблицы!$AP$36:$AW$58</definedName>
    <definedName name="ExternalData_16" localSheetId="14" hidden="1">Таблицы!$CK$1:$CP$45</definedName>
    <definedName name="ExternalData_17" localSheetId="14" hidden="1">Таблицы!$CK$62:$CQ$69</definedName>
    <definedName name="ExternalData_4" localSheetId="14" hidden="1">Таблицы!$AC$1:$AM$130</definedName>
    <definedName name="ExternalData_5" localSheetId="14" hidden="1">Таблицы!$AP$1:$BL$14</definedName>
    <definedName name="ExternalData_7" localSheetId="14" hidden="1">Таблицы!$AP$89:$AX$101</definedName>
    <definedName name="ExternalData_8" localSheetId="14" hidden="1">Таблицы!$BU$1:$BY$1156</definedName>
    <definedName name="ExternalData_9" localSheetId="14" hidden="1">Таблицы!$CB$1:$CH$148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F10" i="6" l="1"/>
  <c r="AX33" i="12"/>
  <c r="AX32" i="12"/>
  <c r="AJ33" i="12"/>
  <c r="AE45" i="12"/>
  <c r="AA32" i="12"/>
  <c r="AA28" i="12"/>
  <c r="AA27" i="12"/>
  <c r="AA17" i="12"/>
  <c r="AJ32" i="12"/>
  <c r="AO17" i="12"/>
  <c r="Q45" i="12"/>
  <c r="U32" i="12"/>
  <c r="AA15" i="12"/>
  <c r="AA20" i="12" l="1"/>
  <c r="M16" i="2" l="1"/>
  <c r="J3" i="4" l="1"/>
  <c r="D42" i="15"/>
  <c r="K3" i="15"/>
  <c r="E19" i="15" l="1"/>
  <c r="C23" i="15"/>
  <c r="F30" i="15"/>
  <c r="E24" i="15"/>
  <c r="F18" i="15"/>
  <c r="J21" i="15"/>
  <c r="J24" i="15"/>
  <c r="K24" i="15"/>
  <c r="N20" i="15"/>
  <c r="J23" i="15" s="1"/>
  <c r="N18" i="15"/>
  <c r="E23" i="15" s="1"/>
  <c r="V3" i="15"/>
  <c r="V4" i="15"/>
  <c r="V5" i="15"/>
  <c r="V6" i="15"/>
  <c r="V7" i="15"/>
  <c r="V8" i="15"/>
  <c r="V9" i="15"/>
  <c r="V10" i="15"/>
  <c r="N25" i="15" s="1"/>
  <c r="D17" i="15" s="1"/>
  <c r="V11" i="15"/>
  <c r="U3" i="15"/>
  <c r="U4" i="15"/>
  <c r="U5" i="15"/>
  <c r="U6" i="15"/>
  <c r="U7" i="15"/>
  <c r="U8" i="15"/>
  <c r="U9" i="15"/>
  <c r="U10" i="15"/>
  <c r="N26" i="15" s="1"/>
  <c r="U11" i="15"/>
  <c r="T3" i="15"/>
  <c r="T4" i="15"/>
  <c r="T5" i="15"/>
  <c r="T6" i="15"/>
  <c r="T7" i="15"/>
  <c r="T8" i="15"/>
  <c r="T9" i="15"/>
  <c r="T10" i="15"/>
  <c r="N21" i="15" s="1"/>
  <c r="T11" i="15"/>
  <c r="S3" i="15"/>
  <c r="S4" i="15"/>
  <c r="S5" i="15"/>
  <c r="S6" i="15"/>
  <c r="S7" i="15"/>
  <c r="S8" i="15"/>
  <c r="S9" i="15"/>
  <c r="S10" i="15"/>
  <c r="N17" i="15" s="1"/>
  <c r="F29" i="15" s="1"/>
  <c r="S11" i="15"/>
  <c r="R3" i="15"/>
  <c r="R4" i="15"/>
  <c r="R5" i="15"/>
  <c r="R6" i="15"/>
  <c r="R7" i="15"/>
  <c r="R8" i="15"/>
  <c r="R9" i="15"/>
  <c r="R10" i="15"/>
  <c r="N19" i="15" s="1"/>
  <c r="K23" i="15" s="1"/>
  <c r="R11" i="15"/>
  <c r="N10" i="15"/>
  <c r="N8" i="15" s="1"/>
  <c r="G9" i="15" s="1"/>
  <c r="N27" i="15" l="1"/>
  <c r="G11" i="15" s="1"/>
  <c r="F17" i="15"/>
  <c r="J33" i="15" s="1"/>
  <c r="F43" i="15"/>
  <c r="J51" i="15"/>
  <c r="N28" i="15" l="1"/>
  <c r="G10" i="15" s="1"/>
  <c r="Q21" i="15"/>
  <c r="U22" i="15" l="1"/>
  <c r="Q22" i="15"/>
  <c r="E36" i="1" l="1"/>
  <c r="O9" i="1" l="1"/>
  <c r="E203" i="3" l="1"/>
  <c r="B129" i="3"/>
  <c r="F24" i="1"/>
  <c r="J30" i="1"/>
  <c r="I30" i="1"/>
  <c r="BT1148" i="17" l="1"/>
  <c r="BT1145" i="17"/>
  <c r="BT1144" i="17"/>
  <c r="BT1143" i="17"/>
  <c r="BT1142" i="17"/>
  <c r="BT1140" i="17"/>
  <c r="BT1138" i="17"/>
  <c r="BT1137" i="17"/>
  <c r="BT1136" i="17"/>
  <c r="BT1132" i="17"/>
  <c r="BT1125" i="17"/>
  <c r="BT1118" i="17"/>
  <c r="BT1115" i="17"/>
  <c r="BT1112" i="17"/>
  <c r="BT1109" i="17"/>
  <c r="BT1108" i="17"/>
  <c r="BT1101" i="17"/>
  <c r="BT1099" i="17"/>
  <c r="BT1097" i="17"/>
  <c r="BT1095" i="17"/>
  <c r="BT1093" i="17"/>
  <c r="BT1092" i="17"/>
  <c r="BT1088" i="17"/>
  <c r="BT1087" i="17"/>
  <c r="BT1086" i="17"/>
  <c r="BT1084" i="17"/>
  <c r="BT1082" i="17"/>
  <c r="BT1079" i="17"/>
  <c r="BT1078" i="17"/>
  <c r="BT1077" i="17"/>
  <c r="BT1075" i="17"/>
  <c r="BT1072" i="17"/>
  <c r="BT1070" i="17"/>
  <c r="BT1065" i="17"/>
  <c r="BT1064" i="17"/>
  <c r="BT1063" i="17"/>
  <c r="BT1062" i="17"/>
  <c r="BT1060" i="17"/>
  <c r="BT1058" i="17"/>
  <c r="BT1057" i="17"/>
  <c r="BT1056" i="17"/>
  <c r="BT1055" i="17"/>
  <c r="BT1052" i="17"/>
  <c r="BT1051" i="17"/>
  <c r="BT1049" i="17"/>
  <c r="BT1047" i="17"/>
  <c r="BT1045" i="17"/>
  <c r="BT1044" i="17"/>
  <c r="BT1043" i="17"/>
  <c r="BT1042" i="17"/>
  <c r="BT1041" i="17"/>
  <c r="BT1040" i="17"/>
  <c r="BT1039" i="17"/>
  <c r="BT1038" i="17"/>
  <c r="BT1036" i="17"/>
  <c r="BT1035" i="17"/>
  <c r="BT1033" i="17"/>
  <c r="BT1032" i="17"/>
  <c r="BT1027" i="17"/>
  <c r="BT1025" i="17"/>
  <c r="BT1024" i="17"/>
  <c r="BT1023" i="17"/>
  <c r="BT1021" i="17"/>
  <c r="BT1019" i="17"/>
  <c r="BT1018" i="17"/>
  <c r="BT1017" i="17"/>
  <c r="BT1014" i="17"/>
  <c r="BT1013" i="17"/>
  <c r="BT1012" i="17"/>
  <c r="BT1010" i="17"/>
  <c r="BT1009" i="17"/>
  <c r="BT1008" i="17"/>
  <c r="BT1007" i="17"/>
  <c r="BT1006" i="17"/>
  <c r="BT1004" i="17"/>
  <c r="BT1003" i="17"/>
  <c r="BT999" i="17"/>
  <c r="BT998" i="17"/>
  <c r="BT997" i="17"/>
  <c r="BT994" i="17"/>
  <c r="BT993" i="17"/>
  <c r="BT992" i="17"/>
  <c r="BT990" i="17"/>
  <c r="BT989" i="17"/>
  <c r="BT988" i="17"/>
  <c r="BT987" i="17"/>
  <c r="BT985" i="17"/>
  <c r="BT984" i="17"/>
  <c r="BT982" i="17"/>
  <c r="BT980" i="17"/>
  <c r="BT978" i="17"/>
  <c r="BT977" i="17"/>
  <c r="BT976" i="17"/>
  <c r="BT975" i="17"/>
  <c r="BT974" i="17"/>
  <c r="BT973" i="17"/>
  <c r="BT971" i="17"/>
  <c r="BT970" i="17"/>
  <c r="BT968" i="17"/>
  <c r="BT967" i="17"/>
  <c r="BT966" i="17"/>
  <c r="BT963" i="17"/>
  <c r="BT962" i="17"/>
  <c r="BT961" i="17"/>
  <c r="BT959" i="17"/>
  <c r="BT958" i="17"/>
  <c r="BT957" i="17"/>
  <c r="BT956" i="17"/>
  <c r="BT954" i="17"/>
  <c r="BT953" i="17"/>
  <c r="BT952" i="17"/>
  <c r="BT951" i="17"/>
  <c r="BT950" i="17"/>
  <c r="BT949" i="17"/>
  <c r="BT948" i="17"/>
  <c r="BT946" i="17"/>
  <c r="BT945" i="17"/>
  <c r="BT943" i="17"/>
  <c r="BT942" i="17"/>
  <c r="BT941" i="17"/>
  <c r="BT940" i="17"/>
  <c r="BT939" i="17"/>
  <c r="BT938" i="17"/>
  <c r="BT937" i="17"/>
  <c r="BT935" i="17"/>
  <c r="BT934" i="17"/>
  <c r="BT933" i="17"/>
  <c r="BT932" i="17"/>
  <c r="BT931" i="17"/>
  <c r="BT930" i="17"/>
  <c r="BT929" i="17"/>
  <c r="BT928" i="17"/>
  <c r="BT927" i="17"/>
  <c r="BT925" i="17"/>
  <c r="BT924" i="17"/>
  <c r="BT923" i="17"/>
  <c r="BT922" i="17"/>
  <c r="BT921" i="17"/>
  <c r="BT920" i="17"/>
  <c r="BT919" i="17"/>
  <c r="BT918" i="17"/>
  <c r="BT916" i="17"/>
  <c r="BT915" i="17"/>
  <c r="BT914" i="17"/>
  <c r="BT913" i="17"/>
  <c r="BT912" i="17"/>
  <c r="BT909" i="17"/>
  <c r="BT908" i="17"/>
  <c r="BT906" i="17"/>
  <c r="BT905" i="17"/>
  <c r="BT904" i="17"/>
  <c r="BT903" i="17"/>
  <c r="BT902" i="17"/>
  <c r="BT901" i="17"/>
  <c r="BT900" i="17"/>
  <c r="BT899" i="17"/>
  <c r="BT898" i="17"/>
  <c r="BT897" i="17"/>
  <c r="BT896" i="17"/>
  <c r="BT895" i="17"/>
  <c r="BT893" i="17"/>
  <c r="BT892" i="17"/>
  <c r="BT891" i="17"/>
  <c r="BT889" i="17"/>
  <c r="BT888" i="17"/>
  <c r="BT887" i="17"/>
  <c r="BT886" i="17"/>
  <c r="BT885" i="17"/>
  <c r="BT884" i="17"/>
  <c r="BT883" i="17"/>
  <c r="BT882" i="17"/>
  <c r="BT880" i="17"/>
  <c r="BT878" i="17"/>
  <c r="BT877" i="17"/>
  <c r="BT876" i="17"/>
  <c r="BT875" i="17"/>
  <c r="BT874" i="17"/>
  <c r="BT873" i="17"/>
  <c r="BT872" i="17"/>
  <c r="BT871" i="17"/>
  <c r="BT870" i="17"/>
  <c r="BT868" i="17"/>
  <c r="BT867" i="17"/>
  <c r="BT866" i="17"/>
  <c r="BT865" i="17"/>
  <c r="BT864" i="17"/>
  <c r="BT863" i="17"/>
  <c r="BT862" i="17"/>
  <c r="BT861" i="17"/>
  <c r="BT860" i="17"/>
  <c r="BT858" i="17"/>
  <c r="BT857" i="17"/>
  <c r="BT856" i="17"/>
  <c r="BT855" i="17"/>
  <c r="BT854" i="17"/>
  <c r="BT853" i="17"/>
  <c r="BT852" i="17"/>
  <c r="BT851" i="17"/>
  <c r="BT850" i="17"/>
  <c r="BT849" i="17"/>
  <c r="BT848" i="17"/>
  <c r="BT847" i="17"/>
  <c r="BT846" i="17"/>
  <c r="BT845" i="17"/>
  <c r="BT844" i="17"/>
  <c r="BT843" i="17"/>
  <c r="BT842" i="17"/>
  <c r="BT841" i="17"/>
  <c r="BT840" i="17"/>
  <c r="BT839" i="17"/>
  <c r="BT838" i="17"/>
  <c r="BT837" i="17"/>
  <c r="BT836" i="17"/>
  <c r="BT835" i="17"/>
  <c r="BT834" i="17"/>
  <c r="BT833" i="17"/>
  <c r="BT832" i="17"/>
  <c r="BT831" i="17"/>
  <c r="BT829" i="17"/>
  <c r="BT828" i="17"/>
  <c r="BT827" i="17"/>
  <c r="BT826" i="17"/>
  <c r="BT825" i="17"/>
  <c r="BT824" i="17"/>
  <c r="BT823" i="17"/>
  <c r="BT822" i="17"/>
  <c r="BT821" i="17"/>
  <c r="BT820" i="17"/>
  <c r="BT819" i="17"/>
  <c r="BT818" i="17"/>
  <c r="BT817" i="17"/>
  <c r="BT816" i="17"/>
  <c r="BT815" i="17"/>
  <c r="BT813" i="17"/>
  <c r="BT812" i="17"/>
  <c r="BT811" i="17"/>
  <c r="BT810" i="17"/>
  <c r="BT809" i="17"/>
  <c r="BT808" i="17"/>
  <c r="BT807" i="17"/>
  <c r="BT806" i="17"/>
  <c r="BT805" i="17"/>
  <c r="BT804" i="17"/>
  <c r="BT802" i="17"/>
  <c r="BT801" i="17"/>
  <c r="BT800" i="17"/>
  <c r="BT798" i="17"/>
  <c r="BT797" i="17"/>
  <c r="BT796" i="17"/>
  <c r="BT795" i="17"/>
  <c r="BT794" i="17"/>
  <c r="BT793" i="17"/>
  <c r="BT792" i="17"/>
  <c r="BT791" i="17"/>
  <c r="BT790" i="17"/>
  <c r="BT789" i="17"/>
  <c r="BT788" i="17"/>
  <c r="BT786" i="17"/>
  <c r="BT785" i="17"/>
  <c r="BT784" i="17"/>
  <c r="BT782" i="17"/>
  <c r="BT780" i="17"/>
  <c r="BT779" i="17"/>
  <c r="BT778" i="17"/>
  <c r="BT776" i="17"/>
  <c r="BT775" i="17"/>
  <c r="BT774" i="17"/>
  <c r="BT772" i="17"/>
  <c r="BT771" i="17"/>
  <c r="BT770" i="17"/>
  <c r="BT769" i="17"/>
  <c r="BT768" i="17"/>
  <c r="BT767" i="17"/>
  <c r="BT766" i="17"/>
  <c r="BT765" i="17"/>
  <c r="BT764" i="17"/>
  <c r="BT763" i="17"/>
  <c r="BT761" i="17"/>
  <c r="BT760" i="17"/>
  <c r="BT759" i="17"/>
  <c r="BT757" i="17"/>
  <c r="BT756" i="17"/>
  <c r="BT755" i="17"/>
  <c r="BT754" i="17"/>
  <c r="BT753" i="17"/>
  <c r="BT752" i="17"/>
  <c r="BT750" i="17"/>
  <c r="BT749" i="17"/>
  <c r="BT748" i="17"/>
  <c r="BT747" i="17"/>
  <c r="BT746" i="17"/>
  <c r="BT745" i="17"/>
  <c r="BT744" i="17"/>
  <c r="BT742" i="17"/>
  <c r="BT741" i="17"/>
  <c r="BT740" i="17"/>
  <c r="BT739" i="17"/>
  <c r="BT738" i="17"/>
  <c r="BT737" i="17"/>
  <c r="BT736" i="17"/>
  <c r="BT734" i="17"/>
  <c r="BT733" i="17"/>
  <c r="BT731" i="17"/>
  <c r="BT730" i="17"/>
  <c r="BT729" i="17"/>
  <c r="BT728" i="17"/>
  <c r="BT727" i="17"/>
  <c r="BT726" i="17"/>
  <c r="BT725" i="17"/>
  <c r="BT724" i="17"/>
  <c r="BT723" i="17"/>
  <c r="BT720" i="17"/>
  <c r="BT719" i="17"/>
  <c r="BT718" i="17"/>
  <c r="BT717" i="17"/>
  <c r="BT716" i="17"/>
  <c r="BT715" i="17"/>
  <c r="BT714" i="17"/>
  <c r="BT713" i="17"/>
  <c r="BT712" i="17"/>
  <c r="BT711" i="17"/>
  <c r="BT709" i="17"/>
  <c r="BT708" i="17"/>
  <c r="BT707" i="17"/>
  <c r="BT706" i="17"/>
  <c r="BT705" i="17"/>
  <c r="BT703" i="17"/>
  <c r="BT702" i="17"/>
  <c r="BT701" i="17"/>
  <c r="BT700" i="17"/>
  <c r="BT699" i="17"/>
  <c r="BT698" i="17"/>
  <c r="BT696" i="17"/>
  <c r="BT695" i="17"/>
  <c r="BT694" i="17"/>
  <c r="BT693" i="17"/>
  <c r="BT692" i="17"/>
  <c r="BT691" i="17"/>
  <c r="BT690" i="17"/>
  <c r="BT689" i="17"/>
  <c r="BT688" i="17"/>
  <c r="BT687" i="17"/>
  <c r="BT686" i="17"/>
  <c r="BT685" i="17"/>
  <c r="BT684" i="17"/>
  <c r="BT683" i="17"/>
  <c r="BT682" i="17"/>
  <c r="BT681" i="17"/>
  <c r="BT680" i="17"/>
  <c r="BT679" i="17"/>
  <c r="BT678" i="17"/>
  <c r="BT676" i="17"/>
  <c r="BT675" i="17"/>
  <c r="BT674" i="17"/>
  <c r="BT673" i="17"/>
  <c r="BT672" i="17"/>
  <c r="BT671" i="17"/>
  <c r="BT670" i="17"/>
  <c r="BT669" i="17"/>
  <c r="BT668" i="17"/>
  <c r="BT666" i="17"/>
  <c r="BT665" i="17"/>
  <c r="BT664" i="17"/>
  <c r="BT663" i="17"/>
  <c r="BT662" i="17"/>
  <c r="BT661" i="17"/>
  <c r="BT660" i="17"/>
  <c r="BT658" i="17"/>
  <c r="BT657" i="17"/>
  <c r="BT656" i="17"/>
  <c r="BT655" i="17"/>
  <c r="BT653" i="17"/>
  <c r="BT652" i="17"/>
  <c r="BT651" i="17"/>
  <c r="BT650" i="17"/>
  <c r="BT649" i="17"/>
  <c r="BT648" i="17"/>
  <c r="BT647" i="17"/>
  <c r="BT645" i="17"/>
  <c r="BT644" i="17"/>
  <c r="BT643" i="17"/>
  <c r="BT642" i="17"/>
  <c r="BT641" i="17"/>
  <c r="BT640" i="17"/>
  <c r="BT639" i="17"/>
  <c r="BT638" i="17"/>
  <c r="BT637" i="17"/>
  <c r="BT636" i="17"/>
  <c r="BT635" i="17"/>
  <c r="BT634" i="17"/>
  <c r="BT633" i="17"/>
  <c r="BT632" i="17"/>
  <c r="BT630" i="17"/>
  <c r="BT629" i="17"/>
  <c r="BT628" i="17"/>
  <c r="BT627" i="17"/>
  <c r="BT626" i="17"/>
  <c r="BT625" i="17"/>
  <c r="BT624" i="17"/>
  <c r="BT623" i="17"/>
  <c r="BT621" i="17"/>
  <c r="BT620" i="17"/>
  <c r="BT619" i="17"/>
  <c r="BT618" i="17"/>
  <c r="BT617" i="17"/>
  <c r="BT616" i="17"/>
  <c r="BT615" i="17"/>
  <c r="BT614" i="17"/>
  <c r="BT613" i="17"/>
  <c r="BT612" i="17"/>
  <c r="BT611" i="17"/>
  <c r="BT610" i="17"/>
  <c r="BT609" i="17"/>
  <c r="BT608" i="17"/>
  <c r="BT607" i="17"/>
  <c r="BT605" i="17"/>
  <c r="BT604" i="17"/>
  <c r="BT603" i="17"/>
  <c r="BT602" i="17"/>
  <c r="BT601" i="17"/>
  <c r="BT600" i="17"/>
  <c r="BT599" i="17"/>
  <c r="BT598" i="17"/>
  <c r="BT596" i="17"/>
  <c r="BT595" i="17"/>
  <c r="BT594" i="17"/>
  <c r="BT593" i="17"/>
  <c r="BT592" i="17"/>
  <c r="BT591" i="17"/>
  <c r="BT590" i="17"/>
  <c r="BT589" i="17"/>
  <c r="BT588" i="17"/>
  <c r="BT587" i="17"/>
  <c r="BT586" i="17"/>
  <c r="BT585" i="17"/>
  <c r="BT584" i="17"/>
  <c r="BT583" i="17"/>
  <c r="BT582" i="17"/>
  <c r="BT581" i="17"/>
  <c r="BT580" i="17"/>
  <c r="BT579" i="17"/>
  <c r="BT578" i="17"/>
  <c r="BT577" i="17"/>
  <c r="BT576" i="17"/>
  <c r="BT575" i="17"/>
  <c r="BT574" i="17"/>
  <c r="BT573" i="17"/>
  <c r="BT571" i="17"/>
  <c r="BT570" i="17"/>
  <c r="BT569" i="17"/>
  <c r="BT568" i="17"/>
  <c r="BT567" i="17"/>
  <c r="BT566" i="17"/>
  <c r="BT565" i="17"/>
  <c r="BT564" i="17"/>
  <c r="BT562" i="17"/>
  <c r="BT561" i="17"/>
  <c r="BT560" i="17"/>
  <c r="BT559" i="17"/>
  <c r="BT558" i="17"/>
  <c r="BT557" i="17"/>
  <c r="BT556" i="17"/>
  <c r="BT555" i="17"/>
  <c r="BT554" i="17"/>
  <c r="BT553" i="17"/>
  <c r="BT552" i="17"/>
  <c r="BT551" i="17"/>
  <c r="BT550" i="17"/>
  <c r="BT549" i="17"/>
  <c r="BT548" i="17"/>
  <c r="BT547" i="17"/>
  <c r="BT544" i="17"/>
  <c r="BT543" i="17"/>
  <c r="BT542" i="17"/>
  <c r="BT541" i="17"/>
  <c r="BT540" i="17"/>
  <c r="BT539" i="17"/>
  <c r="BT538" i="17"/>
  <c r="BT537" i="17"/>
  <c r="BT536" i="17"/>
  <c r="BT535" i="17"/>
  <c r="BT534" i="17"/>
  <c r="BT533" i="17"/>
  <c r="BT532" i="17"/>
  <c r="BT531" i="17"/>
  <c r="BT530" i="17"/>
  <c r="BT528" i="17"/>
  <c r="BT527" i="17"/>
  <c r="BT526" i="17"/>
  <c r="BT525" i="17"/>
  <c r="BT524" i="17"/>
  <c r="BT523" i="17"/>
  <c r="BT522" i="17"/>
  <c r="BT521" i="17"/>
  <c r="BT520" i="17"/>
  <c r="BT519" i="17"/>
  <c r="BT518" i="17"/>
  <c r="BT517" i="17"/>
  <c r="BT516" i="17"/>
  <c r="BT515" i="17"/>
  <c r="BT514" i="17"/>
  <c r="BT512" i="17"/>
  <c r="BT511" i="17"/>
  <c r="BT510" i="17"/>
  <c r="BT509" i="17"/>
  <c r="BT508" i="17"/>
  <c r="BT507" i="17"/>
  <c r="BT506" i="17"/>
  <c r="BT505" i="17"/>
  <c r="BT504" i="17"/>
  <c r="BT503" i="17"/>
  <c r="BT502" i="17"/>
  <c r="BT501" i="17"/>
  <c r="BT500" i="17"/>
  <c r="BT499" i="17"/>
  <c r="BT498" i="17"/>
  <c r="BT496" i="17"/>
  <c r="BT495" i="17"/>
  <c r="BT494" i="17"/>
  <c r="BT493" i="17"/>
  <c r="BT492" i="17"/>
  <c r="BT491" i="17"/>
  <c r="BT490" i="17"/>
  <c r="BT489" i="17"/>
  <c r="BT488" i="17"/>
  <c r="BT487" i="17"/>
  <c r="BT486" i="17"/>
  <c r="BT485" i="17"/>
  <c r="BT484" i="17"/>
  <c r="BT483" i="17"/>
  <c r="BT482" i="17"/>
  <c r="BT481" i="17"/>
  <c r="BT480" i="17"/>
  <c r="BT479" i="17"/>
  <c r="BT478" i="17"/>
  <c r="BT477" i="17"/>
  <c r="BT476" i="17"/>
  <c r="BT475" i="17"/>
  <c r="BT474" i="17"/>
  <c r="BT473" i="17"/>
  <c r="BT472" i="17"/>
  <c r="BT471" i="17"/>
  <c r="BT470" i="17"/>
  <c r="BT469" i="17"/>
  <c r="BT468" i="17"/>
  <c r="BT467" i="17"/>
  <c r="BT466" i="17"/>
  <c r="BT465" i="17"/>
  <c r="BT464" i="17"/>
  <c r="BT462" i="17"/>
  <c r="BT461" i="17"/>
  <c r="BT460" i="17"/>
  <c r="BT459" i="17"/>
  <c r="BT458" i="17"/>
  <c r="BT457" i="17"/>
  <c r="BT456" i="17"/>
  <c r="BT455" i="17"/>
  <c r="BT454" i="17"/>
  <c r="BT453" i="17"/>
  <c r="BT452" i="17"/>
  <c r="BT451" i="17"/>
  <c r="BT450" i="17"/>
  <c r="BT449" i="17"/>
  <c r="BT448" i="17"/>
  <c r="BT447" i="17"/>
  <c r="BT446" i="17"/>
  <c r="BT445" i="17"/>
  <c r="BT444" i="17"/>
  <c r="BT443" i="17"/>
  <c r="BT442" i="17"/>
  <c r="BT441" i="17"/>
  <c r="BT440" i="17"/>
  <c r="BT439" i="17"/>
  <c r="BT438" i="17"/>
  <c r="BT437" i="17"/>
  <c r="BT436" i="17"/>
  <c r="BT435" i="17"/>
  <c r="BT434" i="17"/>
  <c r="BT433" i="17"/>
  <c r="BT431" i="17"/>
  <c r="BT430" i="17"/>
  <c r="BT429" i="17"/>
  <c r="BT428" i="17"/>
  <c r="BT427" i="17"/>
  <c r="BT426" i="17"/>
  <c r="BT425" i="17"/>
  <c r="BT424" i="17"/>
  <c r="BT423" i="17"/>
  <c r="BT422" i="17"/>
  <c r="BT421" i="17"/>
  <c r="BT420" i="17"/>
  <c r="BT419" i="17"/>
  <c r="BT418" i="17"/>
  <c r="BT417" i="17"/>
  <c r="BT416" i="17"/>
  <c r="BT414" i="17"/>
  <c r="BT413" i="17"/>
  <c r="BT412" i="17"/>
  <c r="BT411" i="17"/>
  <c r="BT410" i="17"/>
  <c r="BT409" i="17"/>
  <c r="BT408" i="17"/>
  <c r="BT407" i="17"/>
  <c r="BT406" i="17"/>
  <c r="BT405" i="17"/>
  <c r="BT404" i="17"/>
  <c r="BT403" i="17"/>
  <c r="BT402" i="17"/>
  <c r="BT401" i="17"/>
  <c r="BT400" i="17"/>
  <c r="BT399" i="17"/>
  <c r="BT398" i="17"/>
  <c r="BT397" i="17"/>
  <c r="BT396" i="17"/>
  <c r="BT395" i="17"/>
  <c r="BT394" i="17"/>
  <c r="BT393" i="17"/>
  <c r="BT392" i="17"/>
  <c r="BT391" i="17"/>
  <c r="BT390" i="17"/>
  <c r="BT389" i="17"/>
  <c r="BT388" i="17"/>
  <c r="BT387" i="17"/>
  <c r="BT386" i="17"/>
  <c r="BT385" i="17"/>
  <c r="BT384" i="17"/>
  <c r="BT383" i="17"/>
  <c r="BT382" i="17"/>
  <c r="BT381" i="17"/>
  <c r="BT380" i="17"/>
  <c r="BT378" i="17"/>
  <c r="BT377" i="17"/>
  <c r="BT376" i="17"/>
  <c r="BT375" i="17"/>
  <c r="BT374" i="17"/>
  <c r="BT372" i="17"/>
  <c r="BT371" i="17"/>
  <c r="BT370" i="17"/>
  <c r="BT369" i="17"/>
  <c r="BT368" i="17"/>
  <c r="BT367" i="17"/>
  <c r="BT366" i="17"/>
  <c r="BT365" i="17"/>
  <c r="BT364" i="17"/>
  <c r="BT363" i="17"/>
  <c r="BT362" i="17"/>
  <c r="BT360" i="17"/>
  <c r="BT359" i="17"/>
  <c r="BT358" i="17"/>
  <c r="BT357" i="17"/>
  <c r="BT356" i="17"/>
  <c r="BT355" i="17"/>
  <c r="BT354" i="17"/>
  <c r="BT353" i="17"/>
  <c r="BT351" i="17"/>
  <c r="BT350" i="17"/>
  <c r="BT349" i="17"/>
  <c r="BT348" i="17"/>
  <c r="BT347" i="17"/>
  <c r="BT346" i="17"/>
  <c r="BT345" i="17"/>
  <c r="BT344" i="17"/>
  <c r="BT343" i="17"/>
  <c r="BT341" i="17"/>
  <c r="BT340" i="17"/>
  <c r="BT339" i="17"/>
  <c r="BT337" i="17"/>
  <c r="BT336" i="17"/>
  <c r="BT335" i="17"/>
  <c r="BT334" i="17"/>
  <c r="BT333" i="17"/>
  <c r="BT332" i="17"/>
  <c r="BT331" i="17"/>
  <c r="BT329" i="17"/>
  <c r="BT328" i="17"/>
  <c r="BT327" i="17"/>
  <c r="BT326" i="17"/>
  <c r="BT325" i="17"/>
  <c r="BT324" i="17"/>
  <c r="BT323" i="17"/>
  <c r="BT321" i="17"/>
  <c r="BT320" i="17"/>
  <c r="BT319" i="17"/>
  <c r="BT318" i="17"/>
  <c r="BT317" i="17"/>
  <c r="BT315" i="17"/>
  <c r="BT314" i="17"/>
  <c r="BT313" i="17"/>
  <c r="BT312" i="17"/>
  <c r="BT310" i="17"/>
  <c r="BT309" i="17"/>
  <c r="BT308" i="17"/>
  <c r="BT307" i="17"/>
  <c r="BT306" i="17"/>
  <c r="BT304" i="17"/>
  <c r="BT303" i="17"/>
  <c r="BT301" i="17"/>
  <c r="BT300" i="17"/>
  <c r="BT299" i="17"/>
  <c r="BT298" i="17"/>
  <c r="BT297" i="17"/>
  <c r="BT296" i="17"/>
  <c r="BT295" i="17"/>
  <c r="BT294" i="17"/>
  <c r="BT292" i="17"/>
  <c r="BT291" i="17"/>
  <c r="BT290" i="17"/>
  <c r="BT289" i="17"/>
  <c r="BT288" i="17"/>
  <c r="BT287" i="17"/>
  <c r="BT286" i="17"/>
  <c r="BT285" i="17"/>
  <c r="BT284" i="17"/>
  <c r="BT283" i="17"/>
  <c r="BT281" i="17"/>
  <c r="BT280" i="17"/>
  <c r="BT279" i="17"/>
  <c r="BT278" i="17"/>
  <c r="BT277" i="17"/>
  <c r="BT276" i="17"/>
  <c r="BT275" i="17"/>
  <c r="BT274" i="17"/>
  <c r="BT273" i="17"/>
  <c r="BT271" i="17"/>
  <c r="BT270" i="17"/>
  <c r="BT269" i="17"/>
  <c r="BT268" i="17"/>
  <c r="BT267" i="17"/>
  <c r="BT266" i="17"/>
  <c r="BT265" i="17"/>
  <c r="BT264" i="17"/>
  <c r="BT263" i="17"/>
  <c r="BT262" i="17"/>
  <c r="BT261" i="17"/>
  <c r="BT260" i="17"/>
  <c r="BT259" i="17"/>
  <c r="BT258" i="17"/>
  <c r="BT257" i="17"/>
  <c r="BT255" i="17"/>
  <c r="BT254" i="17"/>
  <c r="BT253" i="17"/>
  <c r="BT252" i="17"/>
  <c r="BT251" i="17"/>
  <c r="BT250" i="17"/>
  <c r="BT249" i="17"/>
  <c r="BT247" i="17"/>
  <c r="BT246" i="17"/>
  <c r="BT245" i="17"/>
  <c r="BT244" i="17"/>
  <c r="BT243" i="17"/>
  <c r="BT242" i="17"/>
  <c r="BT241" i="17"/>
  <c r="BT240" i="17"/>
  <c r="BT239" i="17"/>
  <c r="BT238" i="17"/>
  <c r="BT237" i="17"/>
  <c r="BT236" i="17"/>
  <c r="BT235" i="17"/>
  <c r="BT234" i="17"/>
  <c r="BT233" i="17"/>
  <c r="BT232" i="17"/>
  <c r="BT231" i="17"/>
  <c r="BT230" i="17"/>
  <c r="BT229" i="17"/>
  <c r="BT228" i="17"/>
  <c r="BT227" i="17"/>
  <c r="BT224" i="17"/>
  <c r="BT223" i="17"/>
  <c r="BT222" i="17"/>
  <c r="BT221" i="17"/>
  <c r="BT220" i="17"/>
  <c r="BT219" i="17"/>
  <c r="BT218" i="17"/>
  <c r="BT216" i="17"/>
  <c r="BT215" i="17"/>
  <c r="BT214" i="17"/>
  <c r="BT212" i="17"/>
  <c r="BT211" i="17"/>
  <c r="BT210" i="17"/>
  <c r="BT209" i="17"/>
  <c r="BT208" i="17"/>
  <c r="BT207" i="17"/>
  <c r="BT206" i="17"/>
  <c r="BT205" i="17"/>
  <c r="BT204" i="17"/>
  <c r="BT203" i="17"/>
  <c r="BT202" i="17"/>
  <c r="BT200" i="17"/>
  <c r="BT199" i="17"/>
  <c r="BT198" i="17"/>
  <c r="BT196" i="17"/>
  <c r="BT195" i="17"/>
  <c r="BT194" i="17"/>
  <c r="BT193" i="17"/>
  <c r="BT192" i="17"/>
  <c r="BT191" i="17"/>
  <c r="BT189" i="17"/>
  <c r="BT188" i="17"/>
  <c r="BT187" i="17"/>
  <c r="BT186" i="17"/>
  <c r="BT184" i="17"/>
  <c r="BT183" i="17"/>
  <c r="BT182" i="17"/>
  <c r="BT181" i="17"/>
  <c r="BT179" i="17"/>
  <c r="BT178" i="17"/>
  <c r="BT176" i="17"/>
  <c r="BT175" i="17"/>
  <c r="BT174" i="17"/>
  <c r="BT173" i="17"/>
  <c r="BT172" i="17"/>
  <c r="BT171" i="17"/>
  <c r="BT170" i="17"/>
  <c r="BT169" i="17"/>
  <c r="BT167" i="17"/>
  <c r="BT166" i="17"/>
  <c r="BT165" i="17"/>
  <c r="BT164" i="17"/>
  <c r="BT163" i="17"/>
  <c r="BT162" i="17"/>
  <c r="BT161" i="17"/>
  <c r="BT160" i="17"/>
  <c r="BT159" i="17"/>
  <c r="BT158" i="17"/>
  <c r="BT157" i="17"/>
  <c r="BT155" i="17"/>
  <c r="BT154" i="17"/>
  <c r="BT153" i="17"/>
  <c r="BT152" i="17"/>
  <c r="BT151" i="17"/>
  <c r="BT150" i="17"/>
  <c r="BT149" i="17"/>
  <c r="BT148" i="17"/>
  <c r="BT147" i="17"/>
  <c r="BT146" i="17"/>
  <c r="BT145" i="17"/>
  <c r="BT144" i="17"/>
  <c r="BT142" i="17"/>
  <c r="BT141" i="17"/>
  <c r="BT140" i="17"/>
  <c r="BT139" i="17"/>
  <c r="BT138" i="17"/>
  <c r="BT137" i="17"/>
  <c r="BT136" i="17"/>
  <c r="BT135" i="17"/>
  <c r="BT134" i="17"/>
  <c r="BT133" i="17"/>
  <c r="BT131" i="17"/>
  <c r="BT130" i="17"/>
  <c r="BT129" i="17"/>
  <c r="BT127" i="17"/>
  <c r="BT126" i="17"/>
  <c r="BT125" i="17"/>
  <c r="BT124" i="17"/>
  <c r="BT123" i="17"/>
  <c r="BT121" i="17"/>
  <c r="BT120" i="17"/>
  <c r="BT119" i="17"/>
  <c r="BT117" i="17"/>
  <c r="BT116" i="17"/>
  <c r="BT115" i="17"/>
  <c r="BT114" i="17"/>
  <c r="BT113" i="17"/>
  <c r="BT112" i="17"/>
  <c r="BT111" i="17"/>
  <c r="BT110" i="17"/>
  <c r="BT109" i="17"/>
  <c r="BT108" i="17"/>
  <c r="BT107" i="17"/>
  <c r="BT106" i="17"/>
  <c r="BT105" i="17"/>
  <c r="BT104" i="17"/>
  <c r="BT103" i="17"/>
  <c r="BT102" i="17"/>
  <c r="BT101" i="17"/>
  <c r="BT99" i="17"/>
  <c r="BT98" i="17"/>
  <c r="BT97" i="17"/>
  <c r="BT96" i="17"/>
  <c r="BT94" i="17"/>
  <c r="BT93" i="17"/>
  <c r="BT92" i="17"/>
  <c r="BT91" i="17"/>
  <c r="BT89" i="17"/>
  <c r="BT88" i="17"/>
  <c r="BT86" i="17"/>
  <c r="BT85" i="17"/>
  <c r="BT84" i="17"/>
  <c r="BT83" i="17"/>
  <c r="BT82" i="17"/>
  <c r="BT81" i="17"/>
  <c r="BT80" i="17"/>
  <c r="BT79" i="17"/>
  <c r="BT78" i="17"/>
  <c r="BT77" i="17"/>
  <c r="B355" i="3"/>
  <c r="K333" i="3"/>
  <c r="B310" i="3"/>
  <c r="D285" i="3"/>
  <c r="D270" i="3"/>
  <c r="I256" i="3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P181" i="3" s="1"/>
  <c r="N159" i="3"/>
  <c r="O159" i="3" s="1"/>
  <c r="N144" i="3"/>
  <c r="O144" i="3" s="1"/>
  <c r="L144" i="3"/>
  <c r="R147" i="3" s="1"/>
  <c r="N143" i="3"/>
  <c r="O143" i="3" s="1"/>
  <c r="L143" i="3"/>
  <c r="Q146" i="3" s="1"/>
  <c r="F116" i="3"/>
  <c r="D116" i="3"/>
  <c r="E113" i="3"/>
  <c r="D113" i="3"/>
  <c r="B111" i="3"/>
  <c r="F101" i="3"/>
  <c r="D101" i="3"/>
  <c r="E98" i="3"/>
  <c r="D98" i="3"/>
  <c r="B96" i="3"/>
  <c r="H40" i="3"/>
  <c r="G36" i="3"/>
  <c r="I35" i="3"/>
  <c r="F33" i="3"/>
  <c r="I37" i="1" s="1"/>
  <c r="E59" i="12"/>
  <c r="I48" i="12"/>
  <c r="B43" i="12"/>
  <c r="BE42" i="12"/>
  <c r="AQ42" i="12"/>
  <c r="AS41" i="12"/>
  <c r="AE41" i="12"/>
  <c r="P41" i="12"/>
  <c r="BE40" i="12"/>
  <c r="AQ40" i="12"/>
  <c r="AC40" i="12"/>
  <c r="BE39" i="12"/>
  <c r="AQ39" i="12"/>
  <c r="AL28" i="12" s="1"/>
  <c r="AC39" i="12"/>
  <c r="AX35" i="12"/>
  <c r="AJ35" i="12"/>
  <c r="U35" i="12"/>
  <c r="AW34" i="12"/>
  <c r="AX26" i="12" s="1"/>
  <c r="AI34" i="12"/>
  <c r="AJ26" i="12" s="1"/>
  <c r="U33" i="12"/>
  <c r="Q33" i="12"/>
  <c r="AC32" i="12"/>
  <c r="G32" i="12"/>
  <c r="G35" i="12" s="1"/>
  <c r="BE31" i="12"/>
  <c r="BC31" i="12"/>
  <c r="BC27" i="12" s="1"/>
  <c r="BC28" i="12" s="1"/>
  <c r="BE28" i="12" s="1"/>
  <c r="AO31" i="12"/>
  <c r="AQ31" i="12" s="1"/>
  <c r="Q29" i="12"/>
  <c r="N29" i="12"/>
  <c r="N28" i="12"/>
  <c r="AX27" i="12"/>
  <c r="AJ27" i="12"/>
  <c r="U27" i="12"/>
  <c r="G27" i="12"/>
  <c r="BC26" i="12"/>
  <c r="AO26" i="12"/>
  <c r="AO27" i="12" s="1"/>
  <c r="AO28" i="12" s="1"/>
  <c r="AQ28" i="12" s="1"/>
  <c r="I26" i="12"/>
  <c r="G26" i="12"/>
  <c r="N199" i="3" s="1"/>
  <c r="P199" i="3" s="1"/>
  <c r="R199" i="3" s="1"/>
  <c r="N18" i="12" s="1"/>
  <c r="N21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C20" i="12"/>
  <c r="T34" i="12" s="1"/>
  <c r="U26" i="12" s="1"/>
  <c r="AT19" i="12"/>
  <c r="AF19" i="12"/>
  <c r="Q19" i="12"/>
  <c r="C19" i="12"/>
  <c r="N17" i="12"/>
  <c r="BC16" i="12"/>
  <c r="AO15" i="12"/>
  <c r="AA18" i="12"/>
  <c r="BC11" i="12"/>
  <c r="BC12" i="12" s="1"/>
  <c r="AX10" i="12" s="1"/>
  <c r="AO11" i="12"/>
  <c r="AQ32" i="12" s="1"/>
  <c r="AA11" i="12"/>
  <c r="AC11" i="12" s="1"/>
  <c r="L11" i="12"/>
  <c r="L12" i="12" s="1"/>
  <c r="G10" i="12" s="1"/>
  <c r="N7" i="12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Y15" i="9"/>
  <c r="X15" i="9"/>
  <c r="W15" i="9"/>
  <c r="V15" i="9"/>
  <c r="U15" i="9"/>
  <c r="T15" i="9"/>
  <c r="S15" i="9"/>
  <c r="R15" i="9"/>
  <c r="Q15" i="9"/>
  <c r="Y14" i="9"/>
  <c r="X14" i="9"/>
  <c r="W14" i="9"/>
  <c r="V14" i="9"/>
  <c r="U14" i="9"/>
  <c r="T14" i="9"/>
  <c r="S14" i="9"/>
  <c r="R14" i="9"/>
  <c r="Q14" i="9"/>
  <c r="Y13" i="9"/>
  <c r="X13" i="9"/>
  <c r="W13" i="9"/>
  <c r="V13" i="9"/>
  <c r="U13" i="9"/>
  <c r="T13" i="9"/>
  <c r="S13" i="9"/>
  <c r="R13" i="9"/>
  <c r="Q13" i="9"/>
  <c r="G13" i="9"/>
  <c r="Y12" i="9"/>
  <c r="X12" i="9"/>
  <c r="W12" i="9"/>
  <c r="V12" i="9"/>
  <c r="U12" i="9"/>
  <c r="T12" i="9"/>
  <c r="S12" i="9"/>
  <c r="R12" i="9"/>
  <c r="Q12" i="9"/>
  <c r="Y11" i="9"/>
  <c r="X11" i="9"/>
  <c r="W11" i="9"/>
  <c r="V11" i="9"/>
  <c r="U11" i="9"/>
  <c r="T11" i="9"/>
  <c r="S11" i="9"/>
  <c r="R11" i="9"/>
  <c r="Q11" i="9"/>
  <c r="Y10" i="9"/>
  <c r="X10" i="9"/>
  <c r="W10" i="9"/>
  <c r="V10" i="9"/>
  <c r="U10" i="9"/>
  <c r="T10" i="9"/>
  <c r="S10" i="9"/>
  <c r="R10" i="9"/>
  <c r="Q10" i="9"/>
  <c r="Y9" i="9"/>
  <c r="X9" i="9"/>
  <c r="W9" i="9"/>
  <c r="V9" i="9"/>
  <c r="U9" i="9"/>
  <c r="T9" i="9"/>
  <c r="S9" i="9"/>
  <c r="R9" i="9"/>
  <c r="Q9" i="9"/>
  <c r="Y8" i="9"/>
  <c r="X8" i="9"/>
  <c r="W8" i="9"/>
  <c r="V8" i="9"/>
  <c r="U8" i="9"/>
  <c r="T8" i="9"/>
  <c r="S8" i="9"/>
  <c r="R8" i="9"/>
  <c r="Q8" i="9"/>
  <c r="M8" i="9"/>
  <c r="M6" i="9" s="1"/>
  <c r="Y7" i="9"/>
  <c r="X7" i="9"/>
  <c r="W7" i="9"/>
  <c r="V7" i="9"/>
  <c r="U7" i="9"/>
  <c r="T7" i="9"/>
  <c r="S7" i="9"/>
  <c r="R7" i="9"/>
  <c r="Q7" i="9"/>
  <c r="Y6" i="9"/>
  <c r="X6" i="9"/>
  <c r="W6" i="9"/>
  <c r="V6" i="9"/>
  <c r="U6" i="9"/>
  <c r="T6" i="9"/>
  <c r="S6" i="9"/>
  <c r="R6" i="9"/>
  <c r="Q6" i="9"/>
  <c r="Y5" i="9"/>
  <c r="X5" i="9"/>
  <c r="W5" i="9"/>
  <c r="V5" i="9"/>
  <c r="U5" i="9"/>
  <c r="T5" i="9"/>
  <c r="S5" i="9"/>
  <c r="R5" i="9"/>
  <c r="Q5" i="9"/>
  <c r="Y4" i="9"/>
  <c r="X4" i="9"/>
  <c r="W4" i="9"/>
  <c r="V4" i="9"/>
  <c r="U4" i="9"/>
  <c r="T4" i="9"/>
  <c r="S4" i="9"/>
  <c r="R4" i="9"/>
  <c r="Q4" i="9"/>
  <c r="K52" i="14"/>
  <c r="B47" i="14"/>
  <c r="F40" i="14"/>
  <c r="E29" i="14"/>
  <c r="H24" i="14"/>
  <c r="F24" i="14"/>
  <c r="J21" i="14"/>
  <c r="L14" i="14"/>
  <c r="I14" i="14"/>
  <c r="P8" i="14"/>
  <c r="N208" i="3" s="1"/>
  <c r="P213" i="3" s="1"/>
  <c r="I8" i="14"/>
  <c r="R5" i="14"/>
  <c r="P12" i="14" s="1"/>
  <c r="R4" i="14"/>
  <c r="P11" i="14" s="1"/>
  <c r="E24" i="14" s="1"/>
  <c r="R3" i="14"/>
  <c r="I52" i="8"/>
  <c r="U51" i="8"/>
  <c r="CW50" i="8"/>
  <c r="CM47" i="8"/>
  <c r="BV47" i="8"/>
  <c r="BL47" i="8"/>
  <c r="BB46" i="8"/>
  <c r="AR46" i="8"/>
  <c r="AH46" i="8"/>
  <c r="N46" i="8"/>
  <c r="B46" i="8"/>
  <c r="CP45" i="8"/>
  <c r="AE45" i="8"/>
  <c r="CF42" i="8"/>
  <c r="BZ42" i="8"/>
  <c r="BP42" i="8"/>
  <c r="BF41" i="8"/>
  <c r="AV41" i="8"/>
  <c r="AL41" i="8"/>
  <c r="R41" i="8"/>
  <c r="F41" i="8"/>
  <c r="X40" i="8"/>
  <c r="BW36" i="8"/>
  <c r="BM36" i="8"/>
  <c r="CQ35" i="8"/>
  <c r="CG35" i="8"/>
  <c r="BC35" i="8"/>
  <c r="AS35" i="8"/>
  <c r="AI35" i="8"/>
  <c r="O35" i="8"/>
  <c r="C35" i="8"/>
  <c r="BX33" i="8"/>
  <c r="BN33" i="8"/>
  <c r="Y33" i="8"/>
  <c r="CB32" i="8"/>
  <c r="BR32" i="8"/>
  <c r="BD32" i="8"/>
  <c r="AT32" i="8"/>
  <c r="AJ32" i="8"/>
  <c r="P32" i="8"/>
  <c r="D32" i="8"/>
  <c r="CB31" i="8"/>
  <c r="BR31" i="8"/>
  <c r="BH31" i="8"/>
  <c r="AX31" i="8"/>
  <c r="AN31" i="8"/>
  <c r="T31" i="8"/>
  <c r="H31" i="8"/>
  <c r="CB30" i="8"/>
  <c r="BR30" i="8"/>
  <c r="BH30" i="8"/>
  <c r="AX30" i="8"/>
  <c r="AN30" i="8"/>
  <c r="Z30" i="8"/>
  <c r="T30" i="8"/>
  <c r="H30" i="8"/>
  <c r="CB29" i="8"/>
  <c r="BR29" i="8"/>
  <c r="AX29" i="8"/>
  <c r="AN29" i="8"/>
  <c r="AD29" i="8"/>
  <c r="T29" i="8"/>
  <c r="H29" i="8"/>
  <c r="BH28" i="8"/>
  <c r="AX28" i="8"/>
  <c r="AN28" i="8"/>
  <c r="AD28" i="8"/>
  <c r="T28" i="8"/>
  <c r="H28" i="8"/>
  <c r="AD27" i="8"/>
  <c r="AD26" i="8"/>
  <c r="CB22" i="8"/>
  <c r="BR22" i="8"/>
  <c r="CB21" i="8"/>
  <c r="BR21" i="8"/>
  <c r="BH21" i="8"/>
  <c r="AX21" i="8"/>
  <c r="AN21" i="8"/>
  <c r="T21" i="8"/>
  <c r="H21" i="8"/>
  <c r="CB20" i="8"/>
  <c r="BR20" i="8"/>
  <c r="AX20" i="8"/>
  <c r="AN20" i="8"/>
  <c r="H20" i="8"/>
  <c r="CB19" i="8"/>
  <c r="BR19" i="8"/>
  <c r="BH19" i="8"/>
  <c r="AX19" i="8"/>
  <c r="AN19" i="8"/>
  <c r="H19" i="8"/>
  <c r="CB18" i="8"/>
  <c r="BR18" i="8"/>
  <c r="BH18" i="8"/>
  <c r="AX18" i="8"/>
  <c r="AN18" i="8"/>
  <c r="H18" i="8"/>
  <c r="CB17" i="8"/>
  <c r="BR17" i="8"/>
  <c r="BH17" i="8"/>
  <c r="AX17" i="8"/>
  <c r="AN17" i="8"/>
  <c r="H17" i="8"/>
  <c r="BH16" i="8"/>
  <c r="AX16" i="8"/>
  <c r="AN16" i="8"/>
  <c r="H16" i="8"/>
  <c r="BZ13" i="8"/>
  <c r="CC52" i="8" s="1"/>
  <c r="BP13" i="8"/>
  <c r="BS52" i="8" s="1"/>
  <c r="R13" i="8"/>
  <c r="V8" i="8" s="1"/>
  <c r="CT12" i="8"/>
  <c r="CX9" i="8" s="1"/>
  <c r="CJ12" i="8"/>
  <c r="CN9" i="8" s="1"/>
  <c r="BF12" i="8"/>
  <c r="BI51" i="8" s="1"/>
  <c r="AV12" i="8"/>
  <c r="AY51" i="8" s="1"/>
  <c r="AL12" i="8"/>
  <c r="AL13" i="8" s="1"/>
  <c r="AP8" i="8" s="1"/>
  <c r="F12" i="8"/>
  <c r="I51" i="8" s="1"/>
  <c r="AB11" i="8"/>
  <c r="AF8" i="8" s="1"/>
  <c r="CX8" i="8"/>
  <c r="CN8" i="8"/>
  <c r="CD8" i="8"/>
  <c r="BT8" i="8"/>
  <c r="BJ7" i="8"/>
  <c r="AZ7" i="8"/>
  <c r="AP7" i="8"/>
  <c r="AF7" i="8"/>
  <c r="V7" i="8"/>
  <c r="J7" i="8"/>
  <c r="E74" i="13"/>
  <c r="E72" i="13"/>
  <c r="G50" i="13" s="1"/>
  <c r="G52" i="13" s="1"/>
  <c r="G53" i="13" s="1"/>
  <c r="E71" i="13"/>
  <c r="G54" i="13" s="1"/>
  <c r="K65" i="13"/>
  <c r="F45" i="13"/>
  <c r="E36" i="13"/>
  <c r="E35" i="13"/>
  <c r="E33" i="13"/>
  <c r="K50" i="13" s="1"/>
  <c r="K51" i="13" s="1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I20" i="11"/>
  <c r="T20" i="11"/>
  <c r="S20" i="11"/>
  <c r="R20" i="11"/>
  <c r="Q20" i="11"/>
  <c r="P20" i="11"/>
  <c r="AI17" i="11"/>
  <c r="M16" i="11"/>
  <c r="M24" i="11" s="1"/>
  <c r="F9" i="11" s="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E32" i="11" s="1"/>
  <c r="AI3" i="11"/>
  <c r="B53" i="2"/>
  <c r="F46" i="2"/>
  <c r="F40" i="2"/>
  <c r="L37" i="2"/>
  <c r="H36" i="2"/>
  <c r="H35" i="2"/>
  <c r="I34" i="2"/>
  <c r="H34" i="2"/>
  <c r="H33" i="2"/>
  <c r="E30" i="2"/>
  <c r="H26" i="2"/>
  <c r="H25" i="2"/>
  <c r="H24" i="2"/>
  <c r="I23" i="2"/>
  <c r="H23" i="2"/>
  <c r="H22" i="2"/>
  <c r="H21" i="2"/>
  <c r="F16" i="2"/>
  <c r="M10" i="2"/>
  <c r="F9" i="2"/>
  <c r="B45" i="6"/>
  <c r="B38" i="6"/>
  <c r="F31" i="6"/>
  <c r="F16" i="6" s="1"/>
  <c r="E31" i="6"/>
  <c r="O26" i="3" s="1"/>
  <c r="G32" i="6" s="1"/>
  <c r="F30" i="6"/>
  <c r="E30" i="6"/>
  <c r="F27" i="6"/>
  <c r="M25" i="6"/>
  <c r="I22" i="6"/>
  <c r="E22" i="6"/>
  <c r="D22" i="6"/>
  <c r="F17" i="6"/>
  <c r="F12" i="6"/>
  <c r="F13" i="6" s="1"/>
  <c r="P25" i="6"/>
  <c r="P26" i="6" s="1"/>
  <c r="M8" i="6"/>
  <c r="M142" i="3" s="1"/>
  <c r="W20" i="6"/>
  <c r="U23" i="6" s="1"/>
  <c r="B42" i="5"/>
  <c r="B35" i="5"/>
  <c r="T27" i="5"/>
  <c r="T30" i="5" s="1"/>
  <c r="T31" i="5" s="1"/>
  <c r="F25" i="5"/>
  <c r="H20" i="5"/>
  <c r="C20" i="5"/>
  <c r="V14" i="5"/>
  <c r="V21" i="5" s="1"/>
  <c r="G14" i="5"/>
  <c r="V11" i="5"/>
  <c r="T16" i="5" s="1"/>
  <c r="T18" i="5" s="1"/>
  <c r="N10" i="5"/>
  <c r="W6" i="5"/>
  <c r="V7" i="5" s="1"/>
  <c r="V8" i="5" s="1"/>
  <c r="V9" i="5" s="1"/>
  <c r="AC4" i="5"/>
  <c r="B51" i="4"/>
  <c r="E40" i="4"/>
  <c r="E38" i="4"/>
  <c r="D35" i="4"/>
  <c r="J28" i="4"/>
  <c r="I28" i="4"/>
  <c r="H28" i="4"/>
  <c r="E22" i="4"/>
  <c r="M16" i="4"/>
  <c r="M15" i="4" s="1"/>
  <c r="T4" i="4"/>
  <c r="B46" i="15"/>
  <c r="F33" i="15"/>
  <c r="S21" i="15"/>
  <c r="S22" i="15" s="1"/>
  <c r="B52" i="1"/>
  <c r="F39" i="1"/>
  <c r="F42" i="1" s="1"/>
  <c r="E37" i="1"/>
  <c r="G18" i="1"/>
  <c r="Y16" i="1"/>
  <c r="Y17" i="1" s="1"/>
  <c r="AC15" i="1"/>
  <c r="O15" i="1"/>
  <c r="O7" i="1"/>
  <c r="G9" i="1" s="1"/>
  <c r="AB4" i="1"/>
  <c r="L15" i="11" l="1"/>
  <c r="Q210" i="3"/>
  <c r="R6" i="14"/>
  <c r="T3" i="14" a="1"/>
  <c r="T3" i="14" s="1"/>
  <c r="V23" i="6"/>
  <c r="AO18" i="12"/>
  <c r="AQ18" i="12" s="1"/>
  <c r="G30" i="6"/>
  <c r="P10" i="14"/>
  <c r="G24" i="14" s="1"/>
  <c r="U22" i="6"/>
  <c r="T23" i="6"/>
  <c r="AI4" i="10"/>
  <c r="AJ4" i="10" s="1"/>
  <c r="F38" i="13"/>
  <c r="I38" i="13" s="1"/>
  <c r="F39" i="13" s="1"/>
  <c r="F40" i="13" s="1"/>
  <c r="P146" i="3"/>
  <c r="R146" i="3"/>
  <c r="N11" i="12"/>
  <c r="N12" i="12" s="1"/>
  <c r="G11" i="12" s="1"/>
  <c r="G12" i="12" s="1"/>
  <c r="J9" i="12" s="1"/>
  <c r="S146" i="3"/>
  <c r="K161" i="3"/>
  <c r="M181" i="3"/>
  <c r="L8" i="11"/>
  <c r="BC17" i="12"/>
  <c r="BC18" i="12" s="1"/>
  <c r="O147" i="3"/>
  <c r="M161" i="3"/>
  <c r="O181" i="3"/>
  <c r="T21" i="6"/>
  <c r="U20" i="11"/>
  <c r="S23" i="11" s="1"/>
  <c r="G51" i="13"/>
  <c r="BF13" i="8"/>
  <c r="BJ8" i="8" s="1"/>
  <c r="AQ43" i="12"/>
  <c r="AL19" i="12" s="1"/>
  <c r="K146" i="3"/>
  <c r="Q147" i="3"/>
  <c r="O161" i="3"/>
  <c r="Q181" i="3"/>
  <c r="M17" i="11"/>
  <c r="F10" i="11" s="1"/>
  <c r="F11" i="11" s="1"/>
  <c r="J9" i="11" s="1"/>
  <c r="BE43" i="12"/>
  <c r="L146" i="3"/>
  <c r="Q161" i="3"/>
  <c r="V21" i="6"/>
  <c r="S22" i="6"/>
  <c r="N146" i="3"/>
  <c r="T7" i="5"/>
  <c r="T8" i="5" s="1"/>
  <c r="T9" i="5" s="1"/>
  <c r="R161" i="3"/>
  <c r="U7" i="5"/>
  <c r="U8" i="5" s="1"/>
  <c r="U9" i="5" s="1"/>
  <c r="T22" i="6"/>
  <c r="F11" i="6"/>
  <c r="F11" i="10"/>
  <c r="F12" i="10" s="1"/>
  <c r="J8" i="10" s="1"/>
  <c r="AA29" i="12"/>
  <c r="AC29" i="12" s="1"/>
  <c r="AZ28" i="12"/>
  <c r="AZ19" i="12" s="1"/>
  <c r="BE10" i="12" s="1"/>
  <c r="O146" i="3"/>
  <c r="S161" i="3"/>
  <c r="AC21" i="12"/>
  <c r="AA12" i="12"/>
  <c r="U10" i="12" s="1"/>
  <c r="AQ11" i="12"/>
  <c r="AQ12" i="12" s="1"/>
  <c r="AJ11" i="12" s="1"/>
  <c r="AJ12" i="12" s="1"/>
  <c r="AQ33" i="12"/>
  <c r="N24" i="12"/>
  <c r="M8" i="4"/>
  <c r="F9" i="4" s="1"/>
  <c r="BE32" i="12"/>
  <c r="BE33" i="12" s="1"/>
  <c r="P6" i="14"/>
  <c r="BT87" i="17"/>
  <c r="BT90" i="17" s="1"/>
  <c r="BT95" i="17" s="1"/>
  <c r="I16" i="15"/>
  <c r="E73" i="13"/>
  <c r="D42" i="13" s="1"/>
  <c r="T20" i="5"/>
  <c r="T17" i="5"/>
  <c r="T19" i="5" s="1"/>
  <c r="T21" i="5" s="1"/>
  <c r="T21" i="11"/>
  <c r="T22" i="11"/>
  <c r="T23" i="11"/>
  <c r="AO51" i="8"/>
  <c r="N22" i="12"/>
  <c r="Q23" i="11"/>
  <c r="S21" i="11"/>
  <c r="P23" i="11"/>
  <c r="E28" i="14"/>
  <c r="M207" i="3"/>
  <c r="N207" i="3" s="1"/>
  <c r="P15" i="14"/>
  <c r="D16" i="14" s="1"/>
  <c r="F9" i="9"/>
  <c r="M8" i="2"/>
  <c r="AV13" i="8"/>
  <c r="AZ8" i="8" s="1"/>
  <c r="E157" i="3"/>
  <c r="N8" i="5"/>
  <c r="G9" i="5" s="1"/>
  <c r="M18" i="11"/>
  <c r="F12" i="11" s="1"/>
  <c r="P21" i="11"/>
  <c r="P22" i="11"/>
  <c r="I50" i="10"/>
  <c r="J24" i="10"/>
  <c r="D21" i="6"/>
  <c r="E33" i="6"/>
  <c r="G33" i="6" s="1"/>
  <c r="I21" i="6"/>
  <c r="E21" i="9"/>
  <c r="F11" i="9"/>
  <c r="S7" i="5"/>
  <c r="S8" i="5" s="1"/>
  <c r="S9" i="5" s="1"/>
  <c r="R23" i="11"/>
  <c r="S22" i="11"/>
  <c r="R22" i="11"/>
  <c r="F8" i="9"/>
  <c r="E24" i="9"/>
  <c r="F10" i="10"/>
  <c r="AQ22" i="12"/>
  <c r="AC42" i="12"/>
  <c r="X28" i="12" s="1"/>
  <c r="R213" i="3"/>
  <c r="BE22" i="12"/>
  <c r="V22" i="6"/>
  <c r="I36" i="11"/>
  <c r="BP14" i="8"/>
  <c r="BT9" i="8" s="1"/>
  <c r="BE11" i="12"/>
  <c r="AO12" i="12"/>
  <c r="AJ10" i="12" s="1"/>
  <c r="D23" i="12"/>
  <c r="AC33" i="12"/>
  <c r="P147" i="3"/>
  <c r="N147" i="3"/>
  <c r="M147" i="3"/>
  <c r="L147" i="3"/>
  <c r="S147" i="3"/>
  <c r="K147" i="3"/>
  <c r="B301" i="3"/>
  <c r="B268" i="3"/>
  <c r="E333" i="3"/>
  <c r="B283" i="3"/>
  <c r="S21" i="6"/>
  <c r="S23" i="6"/>
  <c r="R21" i="11"/>
  <c r="F13" i="8"/>
  <c r="J8" i="8" s="1"/>
  <c r="BZ14" i="8"/>
  <c r="CD9" i="8" s="1"/>
  <c r="J18" i="9"/>
  <c r="N198" i="3" s="1"/>
  <c r="P198" i="3" s="1"/>
  <c r="R198" i="3" s="1"/>
  <c r="I13" i="9" s="1"/>
  <c r="F9" i="10"/>
  <c r="J7" i="10" s="1"/>
  <c r="P17" i="10"/>
  <c r="F38" i="10" s="1"/>
  <c r="O234" i="3"/>
  <c r="U21" i="6"/>
  <c r="M9" i="6"/>
  <c r="F9" i="6" s="1"/>
  <c r="N16" i="12"/>
  <c r="M146" i="3"/>
  <c r="L161" i="3"/>
  <c r="L181" i="3"/>
  <c r="N161" i="3"/>
  <c r="N181" i="3"/>
  <c r="P161" i="3"/>
  <c r="AQ23" i="12" l="1"/>
  <c r="AQ34" i="12" s="1"/>
  <c r="AJ13" i="12" s="1"/>
  <c r="AJ14" i="12" s="1"/>
  <c r="AC7" i="14"/>
  <c r="X7" i="14"/>
  <c r="AC4" i="14"/>
  <c r="AA4" i="14"/>
  <c r="V7" i="14"/>
  <c r="AB4" i="14"/>
  <c r="AA3" i="14"/>
  <c r="AA6" i="14"/>
  <c r="Y5" i="14"/>
  <c r="W7" i="14"/>
  <c r="Y4" i="14"/>
  <c r="X6" i="14"/>
  <c r="V3" i="14"/>
  <c r="W3" i="14"/>
  <c r="W6" i="14"/>
  <c r="Z6" i="14"/>
  <c r="Z3" i="14"/>
  <c r="X3" i="14"/>
  <c r="Y6" i="14"/>
  <c r="Y7" i="14"/>
  <c r="Y3" i="14"/>
  <c r="AC5" i="14"/>
  <c r="AB7" i="14"/>
  <c r="W5" i="14"/>
  <c r="V5" i="14"/>
  <c r="AC3" i="14"/>
  <c r="AA5" i="14"/>
  <c r="Z7" i="14"/>
  <c r="AB6" i="14"/>
  <c r="AA7" i="14"/>
  <c r="AB5" i="14"/>
  <c r="T5" i="14" s="1"/>
  <c r="X5" i="14"/>
  <c r="V4" i="14"/>
  <c r="AC6" i="14"/>
  <c r="Z4" i="14"/>
  <c r="W4" i="14"/>
  <c r="V6" i="14"/>
  <c r="X4" i="14"/>
  <c r="AB3" i="14"/>
  <c r="Z5" i="14"/>
  <c r="T4" i="14" s="1"/>
  <c r="P13" i="14"/>
  <c r="AC34" i="12"/>
  <c r="AC35" i="12" s="1"/>
  <c r="Q21" i="11"/>
  <c r="L159" i="3"/>
  <c r="O142" i="3"/>
  <c r="S143" i="3" s="1"/>
  <c r="Y143" i="3" s="1"/>
  <c r="O179" i="3"/>
  <c r="M179" i="3" s="1"/>
  <c r="N16" i="5" s="1"/>
  <c r="B307" i="3"/>
  <c r="B308" i="3" s="1"/>
  <c r="F35" i="15" s="1"/>
  <c r="BE18" i="12"/>
  <c r="BE7" i="12"/>
  <c r="BE12" i="12" s="1"/>
  <c r="AX11" i="12" s="1"/>
  <c r="AX12" i="12" s="1"/>
  <c r="BA9" i="12" s="1"/>
  <c r="AC43" i="12"/>
  <c r="X19" i="12" s="1"/>
  <c r="AC10" i="12" s="1"/>
  <c r="Q22" i="11"/>
  <c r="BT100" i="17"/>
  <c r="BT118" i="17" s="1"/>
  <c r="O235" i="3"/>
  <c r="L167" i="3"/>
  <c r="Q144" i="3"/>
  <c r="M13" i="6" s="1"/>
  <c r="L166" i="3"/>
  <c r="N12" i="5" s="1"/>
  <c r="N25" i="5" s="1"/>
  <c r="Q143" i="3"/>
  <c r="M12" i="6" s="1"/>
  <c r="J9" i="6"/>
  <c r="J8" i="6"/>
  <c r="N142" i="3"/>
  <c r="S144" i="3" s="1"/>
  <c r="F288" i="3"/>
  <c r="D288" i="3"/>
  <c r="N31" i="12"/>
  <c r="I29" i="12" s="1"/>
  <c r="N30" i="12"/>
  <c r="G34" i="12"/>
  <c r="AM9" i="12"/>
  <c r="AC17" i="12"/>
  <c r="AC22" i="12" s="1"/>
  <c r="AC7" i="12"/>
  <c r="F12" i="9"/>
  <c r="J8" i="9" s="1"/>
  <c r="F10" i="9"/>
  <c r="BE23" i="12"/>
  <c r="BE34" i="12" s="1"/>
  <c r="N25" i="12"/>
  <c r="G13" i="12" s="1"/>
  <c r="D273" i="3"/>
  <c r="F273" i="3"/>
  <c r="M9" i="9"/>
  <c r="J7" i="9"/>
  <c r="P16" i="14"/>
  <c r="I10" i="14" s="1"/>
  <c r="I9" i="14"/>
  <c r="O236" i="3"/>
  <c r="O237" i="3" s="1"/>
  <c r="F14" i="11"/>
  <c r="F15" i="11" s="1"/>
  <c r="J10" i="11" s="1"/>
  <c r="F13" i="11"/>
  <c r="AC36" i="12" l="1"/>
  <c r="U13" i="12" s="1"/>
  <c r="U14" i="12" s="1"/>
  <c r="T6" i="14"/>
  <c r="AC12" i="12"/>
  <c r="U11" i="12" s="1"/>
  <c r="U12" i="12" s="1"/>
  <c r="Y9" i="12" s="1"/>
  <c r="M14" i="6"/>
  <c r="AJ15" i="12"/>
  <c r="AJ16" i="12" s="1"/>
  <c r="AM10" i="12" s="1"/>
  <c r="N32" i="12"/>
  <c r="H19" i="12" s="1"/>
  <c r="O238" i="3"/>
  <c r="Q201" i="3"/>
  <c r="O201" i="3" s="1"/>
  <c r="M7" i="14"/>
  <c r="BT122" i="17"/>
  <c r="G14" i="12"/>
  <c r="G15" i="12"/>
  <c r="G16" i="12" s="1"/>
  <c r="J10" i="12" s="1"/>
  <c r="AX13" i="12"/>
  <c r="AX14" i="12" s="1"/>
  <c r="Y142" i="3"/>
  <c r="M20" i="6" s="1"/>
  <c r="M15" i="6"/>
  <c r="E32" i="6" l="1"/>
  <c r="E21" i="6"/>
  <c r="U15" i="12"/>
  <c r="U16" i="12" s="1"/>
  <c r="Y10" i="12" s="1"/>
  <c r="T206" i="3"/>
  <c r="T204" i="3"/>
  <c r="Q208" i="3"/>
  <c r="R208" i="3" s="1"/>
  <c r="O204" i="3"/>
  <c r="O206" i="3"/>
  <c r="O212" i="3"/>
  <c r="P212" i="3" s="1"/>
  <c r="O208" i="3"/>
  <c r="P208" i="3" s="1"/>
  <c r="M204" i="3"/>
  <c r="N204" i="3" s="1"/>
  <c r="N209" i="3" s="1"/>
  <c r="Q206" i="3"/>
  <c r="Q204" i="3"/>
  <c r="AX15" i="12"/>
  <c r="AX16" i="12" s="1"/>
  <c r="BA10" i="12" s="1"/>
  <c r="O240" i="3"/>
  <c r="O241" i="3" s="1"/>
  <c r="BT128" i="17"/>
  <c r="R206" i="3" l="1"/>
  <c r="Q213" i="3" s="1"/>
  <c r="T208" i="3"/>
  <c r="O242" i="3"/>
  <c r="N237" i="3" s="1"/>
  <c r="P206" i="3"/>
  <c r="P214" i="3" s="1"/>
  <c r="BT132" i="17"/>
  <c r="BT143" i="17" s="1"/>
  <c r="Z145" i="3"/>
  <c r="N239" i="3" l="1"/>
  <c r="N238" i="3"/>
  <c r="N243" i="3"/>
  <c r="N234" i="3"/>
  <c r="Q216" i="3"/>
  <c r="R217" i="3" s="1"/>
  <c r="R210" i="3"/>
  <c r="R214" i="3" s="1"/>
  <c r="S214" i="3" s="1"/>
  <c r="U214" i="3" s="1"/>
  <c r="P19" i="14" s="1"/>
  <c r="I11" i="14" s="1"/>
  <c r="I12" i="14" s="1"/>
  <c r="X147" i="3"/>
  <c r="V147" i="3"/>
  <c r="U147" i="3"/>
  <c r="T147" i="3"/>
  <c r="Y147" i="3"/>
  <c r="W147" i="3"/>
  <c r="N240" i="3"/>
  <c r="N242" i="3"/>
  <c r="N233" i="3"/>
  <c r="N241" i="3"/>
  <c r="N236" i="3"/>
  <c r="BT156" i="17"/>
  <c r="BT168" i="17" s="1"/>
  <c r="N235" i="3"/>
  <c r="I13" i="14" l="1"/>
  <c r="M8" i="14" s="1"/>
  <c r="F41" i="14"/>
  <c r="S168" i="3"/>
  <c r="W145" i="3"/>
  <c r="U145" i="3" s="1"/>
  <c r="M16" i="6" s="1"/>
  <c r="BT177" i="17"/>
  <c r="M23" i="6" l="1"/>
  <c r="F26" i="6" s="1"/>
  <c r="M26" i="6" s="1"/>
  <c r="BT180" i="17"/>
  <c r="F36" i="6" l="1"/>
  <c r="F34" i="6" s="1"/>
  <c r="BT185" i="17"/>
  <c r="BT190" i="17" l="1"/>
  <c r="BT197" i="17" l="1"/>
  <c r="BT201" i="17" l="1"/>
  <c r="BT213" i="17" l="1"/>
  <c r="BT217" i="17" l="1"/>
  <c r="BT225" i="17" l="1"/>
  <c r="BT226" i="17" l="1"/>
  <c r="BT248" i="17" l="1"/>
  <c r="BT256" i="17" l="1"/>
  <c r="BT272" i="17" l="1"/>
  <c r="BT282" i="17" l="1"/>
  <c r="BT293" i="17" l="1"/>
  <c r="BT302" i="17" l="1"/>
  <c r="BT305" i="17" l="1"/>
  <c r="BT311" i="17" l="1"/>
  <c r="BT316" i="17" l="1"/>
  <c r="BT322" i="17" l="1"/>
  <c r="BT330" i="17" l="1"/>
  <c r="BT338" i="17" l="1"/>
  <c r="BT342" i="17" l="1"/>
  <c r="BT352" i="17" s="1"/>
  <c r="BT361" i="17" s="1"/>
  <c r="BT373" i="17" s="1"/>
  <c r="BT379" i="17" s="1"/>
  <c r="BT415" i="17" s="1"/>
  <c r="BT432" i="17" s="1"/>
  <c r="BT463" i="17" s="1"/>
  <c r="BT497" i="17" s="1"/>
  <c r="BT513" i="17" s="1"/>
  <c r="BT529" i="17" s="1"/>
  <c r="BT545" i="17" s="1"/>
  <c r="BT546" i="17" s="1"/>
  <c r="BT563" i="17" s="1"/>
  <c r="BT572" i="17" s="1"/>
  <c r="BT597" i="17" s="1"/>
  <c r="BT606" i="17" s="1"/>
  <c r="BT622" i="17" s="1"/>
  <c r="BT631" i="17" s="1"/>
  <c r="BT646" i="17" s="1"/>
  <c r="BT654" i="17" s="1"/>
  <c r="BT659" i="17" s="1"/>
  <c r="BT667" i="17" s="1"/>
  <c r="BT677" i="17" s="1"/>
  <c r="BT697" i="17" s="1"/>
  <c r="BT704" i="17" s="1"/>
  <c r="BT710" i="17" s="1"/>
  <c r="BT721" i="17" s="1"/>
  <c r="BT722" i="17" s="1"/>
  <c r="BT732" i="17" s="1"/>
  <c r="BT735" i="17" s="1"/>
  <c r="BT743" i="17" s="1"/>
  <c r="BT751" i="17" s="1"/>
  <c r="BT758" i="17" s="1"/>
  <c r="BT762" i="17" s="1"/>
  <c r="BT773" i="17" s="1"/>
  <c r="BT777" i="17" s="1"/>
  <c r="BT781" i="17" s="1"/>
  <c r="BT783" i="17" s="1"/>
  <c r="BT787" i="17" s="1"/>
  <c r="BT799" i="17" s="1"/>
  <c r="BT803" i="17" s="1"/>
  <c r="BT814" i="17" s="1"/>
  <c r="BT830" i="17" s="1"/>
  <c r="BT859" i="17" s="1"/>
  <c r="BT869" i="17" s="1"/>
  <c r="BT879" i="17" s="1"/>
  <c r="BT881" i="17" s="1"/>
  <c r="BT890" i="17" s="1"/>
  <c r="BT894" i="17" s="1"/>
  <c r="BT907" i="17" s="1"/>
  <c r="BT910" i="17" s="1"/>
  <c r="BT911" i="17" s="1"/>
  <c r="BT917" i="17" s="1"/>
  <c r="BT926" i="17" s="1"/>
  <c r="BT936" i="17" s="1"/>
  <c r="BT944" i="17" s="1"/>
  <c r="BT947" i="17" s="1"/>
  <c r="BT955" i="17" s="1"/>
  <c r="BT960" i="17" s="1"/>
  <c r="BT964" i="17" s="1"/>
  <c r="BT965" i="17" s="1"/>
  <c r="BT969" i="17" s="1"/>
  <c r="BT972" i="17" s="1"/>
  <c r="BT979" i="17" s="1"/>
  <c r="BT981" i="17" s="1"/>
  <c r="BT983" i="17" s="1"/>
  <c r="BT986" i="17" s="1"/>
  <c r="BT991" i="17" s="1"/>
  <c r="BT995" i="17" s="1"/>
  <c r="BT996" i="17" s="1"/>
  <c r="BT1000" i="17" s="1"/>
  <c r="BT1001" i="17" s="1"/>
  <c r="BT1002" i="17" s="1"/>
  <c r="BT1005" i="17" s="1"/>
  <c r="BT1011" i="17" s="1"/>
  <c r="BT1015" i="17" s="1"/>
  <c r="BT1016" i="17" s="1"/>
  <c r="BT1020" i="17" s="1"/>
  <c r="BT1022" i="17" s="1"/>
  <c r="BT1026" i="17" s="1"/>
  <c r="BT1028" i="17" s="1"/>
  <c r="BT1029" i="17" s="1"/>
  <c r="BT1030" i="17" s="1"/>
  <c r="BT1031" i="17" s="1"/>
  <c r="BT1034" i="17" s="1"/>
  <c r="BT1037" i="17" s="1"/>
  <c r="BT1046" i="17" s="1"/>
  <c r="BT1048" i="17" s="1"/>
  <c r="BT1050" i="17" s="1"/>
  <c r="BT1053" i="17" s="1"/>
  <c r="BT1054" i="17" s="1"/>
  <c r="BT1059" i="17" s="1"/>
  <c r="BT1061" i="17" s="1"/>
  <c r="BT1066" i="17" s="1"/>
  <c r="BT1067" i="17" s="1"/>
  <c r="BT1068" i="17" s="1"/>
  <c r="BT1069" i="17" s="1"/>
  <c r="BT1071" i="17" s="1"/>
  <c r="BT1073" i="17" s="1"/>
  <c r="BT1074" i="17" s="1"/>
  <c r="BT1076" i="17" s="1"/>
  <c r="BT1080" i="17" s="1"/>
  <c r="BT1081" i="17" s="1"/>
  <c r="BT1083" i="17" s="1"/>
  <c r="BT1085" i="17" s="1"/>
  <c r="BT1089" i="17" s="1"/>
  <c r="BT1090" i="17" s="1"/>
  <c r="BT1091" i="17" s="1"/>
  <c r="BT1094" i="17" s="1"/>
  <c r="BT1096" i="17" s="1"/>
  <c r="BT1098" i="17" s="1"/>
  <c r="BT1100" i="17" s="1"/>
  <c r="BT1102" i="17" s="1"/>
  <c r="BT1103" i="17" s="1"/>
  <c r="BT1104" i="17" s="1"/>
  <c r="BT1105" i="17" s="1"/>
  <c r="BT1106" i="17" s="1"/>
  <c r="BT1107" i="17" s="1"/>
  <c r="BT1110" i="17" s="1"/>
  <c r="BT1111" i="17" s="1"/>
  <c r="BT1113" i="17" s="1"/>
  <c r="BT1114" i="17" s="1"/>
  <c r="BT1116" i="17" s="1"/>
  <c r="BT1117" i="17" s="1"/>
  <c r="BT1119" i="17" s="1"/>
  <c r="BT1120" i="17" s="1"/>
  <c r="BT1121" i="17" s="1"/>
  <c r="BT1122" i="17" s="1"/>
  <c r="BT1123" i="17" s="1"/>
  <c r="BT1124" i="17" s="1"/>
  <c r="BT1126" i="17" s="1"/>
  <c r="BT1127" i="17" s="1"/>
  <c r="BT1128" i="17" s="1"/>
  <c r="BT1129" i="17" s="1"/>
  <c r="BT1130" i="17" s="1"/>
  <c r="BT1131" i="17" s="1"/>
  <c r="BT1133" i="17" s="1"/>
  <c r="BT1134" i="17" s="1"/>
  <c r="BT1135" i="17" s="1"/>
  <c r="BT1139" i="17" s="1"/>
  <c r="BT1141" i="17" s="1"/>
  <c r="BT1146" i="17" s="1"/>
  <c r="BT1147" i="17" s="1"/>
  <c r="BT1149" i="17" s="1"/>
  <c r="BT1150" i="17" s="1"/>
  <c r="BT1151" i="17" s="1"/>
  <c r="BT1152" i="17" s="1"/>
  <c r="BT1153" i="17" s="1"/>
  <c r="BT1154" i="17" s="1"/>
  <c r="BT1155" i="17" s="1"/>
  <c r="BT1156" i="17" s="1"/>
  <c r="BS333" i="17" l="1"/>
  <c r="BS329" i="17"/>
  <c r="BS331" i="17"/>
  <c r="BS332" i="17"/>
  <c r="BS335" i="17"/>
  <c r="BS321" i="17"/>
  <c r="BS320" i="17"/>
  <c r="BS323" i="17"/>
  <c r="BS325" i="17"/>
  <c r="BS319" i="17"/>
  <c r="BS327" i="17"/>
  <c r="BS97" i="17"/>
  <c r="BS88" i="17"/>
  <c r="BS82" i="17"/>
  <c r="BS113" i="17"/>
  <c r="BS105" i="17"/>
  <c r="BS77" i="17"/>
  <c r="BS85" i="17"/>
  <c r="BS87" i="17"/>
  <c r="BS84" i="17"/>
  <c r="BS107" i="17"/>
  <c r="BS114" i="17"/>
  <c r="BS89" i="17"/>
  <c r="BS109" i="17"/>
  <c r="BS86" i="17"/>
  <c r="BS91" i="17"/>
  <c r="BS100" i="17"/>
  <c r="BS99" i="17"/>
  <c r="BS78" i="17"/>
  <c r="BS106" i="17"/>
  <c r="BS92" i="17"/>
  <c r="BS116" i="17"/>
  <c r="BS110" i="17"/>
  <c r="BS101" i="17"/>
  <c r="BS96" i="17"/>
  <c r="BS94" i="17"/>
  <c r="BS112" i="17"/>
  <c r="BS98" i="17"/>
  <c r="BS111" i="17"/>
  <c r="BS95" i="17"/>
  <c r="BS83" i="17"/>
  <c r="BS103" i="17"/>
  <c r="BS81" i="17"/>
  <c r="BS108" i="17"/>
  <c r="BS121" i="17"/>
  <c r="BS90" i="17"/>
  <c r="BS104" i="17"/>
  <c r="BS79" i="17"/>
  <c r="BS120" i="17"/>
  <c r="BS117" i="17"/>
  <c r="BS80" i="17"/>
  <c r="BS93" i="17"/>
  <c r="BS102" i="17"/>
  <c r="BS115" i="17"/>
  <c r="BS130" i="17"/>
  <c r="BS129" i="17"/>
  <c r="BS136" i="17"/>
  <c r="BS135" i="17"/>
  <c r="BS140" i="17"/>
  <c r="BS134" i="17"/>
  <c r="BS124" i="17"/>
  <c r="BS125" i="17"/>
  <c r="BS139" i="17"/>
  <c r="BS118" i="17"/>
  <c r="BS170" i="17"/>
  <c r="BS122" i="17"/>
  <c r="BS127" i="17"/>
  <c r="BS146" i="17"/>
  <c r="BS165" i="17"/>
  <c r="BS133" i="17"/>
  <c r="BS154" i="17"/>
  <c r="BS123" i="17"/>
  <c r="BS131" i="17"/>
  <c r="BS160" i="17"/>
  <c r="BS144" i="17"/>
  <c r="BS138" i="17"/>
  <c r="BS148" i="17"/>
  <c r="BS164" i="17"/>
  <c r="BS152" i="17"/>
  <c r="BS142" i="17"/>
  <c r="BS163" i="17"/>
  <c r="BS162" i="17"/>
  <c r="BS173" i="17"/>
  <c r="BS158" i="17"/>
  <c r="BS159" i="17"/>
  <c r="BS155" i="17"/>
  <c r="BS119" i="17"/>
  <c r="BS153" i="17"/>
  <c r="BS128" i="17"/>
  <c r="BS143" i="17"/>
  <c r="BS149" i="17"/>
  <c r="BS150" i="17"/>
  <c r="BS157" i="17"/>
  <c r="BS151" i="17"/>
  <c r="BS147" i="17"/>
  <c r="BS141" i="17"/>
  <c r="BS176" i="17"/>
  <c r="BS132" i="17"/>
  <c r="BS161" i="17"/>
  <c r="BS174" i="17"/>
  <c r="BS179" i="17"/>
  <c r="BS171" i="17"/>
  <c r="BS178" i="17"/>
  <c r="BS167" i="17"/>
  <c r="BS168" i="17"/>
  <c r="BS137" i="17"/>
  <c r="BS172" i="17"/>
  <c r="BS145" i="17"/>
  <c r="BS126" i="17"/>
  <c r="BS181" i="17"/>
  <c r="BS156" i="17"/>
  <c r="BS184" i="17"/>
  <c r="BS180" i="17"/>
  <c r="BS166" i="17"/>
  <c r="BS183" i="17"/>
  <c r="BS169" i="17"/>
  <c r="BS177" i="17"/>
  <c r="BS175" i="17"/>
  <c r="BS188" i="17"/>
  <c r="BS185" i="17"/>
  <c r="BS182" i="17"/>
  <c r="BS191" i="17"/>
  <c r="BS192" i="17"/>
  <c r="BS193" i="17"/>
  <c r="BS194" i="17"/>
  <c r="BS189" i="17"/>
  <c r="BS187" i="17"/>
  <c r="BS186" i="17"/>
  <c r="BS190" i="17"/>
  <c r="BS200" i="17"/>
  <c r="BS198" i="17"/>
  <c r="BS195" i="17"/>
  <c r="BS196" i="17"/>
  <c r="BS202" i="17"/>
  <c r="BS209" i="17"/>
  <c r="BS212" i="17"/>
  <c r="BS206" i="17"/>
  <c r="BS204" i="17"/>
  <c r="BS197" i="17"/>
  <c r="BS199" i="17"/>
  <c r="BS203" i="17"/>
  <c r="BS210" i="17"/>
  <c r="BS205" i="17"/>
  <c r="BS201" i="17"/>
  <c r="BS208" i="17"/>
  <c r="BS207" i="17"/>
  <c r="BS216" i="17"/>
  <c r="BS214" i="17"/>
  <c r="BS215" i="17"/>
  <c r="BS219" i="17"/>
  <c r="BS213" i="17"/>
  <c r="BS224" i="17"/>
  <c r="BS223" i="17"/>
  <c r="BS222" i="17"/>
  <c r="BS211" i="17"/>
  <c r="BS220" i="17"/>
  <c r="BS217" i="17"/>
  <c r="BS218" i="17"/>
  <c r="BS225" i="17"/>
  <c r="BS246" i="17"/>
  <c r="BS230" i="17"/>
  <c r="BS240" i="17"/>
  <c r="BS241" i="17"/>
  <c r="BS228" i="17"/>
  <c r="BS239" i="17"/>
  <c r="BS242" i="17"/>
  <c r="BS235" i="17"/>
  <c r="BS229" i="17"/>
  <c r="BS236" i="17"/>
  <c r="BS221" i="17"/>
  <c r="BS244" i="17"/>
  <c r="BS238" i="17"/>
  <c r="BS227" i="17"/>
  <c r="BS233" i="17"/>
  <c r="BS234" i="17"/>
  <c r="BS237" i="17"/>
  <c r="BS231" i="17"/>
  <c r="BS232" i="17"/>
  <c r="BS243" i="17"/>
  <c r="BS226" i="17"/>
  <c r="BS247" i="17"/>
  <c r="BS255" i="17"/>
  <c r="BS249" i="17"/>
  <c r="BS250" i="17"/>
  <c r="BS245" i="17"/>
  <c r="BS251" i="17"/>
  <c r="BS252" i="17"/>
  <c r="BS273" i="17"/>
  <c r="BS265" i="17"/>
  <c r="BS258" i="17"/>
  <c r="BS264" i="17"/>
  <c r="BS270" i="17"/>
  <c r="BS248" i="17"/>
  <c r="BS257" i="17"/>
  <c r="BS260" i="17"/>
  <c r="BS261" i="17"/>
  <c r="BS262" i="17"/>
  <c r="BS268" i="17"/>
  <c r="BS269" i="17"/>
  <c r="BS263" i="17"/>
  <c r="BS256" i="17"/>
  <c r="BS279" i="17"/>
  <c r="BS266" i="17"/>
  <c r="BS267" i="17"/>
  <c r="BS253" i="17"/>
  <c r="BS275" i="17"/>
  <c r="BS276" i="17"/>
  <c r="BS281" i="17"/>
  <c r="BS278" i="17"/>
  <c r="BS254" i="17"/>
  <c r="BS280" i="17"/>
  <c r="BS259" i="17"/>
  <c r="BS301" i="17"/>
  <c r="BS277" i="17"/>
  <c r="BS288" i="17"/>
  <c r="BS284" i="17"/>
  <c r="BS289" i="17"/>
  <c r="BS271" i="17"/>
  <c r="BS274" i="17"/>
  <c r="BS272" i="17"/>
  <c r="BS291" i="17"/>
  <c r="BS283" i="17"/>
  <c r="BS292" i="17"/>
  <c r="BS290" i="17"/>
  <c r="BS297" i="17"/>
  <c r="BS282" i="17"/>
  <c r="BS286" i="17"/>
  <c r="BS294" i="17"/>
  <c r="BS299" i="17"/>
  <c r="BS285" i="17"/>
  <c r="BS300" i="17"/>
  <c r="BS307" i="17"/>
  <c r="BS296" i="17"/>
  <c r="BS287" i="17"/>
  <c r="BS304" i="17"/>
  <c r="BS293" i="17"/>
  <c r="BS295" i="17"/>
  <c r="BS315" i="17"/>
  <c r="BS308" i="17"/>
  <c r="BS302" i="17"/>
  <c r="BS310" i="17"/>
  <c r="BS306" i="17"/>
  <c r="BS309" i="17"/>
  <c r="BS298" i="17"/>
  <c r="BS312" i="17"/>
  <c r="BS313" i="17"/>
  <c r="BS303" i="17"/>
  <c r="BS314" i="17"/>
  <c r="BS305" i="17"/>
  <c r="BS322" i="17"/>
  <c r="BS330" i="17"/>
  <c r="BS311" i="17"/>
  <c r="BS324" i="17"/>
  <c r="BS317" i="17"/>
  <c r="BS316" i="17"/>
  <c r="BS326" i="17"/>
  <c r="BS334" i="17"/>
  <c r="BS328" i="17"/>
  <c r="BS318" i="17"/>
  <c r="N307" i="3" l="1" a="1"/>
  <c r="N307" i="3" s="1"/>
  <c r="N29" i="5" s="1"/>
  <c r="O304" i="3" l="1" a="1"/>
  <c r="O304" i="3" s="1"/>
  <c r="O277" i="3" a="1"/>
  <c r="O277" i="3" s="1"/>
  <c r="O294" i="3" a="1"/>
  <c r="O294" i="3" s="1"/>
  <c r="O293" i="3" a="1"/>
  <c r="O293" i="3" s="1"/>
  <c r="O291" i="3" a="1"/>
  <c r="O291" i="3" s="1"/>
  <c r="O287" i="3" a="1"/>
  <c r="O287" i="3" s="1"/>
  <c r="O282" i="3" a="1"/>
  <c r="O282" i="3" s="1"/>
  <c r="O281" i="3" a="1"/>
  <c r="O281" i="3" s="1"/>
  <c r="O276" i="3" a="1"/>
  <c r="O276" i="3" s="1"/>
  <c r="O302" i="3" a="1"/>
  <c r="O302" i="3" s="1"/>
  <c r="O296" i="3" a="1"/>
  <c r="O296" i="3" s="1"/>
  <c r="O289" i="3" a="1"/>
  <c r="O289" i="3" s="1"/>
  <c r="O285" i="3" a="1"/>
  <c r="O285" i="3" s="1"/>
  <c r="O275" i="3" a="1"/>
  <c r="O275" i="3" s="1"/>
  <c r="O290" i="3" a="1"/>
  <c r="O290" i="3" s="1"/>
  <c r="O279" i="3" a="1"/>
  <c r="O279" i="3" s="1"/>
  <c r="O278" i="3" a="1"/>
  <c r="O278" i="3" s="1"/>
  <c r="O299" i="3" a="1"/>
  <c r="O299" i="3" s="1"/>
  <c r="O292" i="3" a="1"/>
  <c r="O292" i="3" s="1"/>
  <c r="O288" i="3" a="1"/>
  <c r="O288" i="3" s="1"/>
  <c r="O306" i="3" a="1"/>
  <c r="O306" i="3" s="1"/>
  <c r="O300" i="3" a="1"/>
  <c r="O300" i="3" s="1"/>
  <c r="O297" i="3" a="1"/>
  <c r="O297" i="3" s="1"/>
  <c r="O286" i="3" a="1"/>
  <c r="O286" i="3" s="1"/>
  <c r="O280" i="3" a="1"/>
  <c r="O280" i="3" s="1"/>
  <c r="O274" i="3" a="1"/>
  <c r="O274" i="3" s="1"/>
  <c r="O303" i="3" a="1"/>
  <c r="O303" i="3" s="1"/>
  <c r="O295" i="3" a="1"/>
  <c r="O295" i="3" s="1"/>
  <c r="O283" i="3" a="1"/>
  <c r="O283" i="3" s="1"/>
  <c r="O301" i="3" a="1"/>
  <c r="O301" i="3" s="1"/>
  <c r="P263" i="3"/>
  <c r="P262" i="3" s="1"/>
  <c r="H29" i="5"/>
  <c r="C19" i="5"/>
  <c r="O305" i="3" a="1"/>
  <c r="O305" i="3" s="1"/>
  <c r="O298" i="3" a="1"/>
  <c r="O298" i="3" s="1"/>
  <c r="O263" i="3" a="1"/>
  <c r="M35" i="5"/>
  <c r="E29" i="5"/>
  <c r="O284" i="3" a="1"/>
  <c r="O284" i="3" s="1"/>
  <c r="N26" i="3" l="1"/>
  <c r="H30" i="5" s="1"/>
  <c r="E31" i="5"/>
  <c r="H31" i="5" s="1"/>
  <c r="O271" i="3"/>
  <c r="O263" i="3"/>
  <c r="N263" i="3" s="1" a="1"/>
  <c r="N263" i="3" s="1"/>
  <c r="O269" i="3"/>
  <c r="O270" i="3"/>
  <c r="O273" i="3"/>
  <c r="O268" i="3"/>
  <c r="O267" i="3"/>
  <c r="O266" i="3"/>
  <c r="O265" i="3"/>
  <c r="O264" i="3"/>
  <c r="O272" i="3"/>
  <c r="N305" i="3" l="1" a="1"/>
  <c r="N305" i="3" s="1"/>
  <c r="N277" i="3" a="1"/>
  <c r="N277" i="3" s="1"/>
  <c r="N295" i="3" a="1"/>
  <c r="N295" i="3" s="1"/>
  <c r="N293" i="3" a="1"/>
  <c r="N293" i="3" s="1"/>
  <c r="N302" i="3" a="1"/>
  <c r="N302" i="3" s="1"/>
  <c r="N264" i="3" a="1"/>
  <c r="N264" i="3" s="1"/>
  <c r="N265" i="3" s="1" a="1"/>
  <c r="N265" i="3" s="1"/>
  <c r="N266" i="3" s="1" a="1"/>
  <c r="N266" i="3" s="1"/>
  <c r="N282" i="3" a="1"/>
  <c r="N282" i="3" s="1"/>
  <c r="N290" i="3" a="1"/>
  <c r="N290" i="3" s="1"/>
  <c r="N300" i="3" a="1"/>
  <c r="N300" i="3" s="1"/>
  <c r="N298" i="3" a="1"/>
  <c r="N298" i="3" s="1"/>
  <c r="N292" i="3" a="1"/>
  <c r="N292" i="3" s="1"/>
  <c r="N301" i="3" a="1"/>
  <c r="N301" i="3" s="1"/>
  <c r="N294" i="3" a="1"/>
  <c r="N294" i="3" s="1"/>
  <c r="N287" i="3" a="1"/>
  <c r="N287" i="3" s="1"/>
  <c r="N281" i="3" a="1"/>
  <c r="N281" i="3" s="1"/>
  <c r="N289" i="3" a="1"/>
  <c r="N289" i="3" s="1"/>
  <c r="N278" i="3" a="1"/>
  <c r="N278" i="3" s="1"/>
  <c r="N291" i="3" a="1"/>
  <c r="N291" i="3" s="1"/>
  <c r="N275" i="3" a="1"/>
  <c r="N275" i="3" s="1"/>
  <c r="N279" i="3" a="1"/>
  <c r="N279" i="3" s="1"/>
  <c r="N304" i="3" a="1"/>
  <c r="N304" i="3" s="1"/>
  <c r="N303" i="3" a="1"/>
  <c r="N303" i="3" s="1"/>
  <c r="N296" i="3" a="1"/>
  <c r="N296" i="3" s="1"/>
  <c r="N286" i="3" a="1"/>
  <c r="N286" i="3" s="1"/>
  <c r="N299" i="3" a="1"/>
  <c r="N299" i="3" s="1"/>
  <c r="N285" i="3" a="1"/>
  <c r="N285" i="3" s="1"/>
  <c r="N306" i="3" a="1"/>
  <c r="N306" i="3" s="1"/>
  <c r="M306" i="3" s="1"/>
  <c r="N297" i="3" a="1"/>
  <c r="N297" i="3" s="1"/>
  <c r="N280" i="3" a="1"/>
  <c r="N280" i="3" s="1"/>
  <c r="N276" i="3" a="1"/>
  <c r="N276" i="3" s="1"/>
  <c r="N284" i="3" a="1"/>
  <c r="N284" i="3" s="1"/>
  <c r="N274" i="3" a="1"/>
  <c r="N274" i="3" s="1"/>
  <c r="N288" i="3" a="1"/>
  <c r="N288" i="3" s="1"/>
  <c r="N273" i="3" a="1"/>
  <c r="N273" i="3" s="1"/>
  <c r="N283" i="3" a="1"/>
  <c r="N283" i="3" s="1"/>
  <c r="N267" i="3" l="1" a="1"/>
  <c r="N267" i="3" s="1"/>
  <c r="N269" i="3" s="1" a="1"/>
  <c r="N269" i="3" s="1"/>
  <c r="N268" i="3" a="1"/>
  <c r="N268" i="3" s="1"/>
  <c r="M289" i="3"/>
  <c r="M297" i="3"/>
  <c r="M303" i="3"/>
  <c r="M295" i="3"/>
  <c r="M273" i="3"/>
  <c r="P20" i="5" s="1"/>
  <c r="M283" i="3"/>
  <c r="M278" i="3"/>
  <c r="M304" i="3"/>
  <c r="M305" i="3"/>
  <c r="M292" i="3"/>
  <c r="M302" i="3"/>
  <c r="M281" i="3"/>
  <c r="M298" i="3"/>
  <c r="M290" i="3"/>
  <c r="M288" i="3"/>
  <c r="M285" i="3"/>
  <c r="M279" i="3"/>
  <c r="M287" i="3"/>
  <c r="M284" i="3"/>
  <c r="M299" i="3"/>
  <c r="M275" i="3"/>
  <c r="P22" i="5" s="1"/>
  <c r="M294" i="3"/>
  <c r="M274" i="3"/>
  <c r="P21" i="5" s="1"/>
  <c r="M276" i="3"/>
  <c r="P23" i="5" s="1"/>
  <c r="M280" i="3"/>
  <c r="M286" i="3"/>
  <c r="M293" i="3"/>
  <c r="M277" i="3"/>
  <c r="M282" i="3"/>
  <c r="M296" i="3"/>
  <c r="M291" i="3"/>
  <c r="M301" i="3"/>
  <c r="M300" i="3"/>
  <c r="N270" i="3" l="1" a="1"/>
  <c r="N270" i="3" s="1"/>
  <c r="N271" i="3" l="1" a="1"/>
  <c r="N271" i="3" s="1"/>
  <c r="O14" i="1"/>
  <c r="N272" i="3" l="1" a="1"/>
  <c r="N272" i="3" s="1"/>
  <c r="M272" i="3" s="1"/>
  <c r="P19" i="5" s="1"/>
  <c r="D30" i="3"/>
  <c r="G37" i="3"/>
  <c r="H5" i="3" s="1"/>
  <c r="M269" i="3" l="1"/>
  <c r="P16" i="5" s="1"/>
  <c r="M270" i="3"/>
  <c r="P17" i="5" s="1"/>
  <c r="M263" i="3" a="1"/>
  <c r="M263" i="3" s="1"/>
  <c r="P10" i="5" s="1"/>
  <c r="M267" i="3"/>
  <c r="P14" i="5" s="1"/>
  <c r="M264" i="3"/>
  <c r="P11" i="5" s="1"/>
  <c r="M268" i="3"/>
  <c r="P15" i="5" s="1"/>
  <c r="M266" i="3"/>
  <c r="P13" i="5" s="1"/>
  <c r="M265" i="3"/>
  <c r="P12" i="5" s="1"/>
  <c r="M271" i="3"/>
  <c r="P18" i="5" s="1"/>
  <c r="C30" i="3"/>
  <c r="G45" i="1" s="1"/>
  <c r="H11" i="3"/>
  <c r="H10" i="3"/>
  <c r="B309" i="3" l="1"/>
  <c r="A311" i="3" s="1"/>
  <c r="B312" i="3" s="1"/>
  <c r="F40" i="15"/>
  <c r="J52" i="15"/>
  <c r="B311" i="3" l="1"/>
  <c r="U23" i="15" l="1"/>
  <c r="N29" i="15" l="1"/>
  <c r="G12" i="15" s="1"/>
  <c r="G13" i="15" s="1"/>
  <c r="K8" i="15" l="1"/>
  <c r="G14" i="15"/>
  <c r="K10" i="15" s="1"/>
  <c r="F34" i="15"/>
  <c r="C257" i="3" l="1"/>
  <c r="I257" i="3"/>
  <c r="T2" i="1" a="1"/>
  <c r="T2" i="1"/>
  <c r="L3" i="1"/>
  <c r="K4" i="1"/>
  <c r="L4" i="1"/>
  <c r="Q4" i="1" a="1"/>
  <c r="Q4" i="1"/>
  <c r="R4" i="1" a="1"/>
  <c r="R4" i="1"/>
  <c r="S4" i="1" a="1"/>
  <c r="S4" i="1"/>
  <c r="T4" i="1" a="1"/>
  <c r="T4" i="1"/>
  <c r="U4" i="1" a="1"/>
  <c r="U4" i="1"/>
  <c r="L5" i="1"/>
  <c r="Q5" i="1" a="1"/>
  <c r="Q5" i="1"/>
  <c r="R5" i="1" a="1"/>
  <c r="R5" i="1"/>
  <c r="S5" i="1" a="1"/>
  <c r="S5" i="1"/>
  <c r="T5" i="1" a="1"/>
  <c r="T5" i="1"/>
  <c r="U5" i="1" a="1"/>
  <c r="U5" i="1"/>
  <c r="X5" i="1"/>
  <c r="Y5" i="1"/>
  <c r="Z5" i="1"/>
  <c r="AA5" i="1"/>
  <c r="AB5" i="1"/>
  <c r="K6" i="1"/>
  <c r="L6" i="1"/>
  <c r="Q6" i="1" a="1"/>
  <c r="Q6" i="1"/>
  <c r="R6" i="1" a="1"/>
  <c r="R6" i="1"/>
  <c r="S6" i="1" a="1"/>
  <c r="S6" i="1"/>
  <c r="T6" i="1" a="1"/>
  <c r="T6" i="1"/>
  <c r="U6" i="1" a="1"/>
  <c r="U6" i="1"/>
  <c r="X6" i="1"/>
  <c r="Y6" i="1"/>
  <c r="Z6" i="1"/>
  <c r="AA6" i="1"/>
  <c r="AB6" i="1"/>
  <c r="Q7" i="1" a="1"/>
  <c r="Q7" i="1"/>
  <c r="R7" i="1" a="1"/>
  <c r="R7" i="1"/>
  <c r="S7" i="1" a="1"/>
  <c r="S7" i="1"/>
  <c r="T7" i="1" a="1"/>
  <c r="T7" i="1"/>
  <c r="U7" i="1" a="1"/>
  <c r="U7" i="1"/>
  <c r="X7" i="1"/>
  <c r="Y7" i="1"/>
  <c r="Z7" i="1"/>
  <c r="AA7" i="1"/>
  <c r="AB7" i="1"/>
  <c r="L8" i="1"/>
  <c r="Q8" i="1" a="1"/>
  <c r="Q8" i="1"/>
  <c r="R8" i="1" a="1"/>
  <c r="R8" i="1"/>
  <c r="S8" i="1" a="1"/>
  <c r="S8" i="1"/>
  <c r="T8" i="1" a="1"/>
  <c r="T8" i="1"/>
  <c r="U8" i="1" a="1"/>
  <c r="U8" i="1"/>
  <c r="Q9" i="1" a="1"/>
  <c r="Q9" i="1"/>
  <c r="R9" i="1" a="1"/>
  <c r="R9" i="1"/>
  <c r="S9" i="1" a="1"/>
  <c r="S9" i="1"/>
  <c r="T9" i="1" a="1"/>
  <c r="T9" i="1"/>
  <c r="U9" i="1" a="1"/>
  <c r="U9" i="1"/>
  <c r="G10" i="1"/>
  <c r="L10" i="1"/>
  <c r="Q10" i="1" a="1"/>
  <c r="Q10" i="1"/>
  <c r="R10" i="1" a="1"/>
  <c r="R10" i="1"/>
  <c r="S10" i="1" a="1"/>
  <c r="S10" i="1"/>
  <c r="T10" i="1" a="1"/>
  <c r="T10" i="1"/>
  <c r="U10" i="1" a="1"/>
  <c r="U10" i="1"/>
  <c r="G11" i="1"/>
  <c r="O11" i="1"/>
  <c r="Q11" i="1" a="1"/>
  <c r="Q11" i="1"/>
  <c r="R11" i="1" a="1"/>
  <c r="R11" i="1"/>
  <c r="S11" i="1" a="1"/>
  <c r="S11" i="1"/>
  <c r="T11" i="1" a="1"/>
  <c r="T11" i="1"/>
  <c r="U11" i="1" a="1"/>
  <c r="U11" i="1"/>
  <c r="G12" i="1"/>
  <c r="O12" i="1"/>
  <c r="Q12" i="1" a="1"/>
  <c r="Q12" i="1"/>
  <c r="S12" i="1" a="1"/>
  <c r="S12" i="1"/>
  <c r="G13" i="1"/>
  <c r="O13" i="1"/>
  <c r="G14" i="1"/>
  <c r="T14" i="1" a="1"/>
  <c r="T14" i="1"/>
  <c r="G15" i="1"/>
  <c r="G16" i="1"/>
  <c r="Q16" i="1" a="1"/>
  <c r="Q16" i="1"/>
  <c r="R16" i="1" a="1"/>
  <c r="R16" i="1"/>
  <c r="S16" i="1" a="1"/>
  <c r="S16" i="1"/>
  <c r="T16" i="1" a="1"/>
  <c r="T16" i="1"/>
  <c r="U16" i="1" a="1"/>
  <c r="U16" i="1"/>
  <c r="G17" i="1"/>
  <c r="O17" i="1"/>
  <c r="Q17" i="1" a="1"/>
  <c r="Q17" i="1"/>
  <c r="R17" i="1" a="1"/>
  <c r="R17" i="1"/>
  <c r="S17" i="1" a="1"/>
  <c r="S17" i="1"/>
  <c r="T17" i="1" a="1"/>
  <c r="T17" i="1"/>
  <c r="U17" i="1" a="1"/>
  <c r="U17" i="1"/>
  <c r="O18" i="1"/>
  <c r="Q18" i="1" a="1"/>
  <c r="Q18" i="1"/>
  <c r="R18" i="1" a="1"/>
  <c r="R18" i="1"/>
  <c r="S18" i="1" a="1"/>
  <c r="S18" i="1"/>
  <c r="T18" i="1" a="1"/>
  <c r="T18" i="1"/>
  <c r="U18" i="1" a="1"/>
  <c r="U18" i="1"/>
  <c r="O19" i="1"/>
  <c r="Q19" i="1" a="1"/>
  <c r="Q19" i="1"/>
  <c r="R19" i="1" a="1"/>
  <c r="R19" i="1"/>
  <c r="S19" i="1" a="1"/>
  <c r="S19" i="1"/>
  <c r="T19" i="1" a="1"/>
  <c r="T19" i="1"/>
  <c r="U19" i="1" a="1"/>
  <c r="U19" i="1"/>
  <c r="O20" i="1"/>
  <c r="Q20" i="1" a="1"/>
  <c r="Q20" i="1"/>
  <c r="R20" i="1" a="1"/>
  <c r="R20" i="1"/>
  <c r="S20" i="1" a="1"/>
  <c r="S20" i="1"/>
  <c r="T20" i="1" a="1"/>
  <c r="T20" i="1"/>
  <c r="U20" i="1" a="1"/>
  <c r="U20" i="1"/>
  <c r="F21" i="1"/>
  <c r="I21" i="1"/>
  <c r="O21" i="1"/>
  <c r="Q21" i="1" a="1"/>
  <c r="Q21" i="1"/>
  <c r="R21" i="1" a="1"/>
  <c r="R21" i="1"/>
  <c r="S21" i="1" a="1"/>
  <c r="S21" i="1"/>
  <c r="T21" i="1" a="1"/>
  <c r="T21" i="1"/>
  <c r="U21" i="1" a="1"/>
  <c r="U21" i="1"/>
  <c r="Q22" i="1" a="1"/>
  <c r="Q22" i="1"/>
  <c r="R22" i="1" a="1"/>
  <c r="R22" i="1"/>
  <c r="S22" i="1" a="1"/>
  <c r="S22" i="1"/>
  <c r="T22" i="1" a="1"/>
  <c r="T22" i="1"/>
  <c r="U22" i="1" a="1"/>
  <c r="U22" i="1"/>
  <c r="D23" i="1"/>
  <c r="F23" i="1"/>
  <c r="G23" i="1"/>
  <c r="Q23" i="1" a="1"/>
  <c r="Q23" i="1"/>
  <c r="R23" i="1" a="1"/>
  <c r="R23" i="1"/>
  <c r="S23" i="1" a="1"/>
  <c r="S23" i="1"/>
  <c r="T23" i="1" a="1"/>
  <c r="T23" i="1"/>
  <c r="U23" i="1" a="1"/>
  <c r="U23" i="1"/>
  <c r="R24" i="1" a="1"/>
  <c r="R24" i="1"/>
  <c r="E25" i="1"/>
  <c r="O25" i="1"/>
  <c r="O26" i="1"/>
  <c r="H27" i="1"/>
  <c r="O27" i="1"/>
  <c r="O28" i="1"/>
  <c r="I29" i="1"/>
  <c r="J29" i="1"/>
  <c r="O29" i="1"/>
  <c r="O30" i="1"/>
  <c r="O31" i="1"/>
  <c r="O32" i="1"/>
  <c r="O33" i="1"/>
  <c r="J39" i="1"/>
  <c r="F40" i="1"/>
  <c r="F41" i="1"/>
  <c r="F45" i="1"/>
  <c r="D46" i="1"/>
  <c r="E46" i="1"/>
  <c r="F46" i="1"/>
  <c r="D47" i="1"/>
  <c r="E47" i="1"/>
  <c r="F47" i="1"/>
  <c r="J57" i="1"/>
  <c r="J58" i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E20" i="4"/>
  <c r="H20" i="4"/>
  <c r="M20" i="4"/>
  <c r="R20" i="4" a="1"/>
  <c r="R20" i="4"/>
  <c r="C21" i="4"/>
  <c r="E21" i="4"/>
  <c r="F21" i="4"/>
  <c r="M21" i="4"/>
  <c r="M22" i="4"/>
  <c r="O22" i="4"/>
  <c r="P22" i="4"/>
  <c r="Q22" i="4"/>
  <c r="R22" i="4"/>
  <c r="S22" i="4"/>
  <c r="D23" i="4"/>
  <c r="M23" i="4"/>
  <c r="O23" i="4"/>
  <c r="P23" i="4"/>
  <c r="Q23" i="4"/>
  <c r="R23" i="4"/>
  <c r="S23" i="4"/>
  <c r="M24" i="4"/>
  <c r="O24" i="4"/>
  <c r="P24" i="4"/>
  <c r="Q24" i="4"/>
  <c r="R24" i="4"/>
  <c r="S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P30" i="4" a="1"/>
  <c r="P30" i="4"/>
  <c r="D33" i="4"/>
  <c r="D34" i="4"/>
  <c r="I38" i="4"/>
  <c r="E39" i="4"/>
  <c r="E45" i="4"/>
  <c r="D46" i="4"/>
  <c r="E46" i="4"/>
  <c r="F46" i="4"/>
  <c r="D47" i="4"/>
  <c r="F47" i="4"/>
  <c r="I56" i="4"/>
  <c r="I57" i="4"/>
  <c r="H23" i="3"/>
  <c r="H24" i="3"/>
  <c r="H25" i="3"/>
  <c r="H26" i="3"/>
  <c r="H27" i="3"/>
  <c r="B30" i="3"/>
  <c r="E30" i="3"/>
  <c r="F30" i="3"/>
  <c r="G30" i="3"/>
  <c r="H30" i="3"/>
  <c r="B31" i="3"/>
  <c r="F31" i="3"/>
  <c r="G31" i="3"/>
  <c r="H31" i="3"/>
  <c r="I31" i="3"/>
  <c r="B32" i="3"/>
  <c r="D32" i="3"/>
  <c r="F32" i="3"/>
  <c r="B33" i="3"/>
  <c r="C33" i="3"/>
  <c r="H33" i="3"/>
  <c r="B34" i="3"/>
  <c r="H34" i="3"/>
  <c r="B35" i="3"/>
  <c r="D35" i="3"/>
  <c r="F35" i="3"/>
  <c r="G35" i="3"/>
  <c r="H35" i="3"/>
  <c r="B36" i="3"/>
  <c r="I36" i="3"/>
  <c r="C38" i="3"/>
  <c r="E38" i="3"/>
  <c r="E39" i="3"/>
  <c r="H39" i="3"/>
  <c r="B40" i="3"/>
  <c r="E40" i="3"/>
  <c r="A92" i="3"/>
  <c r="B92" i="3"/>
  <c r="C92" i="3"/>
  <c r="E92" i="3"/>
  <c r="C94" i="3"/>
  <c r="D94" i="3"/>
  <c r="E94" i="3"/>
  <c r="F94" i="3"/>
  <c r="A95" i="3"/>
  <c r="B95" i="3"/>
  <c r="C96" i="3"/>
  <c r="D96" i="3"/>
  <c r="E96" i="3"/>
  <c r="F96" i="3"/>
  <c r="B97" i="3"/>
  <c r="F98" i="3"/>
  <c r="C100" i="3"/>
  <c r="D100" i="3"/>
  <c r="E101" i="3"/>
  <c r="D102" i="3"/>
  <c r="F102" i="3"/>
  <c r="G102" i="3"/>
  <c r="H102" i="3"/>
  <c r="A107" i="3"/>
  <c r="B107" i="3"/>
  <c r="C107" i="3"/>
  <c r="E107" i="3"/>
  <c r="H107" i="3"/>
  <c r="C109" i="3"/>
  <c r="D109" i="3"/>
  <c r="E109" i="3"/>
  <c r="F109" i="3"/>
  <c r="H109" i="3"/>
  <c r="A110" i="3"/>
  <c r="B110" i="3"/>
  <c r="C111" i="3"/>
  <c r="D111" i="3"/>
  <c r="E111" i="3"/>
  <c r="F111" i="3"/>
  <c r="H111" i="3"/>
  <c r="B112" i="3"/>
  <c r="F113" i="3"/>
  <c r="C115" i="3"/>
  <c r="D115" i="3"/>
  <c r="E116" i="3"/>
  <c r="D117" i="3"/>
  <c r="F117" i="3"/>
  <c r="G117" i="3"/>
  <c r="I117" i="3"/>
  <c r="A122" i="3"/>
  <c r="B122" i="3"/>
  <c r="C122" i="3"/>
  <c r="E122" i="3"/>
  <c r="C124" i="3"/>
  <c r="D124" i="3"/>
  <c r="E124" i="3"/>
  <c r="A125" i="3"/>
  <c r="B125" i="3"/>
  <c r="C126" i="3"/>
  <c r="D126" i="3"/>
  <c r="E126" i="3"/>
  <c r="A128" i="3"/>
  <c r="B128" i="3"/>
  <c r="C128" i="3"/>
  <c r="D128" i="3"/>
  <c r="E128" i="3"/>
  <c r="F128" i="3"/>
  <c r="B130" i="3"/>
  <c r="D130" i="3"/>
  <c r="B131" i="3"/>
  <c r="C131" i="3"/>
  <c r="D131" i="3"/>
  <c r="G131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Q156" i="3"/>
  <c r="S158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G203" i="3"/>
  <c r="I203" i="3"/>
  <c r="B204" i="3"/>
  <c r="D204" i="3"/>
  <c r="B205" i="3"/>
  <c r="E205" i="3"/>
  <c r="F205" i="3"/>
  <c r="G205" i="3"/>
  <c r="F206" i="3"/>
  <c r="A231" i="3"/>
  <c r="B231" i="3"/>
  <c r="C231" i="3"/>
  <c r="D231" i="3"/>
  <c r="E231" i="3"/>
  <c r="F231" i="3"/>
  <c r="G231" i="3"/>
  <c r="H231" i="3"/>
  <c r="I231" i="3"/>
  <c r="J231" i="3"/>
  <c r="L233" i="3"/>
  <c r="M233" i="3"/>
  <c r="A234" i="3"/>
  <c r="B234" i="3"/>
  <c r="C234" i="3"/>
  <c r="D234" i="3"/>
  <c r="E234" i="3"/>
  <c r="F234" i="3"/>
  <c r="G234" i="3"/>
  <c r="H234" i="3"/>
  <c r="I234" i="3"/>
  <c r="J234" i="3"/>
  <c r="L234" i="3"/>
  <c r="M234" i="3"/>
  <c r="L235" i="3"/>
  <c r="M235" i="3"/>
  <c r="L236" i="3"/>
  <c r="M236" i="3"/>
  <c r="L237" i="3"/>
  <c r="M237" i="3"/>
  <c r="B238" i="3"/>
  <c r="D238" i="3"/>
  <c r="F238" i="3"/>
  <c r="L238" i="3"/>
  <c r="M238" i="3"/>
  <c r="L239" i="3"/>
  <c r="M239" i="3"/>
  <c r="C240" i="3"/>
  <c r="D240" i="3"/>
  <c r="E240" i="3"/>
  <c r="F240" i="3"/>
  <c r="G240" i="3"/>
  <c r="H240" i="3"/>
  <c r="L240" i="3"/>
  <c r="M240" i="3"/>
  <c r="L241" i="3"/>
  <c r="M241" i="3"/>
  <c r="A242" i="3"/>
  <c r="L242" i="3"/>
  <c r="M242" i="3"/>
  <c r="A243" i="3"/>
  <c r="A244" i="3"/>
  <c r="A245" i="3"/>
  <c r="A246" i="3"/>
  <c r="N246" i="3"/>
  <c r="R246" i="3"/>
  <c r="A247" i="3"/>
  <c r="N247" i="3"/>
  <c r="R247" i="3"/>
  <c r="A248" i="3"/>
  <c r="N248" i="3"/>
  <c r="O248" i="3"/>
  <c r="P248" i="3"/>
  <c r="R248" i="3"/>
  <c r="S248" i="3"/>
  <c r="T248" i="3"/>
  <c r="A249" i="3"/>
  <c r="N249" i="3"/>
  <c r="R249" i="3"/>
  <c r="A250" i="3"/>
  <c r="N250" i="3"/>
  <c r="O250" i="3"/>
  <c r="P250" i="3"/>
  <c r="R250" i="3"/>
  <c r="S250" i="3"/>
  <c r="T250" i="3"/>
  <c r="A251" i="3"/>
  <c r="N251" i="3"/>
  <c r="O251" i="3"/>
  <c r="P251" i="3"/>
  <c r="R251" i="3"/>
  <c r="S251" i="3"/>
  <c r="T251" i="3"/>
  <c r="A252" i="3"/>
  <c r="N252" i="3"/>
  <c r="O252" i="3"/>
  <c r="P252" i="3"/>
  <c r="R252" i="3"/>
  <c r="S252" i="3"/>
  <c r="T252" i="3"/>
  <c r="A253" i="3"/>
  <c r="N253" i="3"/>
  <c r="O253" i="3"/>
  <c r="P253" i="3"/>
  <c r="R253" i="3"/>
  <c r="S253" i="3"/>
  <c r="T253" i="3"/>
  <c r="N254" i="3"/>
  <c r="O254" i="3"/>
  <c r="R254" i="3"/>
  <c r="S254" i="3"/>
  <c r="N255" i="3"/>
  <c r="O255" i="3"/>
  <c r="R255" i="3"/>
  <c r="S255" i="3"/>
  <c r="C256" i="3"/>
  <c r="N256" i="3"/>
  <c r="O256" i="3"/>
  <c r="R256" i="3"/>
  <c r="S256" i="3"/>
  <c r="B257" i="3"/>
  <c r="D257" i="3"/>
  <c r="E257" i="3"/>
  <c r="F257" i="3"/>
  <c r="N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<sst xmlns="http://schemas.openxmlformats.org/spreadsheetml/2006/main" count="5146" uniqueCount="2036">
  <si>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</si>
  <si>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</si>
  <si>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</si>
  <si>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</si>
  <si>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</si>
  <si>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</si>
  <si>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</si>
  <si>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</si>
  <si>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</si>
  <si>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</si>
  <si>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</si>
  <si>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</si>
  <si>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</si>
  <si>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</si>
  <si>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</si>
  <si>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</si>
  <si>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</si>
  <si>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</si>
  <si>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</si>
  <si>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</si>
  <si>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</si>
  <si>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</si>
  <si>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</si>
  <si>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</si>
  <si>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</si>
  <si>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</si>
  <si>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</si>
  <si>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</si>
  <si>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</si>
  <si>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</si>
  <si>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</si>
  <si>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</si>
  <si>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</si>
  <si>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</si>
  <si>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</si>
  <si>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</si>
  <si>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</si>
  <si>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</si>
  <si>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</si>
  <si>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</si>
  <si>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</si>
  <si>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</si>
  <si>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</si>
  <si>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</si>
  <si>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</si>
  <si>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</si>
  <si>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</si>
  <si>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</si>
  <si>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</si>
  <si>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</si>
  <si>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</si>
  <si>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</si>
  <si>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</si>
  <si>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</si>
  <si>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</si>
  <si>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</si>
  <si>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</si>
  <si>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</si>
  <si>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</si>
  <si>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</si>
  <si>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</si>
  <si>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</si>
  <si>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</si>
  <si>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</si>
  <si>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</si>
  <si>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</si>
  <si>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</si>
  <si>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</si>
  <si>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</si>
  <si>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</si>
  <si>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</si>
  <si>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</si>
  <si>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</si>
  <si>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</si>
  <si>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</si>
  <si>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</si>
  <si>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</si>
  <si>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</si>
  <si>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</si>
  <si>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</si>
  <si>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</si>
  <si>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</si>
  <si>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</si>
  <si>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</si>
  <si>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</si>
  <si>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</si>
  <si>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</si>
  <si>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</si>
  <si>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</si>
  <si>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</si>
  <si>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</si>
  <si>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</si>
  <si>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</si>
  <si>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</si>
  <si>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</si>
  <si>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</si>
  <si>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</si>
  <si>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</si>
  <si>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</si>
  <si>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</si>
  <si>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</si>
  <si>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</si>
  <si>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</si>
  <si>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</si>
  <si>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</si>
  <si>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</si>
  <si>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</si>
  <si>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</si>
  <si>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</si>
  <si>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</si>
  <si>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</si>
  <si>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</si>
  <si>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</si>
  <si>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</si>
  <si>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</si>
  <si>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</si>
  <si>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</si>
  <si>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</si>
  <si>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</si>
  <si>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</si>
  <si>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</si>
  <si>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</si>
  <si>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</si>
  <si>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</si>
  <si>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</si>
  <si>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</si>
  <si>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</si>
  <si>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</si>
  <si>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</si>
  <si>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</si>
  <si>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</si>
  <si>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</si>
  <si>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</si>
  <si>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</si>
  <si>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</si>
  <si>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</si>
  <si>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</si>
  <si>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</si>
  <si>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</si>
  <si>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</si>
  <si>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</si>
  <si>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</si>
  <si>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</si>
  <si>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</si>
  <si>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</si>
  <si>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</si>
  <si>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</si>
  <si>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</si>
  <si>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</si>
  <si>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</si>
  <si>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</si>
  <si>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</si>
  <si>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</si>
  <si>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</si>
  <si>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</si>
  <si>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</si>
  <si>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</si>
  <si>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</si>
  <si>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</si>
  <si>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</si>
  <si>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</si>
  <si>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</si>
  <si>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</si>
  <si>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</si>
  <si>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</si>
  <si>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</si>
  <si>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</si>
  <si>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</si>
  <si>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</si>
  <si>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</si>
  <si>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</si>
  <si>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</si>
  <si>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</si>
  <si>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</si>
  <si>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</si>
  <si>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</si>
  <si>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</si>
  <si>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</si>
  <si>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</si>
  <si>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</si>
  <si>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</si>
  <si>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</si>
  <si>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</si>
  <si>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</si>
  <si>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</si>
  <si>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</si>
  <si>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</si>
  <si>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</si>
  <si>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</si>
  <si>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</si>
  <si>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</si>
  <si>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</si>
  <si>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</si>
  <si>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</si>
  <si>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</si>
  <si>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</si>
  <si>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</si>
  <si>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</si>
  <si>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</si>
  <si>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</si>
  <si>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</si>
  <si>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</si>
  <si>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</si>
  <si>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</si>
  <si>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</si>
  <si>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</si>
  <si>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</si>
  <si>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</si>
  <si>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</si>
  <si>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</si>
  <si>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</si>
  <si>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</si>
  <si>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</si>
  <si>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</si>
  <si>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</si>
  <si>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</si>
  <si>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</si>
  <si>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</si>
  <si>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</si>
  <si>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</si>
  <si>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</si>
  <si>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</si>
  <si>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</si>
  <si>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</si>
  <si>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</si>
  <si>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</si>
  <si>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</si>
  <si>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</si>
  <si>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</si>
  <si>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</si>
  <si>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</si>
  <si>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</si>
  <si>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</si>
  <si>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</si>
  <si>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</si>
  <si>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</si>
  <si>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</si>
  <si>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</si>
  <si>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</si>
  <si>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</si>
  <si>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</si>
  <si>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</si>
  <si>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</si>
  <si>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</si>
  <si>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</si>
  <si>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</si>
  <si>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</si>
  <si>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</si>
  <si>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</si>
  <si>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</si>
  <si>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</si>
  <si>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</si>
  <si>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</si>
  <si>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</si>
  <si>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</si>
  <si>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</si>
  <si>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</si>
  <si>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</si>
  <si>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</si>
  <si>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</si>
  <si>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</si>
  <si>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</si>
  <si>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</si>
  <si>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</si>
  <si>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</si>
  <si>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</si>
  <si>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</si>
  <si>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</si>
  <si>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</si>
  <si>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</si>
  <si>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</si>
  <si>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</si>
  <si>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</si>
  <si>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</si>
  <si>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</si>
  <si>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</si>
  <si>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</si>
  <si>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</si>
  <si>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</si>
  <si>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</si>
  <si>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</si>
  <si>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</si>
  <si>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</si>
  <si>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</si>
  <si>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</si>
  <si>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</si>
  <si>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</si>
  <si>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</si>
  <si>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</si>
  <si>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</si>
  <si>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</si>
  <si>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</si>
  <si>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</si>
  <si>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</si>
  <si>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</si>
  <si>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</si>
  <si>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</si>
  <si>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</si>
  <si>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</si>
  <si>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</si>
  <si>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</si>
  <si>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</si>
  <si>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</si>
  <si>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</si>
  <si>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</si>
  <si>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</si>
  <si>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</si>
  <si>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</si>
  <si>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</si>
  <si>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</si>
  <si>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</si>
  <si>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</si>
  <si>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</si>
  <si>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</si>
  <si>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</si>
  <si>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</si>
  <si>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</si>
  <si>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</si>
  <si>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</si>
  <si>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</si>
  <si>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</si>
  <si>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</si>
  <si>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</si>
  <si>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</si>
  <si>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</si>
  <si>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</si>
  <si>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</si>
  <si>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</si>
  <si>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</si>
  <si>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</si>
  <si>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</si>
  <si>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</si>
  <si>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</si>
  <si>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</si>
  <si>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</si>
  <si>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</si>
  <si>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</si>
  <si>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</si>
  <si>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</si>
  <si>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</si>
  <si>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</si>
  <si>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</si>
  <si>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</si>
  <si>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</si>
  <si>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</si>
  <si>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</si>
  <si>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</si>
  <si>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</si>
  <si>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</si>
  <si>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</si>
  <si>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</si>
  <si>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</si>
  <si>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</si>
  <si>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</si>
  <si>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</si>
  <si>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</si>
  <si>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</si>
  <si>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</si>
  <si>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</si>
  <si>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</si>
  <si>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</si>
  <si>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</si>
  <si>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</si>
  <si>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</si>
  <si>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</si>
  <si>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</si>
  <si>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</si>
  <si>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</si>
  <si>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</si>
  <si>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</si>
  <si>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</si>
  <si>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</si>
  <si>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</si>
  <si>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</si>
  <si>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</si>
  <si>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</si>
  <si>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</si>
  <si>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</si>
  <si>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</si>
  <si>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</si>
  <si>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</si>
  <si>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</si>
  <si>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</si>
  <si>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</si>
  <si>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</si>
  <si>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</si>
  <si>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</si>
  <si>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</si>
  <si>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</si>
  <si>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</si>
  <si>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</si>
  <si>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</si>
  <si>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</si>
  <si>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</si>
  <si>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</si>
  <si>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</si>
  <si>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</si>
  <si>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</si>
  <si>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</si>
  <si>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</si>
  <si>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</si>
  <si>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</si>
  <si>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</si>
  <si>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</si>
  <si>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</si>
  <si>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</si>
  <si>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</si>
  <si>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</si>
  <si>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</si>
  <si>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</si>
  <si>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</si>
  <si>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</si>
  <si>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</si>
  <si>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</si>
  <si>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</si>
  <si>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</si>
  <si>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</si>
  <si>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</si>
  <si>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</si>
  <si>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</si>
  <si>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</si>
  <si>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</si>
  <si>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</si>
  <si>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</si>
  <si>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</si>
  <si>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</si>
  <si>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</si>
  <si>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</si>
  <si>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</si>
  <si>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</si>
  <si>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</si>
  <si>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</si>
  <si>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</si>
  <si>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</si>
  <si>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</si>
  <si>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</si>
  <si>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</si>
  <si>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</si>
  <si>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</si>
  <si>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</si>
  <si>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</si>
  <si>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</si>
  <si>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</si>
  <si>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</si>
  <si>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</si>
  <si>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</si>
  <si>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</si>
  <si>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</si>
  <si>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</si>
  <si>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</si>
  <si>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</si>
  <si>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</si>
  <si>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</si>
  <si>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</si>
  <si>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</si>
  <si>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</si>
  <si>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</si>
  <si>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</si>
  <si>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</si>
  <si>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</si>
  <si>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</si>
  <si>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</si>
  <si>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</si>
  <si>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</si>
  <si>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</si>
  <si>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</si>
  <si>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</si>
  <si>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</si>
  <si>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</si>
  <si>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</si>
  <si>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</si>
  <si>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</si>
  <si>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</si>
  <si>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</si>
  <si>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</si>
  <si>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</si>
  <si>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</si>
  <si>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</si>
  <si>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</si>
  <si>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</si>
  <si>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</si>
  <si>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</si>
  <si>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</si>
  <si>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</si>
  <si>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</si>
  <si>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</si>
  <si>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</si>
  <si>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</si>
  <si>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</si>
  <si>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</si>
  <si>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</si>
  <si>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</si>
  <si>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</si>
  <si>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</si>
  <si>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</si>
  <si>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</si>
  <si>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</si>
  <si>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</si>
  <si>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</si>
  <si>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</si>
  <si>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</si>
  <si>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</si>
  <si>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</si>
  <si>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</si>
  <si>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</si>
  <si>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</si>
  <si>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</si>
  <si>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</si>
  <si>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</si>
  <si>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</si>
  <si>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</si>
  <si>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</si>
  <si>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</si>
  <si>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</si>
  <si>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</si>
  <si>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</si>
  <si>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</si>
  <si>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</si>
  <si>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</si>
  <si>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</si>
  <si>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</si>
  <si>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</si>
  <si>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</si>
  <si>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</si>
  <si>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</si>
  <si>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</si>
  <si>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</si>
  <si>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</si>
  <si>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</si>
  <si>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</si>
  <si>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</si>
  <si>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</si>
  <si>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</si>
  <si>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</si>
  <si>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</si>
  <si>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</si>
  <si>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</si>
  <si>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</si>
  <si>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</si>
  <si>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</si>
  <si>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</si>
  <si>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</si>
  <si>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</si>
  <si>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</si>
  <si>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</si>
  <si>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</si>
  <si>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</si>
  <si>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</si>
  <si>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</si>
  <si>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</si>
  <si>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</si>
  <si>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</si>
  <si>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</si>
  <si>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</si>
  <si>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</si>
  <si>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</si>
  <si>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</si>
  <si>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</si>
  <si>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</si>
  <si>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</si>
  <si>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</si>
  <si>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</si>
  <si>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</si>
  <si>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</si>
  <si>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</si>
  <si>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</si>
  <si>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</si>
  <si>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</si>
  <si>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</si>
  <si>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</si>
  <si>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</si>
  <si>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</si>
  <si>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</si>
  <si>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</si>
  <si>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</si>
  <si>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</si>
  <si>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</si>
  <si>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</si>
  <si>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</si>
  <si>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</si>
  <si>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</si>
  <si>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</si>
  <si>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</si>
  <si>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</si>
  <si>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</si>
  <si>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</si>
  <si>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</si>
  <si>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</si>
  <si>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</si>
  <si>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</si>
  <si>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</si>
  <si>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</si>
  <si>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</si>
  <si>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</si>
  <si>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</si>
  <si>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</si>
  <si>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</si>
  <si>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</si>
  <si>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</si>
  <si>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</si>
  <si>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</si>
  <si>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</si>
  <si>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</si>
  <si>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</si>
  <si>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</si>
  <si>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</si>
  <si>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</si>
  <si>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</si>
  <si>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</si>
  <si>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</si>
  <si>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</si>
  <si>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</si>
  <si>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</si>
  <si>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</si>
  <si>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</si>
  <si>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</si>
  <si>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</si>
  <si>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</si>
  <si>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</si>
  <si>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</si>
  <si>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</si>
  <si>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</si>
  <si>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</si>
  <si>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</si>
  <si>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</si>
  <si>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</si>
  <si>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</si>
  <si>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</si>
  <si>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</si>
  <si>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</si>
  <si>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</si>
  <si>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</si>
  <si>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</si>
  <si>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</si>
  <si>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</si>
  <si>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</si>
  <si>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</si>
  <si>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</si>
  <si>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</si>
  <si>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</si>
  <si>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</si>
  <si>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</si>
  <si>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</si>
  <si>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</si>
  <si>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</si>
  <si>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</si>
  <si>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</si>
  <si>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</si>
  <si>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</si>
  <si>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</si>
  <si>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</si>
  <si>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</si>
  <si>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</si>
  <si>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</si>
  <si>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</si>
  <si>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</si>
  <si>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</si>
  <si>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</si>
  <si>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</si>
  <si>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</si>
  <si>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</si>
  <si>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</si>
  <si>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</si>
  <si>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</si>
  <si>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</si>
  <si>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</si>
  <si>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</si>
  <si>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</si>
  <si>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</si>
  <si>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</si>
  <si>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</si>
  <si>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</si>
  <si>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</si>
  <si>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</si>
  <si>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</si>
  <si>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</si>
  <si>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</si>
  <si>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</si>
  <si>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</si>
  <si>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</si>
  <si>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</si>
  <si>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</si>
  <si>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</si>
  <si>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</si>
  <si>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</si>
  <si>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</si>
  <si>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</si>
  <si>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</si>
  <si>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</si>
  <si>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</si>
  <si>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</si>
  <si>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</si>
  <si>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</si>
  <si>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</si>
  <si>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</si>
  <si>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</si>
  <si>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</si>
  <si>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</si>
  <si>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</si>
  <si>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</si>
  <si>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</si>
  <si>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</si>
  <si>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</si>
  <si>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</si>
  <si>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</si>
  <si>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</si>
  <si>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</si>
  <si>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</si>
  <si>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</si>
  <si>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</si>
  <si>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</si>
  <si>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</si>
  <si>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</si>
  <si>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</si>
  <si>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</si>
  <si>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</si>
  <si>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</si>
  <si>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</si>
  <si>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</si>
  <si>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</si>
  <si>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</si>
  <si>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</si>
  <si>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</si>
  <si>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</si>
  <si>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</si>
  <si>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</si>
  <si>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</si>
  <si>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</si>
  <si>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</si>
  <si>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</si>
  <si>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</si>
  <si>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</si>
  <si>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</si>
  <si>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</si>
  <si>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</si>
  <si>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</si>
  <si>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</si>
  <si>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</si>
  <si>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</si>
  <si>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</si>
  <si>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</si>
  <si>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</si>
  <si>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</si>
  <si>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</si>
  <si>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</si>
  <si>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</si>
  <si>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</si>
  <si>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</si>
  <si>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</si>
  <si>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</si>
  <si>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</si>
  <si>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</si>
  <si>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</si>
  <si>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</si>
  <si>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</si>
  <si>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</si>
  <si>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</si>
  <si>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</si>
  <si>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</si>
  <si>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</si>
  <si>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</si>
  <si>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</si>
  <si>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</si>
  <si>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</si>
  <si>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</si>
  <si>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</si>
  <si>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</si>
  <si>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</si>
  <si>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</si>
  <si>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</si>
  <si>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</si>
  <si>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</si>
  <si>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</si>
  <si>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</si>
  <si>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</si>
  <si>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</si>
  <si>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</si>
  <si>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</si>
  <si>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</si>
  <si>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</si>
  <si>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</si>
  <si>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</si>
  <si>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</si>
  <si>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</si>
  <si>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</si>
  <si>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</si>
  <si>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</si>
  <si>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</si>
  <si>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</si>
  <si>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</si>
  <si>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</si>
  <si>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</si>
  <si>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</si>
  <si>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</si>
  <si>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</si>
  <si>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</si>
  <si>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</si>
  <si>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</si>
  <si>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</si>
  <si>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</si>
  <si>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</si>
  <si>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</si>
  <si>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</si>
  <si>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</si>
  <si>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</si>
  <si>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</si>
  <si>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</si>
  <si>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</si>
  <si>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</si>
  <si>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</si>
  <si>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</si>
  <si>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</si>
  <si>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</si>
  <si>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</si>
  <si>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</si>
  <si>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</si>
  <si>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</si>
  <si>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</si>
  <si>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</si>
  <si>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</si>
  <si>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</si>
  <si>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</si>
  <si>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</si>
  <si>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</si>
  <si>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</si>
  <si>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</si>
  <si>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</si>
  <si>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</si>
  <si>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</si>
  <si>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</si>
  <si>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</si>
  <si>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</si>
  <si>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</si>
  <si>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</si>
  <si>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</si>
  <si>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</si>
  <si>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</si>
  <si>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</si>
  <si>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</si>
  <si>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</si>
  <si>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</si>
  <si>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</si>
  <si>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</si>
  <si>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</si>
  <si>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</si>
  <si>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</si>
  <si>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</si>
  <si>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</si>
  <si>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</si>
  <si>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</si>
  <si>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</si>
  <si>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</si>
  <si>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</si>
  <si>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</si>
  <si>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</si>
  <si>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</si>
  <si>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</si>
  <si>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</si>
  <si>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</si>
  <si>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</si>
  <si>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</si>
  <si>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</si>
  <si>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</si>
  <si>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</si>
  <si>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</si>
  <si>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</si>
  <si>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</si>
  <si>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</si>
  <si>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</si>
  <si>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</si>
  <si>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</si>
  <si>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</si>
  <si>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</si>
  <si>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</si>
  <si>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</si>
  <si>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</si>
  <si>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</si>
  <si>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</si>
  <si>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</si>
  <si>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</si>
  <si>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</si>
  <si>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</si>
  <si>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</si>
  <si>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</si>
  <si>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</si>
  <si>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</si>
  <si>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</si>
  <si>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</si>
  <si>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</si>
  <si>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</si>
  <si>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</si>
  <si>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</si>
  <si>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</si>
  <si>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</si>
  <si>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</si>
  <si>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</si>
  <si>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</si>
  <si>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</si>
  <si>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</si>
  <si>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</si>
  <si>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</si>
  <si>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</si>
  <si>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</si>
  <si>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</si>
  <si>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</si>
  <si>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</si>
  <si>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</si>
  <si>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</si>
  <si>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</si>
  <si>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</si>
  <si>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</si>
  <si>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</si>
  <si>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</si>
  <si>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</si>
  <si>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</si>
  <si>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</si>
  <si>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</si>
  <si>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</si>
  <si>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</si>
  <si>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</si>
  <si>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</si>
  <si>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</si>
  <si>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</si>
  <si>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</si>
  <si>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</si>
  <si>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</si>
  <si>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</si>
  <si>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</si>
  <si>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</si>
  <si>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</si>
  <si>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</si>
  <si>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&gt;=50</t>
  </si>
  <si>
    <t>Ф277-007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</si>
  <si>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</si>
  <si>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</si>
  <si>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</si>
  <si>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</si>
  <si>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</si>
  <si>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</si>
  <si>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</si>
  <si>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</si>
  <si>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</si>
  <si>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</si>
  <si>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</si>
  <si>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</si>
  <si>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</si>
  <si>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</si>
  <si>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</si>
  <si>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</si>
  <si>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</si>
  <si>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</si>
  <si>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</si>
  <si>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</si>
  <si>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</si>
  <si>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</si>
  <si>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</si>
  <si>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</si>
  <si>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</si>
  <si>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</si>
  <si>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</si>
  <si>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</si>
  <si>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</si>
  <si>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</si>
  <si>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</si>
  <si>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</si>
  <si>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</si>
  <si>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</si>
  <si>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</si>
  <si>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</si>
  <si>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</si>
  <si>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</si>
  <si>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</si>
  <si>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</si>
  <si>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</si>
  <si>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</si>
  <si>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</si>
  <si>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</si>
  <si>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</si>
  <si>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</si>
  <si>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</si>
  <si>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</si>
  <si>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</si>
  <si>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</si>
  <si>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</si>
  <si>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</si>
  <si>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</si>
  <si>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</si>
  <si>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</si>
  <si>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</si>
  <si>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</si>
  <si>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</si>
  <si>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</si>
  <si>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</si>
  <si>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</si>
  <si>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</si>
  <si>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</si>
  <si>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</si>
  <si>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</si>
  <si>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</si>
  <si>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</si>
  <si>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</si>
  <si>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</si>
  <si>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</si>
  <si>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</si>
  <si>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</si>
  <si>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</si>
  <si>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</si>
  <si>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</si>
  <si>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</si>
  <si>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</si>
  <si>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</si>
  <si>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</si>
  <si>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</si>
  <si>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</si>
  <si>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</si>
  <si>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</si>
  <si>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</si>
  <si>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</si>
  <si>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</si>
  <si>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</si>
  <si>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</si>
  <si>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</si>
  <si>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</si>
  <si>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</si>
  <si>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</si>
  <si>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</si>
  <si>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</si>
  <si>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</si>
  <si>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</si>
  <si>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</si>
  <si>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</si>
  <si>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</si>
  <si>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</si>
  <si>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</si>
  <si>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</si>
  <si>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</si>
  <si>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</si>
  <si>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</si>
  <si>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</si>
  <si>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</si>
  <si>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</si>
  <si>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</si>
  <si>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</si>
  <si>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</si>
  <si>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</si>
  <si>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Холодильники: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</si>
  <si>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</si>
  <si>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</si>
  <si>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</si>
  <si>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</si>
  <si>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</si>
  <si>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</si>
  <si>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</si>
  <si>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</si>
  <si>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</si>
  <si>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</si>
  <si>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</si>
  <si>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</si>
  <si>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</si>
  <si>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</si>
  <si>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</si>
  <si>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</si>
  <si>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</si>
  <si>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</si>
  <si>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</si>
  <si>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</si>
  <si>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</si>
  <si>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</si>
  <si>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</si>
  <si>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</si>
  <si>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</si>
  <si>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</si>
  <si>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</si>
  <si>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</si>
  <si>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</si>
  <si>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</si>
  <si>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</si>
  <si>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</si>
  <si>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</si>
  <si>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</si>
  <si>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</si>
  <si>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</si>
  <si>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</si>
  <si>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</si>
  <si>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</si>
  <si>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</si>
  <si>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</si>
  <si>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</si>
  <si>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</si>
  <si>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</si>
  <si>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</si>
  <si>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</si>
  <si>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</si>
  <si>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</si>
  <si>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</si>
  <si>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</si>
  <si>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</si>
  <si>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</si>
  <si>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</si>
  <si>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</si>
  <si>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</si>
  <si>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</si>
  <si>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</si>
  <si>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</si>
  <si>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</si>
  <si>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</si>
  <si>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</si>
  <si>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</si>
  <si>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</si>
  <si>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длина+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</si>
  <si>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</si>
  <si>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</si>
  <si>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</si>
  <si>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</si>
  <si>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</si>
  <si>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</si>
  <si>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</si>
  <si>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</si>
  <si>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1:</t>
  </si>
  <si>
    <t>Прибыль:</t>
  </si>
  <si>
    <t>344749-006</t>
  </si>
  <si>
    <t>Т2-00-5880</t>
  </si>
  <si>
    <t>Планка быстроизнашивающаяся</t>
  </si>
  <si>
    <t>Т2-3251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</si>
  <si>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</si>
  <si>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</si>
  <si>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</si>
  <si>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</si>
  <si>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</si>
  <si>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</si>
  <si>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</si>
  <si>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</si>
  <si>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</si>
  <si>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</si>
  <si>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</si>
  <si>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</si>
  <si>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</si>
  <si>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</si>
  <si>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</si>
  <si>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</si>
  <si>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</si>
  <si>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</si>
  <si>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</si>
  <si>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344775-006</t>
  </si>
  <si>
    <t>3532.03.04.008</t>
  </si>
  <si>
    <t>Вкладыш верхний</t>
  </si>
  <si>
    <t>по диаметру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</si>
  <si>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</si>
  <si>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</si>
  <si>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</si>
  <si>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</si>
  <si>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</si>
  <si>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</si>
  <si>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</si>
  <si>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</si>
  <si>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</si>
  <si>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</si>
  <si>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</si>
  <si>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</si>
  <si>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</si>
  <si>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</si>
  <si>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</si>
  <si>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</si>
  <si>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</si>
  <si>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</si>
  <si>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</si>
  <si>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</si>
  <si>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</si>
  <si>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</si>
  <si>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</si>
  <si>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</si>
  <si>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</si>
  <si>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</si>
  <si>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</si>
  <si>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</si>
  <si>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</si>
  <si>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</si>
  <si>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</si>
  <si>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</si>
  <si>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</si>
  <si>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</si>
  <si>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</si>
  <si>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</si>
  <si>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</si>
  <si>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</si>
  <si>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</si>
  <si>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</si>
  <si>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</si>
  <si>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</si>
  <si>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</si>
  <si>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</si>
  <si>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</si>
  <si>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</si>
  <si>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</si>
  <si>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</si>
  <si>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</si>
  <si>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</si>
  <si>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Нашить стержневой ящик по внутреннему</t>
  </si>
  <si>
    <t>диаметру +7 мм. На сторону.</t>
  </si>
  <si>
    <t>Втулка конусная</t>
  </si>
  <si>
    <t>ширина</t>
  </si>
  <si>
    <t>Всего:</t>
  </si>
  <si>
    <t>Толщ. щели</t>
  </si>
  <si>
    <t>Наружные</t>
  </si>
  <si>
    <t>верх,низ</t>
  </si>
  <si>
    <t>зават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</si>
  <si>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</si>
  <si>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</si>
  <si>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</si>
  <si>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</si>
  <si>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</si>
  <si>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</si>
  <si>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</si>
  <si>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</si>
  <si>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</si>
  <si>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</si>
  <si>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</si>
  <si>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Высота прибыли:</t>
  </si>
  <si>
    <t>ЕСЛИ(Втулка!N7&lt;=50;2,7;2,6)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</si>
  <si>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</si>
  <si>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</si>
  <si>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</si>
  <si>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</si>
  <si>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</si>
  <si>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</si>
  <si>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</si>
  <si>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</si>
  <si>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</si>
  <si>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</si>
  <si>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</si>
  <si>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</si>
  <si>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</si>
  <si>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3519.05.02.302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</si>
  <si>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</si>
  <si>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</si>
  <si>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</si>
  <si>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</si>
  <si>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</si>
  <si>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</si>
  <si>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</si>
  <si>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</si>
  <si>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</si>
  <si>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</si>
  <si>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</si>
  <si>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</si>
  <si>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</si>
  <si>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</si>
  <si>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</si>
  <si>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</si>
  <si>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</si>
  <si>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</si>
  <si>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</si>
  <si>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</si>
  <si>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</si>
  <si>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</si>
  <si>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</si>
  <si>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</si>
  <si>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</si>
  <si>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</si>
  <si>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</si>
  <si>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</si>
  <si>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</si>
  <si>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</si>
  <si>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</si>
  <si>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</si>
  <si>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</si>
  <si>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</si>
  <si>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</si>
  <si>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</si>
  <si>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</si>
  <si>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</si>
  <si>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</si>
  <si>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</si>
  <si>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</si>
  <si>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</si>
  <si>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</si>
  <si>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</si>
  <si>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</si>
  <si>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</si>
  <si>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</si>
  <si>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</si>
  <si>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</si>
  <si>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</si>
  <si>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</si>
  <si>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</si>
  <si>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</si>
  <si>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</si>
  <si>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</si>
  <si>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</si>
  <si>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</si>
  <si>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</si>
  <si>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</si>
  <si>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</si>
  <si>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</si>
  <si>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</si>
  <si>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</si>
  <si>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</si>
  <si>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</si>
  <si>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</si>
  <si>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</si>
  <si>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</si>
  <si>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</si>
  <si>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</si>
  <si>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</si>
  <si>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</si>
  <si>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</si>
  <si>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</si>
  <si>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</si>
  <si>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</si>
  <si>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</si>
  <si>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</si>
  <si>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</si>
  <si>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</si>
  <si>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</si>
  <si>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</si>
  <si>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</si>
  <si>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</si>
  <si>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</si>
  <si>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</si>
  <si>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</si>
  <si>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</si>
  <si>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</si>
  <si>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</si>
  <si>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</si>
  <si>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</si>
  <si>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</si>
  <si>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</si>
  <si>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</si>
  <si>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</si>
  <si>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</si>
  <si>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</si>
  <si>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</si>
  <si>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</si>
  <si>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</si>
  <si>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</si>
  <si>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</si>
  <si>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</si>
  <si>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</si>
  <si>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</si>
  <si>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</si>
  <si>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</si>
  <si>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</si>
  <si>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</si>
  <si>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</si>
  <si>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</si>
  <si>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</si>
  <si>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</si>
  <si>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</si>
  <si>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</si>
  <si>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</si>
  <si>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</si>
  <si>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</si>
  <si>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</si>
  <si>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</si>
  <si>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</si>
  <si>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</si>
  <si>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</si>
  <si>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</si>
  <si>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</si>
  <si>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</si>
  <si>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</si>
  <si>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</si>
  <si>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</si>
  <si>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</si>
  <si>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обрезанная цилиндричка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</si>
  <si>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</si>
  <si>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</si>
  <si>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</si>
  <si>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</si>
  <si>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</si>
  <si>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</si>
  <si>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</si>
  <si>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</si>
  <si>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</si>
  <si>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</si>
  <si>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</si>
  <si>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</si>
  <si>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</si>
  <si>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обшита досками + двп</t>
  </si>
  <si>
    <t>Модель из 2-х частей: 440 мм. (отъемная), 400 мм. (часть с прибылью)</t>
  </si>
  <si>
    <t>Модель из 2-х частей: 340 мм. (отъемная), 620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</si>
  <si>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</si>
  <si>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</si>
  <si>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</si>
  <si>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</si>
  <si>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</si>
  <si>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</si>
  <si>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</si>
  <si>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</si>
  <si>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</si>
  <si>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</si>
  <si>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</si>
  <si>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</si>
  <si>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1153.07.212/211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</si>
  <si>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</si>
  <si>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</si>
  <si>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</si>
  <si>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</si>
  <si>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</si>
  <si>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</si>
  <si>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</si>
  <si>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</si>
  <si>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</si>
  <si>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</si>
  <si>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</si>
  <si>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</si>
  <si>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</si>
  <si>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</si>
  <si>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</si>
  <si>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</si>
  <si>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</si>
  <si>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</si>
  <si>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</si>
  <si>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</si>
  <si>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</si>
  <si>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</si>
  <si>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</si>
  <si>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</si>
  <si>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</si>
  <si>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</si>
  <si>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</si>
  <si>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</si>
  <si>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</si>
  <si>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</si>
  <si>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</si>
  <si>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</si>
  <si>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</si>
  <si>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</si>
  <si>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</si>
  <si>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</si>
  <si>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</si>
  <si>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</si>
  <si>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</si>
  <si>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</si>
  <si>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</si>
  <si>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</si>
  <si>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</si>
  <si>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</si>
  <si>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</si>
  <si>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</si>
  <si>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1245-44Д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</si>
  <si>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</si>
  <si>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</si>
  <si>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</si>
  <si>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</si>
  <si>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</si>
  <si>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</si>
  <si>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</si>
  <si>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</si>
  <si>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 xml:space="preserve"> 9633.01.11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</si>
  <si>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</si>
  <si>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</si>
  <si>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</si>
  <si>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</si>
  <si>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</si>
  <si>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</si>
  <si>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</si>
  <si>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</si>
  <si>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</si>
  <si>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</si>
  <si>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</si>
  <si>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</si>
  <si>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</si>
  <si>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</si>
  <si>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</si>
  <si>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</si>
  <si>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</si>
  <si>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</si>
  <si>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</si>
  <si>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</si>
  <si>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</si>
  <si>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</si>
  <si>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</si>
  <si>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</si>
  <si>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</si>
  <si>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</si>
  <si>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</si>
  <si>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</si>
  <si>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</si>
  <si>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</si>
  <si>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</si>
  <si>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</si>
  <si>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</si>
  <si>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</si>
  <si>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</si>
  <si>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</si>
  <si>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</si>
  <si>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</si>
  <si>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</si>
  <si>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</si>
  <si>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</si>
  <si>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</si>
  <si>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</si>
  <si>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</si>
  <si>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</si>
  <si>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</si>
  <si>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</si>
  <si>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</si>
  <si>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</si>
  <si>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</si>
  <si>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</si>
  <si>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</si>
  <si>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</si>
  <si>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</si>
  <si>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</si>
  <si>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</si>
  <si>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</si>
  <si>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</si>
  <si>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</si>
  <si>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</si>
  <si>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</si>
  <si>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</si>
  <si>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</si>
  <si>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</si>
  <si>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</si>
  <si>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</si>
  <si>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</si>
  <si>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</si>
  <si>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</si>
  <si>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</si>
  <si>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</si>
  <si>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</si>
  <si>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</si>
  <si>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</si>
  <si>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</si>
  <si>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</si>
  <si>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</si>
  <si>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</si>
  <si>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</si>
  <si>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</si>
  <si>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</si>
  <si>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</si>
  <si>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</si>
  <si>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</si>
  <si>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</si>
  <si>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</si>
  <si>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</si>
  <si>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</si>
  <si>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</si>
  <si>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</si>
  <si>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</si>
  <si>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</si>
  <si>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</si>
  <si>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</si>
  <si>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</si>
  <si>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</si>
  <si>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</si>
  <si>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</si>
  <si>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</si>
  <si>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</si>
  <si>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</si>
  <si>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</si>
  <si>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</si>
  <si>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</si>
  <si>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</si>
  <si>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</si>
  <si>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</si>
  <si>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</si>
  <si>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</si>
  <si>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</si>
  <si>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</si>
  <si>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</si>
  <si>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</si>
  <si>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</si>
  <si>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</si>
  <si>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</si>
  <si>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</si>
  <si>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</si>
  <si>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</si>
  <si>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</si>
  <si>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</si>
  <si>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</si>
  <si>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</si>
  <si>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</si>
  <si>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</si>
  <si>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</si>
  <si>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</si>
  <si>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</si>
  <si>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</si>
  <si>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</si>
  <si>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</si>
  <si>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</si>
  <si>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</si>
  <si>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</si>
  <si>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</si>
  <si>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</si>
  <si>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</si>
  <si>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</si>
  <si>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</si>
  <si>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</si>
  <si>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</si>
  <si>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</si>
  <si>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</si>
  <si>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</si>
  <si>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</si>
  <si>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</si>
  <si>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</si>
  <si>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</si>
  <si>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</si>
  <si>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</si>
  <si>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</si>
  <si>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</si>
  <si>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</si>
  <si>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</si>
  <si>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</si>
  <si>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</si>
  <si>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</si>
  <si>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</si>
  <si>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</si>
  <si>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</si>
  <si>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</si>
  <si>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</si>
  <si>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</si>
  <si>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</si>
  <si>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</si>
  <si>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</si>
  <si>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</si>
  <si>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</si>
  <si>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</si>
  <si>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</si>
  <si>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</si>
  <si>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</si>
  <si>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</si>
  <si>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</si>
  <si>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</si>
  <si>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</si>
  <si>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</si>
  <si>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</si>
  <si>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</si>
  <si>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</si>
  <si>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</si>
  <si>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</si>
  <si>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</si>
  <si>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</si>
  <si>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</si>
  <si>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</si>
  <si>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</si>
  <si>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</si>
  <si>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</si>
  <si>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</si>
  <si>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</si>
  <si>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</si>
  <si>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</si>
  <si>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</si>
  <si>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</si>
  <si>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</si>
  <si>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</si>
  <si>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</si>
  <si>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</si>
  <si>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</si>
  <si>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</si>
  <si>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</si>
  <si>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</si>
  <si>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</si>
  <si>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</si>
  <si>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</si>
  <si>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</si>
  <si>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</si>
  <si>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</si>
  <si>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</si>
  <si>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</si>
  <si>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</si>
  <si>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</si>
  <si>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</si>
  <si>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</si>
  <si>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</si>
  <si>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</si>
  <si>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</si>
  <si>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</si>
  <si>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</si>
  <si>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</si>
  <si>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</si>
  <si>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</si>
  <si>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</si>
  <si>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</si>
  <si>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</si>
  <si>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</si>
  <si>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</si>
  <si>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</si>
  <si>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</si>
  <si>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</si>
  <si>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</si>
  <si>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</si>
  <si>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</si>
  <si>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</si>
  <si>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</si>
  <si>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</si>
  <si>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</si>
  <si>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</si>
  <si>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</si>
  <si>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</si>
  <si>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</si>
  <si>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</si>
  <si>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</si>
  <si>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</si>
  <si>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</si>
  <si>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</si>
  <si>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</si>
  <si>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</si>
  <si>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</si>
  <si>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</si>
  <si>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</si>
  <si>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</si>
  <si>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</si>
  <si>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</si>
  <si>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</si>
  <si>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</si>
  <si>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</si>
  <si>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</si>
  <si>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</si>
  <si>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</si>
  <si>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</si>
  <si>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</si>
  <si>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</si>
  <si>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</si>
  <si>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</si>
  <si>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</si>
  <si>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</si>
  <si>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</si>
  <si>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</si>
  <si>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</si>
  <si>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</si>
  <si>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</si>
  <si>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</si>
  <si>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</si>
  <si>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</si>
  <si>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</si>
  <si>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</si>
  <si>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</si>
  <si>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</si>
  <si>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</si>
  <si>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</si>
  <si>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</si>
  <si>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</si>
  <si>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</si>
  <si>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</si>
  <si>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</si>
  <si>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</si>
  <si>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</si>
  <si>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</si>
  <si>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</si>
  <si>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</si>
  <si>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</si>
  <si>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</si>
  <si>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</si>
  <si>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</si>
  <si>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</si>
  <si>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</si>
  <si>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</si>
  <si>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</si>
  <si>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</si>
  <si>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</si>
  <si>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</si>
  <si>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</si>
  <si>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</si>
  <si>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</si>
  <si>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</si>
  <si>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</si>
  <si>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</si>
  <si>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</si>
  <si>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</si>
  <si>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</si>
  <si>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</si>
  <si>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</si>
  <si>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72.47722 - 01</t>
  </si>
  <si>
    <t>72.11872 - 60</t>
  </si>
  <si>
    <t>10.254624 - 21</t>
  </si>
  <si>
    <t>10.242291 - 1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</si>
  <si>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</si>
  <si>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</si>
  <si>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</si>
  <si>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</si>
  <si>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</si>
  <si>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</si>
  <si>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</si>
  <si>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</si>
  <si>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</si>
  <si>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</si>
  <si>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</si>
  <si>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</si>
  <si>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</si>
  <si>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</si>
  <si>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</si>
  <si>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</si>
  <si>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</si>
  <si>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</si>
  <si>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</si>
  <si>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</si>
  <si>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</si>
  <si>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</si>
  <si>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</si>
  <si>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</si>
  <si>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</si>
  <si>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</si>
  <si>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</si>
  <si>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</si>
  <si>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</si>
  <si>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</si>
  <si>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</si>
  <si>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72.471147 - 4</t>
  </si>
  <si>
    <t>10.256050 - 11</t>
  </si>
  <si>
    <t>72.42346 - 1</t>
  </si>
  <si>
    <t>72.47345 - 1</t>
  </si>
  <si>
    <t>10.242291 - 2</t>
  </si>
  <si>
    <t>10.240268 - 1</t>
  </si>
  <si>
    <t>72.47928 - 1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</si>
  <si>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</si>
  <si>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</si>
  <si>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</si>
  <si>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</si>
  <si>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</si>
  <si>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</si>
  <si>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</si>
  <si>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</si>
  <si>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10.254085 - 1</t>
  </si>
  <si>
    <t>72.47351 - 2</t>
  </si>
  <si>
    <t>72.47348 - 1</t>
  </si>
  <si>
    <t>10.254085 - 2</t>
  </si>
  <si>
    <t>72.47351 - 4</t>
  </si>
  <si>
    <t>72.47350 - 1</t>
  </si>
  <si>
    <t>10.242267 - 01</t>
  </si>
  <si>
    <t>72.44922 - 1</t>
  </si>
  <si>
    <t>72.48652 - 1</t>
  </si>
  <si>
    <t>10.242291 - 3</t>
  </si>
  <si>
    <t>72.47352 - 1</t>
  </si>
  <si>
    <t>72.47722 - 1</t>
  </si>
  <si>
    <t>10.245420 - 1</t>
  </si>
  <si>
    <t>10.252631 - 3</t>
  </si>
  <si>
    <t>10.252638 - 1</t>
  </si>
  <si>
    <t>72.47345 - 2</t>
  </si>
  <si>
    <t>10.254087 - 1</t>
  </si>
  <si>
    <t>10.240253 - 1</t>
  </si>
  <si>
    <t>72.46042 - 1</t>
  </si>
  <si>
    <t>72.47354 - 1</t>
  </si>
  <si>
    <t>10.246214 - 8</t>
  </si>
  <si>
    <t>10.246214 - 9</t>
  </si>
  <si>
    <t>72.480019 - б/н</t>
  </si>
  <si>
    <t>72.49192 - 1</t>
  </si>
  <si>
    <t>72.49124</t>
  </si>
  <si>
    <t>72.49192</t>
  </si>
  <si>
    <t>72.49286</t>
  </si>
  <si>
    <t>72.47357</t>
  </si>
  <si>
    <t>72.47356-1</t>
  </si>
  <si>
    <t>72.47356-2</t>
  </si>
  <si>
    <t>5694.392.0005СБ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</si>
  <si>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</si>
  <si>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</si>
  <si>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</si>
  <si>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</si>
  <si>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</si>
  <si>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</si>
  <si>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</si>
  <si>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</si>
  <si>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</si>
  <si>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</si>
  <si>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</si>
  <si>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</si>
  <si>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</si>
  <si>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</si>
  <si>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</si>
  <si>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</si>
  <si>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</si>
  <si>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</si>
  <si>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</si>
  <si>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</si>
  <si>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</si>
  <si>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</si>
  <si>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</si>
  <si>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1/30, Без дна - можно стационарно</t>
  </si>
  <si>
    <t>Для Оловянистых бронз - стационарно - не брать (большая масса, слиток может привариться к днищу)</t>
  </si>
  <si>
    <t>800÷900 об/мин, з/к черт.34.20220210-002 (фзал=300), Изготовлен 04.2022</t>
  </si>
  <si>
    <t xml:space="preserve"> с днищем</t>
  </si>
  <si>
    <t>Кокиля нет</t>
  </si>
  <si>
    <t>З/к. ф=120,0 (посадка 610) сейчас нет. Н.Н. - 04.04.2023</t>
  </si>
  <si>
    <t>Кокиль без дна - Н.Н. - 10.01.22 , З/к ф=135 мм,  посадка 550 (Котов, 13.05.2024)</t>
  </si>
  <si>
    <t>добавлен 11.06.2021</t>
  </si>
  <si>
    <t>Толкатель утоплен в кокиль, рабочая длина - 677 мм</t>
  </si>
  <si>
    <t>Кокиль с дном - стационарно не брать</t>
  </si>
  <si>
    <t>Не найден - Ковалев 02.11.2023</t>
  </si>
  <si>
    <t>ф зал.кр. = 150 (посадка 640)</t>
  </si>
  <si>
    <t>могут выставить толкатель на меньшую рабочую длину  - 04.02.2021</t>
  </si>
  <si>
    <t>могут выставить рабочую длину 100мм - 10.02.2021</t>
  </si>
  <si>
    <t>расточен с ф=585</t>
  </si>
  <si>
    <t>Толкатель утоплен в кокиль (рабочая длина-200 мм)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</si>
  <si>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</si>
  <si>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665 - Размер возле заливочной крышки. Сетка разгара( от 06.2024)</t>
  </si>
  <si>
    <t>Без толкателя</t>
  </si>
  <si>
    <t>Заливочная крышка пос.700 - заливочное отв.-100мм</t>
  </si>
  <si>
    <t>Вышел из строя 01.2024 (Металлолом)</t>
  </si>
  <si>
    <t>Толкатель утоплен (ф560*40), Крышка черт.5694.392.0007, ф крышки 250 мм, ф посадки 745 мм</t>
  </si>
  <si>
    <t>Уточнить диаметр толкателя</t>
  </si>
  <si>
    <t>Столбец1</t>
  </si>
  <si>
    <t>Столбец2</t>
  </si>
  <si>
    <t>Столбец3</t>
  </si>
  <si>
    <t>Столбец4</t>
  </si>
  <si>
    <t>№ строки</t>
  </si>
  <si>
    <t>β, °2</t>
  </si>
  <si>
    <t>мм.3</t>
  </si>
  <si>
    <t>Расчет модели:</t>
  </si>
  <si>
    <t>Размер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</si>
  <si>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</si>
  <si>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</si>
  <si>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</si>
  <si>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</si>
  <si>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</si>
  <si>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</si>
  <si>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</si>
  <si>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</si>
  <si>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</si>
  <si>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</si>
  <si>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</si>
  <si>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</si>
  <si>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</si>
  <si>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</si>
  <si>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</si>
  <si>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</si>
  <si>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</si>
  <si>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</si>
  <si>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</si>
  <si>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</si>
  <si>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</si>
  <si>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</si>
  <si>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</si>
  <si>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</si>
  <si>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</si>
  <si>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</si>
  <si>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</si>
  <si>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</si>
  <si>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</si>
  <si>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</si>
  <si>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</si>
  <si>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</si>
  <si>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</si>
  <si>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</si>
  <si>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</si>
  <si>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</si>
  <si>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</si>
  <si>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</si>
  <si>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</si>
  <si>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</si>
  <si>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</si>
  <si>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</si>
  <si>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</si>
  <si>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</si>
  <si>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</si>
  <si>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</si>
  <si>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</si>
  <si>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</si>
  <si>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</si>
  <si>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</si>
  <si>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</si>
  <si>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</si>
  <si>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</si>
  <si>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</si>
  <si>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обшита рез. Разбита</t>
  </si>
  <si>
    <t>1275.53.27</t>
  </si>
  <si>
    <t>старая. Обшита асб+пластик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</si>
  <si>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</si>
  <si>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</si>
  <si>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</si>
  <si>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</si>
  <si>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</si>
  <si>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</si>
  <si>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</si>
  <si>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</si>
  <si>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</si>
  <si>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</si>
  <si>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</si>
  <si>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</si>
  <si>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</si>
  <si>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Разбита до 590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</si>
  <si>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</si>
  <si>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</si>
  <si>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</si>
  <si>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</si>
  <si>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</si>
  <si>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</si>
  <si>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</si>
  <si>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</si>
  <si>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</si>
  <si>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</si>
  <si>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</si>
  <si>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</si>
  <si>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</si>
  <si>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</si>
  <si>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</si>
  <si>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</si>
  <si>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</si>
  <si>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</si>
  <si>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</si>
  <si>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</si>
  <si>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</si>
  <si>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</si>
  <si>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</si>
  <si>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</si>
  <si>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</si>
  <si>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</si>
  <si>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</si>
  <si>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</si>
  <si>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</si>
  <si>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</si>
  <si>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</si>
  <si>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</si>
  <si>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обшита двп  (12/стор.)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</si>
  <si>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</si>
  <si>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</si>
  <si>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</si>
  <si>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</si>
  <si>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</si>
  <si>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</si>
  <si>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</si>
  <si>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</si>
  <si>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</si>
  <si>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разъемная 840 (низ)+960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</si>
  <si>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</si>
  <si>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</si>
  <si>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</si>
  <si>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</si>
  <si>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</si>
  <si>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</si>
  <si>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</si>
  <si>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</si>
  <si>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</si>
  <si>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Модель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</si>
  <si>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</si>
  <si>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</si>
  <si>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</si>
  <si>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</si>
  <si>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</si>
  <si>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</si>
  <si>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</si>
  <si>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</si>
  <si>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</si>
  <si>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</si>
  <si>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в разработке.</t>
  </si>
  <si>
    <t>Длина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</si>
</sst>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\Ø\ 0&quot; мм., &quot;"/>
    <numFmt numFmtId="177" formatCode="&quot;Н = &quot;0"/>
    <numFmt numFmtId="178" formatCode="&quot;х &quot;0"/>
    <numFmt numFmtId="179" formatCode="0&quot; кг.&quot;"/>
  </numFmts>
  <fonts count="15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sz val="14"/>
      <color rgb="FF333399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5">
    <xf numFmtId="0" fontId="0" fillId="0" borderId="0"/>
    <xf numFmtId="0" fontId="23" fillId="2" borderId="1" applyProtection="0"/>
    <xf numFmtId="0" fontId="70" fillId="0" borderId="0" applyNumberFormat="0" applyFill="0" applyBorder="0" applyAlignment="0" applyProtection="0"/>
    <xf numFmtId="164" fontId="92" fillId="0" borderId="0" applyFont="0" applyFill="0" applyBorder="0" applyAlignment="0" applyProtection="0"/>
    <xf numFmtId="0" fontId="16" fillId="0" borderId="0"/>
  </cellStyleXfs>
  <cellXfs count="222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4" fillId="0" borderId="0" xfId="0" applyFont="1"/>
    <xf numFmtId="0" fontId="24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4" fillId="0" borderId="22" xfId="0" applyFont="1" applyBorder="1" applyAlignment="1">
      <alignment horizontal="right"/>
    </xf>
    <xf numFmtId="0" fontId="0" fillId="0" borderId="19" xfId="0" applyBorder="1"/>
    <xf numFmtId="0" fontId="24" fillId="3" borderId="5" xfId="0" applyFont="1" applyFill="1" applyBorder="1"/>
    <xf numFmtId="0" fontId="24" fillId="0" borderId="22" xfId="0" applyFont="1" applyBorder="1"/>
    <xf numFmtId="0" fontId="24" fillId="3" borderId="13" xfId="0" applyFont="1" applyFill="1" applyBorder="1"/>
    <xf numFmtId="0" fontId="24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2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3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4" fillId="0" borderId="15" xfId="0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7" xfId="0" applyFont="1" applyBorder="1" applyAlignment="1">
      <alignment horizontal="center"/>
    </xf>
    <xf numFmtId="0" fontId="34" fillId="0" borderId="27" xfId="0" applyFont="1" applyFill="1" applyBorder="1" applyAlignment="1">
      <alignment horizontal="center"/>
    </xf>
    <xf numFmtId="14" fontId="34" fillId="0" borderId="18" xfId="0" applyNumberFormat="1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6" xfId="0" applyFont="1" applyBorder="1" applyAlignment="1">
      <alignment horizontal="center"/>
    </xf>
    <xf numFmtId="0" fontId="34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0" xfId="0" applyNumberFormat="1" applyFont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0" fillId="0" borderId="29" xfId="0" applyFill="1" applyBorder="1"/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8" xfId="0" applyFont="1" applyBorder="1"/>
    <xf numFmtId="0" fontId="22" fillId="5" borderId="5" xfId="0" applyFont="1" applyFill="1" applyBorder="1"/>
    <xf numFmtId="0" fontId="24" fillId="0" borderId="0" xfId="0" applyFont="1" applyBorder="1"/>
    <xf numFmtId="0" fontId="35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28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8" fillId="0" borderId="0" xfId="0" applyFont="1" applyBorder="1"/>
    <xf numFmtId="0" fontId="38" fillId="0" borderId="0" xfId="0" applyFont="1" applyFill="1" applyBorder="1"/>
    <xf numFmtId="0" fontId="34" fillId="0" borderId="0" xfId="0" applyFont="1" applyBorder="1" applyAlignment="1">
      <alignment horizontal="right"/>
    </xf>
    <xf numFmtId="49" fontId="34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39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20" fillId="5" borderId="5" xfId="0" applyFont="1" applyFill="1" applyBorder="1"/>
    <xf numFmtId="0" fontId="41" fillId="10" borderId="5" xfId="0" applyFont="1" applyFill="1" applyBorder="1"/>
    <xf numFmtId="0" fontId="41" fillId="15" borderId="5" xfId="0" applyFont="1" applyFill="1" applyBorder="1"/>
    <xf numFmtId="0" fontId="41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5" fillId="0" borderId="0" xfId="0" applyFont="1" applyFill="1" applyBorder="1"/>
    <xf numFmtId="2" fontId="36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7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1" fillId="21" borderId="28" xfId="0" applyFont="1" applyFill="1" applyBorder="1" applyAlignment="1">
      <alignment horizontal="right"/>
    </xf>
    <xf numFmtId="0" fontId="31" fillId="21" borderId="5" xfId="0" applyFont="1" applyFill="1" applyBorder="1"/>
    <xf numFmtId="0" fontId="31" fillId="21" borderId="0" xfId="0" applyFont="1" applyFill="1" applyBorder="1" applyAlignment="1">
      <alignment horizontal="right"/>
    </xf>
    <xf numFmtId="0" fontId="31" fillId="21" borderId="0" xfId="0" applyFont="1" applyFill="1" applyBorder="1"/>
    <xf numFmtId="0" fontId="34" fillId="0" borderId="20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5" fontId="6" fillId="18" borderId="12" xfId="0" applyNumberFormat="1" applyFont="1" applyFill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4" fillId="0" borderId="7" xfId="0" applyFont="1" applyFill="1" applyBorder="1" applyAlignment="1">
      <alignment horizontal="center"/>
    </xf>
    <xf numFmtId="0" fontId="24" fillId="0" borderId="11" xfId="0" applyFont="1" applyBorder="1"/>
    <xf numFmtId="166" fontId="24" fillId="0" borderId="14" xfId="0" applyNumberFormat="1" applyFont="1" applyBorder="1"/>
    <xf numFmtId="0" fontId="24" fillId="0" borderId="15" xfId="0" applyFont="1" applyBorder="1"/>
    <xf numFmtId="0" fontId="24" fillId="0" borderId="8" xfId="0" applyFont="1" applyBorder="1"/>
    <xf numFmtId="0" fontId="24" fillId="0" borderId="9" xfId="0" applyFont="1" applyBorder="1"/>
    <xf numFmtId="0" fontId="24" fillId="5" borderId="0" xfId="0" applyFont="1" applyFill="1"/>
    <xf numFmtId="0" fontId="47" fillId="0" borderId="0" xfId="0" applyFont="1" applyBorder="1"/>
    <xf numFmtId="0" fontId="46" fillId="11" borderId="13" xfId="1" applyFont="1" applyFill="1" applyBorder="1" applyAlignment="1" applyProtection="1"/>
    <xf numFmtId="0" fontId="24" fillId="0" borderId="7" xfId="0" applyFont="1" applyBorder="1"/>
    <xf numFmtId="0" fontId="24" fillId="0" borderId="12" xfId="0" applyFont="1" applyBorder="1"/>
    <xf numFmtId="0" fontId="47" fillId="12" borderId="13" xfId="0" applyFont="1" applyFill="1" applyBorder="1"/>
    <xf numFmtId="0" fontId="24" fillId="0" borderId="0" xfId="0" applyFont="1" applyFill="1" applyBorder="1"/>
    <xf numFmtId="2" fontId="24" fillId="0" borderId="0" xfId="0" applyNumberFormat="1" applyFont="1" applyBorder="1"/>
    <xf numFmtId="0" fontId="24" fillId="0" borderId="10" xfId="0" applyFont="1" applyBorder="1" applyAlignment="1">
      <alignment horizontal="right"/>
    </xf>
    <xf numFmtId="2" fontId="24" fillId="0" borderId="23" xfId="0" applyNumberFormat="1" applyFont="1" applyBorder="1"/>
    <xf numFmtId="0" fontId="24" fillId="5" borderId="0" xfId="0" applyFont="1" applyFill="1" applyBorder="1"/>
    <xf numFmtId="0" fontId="24" fillId="0" borderId="0" xfId="0" applyFont="1" applyAlignment="1">
      <alignment horizontal="right"/>
    </xf>
    <xf numFmtId="0" fontId="24" fillId="3" borderId="0" xfId="0" applyFont="1" applyFill="1" applyAlignment="1">
      <alignment horizontal="left"/>
    </xf>
    <xf numFmtId="0" fontId="24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3" borderId="0" xfId="0" applyFont="1" applyFill="1"/>
    <xf numFmtId="0" fontId="46" fillId="0" borderId="0" xfId="1" applyFont="1" applyFill="1" applyBorder="1" applyAlignment="1" applyProtection="1"/>
    <xf numFmtId="0" fontId="24" fillId="0" borderId="0" xfId="0" applyFont="1" applyAlignment="1"/>
    <xf numFmtId="0" fontId="24" fillId="3" borderId="0" xfId="0" applyFont="1" applyFill="1" applyBorder="1"/>
    <xf numFmtId="0" fontId="14" fillId="3" borderId="0" xfId="0" applyFont="1" applyFill="1" applyAlignment="1">
      <alignment horizontal="right"/>
    </xf>
    <xf numFmtId="0" fontId="24" fillId="3" borderId="21" xfId="0" applyFont="1" applyFill="1" applyBorder="1"/>
    <xf numFmtId="0" fontId="49" fillId="5" borderId="0" xfId="0" applyFont="1" applyFill="1"/>
    <xf numFmtId="0" fontId="19" fillId="5" borderId="0" xfId="0" applyFont="1" applyFill="1"/>
    <xf numFmtId="0" fontId="47" fillId="0" borderId="0" xfId="0" applyFont="1"/>
    <xf numFmtId="0" fontId="47" fillId="0" borderId="0" xfId="0" applyFont="1" applyAlignment="1">
      <alignment horizontal="left"/>
    </xf>
    <xf numFmtId="0" fontId="32" fillId="0" borderId="10" xfId="0" applyFont="1" applyBorder="1" applyAlignment="1">
      <alignment horizontal="center"/>
    </xf>
    <xf numFmtId="0" fontId="47" fillId="0" borderId="22" xfId="0" applyFont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47" fillId="0" borderId="22" xfId="0" applyFont="1" applyBorder="1"/>
    <xf numFmtId="0" fontId="32" fillId="0" borderId="11" xfId="0" applyFont="1" applyBorder="1"/>
    <xf numFmtId="0" fontId="32" fillId="0" borderId="0" xfId="0" applyFont="1" applyBorder="1"/>
    <xf numFmtId="0" fontId="50" fillId="0" borderId="13" xfId="0" applyFont="1" applyBorder="1" applyAlignment="1">
      <alignment horizontal="center"/>
    </xf>
    <xf numFmtId="165" fontId="43" fillId="0" borderId="5" xfId="0" applyNumberFormat="1" applyFont="1" applyBorder="1" applyAlignment="1">
      <alignment horizontal="center"/>
    </xf>
    <xf numFmtId="0" fontId="47" fillId="0" borderId="5" xfId="0" applyFont="1" applyBorder="1" applyAlignment="1">
      <alignment horizontal="center"/>
    </xf>
    <xf numFmtId="0" fontId="47" fillId="0" borderId="5" xfId="0" applyFont="1" applyBorder="1"/>
    <xf numFmtId="0" fontId="47" fillId="0" borderId="14" xfId="0" applyFont="1" applyFill="1" applyBorder="1"/>
    <xf numFmtId="0" fontId="47" fillId="3" borderId="13" xfId="0" applyFont="1" applyFill="1" applyBorder="1" applyAlignment="1">
      <alignment horizontal="center"/>
    </xf>
    <xf numFmtId="165" fontId="29" fillId="0" borderId="5" xfId="0" applyNumberFormat="1" applyFont="1" applyBorder="1" applyAlignment="1">
      <alignment horizontal="center"/>
    </xf>
    <xf numFmtId="0" fontId="47" fillId="3" borderId="5" xfId="0" applyFont="1" applyFill="1" applyBorder="1" applyAlignment="1">
      <alignment horizontal="center"/>
    </xf>
    <xf numFmtId="0" fontId="47" fillId="0" borderId="13" xfId="0" applyFont="1" applyBorder="1"/>
    <xf numFmtId="0" fontId="32" fillId="0" borderId="5" xfId="0" applyFont="1" applyBorder="1" applyAlignment="1">
      <alignment horizontal="center"/>
    </xf>
    <xf numFmtId="2" fontId="44" fillId="0" borderId="5" xfId="0" applyNumberFormat="1" applyFont="1" applyBorder="1" applyAlignment="1">
      <alignment horizontal="center"/>
    </xf>
    <xf numFmtId="0" fontId="47" fillId="0" borderId="14" xfId="0" applyFont="1" applyBorder="1"/>
    <xf numFmtId="2" fontId="51" fillId="0" borderId="5" xfId="0" applyNumberFormat="1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2" fontId="47" fillId="0" borderId="5" xfId="0" applyNumberFormat="1" applyFont="1" applyBorder="1" applyAlignment="1">
      <alignment horizontal="center"/>
    </xf>
    <xf numFmtId="0" fontId="47" fillId="0" borderId="16" xfId="0" applyFont="1" applyBorder="1"/>
    <xf numFmtId="0" fontId="47" fillId="0" borderId="23" xfId="0" applyFont="1" applyBorder="1"/>
    <xf numFmtId="2" fontId="32" fillId="0" borderId="23" xfId="0" applyNumberFormat="1" applyFont="1" applyBorder="1" applyAlignment="1">
      <alignment horizontal="center"/>
    </xf>
    <xf numFmtId="2" fontId="47" fillId="0" borderId="23" xfId="0" applyNumberFormat="1" applyFont="1" applyBorder="1" applyAlignment="1">
      <alignment horizontal="center"/>
    </xf>
    <xf numFmtId="2" fontId="32" fillId="0" borderId="17" xfId="0" applyNumberFormat="1" applyFont="1" applyBorder="1"/>
    <xf numFmtId="2" fontId="32" fillId="0" borderId="0" xfId="0" applyNumberFormat="1" applyFont="1" applyBorder="1"/>
    <xf numFmtId="0" fontId="32" fillId="0" borderId="22" xfId="0" applyFont="1" applyBorder="1"/>
    <xf numFmtId="0" fontId="47" fillId="0" borderId="5" xfId="0" applyFont="1" applyFill="1" applyBorder="1" applyAlignment="1">
      <alignment horizontal="center"/>
    </xf>
    <xf numFmtId="0" fontId="24" fillId="0" borderId="14" xfId="0" applyFont="1" applyBorder="1"/>
    <xf numFmtId="0" fontId="47" fillId="5" borderId="5" xfId="0" applyFont="1" applyFill="1" applyBorder="1" applyAlignment="1">
      <alignment horizontal="center"/>
    </xf>
    <xf numFmtId="0" fontId="52" fillId="0" borderId="5" xfId="0" applyFont="1" applyFill="1" applyBorder="1" applyAlignment="1">
      <alignment horizontal="center"/>
    </xf>
    <xf numFmtId="2" fontId="32" fillId="0" borderId="23" xfId="0" applyNumberFormat="1" applyFont="1" applyBorder="1"/>
    <xf numFmtId="0" fontId="32" fillId="0" borderId="11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2" fillId="0" borderId="13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5" borderId="13" xfId="0" applyFont="1" applyFill="1" applyBorder="1" applyAlignment="1">
      <alignment horizontal="center"/>
    </xf>
    <xf numFmtId="0" fontId="24" fillId="5" borderId="5" xfId="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53" fillId="0" borderId="13" xfId="0" applyFont="1" applyFill="1" applyBorder="1" applyAlignment="1">
      <alignment horizontal="center"/>
    </xf>
    <xf numFmtId="0" fontId="53" fillId="5" borderId="13" xfId="0" applyFont="1" applyFill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24" fillId="0" borderId="16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/>
    <xf numFmtId="0" fontId="24" fillId="0" borderId="19" xfId="0" applyFont="1" applyBorder="1"/>
    <xf numFmtId="0" fontId="24" fillId="0" borderId="20" xfId="0" applyFont="1" applyBorder="1"/>
    <xf numFmtId="0" fontId="47" fillId="0" borderId="0" xfId="0" applyFont="1" applyBorder="1" applyAlignment="1">
      <alignment horizontal="center"/>
    </xf>
    <xf numFmtId="0" fontId="24" fillId="0" borderId="0" xfId="0" applyFont="1" applyFill="1"/>
    <xf numFmtId="0" fontId="24" fillId="13" borderId="0" xfId="0" applyFont="1" applyFill="1"/>
    <xf numFmtId="0" fontId="55" fillId="0" borderId="0" xfId="0" applyFont="1" applyFill="1" applyBorder="1" applyAlignment="1">
      <alignment horizontal="center"/>
    </xf>
    <xf numFmtId="0" fontId="24" fillId="5" borderId="7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0" fontId="24" fillId="5" borderId="7" xfId="0" applyFont="1" applyFill="1" applyBorder="1"/>
    <xf numFmtId="0" fontId="24" fillId="5" borderId="18" xfId="0" applyFont="1" applyFill="1" applyBorder="1"/>
    <xf numFmtId="0" fontId="24" fillId="9" borderId="0" xfId="0" applyFont="1" applyFill="1"/>
    <xf numFmtId="0" fontId="24" fillId="0" borderId="0" xfId="0" applyFont="1" applyAlignment="1">
      <alignment horizontal="left"/>
    </xf>
    <xf numFmtId="0" fontId="24" fillId="20" borderId="0" xfId="0" applyFont="1" applyFill="1"/>
    <xf numFmtId="0" fontId="24" fillId="17" borderId="0" xfId="0" applyFont="1" applyFill="1"/>
    <xf numFmtId="0" fontId="24" fillId="17" borderId="0" xfId="0" applyFont="1" applyFill="1" applyAlignment="1">
      <alignment horizontal="right"/>
    </xf>
    <xf numFmtId="0" fontId="24" fillId="17" borderId="0" xfId="0" applyFont="1" applyFill="1" applyBorder="1"/>
    <xf numFmtId="0" fontId="24" fillId="22" borderId="0" xfId="0" applyFont="1" applyFill="1"/>
    <xf numFmtId="0" fontId="43" fillId="0" borderId="0" xfId="0" applyFont="1" applyFill="1"/>
    <xf numFmtId="0" fontId="43" fillId="0" borderId="0" xfId="0" applyFont="1" applyFill="1" applyAlignment="1">
      <alignment horizontal="right"/>
    </xf>
    <xf numFmtId="0" fontId="43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7" fillId="0" borderId="12" xfId="0" applyNumberFormat="1" applyFont="1" applyBorder="1" applyAlignment="1">
      <alignment horizontal="center"/>
    </xf>
    <xf numFmtId="0" fontId="24" fillId="25" borderId="0" xfId="0" applyFont="1" applyFill="1"/>
    <xf numFmtId="0" fontId="13" fillId="0" borderId="0" xfId="0" applyFont="1"/>
    <xf numFmtId="0" fontId="24" fillId="25" borderId="5" xfId="0" applyFont="1" applyFill="1" applyBorder="1"/>
    <xf numFmtId="0" fontId="24" fillId="25" borderId="5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47" xfId="0" applyFont="1" applyFill="1" applyBorder="1" applyAlignment="1">
      <alignment horizontal="left"/>
    </xf>
    <xf numFmtId="0" fontId="57" fillId="0" borderId="0" xfId="0" quotePrefix="1" applyFont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25" fillId="0" borderId="0" xfId="0" applyFont="1" applyFill="1"/>
    <xf numFmtId="0" fontId="41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1" fillId="15" borderId="31" xfId="0" applyFont="1" applyFill="1" applyBorder="1" applyAlignment="1">
      <alignment horizontal="right"/>
    </xf>
    <xf numFmtId="0" fontId="31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1" fillId="0" borderId="5" xfId="0" applyNumberFormat="1" applyFont="1" applyBorder="1" applyAlignment="1">
      <alignment horizontal="center"/>
    </xf>
    <xf numFmtId="0" fontId="32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5" fillId="0" borderId="8" xfId="0" applyFont="1" applyBorder="1" applyAlignment="1">
      <alignment horizontal="right"/>
    </xf>
    <xf numFmtId="0" fontId="65" fillId="0" borderId="9" xfId="0" applyFont="1" applyBorder="1"/>
    <xf numFmtId="0" fontId="19" fillId="0" borderId="7" xfId="0" applyFont="1" applyBorder="1"/>
    <xf numFmtId="0" fontId="66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6" fillId="0" borderId="0" xfId="0" applyFont="1" applyBorder="1"/>
    <xf numFmtId="49" fontId="66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4" fillId="0" borderId="12" xfId="0" applyNumberFormat="1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NumberFormat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2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2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3" fillId="0" borderId="0" xfId="0" applyFont="1" applyBorder="1" applyAlignment="1">
      <alignment horizontal="right"/>
    </xf>
    <xf numFmtId="0" fontId="31" fillId="0" borderId="5" xfId="0" applyFont="1" applyFill="1" applyBorder="1"/>
    <xf numFmtId="0" fontId="41" fillId="0" borderId="5" xfId="0" applyFont="1" applyFill="1" applyBorder="1" applyAlignment="1"/>
    <xf numFmtId="49" fontId="31" fillId="0" borderId="14" xfId="0" applyNumberFormat="1" applyFont="1" applyFill="1" applyBorder="1"/>
    <xf numFmtId="0" fontId="47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4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4" fillId="0" borderId="0" xfId="0" applyFont="1" applyBorder="1"/>
    <xf numFmtId="2" fontId="64" fillId="0" borderId="9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42" fillId="0" borderId="0" xfId="0" applyFont="1" applyBorder="1"/>
    <xf numFmtId="0" fontId="64" fillId="0" borderId="0" xfId="0" applyFont="1"/>
    <xf numFmtId="1" fontId="76" fillId="0" borderId="0" xfId="0" applyNumberFormat="1" applyFont="1" applyBorder="1" applyAlignment="1">
      <alignment horizontal="center"/>
    </xf>
    <xf numFmtId="0" fontId="34" fillId="0" borderId="6" xfId="0" applyFont="1" applyBorder="1"/>
    <xf numFmtId="0" fontId="34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4" fillId="0" borderId="27" xfId="0" applyNumberFormat="1" applyFont="1" applyBorder="1" applyAlignment="1">
      <alignment horizontal="left"/>
    </xf>
    <xf numFmtId="0" fontId="64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4" fillId="0" borderId="26" xfId="0" applyNumberFormat="1" applyFont="1" applyBorder="1"/>
    <xf numFmtId="0" fontId="64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8" fillId="0" borderId="0" xfId="0" applyFont="1" applyAlignment="1">
      <alignment horizontal="right"/>
    </xf>
    <xf numFmtId="0" fontId="67" fillId="0" borderId="7" xfId="0" applyFont="1" applyFill="1" applyBorder="1" applyAlignment="1">
      <alignment horizontal="right"/>
    </xf>
    <xf numFmtId="0" fontId="64" fillId="0" borderId="9" xfId="0" applyFont="1" applyBorder="1" applyAlignment="1">
      <alignment horizontal="left"/>
    </xf>
    <xf numFmtId="2" fontId="79" fillId="0" borderId="0" xfId="0" applyNumberFormat="1" applyFont="1" applyAlignment="1">
      <alignment horizontal="center"/>
    </xf>
    <xf numFmtId="2" fontId="80" fillId="0" borderId="0" xfId="0" applyNumberFormat="1" applyFont="1" applyAlignment="1">
      <alignment horizontal="left"/>
    </xf>
    <xf numFmtId="0" fontId="77" fillId="0" borderId="9" xfId="0" applyFont="1" applyBorder="1" applyAlignment="1">
      <alignment horizontal="center"/>
    </xf>
    <xf numFmtId="0" fontId="77" fillId="0" borderId="12" xfId="0" applyFont="1" applyBorder="1" applyAlignment="1">
      <alignment horizontal="center"/>
    </xf>
    <xf numFmtId="49" fontId="34" fillId="0" borderId="25" xfId="0" applyNumberFormat="1" applyFont="1" applyBorder="1"/>
    <xf numFmtId="49" fontId="34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1" fillId="0" borderId="0" xfId="0" applyFont="1" applyBorder="1" applyAlignment="1">
      <alignment horizontal="center"/>
    </xf>
    <xf numFmtId="0" fontId="81" fillId="0" borderId="8" xfId="0" applyFont="1" applyBorder="1"/>
    <xf numFmtId="0" fontId="81" fillId="0" borderId="0" xfId="0" applyFont="1"/>
    <xf numFmtId="0" fontId="81" fillId="0" borderId="0" xfId="0" applyFont="1" applyBorder="1"/>
    <xf numFmtId="49" fontId="81" fillId="0" borderId="0" xfId="0" applyNumberFormat="1" applyFont="1" applyBorder="1" applyAlignment="1">
      <alignment horizontal="left"/>
    </xf>
    <xf numFmtId="0" fontId="81" fillId="0" borderId="8" xfId="0" applyFont="1" applyFill="1" applyBorder="1" applyAlignment="1">
      <alignment horizontal="left"/>
    </xf>
    <xf numFmtId="0" fontId="81" fillId="0" borderId="19" xfId="0" applyFont="1" applyBorder="1" applyAlignment="1">
      <alignment horizontal="left"/>
    </xf>
    <xf numFmtId="0" fontId="77" fillId="0" borderId="9" xfId="0" applyNumberFormat="1" applyFont="1" applyBorder="1" applyAlignment="1">
      <alignment horizontal="center"/>
    </xf>
    <xf numFmtId="0" fontId="64" fillId="0" borderId="0" xfId="0" applyNumberFormat="1" applyFont="1" applyAlignment="1">
      <alignment horizontal="center"/>
    </xf>
    <xf numFmtId="0" fontId="45" fillId="0" borderId="0" xfId="0" applyNumberFormat="1" applyFont="1" applyBorder="1" applyAlignment="1">
      <alignment horizontal="center"/>
    </xf>
    <xf numFmtId="0" fontId="81" fillId="0" borderId="8" xfId="0" applyFont="1" applyBorder="1" applyAlignment="1">
      <alignment horizontal="left"/>
    </xf>
    <xf numFmtId="0" fontId="75" fillId="20" borderId="8" xfId="0" applyFont="1" applyFill="1" applyBorder="1" applyAlignment="1">
      <alignment horizontal="left"/>
    </xf>
    <xf numFmtId="0" fontId="82" fillId="20" borderId="0" xfId="0" applyFont="1" applyFill="1" applyBorder="1"/>
    <xf numFmtId="0" fontId="75" fillId="20" borderId="0" xfId="0" applyFont="1" applyFill="1" applyBorder="1"/>
    <xf numFmtId="0" fontId="75" fillId="20" borderId="12" xfId="0" applyFont="1" applyFill="1" applyBorder="1"/>
    <xf numFmtId="2" fontId="82" fillId="20" borderId="0" xfId="0" applyNumberFormat="1" applyFont="1" applyFill="1" applyBorder="1"/>
    <xf numFmtId="0" fontId="75" fillId="20" borderId="19" xfId="0" applyFont="1" applyFill="1" applyBorder="1"/>
    <xf numFmtId="0" fontId="83" fillId="20" borderId="10" xfId="0" applyFont="1" applyFill="1" applyBorder="1" applyAlignment="1">
      <alignment horizontal="left"/>
    </xf>
    <xf numFmtId="0" fontId="84" fillId="20" borderId="8" xfId="0" applyFont="1" applyFill="1" applyBorder="1" applyAlignment="1">
      <alignment horizontal="left"/>
    </xf>
    <xf numFmtId="0" fontId="84" fillId="20" borderId="9" xfId="0" applyFont="1" applyFill="1" applyBorder="1" applyAlignment="1">
      <alignment horizontal="left"/>
    </xf>
    <xf numFmtId="0" fontId="83" fillId="2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/>
    <xf numFmtId="0" fontId="84" fillId="0" borderId="13" xfId="0" applyFont="1" applyFill="1" applyBorder="1"/>
    <xf numFmtId="0" fontId="84" fillId="20" borderId="0" xfId="0" applyFont="1" applyFill="1" applyBorder="1"/>
    <xf numFmtId="0" fontId="84" fillId="20" borderId="12" xfId="0" applyFont="1" applyFill="1" applyBorder="1" applyAlignment="1">
      <alignment horizontal="right"/>
    </xf>
    <xf numFmtId="2" fontId="84" fillId="20" borderId="12" xfId="0" applyNumberFormat="1" applyFont="1" applyFill="1" applyBorder="1" applyAlignment="1">
      <alignment horizontal="right"/>
    </xf>
    <xf numFmtId="0" fontId="84" fillId="20" borderId="13" xfId="0" applyFont="1" applyFill="1" applyBorder="1"/>
    <xf numFmtId="0" fontId="84" fillId="20" borderId="12" xfId="0" applyFont="1" applyFill="1" applyBorder="1"/>
    <xf numFmtId="2" fontId="85" fillId="13" borderId="13" xfId="0" applyNumberFormat="1" applyFont="1" applyFill="1" applyBorder="1"/>
    <xf numFmtId="2" fontId="85" fillId="20" borderId="0" xfId="0" applyNumberFormat="1" applyFont="1" applyFill="1" applyBorder="1"/>
    <xf numFmtId="2" fontId="85" fillId="20" borderId="12" xfId="0" applyNumberFormat="1" applyFont="1" applyFill="1" applyBorder="1"/>
    <xf numFmtId="0" fontId="39" fillId="20" borderId="7" xfId="0" applyFont="1" applyFill="1" applyBorder="1"/>
    <xf numFmtId="0" fontId="39" fillId="20" borderId="0" xfId="0" applyFont="1" applyFill="1" applyBorder="1"/>
    <xf numFmtId="0" fontId="84" fillId="20" borderId="12" xfId="0" applyFont="1" applyFill="1" applyBorder="1" applyAlignment="1">
      <alignment horizontal="left"/>
    </xf>
    <xf numFmtId="0" fontId="84" fillId="20" borderId="7" xfId="0" applyFont="1" applyFill="1" applyBorder="1"/>
    <xf numFmtId="49" fontId="84" fillId="20" borderId="7" xfId="0" applyNumberFormat="1" applyFont="1" applyFill="1" applyBorder="1" applyAlignment="1">
      <alignment horizontal="left"/>
    </xf>
    <xf numFmtId="0" fontId="39" fillId="20" borderId="12" xfId="0" applyFont="1" applyFill="1" applyBorder="1"/>
    <xf numFmtId="0" fontId="84" fillId="20" borderId="7" xfId="0" applyFont="1" applyFill="1" applyBorder="1" applyAlignment="1">
      <alignment horizontal="left"/>
    </xf>
    <xf numFmtId="0" fontId="39" fillId="20" borderId="19" xfId="0" applyFont="1" applyFill="1" applyBorder="1"/>
    <xf numFmtId="0" fontId="34" fillId="0" borderId="27" xfId="0" applyFont="1" applyBorder="1"/>
    <xf numFmtId="0" fontId="6" fillId="0" borderId="8" xfId="0" applyFont="1" applyBorder="1" applyAlignment="1">
      <alignment horizontal="left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4" fillId="0" borderId="0" xfId="0" applyFont="1" applyFill="1" applyBorder="1" applyAlignment="1">
      <alignment horizontal="center"/>
    </xf>
    <xf numFmtId="0" fontId="75" fillId="20" borderId="25" xfId="0" applyFont="1" applyFill="1" applyBorder="1"/>
    <xf numFmtId="2" fontId="82" fillId="20" borderId="26" xfId="0" applyNumberFormat="1" applyFont="1" applyFill="1" applyBorder="1"/>
    <xf numFmtId="0" fontId="84" fillId="20" borderId="27" xfId="0" applyFont="1" applyFill="1" applyBorder="1" applyAlignment="1">
      <alignment horizontal="left"/>
    </xf>
    <xf numFmtId="0" fontId="85" fillId="20" borderId="25" xfId="0" applyFont="1" applyFill="1" applyBorder="1"/>
    <xf numFmtId="0" fontId="84" fillId="20" borderId="25" xfId="0" applyFont="1" applyFill="1" applyBorder="1" applyAlignment="1">
      <alignment horizontal="right"/>
    </xf>
    <xf numFmtId="2" fontId="84" fillId="20" borderId="25" xfId="0" applyNumberFormat="1" applyFont="1" applyFill="1" applyBorder="1" applyAlignment="1">
      <alignment horizontal="right"/>
    </xf>
    <xf numFmtId="0" fontId="84" fillId="20" borderId="25" xfId="0" applyFont="1" applyFill="1" applyBorder="1"/>
    <xf numFmtId="2" fontId="85" fillId="20" borderId="26" xfId="0" applyNumberFormat="1" applyFont="1" applyFill="1" applyBorder="1"/>
    <xf numFmtId="0" fontId="39" fillId="20" borderId="27" xfId="0" applyFont="1" applyFill="1" applyBorder="1"/>
    <xf numFmtId="0" fontId="84" fillId="20" borderId="25" xfId="0" applyFont="1" applyFill="1" applyBorder="1" applyAlignment="1">
      <alignment horizontal="left"/>
    </xf>
    <xf numFmtId="0" fontId="39" fillId="20" borderId="25" xfId="0" applyFont="1" applyFill="1" applyBorder="1"/>
    <xf numFmtId="0" fontId="39" fillId="20" borderId="26" xfId="0" applyFont="1" applyFill="1" applyBorder="1"/>
    <xf numFmtId="0" fontId="39" fillId="30" borderId="15" xfId="0" applyFont="1" applyFill="1" applyBorder="1"/>
    <xf numFmtId="0" fontId="0" fillId="30" borderId="8" xfId="0" applyFill="1" applyBorder="1"/>
    <xf numFmtId="0" fontId="84" fillId="30" borderId="7" xfId="0" applyFont="1" applyFill="1" applyBorder="1" applyAlignment="1">
      <alignment horizontal="left"/>
    </xf>
    <xf numFmtId="0" fontId="0" fillId="30" borderId="0" xfId="0" applyFill="1" applyBorder="1"/>
    <xf numFmtId="0" fontId="82" fillId="30" borderId="12" xfId="0" applyFont="1" applyFill="1" applyBorder="1"/>
    <xf numFmtId="0" fontId="75" fillId="30" borderId="12" xfId="0" applyFont="1" applyFill="1" applyBorder="1"/>
    <xf numFmtId="0" fontId="84" fillId="30" borderId="7" xfId="0" applyFont="1" applyFill="1" applyBorder="1" applyAlignment="1">
      <alignment horizontal="right"/>
    </xf>
    <xf numFmtId="0" fontId="39" fillId="30" borderId="7" xfId="0" applyFont="1" applyFill="1" applyBorder="1"/>
    <xf numFmtId="0" fontId="0" fillId="30" borderId="7" xfId="0" applyFill="1" applyBorder="1"/>
    <xf numFmtId="2" fontId="82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3" fillId="0" borderId="8" xfId="0" applyFont="1" applyBorder="1" applyAlignment="1">
      <alignment horizontal="right"/>
    </xf>
    <xf numFmtId="49" fontId="86" fillId="0" borderId="0" xfId="0" applyNumberFormat="1" applyFont="1" applyBorder="1" applyAlignment="1">
      <alignment horizontal="righ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7" fillId="0" borderId="0" xfId="0" applyFont="1" applyBorder="1" applyAlignment="1">
      <alignment vertical="center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6" fillId="0" borderId="8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86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1" fillId="0" borderId="0" xfId="0" applyNumberFormat="1" applyFont="1" applyBorder="1" applyAlignment="1">
      <alignment horizontal="right"/>
    </xf>
    <xf numFmtId="0" fontId="31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6" fillId="0" borderId="0" xfId="0" quotePrefix="1" applyNumberFormat="1" applyFont="1" applyBorder="1" applyAlignment="1">
      <alignment horizontal="right"/>
    </xf>
    <xf numFmtId="0" fontId="86" fillId="0" borderId="0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89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2" fillId="0" borderId="7" xfId="0" applyFont="1" applyBorder="1"/>
    <xf numFmtId="0" fontId="72" fillId="0" borderId="8" xfId="0" applyFont="1" applyBorder="1"/>
    <xf numFmtId="0" fontId="72" fillId="0" borderId="0" xfId="0" applyFont="1"/>
    <xf numFmtId="0" fontId="90" fillId="0" borderId="9" xfId="0" applyFont="1" applyBorder="1"/>
    <xf numFmtId="0" fontId="72" fillId="0" borderId="12" xfId="0" applyFont="1" applyBorder="1"/>
    <xf numFmtId="0" fontId="28" fillId="0" borderId="0" xfId="0" applyFont="1" applyBorder="1"/>
    <xf numFmtId="49" fontId="72" fillId="0" borderId="0" xfId="0" applyNumberFormat="1" applyFont="1" applyBorder="1" applyAlignment="1">
      <alignment horizontal="left"/>
    </xf>
    <xf numFmtId="0" fontId="72" fillId="0" borderId="15" xfId="0" applyFont="1" applyBorder="1"/>
    <xf numFmtId="0" fontId="72" fillId="0" borderId="9" xfId="0" applyFont="1" applyBorder="1"/>
    <xf numFmtId="0" fontId="28" fillId="0" borderId="0" xfId="0" applyFont="1" applyBorder="1" applyAlignment="1">
      <alignment horizontal="left"/>
    </xf>
    <xf numFmtId="2" fontId="72" fillId="0" borderId="12" xfId="0" applyNumberFormat="1" applyFont="1" applyBorder="1" applyAlignment="1">
      <alignment horizontal="center"/>
    </xf>
    <xf numFmtId="0" fontId="72" fillId="0" borderId="0" xfId="0" applyNumberFormat="1" applyFont="1" applyBorder="1" applyAlignment="1">
      <alignment horizontal="right"/>
    </xf>
    <xf numFmtId="165" fontId="72" fillId="0" borderId="0" xfId="0" applyNumberFormat="1" applyFont="1" applyBorder="1" applyAlignment="1">
      <alignment horizontal="left"/>
    </xf>
    <xf numFmtId="0" fontId="91" fillId="0" borderId="0" xfId="0" applyNumberFormat="1" applyFont="1" applyBorder="1" applyAlignment="1">
      <alignment horizontal="right"/>
    </xf>
    <xf numFmtId="0" fontId="72" fillId="0" borderId="0" xfId="0" applyFont="1" applyBorder="1" applyAlignment="1">
      <alignment horizontal="left"/>
    </xf>
    <xf numFmtId="0" fontId="72" fillId="0" borderId="0" xfId="0" applyFont="1" applyFill="1" applyBorder="1"/>
    <xf numFmtId="0" fontId="72" fillId="0" borderId="12" xfId="0" applyFont="1" applyBorder="1" applyAlignment="1">
      <alignment horizontal="center"/>
    </xf>
    <xf numFmtId="0" fontId="72" fillId="0" borderId="0" xfId="0" applyFont="1" applyBorder="1" applyAlignment="1">
      <alignment horizontal="right"/>
    </xf>
    <xf numFmtId="0" fontId="72" fillId="0" borderId="18" xfId="0" applyFont="1" applyBorder="1"/>
    <xf numFmtId="0" fontId="72" fillId="0" borderId="19" xfId="0" applyFont="1" applyBorder="1"/>
    <xf numFmtId="0" fontId="72" fillId="0" borderId="19" xfId="0" applyFont="1" applyBorder="1" applyAlignment="1">
      <alignment horizontal="right"/>
    </xf>
    <xf numFmtId="0" fontId="72" fillId="0" borderId="20" xfId="0" applyFont="1" applyBorder="1" applyAlignment="1">
      <alignment horizontal="center"/>
    </xf>
    <xf numFmtId="0" fontId="72" fillId="0" borderId="0" xfId="0" applyFont="1" applyBorder="1" applyAlignment="1">
      <alignment horizontal="center"/>
    </xf>
    <xf numFmtId="49" fontId="72" fillId="0" borderId="0" xfId="0" applyNumberFormat="1" applyFont="1" applyBorder="1"/>
    <xf numFmtId="49" fontId="72" fillId="0" borderId="12" xfId="0" applyNumberFormat="1" applyFont="1" applyBorder="1"/>
    <xf numFmtId="49" fontId="30" fillId="0" borderId="12" xfId="0" applyNumberFormat="1" applyFont="1" applyBorder="1"/>
    <xf numFmtId="1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left"/>
    </xf>
    <xf numFmtId="0" fontId="89" fillId="0" borderId="0" xfId="0" applyFont="1" applyBorder="1" applyAlignment="1">
      <alignment horizontal="left"/>
    </xf>
    <xf numFmtId="0" fontId="30" fillId="0" borderId="0" xfId="0" applyFont="1" applyBorder="1"/>
    <xf numFmtId="0" fontId="30" fillId="0" borderId="0" xfId="0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1" fontId="30" fillId="0" borderId="0" xfId="0" applyNumberFormat="1" applyFont="1" applyBorder="1" applyAlignment="1">
      <alignment horizontal="center"/>
    </xf>
    <xf numFmtId="1" fontId="30" fillId="0" borderId="0" xfId="0" applyNumberFormat="1" applyFont="1" applyBorder="1"/>
    <xf numFmtId="0" fontId="28" fillId="0" borderId="0" xfId="0" applyFont="1" applyBorder="1" applyAlignment="1">
      <alignment horizontal="right"/>
    </xf>
    <xf numFmtId="10" fontId="72" fillId="0" borderId="0" xfId="0" applyNumberFormat="1" applyFont="1" applyBorder="1" applyAlignment="1">
      <alignment horizontal="left"/>
    </xf>
    <xf numFmtId="0" fontId="72" fillId="0" borderId="2" xfId="0" applyFont="1" applyBorder="1"/>
    <xf numFmtId="0" fontId="72" fillId="0" borderId="4" xfId="0" applyFont="1" applyBorder="1"/>
    <xf numFmtId="0" fontId="72" fillId="0" borderId="3" xfId="0" applyFont="1" applyBorder="1"/>
    <xf numFmtId="0" fontId="72" fillId="0" borderId="19" xfId="0" applyFont="1" applyBorder="1" applyAlignment="1">
      <alignment horizontal="left"/>
    </xf>
    <xf numFmtId="0" fontId="72" fillId="0" borderId="20" xfId="0" applyFont="1" applyBorder="1"/>
    <xf numFmtId="0" fontId="28" fillId="0" borderId="27" xfId="0" applyFont="1" applyBorder="1" applyAlignment="1">
      <alignment horizontal="center"/>
    </xf>
    <xf numFmtId="0" fontId="28" fillId="0" borderId="27" xfId="0" applyFont="1" applyFill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70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5" fillId="0" borderId="7" xfId="0" applyFont="1" applyBorder="1"/>
    <xf numFmtId="0" fontId="35" fillId="0" borderId="12" xfId="0" applyFont="1" applyBorder="1"/>
    <xf numFmtId="0" fontId="35" fillId="0" borderId="0" xfId="0" applyFont="1" applyBorder="1" applyAlignment="1">
      <alignment horizontal="center"/>
    </xf>
    <xf numFmtId="0" fontId="35" fillId="0" borderId="0" xfId="0" applyFont="1" applyBorder="1"/>
    <xf numFmtId="0" fontId="36" fillId="0" borderId="7" xfId="0" applyFont="1" applyBorder="1"/>
    <xf numFmtId="0" fontId="90" fillId="0" borderId="0" xfId="0" applyFont="1" applyBorder="1"/>
    <xf numFmtId="49" fontId="36" fillId="0" borderId="0" xfId="0" applyNumberFormat="1" applyFont="1" applyBorder="1"/>
    <xf numFmtId="0" fontId="90" fillId="0" borderId="0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4" fillId="0" borderId="0" xfId="0" applyFont="1" applyBorder="1"/>
    <xf numFmtId="0" fontId="90" fillId="0" borderId="0" xfId="0" applyFont="1" applyFill="1" applyBorder="1" applyAlignment="1">
      <alignment horizontal="left"/>
    </xf>
    <xf numFmtId="0" fontId="36" fillId="0" borderId="0" xfId="0" applyFont="1" applyBorder="1" applyAlignment="1">
      <alignment horizontal="center"/>
    </xf>
    <xf numFmtId="0" fontId="28" fillId="0" borderId="5" xfId="0" applyFont="1" applyBorder="1"/>
    <xf numFmtId="0" fontId="30" fillId="0" borderId="5" xfId="0" applyFont="1" applyBorder="1" applyAlignment="1">
      <alignment horizontal="center"/>
    </xf>
    <xf numFmtId="0" fontId="90" fillId="0" borderId="5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6" fillId="0" borderId="0" xfId="0" applyFont="1" applyBorder="1" applyAlignment="1"/>
    <xf numFmtId="1" fontId="36" fillId="0" borderId="5" xfId="0" applyNumberFormat="1" applyFont="1" applyBorder="1" applyAlignment="1">
      <alignment horizontal="center"/>
    </xf>
    <xf numFmtId="0" fontId="96" fillId="0" borderId="0" xfId="0" applyFont="1" applyBorder="1" applyAlignment="1">
      <alignment horizontal="center"/>
    </xf>
    <xf numFmtId="0" fontId="35" fillId="0" borderId="5" xfId="0" applyFont="1" applyFill="1" applyBorder="1"/>
    <xf numFmtId="1" fontId="90" fillId="0" borderId="5" xfId="0" applyNumberFormat="1" applyFont="1" applyBorder="1" applyAlignment="1">
      <alignment horizontal="center"/>
    </xf>
    <xf numFmtId="49" fontId="35" fillId="0" borderId="0" xfId="0" applyNumberFormat="1" applyFont="1" applyBorder="1"/>
    <xf numFmtId="1" fontId="36" fillId="0" borderId="0" xfId="0" applyNumberFormat="1" applyFont="1" applyBorder="1" applyAlignment="1">
      <alignment horizontal="center"/>
    </xf>
    <xf numFmtId="167" fontId="36" fillId="0" borderId="0" xfId="3" applyNumberFormat="1" applyFont="1" applyBorder="1" applyAlignment="1"/>
    <xf numFmtId="167" fontId="36" fillId="0" borderId="0" xfId="0" applyNumberFormat="1" applyFont="1" applyBorder="1" applyAlignment="1"/>
    <xf numFmtId="167" fontId="36" fillId="0" borderId="0" xfId="0" applyNumberFormat="1" applyFont="1" applyBorder="1"/>
    <xf numFmtId="0" fontId="97" fillId="0" borderId="0" xfId="0" applyFont="1" applyBorder="1" applyAlignment="1">
      <alignment horizontal="center"/>
    </xf>
    <xf numFmtId="0" fontId="36" fillId="0" borderId="0" xfId="0" applyFont="1" applyBorder="1"/>
    <xf numFmtId="1" fontId="64" fillId="0" borderId="5" xfId="0" applyNumberFormat="1" applyFont="1" applyBorder="1" applyAlignment="1">
      <alignment horizontal="center"/>
    </xf>
    <xf numFmtId="1" fontId="36" fillId="0" borderId="14" xfId="0" applyNumberFormat="1" applyFont="1" applyBorder="1" applyAlignment="1">
      <alignment horizontal="center"/>
    </xf>
    <xf numFmtId="165" fontId="64" fillId="0" borderId="5" xfId="0" applyNumberFormat="1" applyFont="1" applyBorder="1" applyAlignment="1">
      <alignment horizontal="center"/>
    </xf>
    <xf numFmtId="0" fontId="64" fillId="0" borderId="5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14" fontId="35" fillId="0" borderId="14" xfId="0" applyNumberFormat="1" applyFont="1" applyBorder="1"/>
    <xf numFmtId="0" fontId="35" fillId="0" borderId="14" xfId="0" applyFont="1" applyBorder="1"/>
    <xf numFmtId="0" fontId="35" fillId="0" borderId="23" xfId="0" applyFont="1" applyBorder="1"/>
    <xf numFmtId="14" fontId="35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2" fillId="0" borderId="5" xfId="0" applyFont="1" applyBorder="1" applyAlignment="1">
      <alignment horizontal="center"/>
    </xf>
    <xf numFmtId="0" fontId="103" fillId="0" borderId="0" xfId="0" applyFont="1"/>
    <xf numFmtId="1" fontId="104" fillId="0" borderId="5" xfId="0" applyNumberFormat="1" applyFont="1" applyBorder="1" applyAlignment="1">
      <alignment horizontal="center"/>
    </xf>
    <xf numFmtId="0" fontId="105" fillId="16" borderId="38" xfId="0" applyFont="1" applyFill="1" applyBorder="1"/>
    <xf numFmtId="0" fontId="105" fillId="0" borderId="14" xfId="0" applyFont="1" applyBorder="1"/>
    <xf numFmtId="0" fontId="105" fillId="0" borderId="17" xfId="0" applyFont="1" applyBorder="1"/>
    <xf numFmtId="2" fontId="106" fillId="0" borderId="11" xfId="0" applyNumberFormat="1" applyFont="1" applyBorder="1"/>
    <xf numFmtId="2" fontId="106" fillId="0" borderId="14" xfId="0" applyNumberFormat="1" applyFont="1" applyBorder="1"/>
    <xf numFmtId="0" fontId="27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7" fillId="0" borderId="0" xfId="2" applyFont="1"/>
    <xf numFmtId="0" fontId="0" fillId="0" borderId="54" xfId="0" applyBorder="1"/>
    <xf numFmtId="0" fontId="105" fillId="0" borderId="2" xfId="0" applyFont="1" applyBorder="1"/>
    <xf numFmtId="0" fontId="56" fillId="0" borderId="4" xfId="0" applyFont="1" applyBorder="1"/>
    <xf numFmtId="0" fontId="86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0" fillId="0" borderId="0" xfId="2" applyNumberFormat="1"/>
    <xf numFmtId="0" fontId="24" fillId="13" borderId="12" xfId="0" applyFont="1" applyFill="1" applyBorder="1"/>
    <xf numFmtId="0" fontId="24" fillId="13" borderId="0" xfId="0" applyFont="1" applyFill="1" applyBorder="1"/>
    <xf numFmtId="0" fontId="24" fillId="5" borderId="8" xfId="0" applyFont="1" applyFill="1" applyBorder="1"/>
    <xf numFmtId="0" fontId="24" fillId="5" borderId="12" xfId="0" applyFont="1" applyFill="1" applyBorder="1"/>
    <xf numFmtId="0" fontId="24" fillId="5" borderId="19" xfId="0" applyFont="1" applyFill="1" applyBorder="1"/>
    <xf numFmtId="0" fontId="24" fillId="13" borderId="0" xfId="0" applyFont="1" applyFill="1" applyBorder="1" applyAlignment="1"/>
    <xf numFmtId="0" fontId="48" fillId="5" borderId="0" xfId="0" applyFont="1" applyFill="1" applyBorder="1"/>
    <xf numFmtId="0" fontId="24" fillId="13" borderId="19" xfId="0" applyFont="1" applyFill="1" applyBorder="1"/>
    <xf numFmtId="0" fontId="24" fillId="5" borderId="20" xfId="0" applyFont="1" applyFill="1" applyBorder="1"/>
    <xf numFmtId="0" fontId="24" fillId="21" borderId="8" xfId="0" applyFont="1" applyFill="1" applyBorder="1"/>
    <xf numFmtId="0" fontId="24" fillId="21" borderId="9" xfId="0" applyFont="1" applyFill="1" applyBorder="1"/>
    <xf numFmtId="0" fontId="24" fillId="21" borderId="7" xfId="0" applyFont="1" applyFill="1" applyBorder="1"/>
    <xf numFmtId="0" fontId="24" fillId="21" borderId="0" xfId="0" applyFont="1" applyFill="1" applyBorder="1" applyAlignment="1">
      <alignment horizontal="right"/>
    </xf>
    <xf numFmtId="0" fontId="24" fillId="21" borderId="0" xfId="0" applyFont="1" applyFill="1" applyBorder="1"/>
    <xf numFmtId="0" fontId="24" fillId="21" borderId="12" xfId="0" applyFont="1" applyFill="1" applyBorder="1"/>
    <xf numFmtId="0" fontId="24" fillId="21" borderId="18" xfId="0" applyFont="1" applyFill="1" applyBorder="1"/>
    <xf numFmtId="0" fontId="24" fillId="21" borderId="19" xfId="0" applyFont="1" applyFill="1" applyBorder="1"/>
    <xf numFmtId="0" fontId="24" fillId="21" borderId="20" xfId="0" applyFont="1" applyFill="1" applyBorder="1"/>
    <xf numFmtId="0" fontId="24" fillId="13" borderId="12" xfId="0" applyFont="1" applyFill="1" applyBorder="1" applyAlignment="1"/>
    <xf numFmtId="0" fontId="24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8" fillId="0" borderId="0" xfId="0" applyFont="1" applyFill="1" applyBorder="1" applyAlignment="1">
      <alignment horizontal="right"/>
    </xf>
    <xf numFmtId="0" fontId="72" fillId="0" borderId="0" xfId="0" applyNumberFormat="1" applyFont="1" applyBorder="1" applyAlignment="1">
      <alignment horizontal="left"/>
    </xf>
    <xf numFmtId="0" fontId="72" fillId="0" borderId="0" xfId="0" applyFont="1" applyAlignment="1">
      <alignment horizontal="left"/>
    </xf>
    <xf numFmtId="0" fontId="72" fillId="0" borderId="19" xfId="0" applyNumberFormat="1" applyFont="1" applyBorder="1" applyAlignment="1">
      <alignment horizontal="right"/>
    </xf>
    <xf numFmtId="0" fontId="72" fillId="0" borderId="8" xfId="0" applyFont="1" applyBorder="1" applyAlignment="1">
      <alignment horizontal="left"/>
    </xf>
    <xf numFmtId="49" fontId="72" fillId="0" borderId="8" xfId="0" applyNumberFormat="1" applyFont="1" applyBorder="1"/>
    <xf numFmtId="49" fontId="72" fillId="0" borderId="9" xfId="0" applyNumberFormat="1" applyFont="1" applyBorder="1"/>
    <xf numFmtId="0" fontId="28" fillId="0" borderId="0" xfId="0" applyFont="1" applyBorder="1" applyAlignment="1">
      <alignment horizontal="left" vertical="center"/>
    </xf>
    <xf numFmtId="0" fontId="95" fillId="0" borderId="0" xfId="0" applyFont="1" applyBorder="1" applyAlignment="1">
      <alignment horizontal="left"/>
    </xf>
    <xf numFmtId="49" fontId="110" fillId="0" borderId="0" xfId="0" applyNumberFormat="1" applyFont="1" applyBorder="1" applyAlignment="1">
      <alignment horizontal="right"/>
    </xf>
    <xf numFmtId="0" fontId="110" fillId="0" borderId="0" xfId="0" applyFont="1" applyBorder="1" applyAlignment="1">
      <alignment horizontal="left"/>
    </xf>
    <xf numFmtId="0" fontId="30" fillId="0" borderId="19" xfId="0" applyNumberFormat="1" applyFont="1" applyBorder="1" applyAlignment="1">
      <alignment horizontal="left"/>
    </xf>
    <xf numFmtId="49" fontId="30" fillId="0" borderId="19" xfId="0" applyNumberFormat="1" applyFont="1" applyBorder="1" applyAlignment="1">
      <alignment horizontal="left"/>
    </xf>
    <xf numFmtId="49" fontId="30" fillId="0" borderId="20" xfId="0" applyNumberFormat="1" applyFont="1" applyBorder="1"/>
    <xf numFmtId="49" fontId="28" fillId="0" borderId="12" xfId="0" applyNumberFormat="1" applyFont="1" applyBorder="1"/>
    <xf numFmtId="0" fontId="72" fillId="0" borderId="0" xfId="0" applyFont="1" applyFill="1" applyAlignment="1">
      <alignment horizontal="left"/>
    </xf>
    <xf numFmtId="0" fontId="72" fillId="5" borderId="0" xfId="0" applyFont="1" applyFill="1" applyBorder="1"/>
    <xf numFmtId="0" fontId="111" fillId="0" borderId="0" xfId="2" applyFont="1" applyFill="1" applyAlignment="1">
      <alignment horizontal="left"/>
    </xf>
    <xf numFmtId="49" fontId="30" fillId="0" borderId="8" xfId="0" applyNumberFormat="1" applyFont="1" applyBorder="1" applyAlignment="1">
      <alignment horizontal="right"/>
    </xf>
    <xf numFmtId="49" fontId="30" fillId="0" borderId="9" xfId="0" applyNumberFormat="1" applyFont="1" applyBorder="1"/>
    <xf numFmtId="0" fontId="30" fillId="0" borderId="0" xfId="0" applyNumberFormat="1" applyFont="1" applyBorder="1" applyAlignment="1">
      <alignment horizontal="left"/>
    </xf>
    <xf numFmtId="0" fontId="112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4" fillId="18" borderId="38" xfId="0" applyFont="1" applyFill="1" applyBorder="1"/>
    <xf numFmtId="168" fontId="64" fillId="0" borderId="39" xfId="0" applyNumberFormat="1" applyFont="1" applyBorder="1"/>
    <xf numFmtId="2" fontId="106" fillId="0" borderId="17" xfId="0" applyNumberFormat="1" applyFont="1" applyBorder="1"/>
    <xf numFmtId="0" fontId="24" fillId="0" borderId="7" xfId="0" applyFont="1" applyFill="1" applyBorder="1"/>
    <xf numFmtId="0" fontId="24" fillId="0" borderId="18" xfId="0" applyFont="1" applyFill="1" applyBorder="1"/>
    <xf numFmtId="0" fontId="24" fillId="0" borderId="19" xfId="0" applyFont="1" applyFill="1" applyBorder="1"/>
    <xf numFmtId="0" fontId="24" fillId="13" borderId="15" xfId="0" applyFont="1" applyFill="1" applyBorder="1"/>
    <xf numFmtId="0" fontId="24" fillId="25" borderId="8" xfId="0" applyFont="1" applyFill="1" applyBorder="1"/>
    <xf numFmtId="0" fontId="24" fillId="12" borderId="8" xfId="0" applyFont="1" applyFill="1" applyBorder="1"/>
    <xf numFmtId="0" fontId="24" fillId="13" borderId="7" xfId="0" applyFont="1" applyFill="1" applyBorder="1"/>
    <xf numFmtId="0" fontId="24" fillId="25" borderId="0" xfId="0" applyFont="1" applyFill="1" applyBorder="1"/>
    <xf numFmtId="0" fontId="24" fillId="12" borderId="0" xfId="0" applyFont="1" applyFill="1" applyBorder="1"/>
    <xf numFmtId="0" fontId="24" fillId="25" borderId="12" xfId="0" applyFont="1" applyFill="1" applyBorder="1"/>
    <xf numFmtId="0" fontId="24" fillId="25" borderId="19" xfId="0" applyFont="1" applyFill="1" applyBorder="1"/>
    <xf numFmtId="0" fontId="24" fillId="12" borderId="19" xfId="0" applyFont="1" applyFill="1" applyBorder="1"/>
    <xf numFmtId="0" fontId="24" fillId="25" borderId="20" xfId="0" applyFont="1" applyFill="1" applyBorder="1"/>
    <xf numFmtId="0" fontId="24" fillId="13" borderId="8" xfId="0" applyFont="1" applyFill="1" applyBorder="1"/>
    <xf numFmtId="0" fontId="24" fillId="8" borderId="0" xfId="0" applyFont="1" applyFill="1" applyBorder="1"/>
    <xf numFmtId="0" fontId="24" fillId="0" borderId="12" xfId="0" applyFont="1" applyFill="1" applyBorder="1"/>
    <xf numFmtId="0" fontId="24" fillId="8" borderId="7" xfId="0" applyFont="1" applyFill="1" applyBorder="1"/>
    <xf numFmtId="0" fontId="24" fillId="0" borderId="8" xfId="0" applyFont="1" applyBorder="1" applyAlignment="1">
      <alignment horizontal="right"/>
    </xf>
    <xf numFmtId="0" fontId="24" fillId="0" borderId="8" xfId="0" applyFont="1" applyBorder="1" applyAlignment="1">
      <alignment horizontal="left"/>
    </xf>
    <xf numFmtId="0" fontId="24" fillId="14" borderId="7" xfId="0" applyFont="1" applyFill="1" applyBorder="1"/>
    <xf numFmtId="0" fontId="24" fillId="14" borderId="0" xfId="0" applyFont="1" applyFill="1" applyBorder="1"/>
    <xf numFmtId="0" fontId="24" fillId="26" borderId="7" xfId="0" applyFont="1" applyFill="1" applyBorder="1"/>
    <xf numFmtId="0" fontId="24" fillId="26" borderId="0" xfId="0" applyFont="1" applyFill="1" applyBorder="1"/>
    <xf numFmtId="0" fontId="72" fillId="26" borderId="0" xfId="0" applyFont="1" applyFill="1" applyBorder="1"/>
    <xf numFmtId="0" fontId="28" fillId="0" borderId="8" xfId="0" applyFont="1" applyFill="1" applyBorder="1"/>
    <xf numFmtId="0" fontId="43" fillId="0" borderId="8" xfId="0" applyFont="1" applyBorder="1"/>
    <xf numFmtId="2" fontId="30" fillId="0" borderId="8" xfId="0" applyNumberFormat="1" applyFont="1" applyFill="1" applyBorder="1"/>
    <xf numFmtId="0" fontId="43" fillId="0" borderId="9" xfId="0" applyFont="1" applyBorder="1"/>
    <xf numFmtId="0" fontId="31" fillId="0" borderId="0" xfId="0" applyFont="1" applyBorder="1"/>
    <xf numFmtId="0" fontId="28" fillId="0" borderId="0" xfId="0" applyFont="1" applyFill="1" applyBorder="1"/>
    <xf numFmtId="0" fontId="43" fillId="0" borderId="0" xfId="0" applyFont="1" applyBorder="1"/>
    <xf numFmtId="0" fontId="43" fillId="0" borderId="12" xfId="0" applyFont="1" applyBorder="1"/>
    <xf numFmtId="0" fontId="31" fillId="0" borderId="15" xfId="0" applyFont="1" applyBorder="1"/>
    <xf numFmtId="0" fontId="31" fillId="0" borderId="7" xfId="0" applyFont="1" applyBorder="1"/>
    <xf numFmtId="0" fontId="113" fillId="0" borderId="18" xfId="0" applyFont="1" applyBorder="1" applyAlignment="1">
      <alignment horizontal="center" vertical="center"/>
    </xf>
    <xf numFmtId="0" fontId="31" fillId="0" borderId="19" xfId="0" applyFont="1" applyBorder="1"/>
    <xf numFmtId="0" fontId="113" fillId="0" borderId="19" xfId="0" applyFont="1" applyBorder="1" applyAlignment="1">
      <alignment horizontal="center" vertical="center"/>
    </xf>
    <xf numFmtId="0" fontId="43" fillId="0" borderId="19" xfId="0" applyFont="1" applyBorder="1"/>
    <xf numFmtId="0" fontId="43" fillId="0" borderId="20" xfId="0" applyFont="1" applyBorder="1"/>
    <xf numFmtId="0" fontId="30" fillId="18" borderId="8" xfId="0" applyNumberFormat="1" applyFont="1" applyFill="1" applyBorder="1"/>
    <xf numFmtId="0" fontId="31" fillId="18" borderId="0" xfId="0" applyFont="1" applyFill="1" applyBorder="1"/>
    <xf numFmtId="0" fontId="43" fillId="31" borderId="0" xfId="0" applyFont="1" applyFill="1" applyBorder="1"/>
    <xf numFmtId="0" fontId="24" fillId="0" borderId="6" xfId="0" applyFont="1" applyBorder="1"/>
    <xf numFmtId="0" fontId="24" fillId="0" borderId="36" xfId="0" applyFont="1" applyBorder="1"/>
    <xf numFmtId="0" fontId="24" fillId="0" borderId="59" xfId="0" applyFont="1" applyBorder="1"/>
    <xf numFmtId="0" fontId="24" fillId="0" borderId="40" xfId="0" applyFont="1" applyBorder="1"/>
    <xf numFmtId="0" fontId="24" fillId="0" borderId="3" xfId="0" applyFont="1" applyBorder="1"/>
    <xf numFmtId="0" fontId="43" fillId="0" borderId="8" xfId="0" applyFont="1" applyFill="1" applyBorder="1"/>
    <xf numFmtId="0" fontId="43" fillId="0" borderId="7" xfId="0" applyFont="1" applyFill="1" applyBorder="1"/>
    <xf numFmtId="0" fontId="48" fillId="0" borderId="18" xfId="0" applyFont="1" applyFill="1" applyBorder="1"/>
    <xf numFmtId="0" fontId="72" fillId="0" borderId="0" xfId="0" applyFont="1" applyFill="1"/>
    <xf numFmtId="0" fontId="72" fillId="0" borderId="0" xfId="0" applyFont="1" applyFill="1" applyBorder="1" applyAlignment="1"/>
    <xf numFmtId="0" fontId="0" fillId="0" borderId="60" xfId="0" applyBorder="1"/>
    <xf numFmtId="0" fontId="56" fillId="29" borderId="7" xfId="0" applyFont="1" applyFill="1" applyBorder="1"/>
    <xf numFmtId="0" fontId="0" fillId="0" borderId="61" xfId="0" applyBorder="1"/>
    <xf numFmtId="0" fontId="56" fillId="29" borderId="13" xfId="0" applyFont="1" applyFill="1" applyBorder="1"/>
    <xf numFmtId="0" fontId="56" fillId="29" borderId="16" xfId="0" applyFont="1" applyFill="1" applyBorder="1"/>
    <xf numFmtId="0" fontId="34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9" fillId="30" borderId="7" xfId="0" applyFont="1" applyFill="1" applyBorder="1"/>
    <xf numFmtId="0" fontId="0" fillId="30" borderId="12" xfId="0" applyFill="1" applyBorder="1" applyAlignment="1">
      <alignment horizontal="right"/>
    </xf>
    <xf numFmtId="0" fontId="64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6" fillId="32" borderId="15" xfId="0" applyFont="1" applyFill="1" applyBorder="1" applyAlignment="1">
      <alignment horizontal="left"/>
    </xf>
    <xf numFmtId="0" fontId="0" fillId="32" borderId="9" xfId="0" applyFill="1" applyBorder="1"/>
    <xf numFmtId="0" fontId="66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8" fillId="0" borderId="0" xfId="0" applyFont="1" applyFill="1"/>
    <xf numFmtId="3" fontId="24" fillId="0" borderId="0" xfId="0" applyNumberFormat="1" applyFont="1" applyBorder="1"/>
    <xf numFmtId="0" fontId="6" fillId="30" borderId="15" xfId="0" applyFont="1" applyFill="1" applyBorder="1"/>
    <xf numFmtId="0" fontId="114" fillId="0" borderId="9" xfId="0" applyFont="1" applyBorder="1"/>
    <xf numFmtId="0" fontId="0" fillId="30" borderId="9" xfId="0" applyFill="1" applyBorder="1"/>
    <xf numFmtId="0" fontId="24" fillId="8" borderId="2" xfId="0" applyFont="1" applyFill="1" applyBorder="1"/>
    <xf numFmtId="0" fontId="24" fillId="8" borderId="3" xfId="0" applyFont="1" applyFill="1" applyBorder="1"/>
    <xf numFmtId="0" fontId="24" fillId="0" borderId="4" xfId="0" applyFont="1" applyBorder="1"/>
    <xf numFmtId="0" fontId="30" fillId="5" borderId="31" xfId="0" applyFont="1" applyFill="1" applyBorder="1"/>
    <xf numFmtId="0" fontId="24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6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6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90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6" fillId="0" borderId="0" xfId="0" applyNumberFormat="1" applyFont="1" applyAlignment="1">
      <alignment horizontal="center"/>
    </xf>
    <xf numFmtId="0" fontId="84" fillId="20" borderId="7" xfId="0" applyNumberFormat="1" applyFont="1" applyFill="1" applyBorder="1" applyAlignment="1">
      <alignment horizontal="left"/>
    </xf>
    <xf numFmtId="0" fontId="39" fillId="20" borderId="7" xfId="0" applyNumberFormat="1" applyFont="1" applyFill="1" applyBorder="1"/>
    <xf numFmtId="0" fontId="84" fillId="20" borderId="7" xfId="0" applyNumberFormat="1" applyFont="1" applyFill="1" applyBorder="1"/>
    <xf numFmtId="0" fontId="84" fillId="20" borderId="7" xfId="0" applyNumberFormat="1" applyFont="1" applyFill="1" applyBorder="1" applyAlignment="1">
      <alignment horizontal="right"/>
    </xf>
    <xf numFmtId="0" fontId="24" fillId="26" borderId="8" xfId="0" applyFont="1" applyFill="1" applyBorder="1"/>
    <xf numFmtId="0" fontId="105" fillId="0" borderId="18" xfId="0" applyFont="1" applyBorder="1"/>
    <xf numFmtId="0" fontId="42" fillId="18" borderId="13" xfId="0" applyFont="1" applyFill="1" applyBorder="1"/>
    <xf numFmtId="0" fontId="56" fillId="0" borderId="11" xfId="0" applyFont="1" applyBorder="1"/>
    <xf numFmtId="0" fontId="78" fillId="0" borderId="0" xfId="2" applyFont="1"/>
    <xf numFmtId="0" fontId="64" fillId="0" borderId="0" xfId="0" applyNumberFormat="1" applyFont="1" applyBorder="1" applyAlignment="1">
      <alignment horizontal="right"/>
    </xf>
    <xf numFmtId="0" fontId="81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4" fillId="0" borderId="0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center"/>
    </xf>
    <xf numFmtId="49" fontId="81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1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6" fillId="30" borderId="27" xfId="0" applyFont="1" applyFill="1" applyBorder="1" applyAlignment="1">
      <alignment horizontal="center" vertical="center"/>
    </xf>
    <xf numFmtId="0" fontId="6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7" fillId="0" borderId="0" xfId="0" quotePrefix="1" applyNumberFormat="1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7" fillId="13" borderId="2" xfId="2" applyFont="1" applyFill="1" applyBorder="1" applyAlignment="1"/>
    <xf numFmtId="0" fontId="78" fillId="13" borderId="4" xfId="2" applyFont="1" applyFill="1" applyBorder="1" applyAlignment="1"/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4" fillId="0" borderId="12" xfId="0" applyFont="1" applyBorder="1" applyAlignment="1">
      <alignment horizontal="left"/>
    </xf>
    <xf numFmtId="0" fontId="6" fillId="0" borderId="0" xfId="0" applyFont="1"/>
    <xf numFmtId="0" fontId="27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right"/>
    </xf>
    <xf numFmtId="0" fontId="22" fillId="0" borderId="0" xfId="0" applyFont="1" applyBorder="1"/>
    <xf numFmtId="165" fontId="29" fillId="0" borderId="28" xfId="0" applyNumberFormat="1" applyFont="1" applyBorder="1" applyAlignment="1">
      <alignment horizontal="center"/>
    </xf>
    <xf numFmtId="165" fontId="43" fillId="0" borderId="28" xfId="0" applyNumberFormat="1" applyFont="1" applyBorder="1" applyAlignment="1">
      <alignment horizontal="center"/>
    </xf>
    <xf numFmtId="0" fontId="50" fillId="0" borderId="58" xfId="0" applyFont="1" applyBorder="1" applyAlignment="1">
      <alignment horizontal="center"/>
    </xf>
    <xf numFmtId="0" fontId="47" fillId="3" borderId="69" xfId="0" applyFont="1" applyFill="1" applyBorder="1" applyAlignment="1">
      <alignment horizontal="center"/>
    </xf>
    <xf numFmtId="0" fontId="47" fillId="0" borderId="60" xfId="0" applyFont="1" applyBorder="1"/>
    <xf numFmtId="2" fontId="44" fillId="0" borderId="28" xfId="0" applyNumberFormat="1" applyFont="1" applyBorder="1" applyAlignment="1">
      <alignment horizontal="center"/>
    </xf>
    <xf numFmtId="0" fontId="50" fillId="0" borderId="47" xfId="0" applyFont="1" applyBorder="1" applyAlignment="1">
      <alignment horizontal="center"/>
    </xf>
    <xf numFmtId="0" fontId="47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9" fillId="0" borderId="0" xfId="0" applyFont="1" applyBorder="1"/>
    <xf numFmtId="0" fontId="118" fillId="0" borderId="0" xfId="0" applyFont="1" applyFill="1" applyBorder="1" applyAlignment="1">
      <alignment horizontal="right"/>
    </xf>
    <xf numFmtId="0" fontId="26" fillId="0" borderId="0" xfId="0" applyFont="1"/>
    <xf numFmtId="0" fontId="26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4" fillId="0" borderId="8" xfId="0" applyFont="1" applyBorder="1" applyAlignment="1">
      <alignment horizontal="right"/>
    </xf>
    <xf numFmtId="0" fontId="54" fillId="0" borderId="9" xfId="0" applyFont="1" applyBorder="1" applyAlignment="1" applyProtection="1">
      <alignment horizontal="left"/>
      <protection locked="0"/>
    </xf>
    <xf numFmtId="0" fontId="26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6" fillId="0" borderId="0" xfId="0" applyFont="1" applyBorder="1"/>
    <xf numFmtId="0" fontId="26" fillId="0" borderId="19" xfId="0" applyFont="1" applyBorder="1" applyAlignment="1">
      <alignment horizontal="left"/>
    </xf>
    <xf numFmtId="0" fontId="9" fillId="0" borderId="20" xfId="0" applyFont="1" applyBorder="1"/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5" fillId="0" borderId="11" xfId="0" applyFont="1" applyBorder="1"/>
    <xf numFmtId="0" fontId="86" fillId="0" borderId="8" xfId="0" applyFont="1" applyBorder="1" applyAlignment="1">
      <alignment horizontal="right"/>
    </xf>
    <xf numFmtId="0" fontId="88" fillId="0" borderId="0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6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8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8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2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7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7" fillId="0" borderId="0" xfId="0" applyNumberFormat="1" applyFont="1" applyBorder="1" applyAlignment="1">
      <alignment horizontal="center"/>
    </xf>
    <xf numFmtId="49" fontId="57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4" fillId="5" borderId="58" xfId="0" applyFont="1" applyFill="1" applyBorder="1"/>
    <xf numFmtId="0" fontId="24" fillId="0" borderId="43" xfId="0" applyFont="1" applyBorder="1"/>
    <xf numFmtId="0" fontId="24" fillId="0" borderId="28" xfId="0" applyFont="1" applyBorder="1" applyAlignment="1">
      <alignment horizontal="right"/>
    </xf>
    <xf numFmtId="0" fontId="24" fillId="0" borderId="0" xfId="0" applyFont="1" applyFill="1" applyAlignment="1">
      <alignment horizontal="right"/>
    </xf>
    <xf numFmtId="165" fontId="64" fillId="0" borderId="39" xfId="0" applyNumberFormat="1" applyFont="1" applyBorder="1"/>
    <xf numFmtId="0" fontId="0" fillId="37" borderId="27" xfId="0" applyFill="1" applyBorder="1"/>
    <xf numFmtId="0" fontId="56" fillId="0" borderId="17" xfId="0" applyFont="1" applyBorder="1"/>
    <xf numFmtId="0" fontId="7" fillId="0" borderId="0" xfId="0" applyFont="1" applyBorder="1" applyAlignment="1">
      <alignment horizontal="center"/>
    </xf>
    <xf numFmtId="0" fontId="0" fillId="14" borderId="11" xfId="0" applyFill="1" applyBorder="1"/>
    <xf numFmtId="0" fontId="81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4" fillId="0" borderId="18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4" fillId="0" borderId="0" xfId="0" applyNumberFormat="1" applyFont="1" applyBorder="1"/>
    <xf numFmtId="0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103" fillId="0" borderId="8" xfId="0" applyFont="1" applyBorder="1"/>
    <xf numFmtId="0" fontId="56" fillId="29" borderId="18" xfId="0" applyFont="1" applyFill="1" applyBorder="1"/>
    <xf numFmtId="0" fontId="24" fillId="0" borderId="71" xfId="0" applyFont="1" applyBorder="1"/>
    <xf numFmtId="0" fontId="24" fillId="0" borderId="0" xfId="0" applyFont="1" applyBorder="1" applyAlignment="1">
      <alignment horizontal="right"/>
    </xf>
    <xf numFmtId="0" fontId="47" fillId="0" borderId="0" xfId="0" applyFont="1" applyBorder="1" applyAlignment="1">
      <alignment horizontal="left"/>
    </xf>
    <xf numFmtId="0" fontId="24" fillId="0" borderId="19" xfId="0" applyFont="1" applyFill="1" applyBorder="1" applyAlignment="1">
      <alignment horizontal="right"/>
    </xf>
    <xf numFmtId="169" fontId="0" fillId="5" borderId="9" xfId="0" applyNumberFormat="1" applyFill="1" applyBorder="1"/>
    <xf numFmtId="0" fontId="56" fillId="29" borderId="10" xfId="0" applyFont="1" applyFill="1" applyBorder="1"/>
    <xf numFmtId="0" fontId="56" fillId="29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7" fillId="0" borderId="0" xfId="0" quotePrefix="1" applyNumberFormat="1" applyFont="1" applyBorder="1" applyAlignment="1">
      <alignment horizontal="center"/>
    </xf>
    <xf numFmtId="20" fontId="37" fillId="0" borderId="0" xfId="0" applyNumberFormat="1" applyFont="1" applyBorder="1" applyAlignment="1">
      <alignment horizontal="center"/>
    </xf>
    <xf numFmtId="0" fontId="34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4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4" fillId="5" borderId="38" xfId="0" applyFont="1" applyFill="1" applyBorder="1"/>
    <xf numFmtId="0" fontId="24" fillId="5" borderId="41" xfId="0" applyFont="1" applyFill="1" applyBorder="1"/>
    <xf numFmtId="0" fontId="24" fillId="5" borderId="41" xfId="0" applyFont="1" applyFill="1" applyBorder="1" applyAlignment="1">
      <alignment horizontal="center"/>
    </xf>
    <xf numFmtId="0" fontId="24" fillId="5" borderId="39" xfId="0" applyFont="1" applyFill="1" applyBorder="1"/>
    <xf numFmtId="0" fontId="24" fillId="0" borderId="15" xfId="0" applyFont="1" applyFill="1" applyBorder="1"/>
    <xf numFmtId="0" fontId="24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5" fontId="64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7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38" xfId="0" applyFill="1" applyBorder="1" applyAlignment="1">
      <alignment horizontal="right"/>
    </xf>
    <xf numFmtId="0" fontId="6" fillId="5" borderId="36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5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5" fillId="35" borderId="27" xfId="0" applyFont="1" applyFill="1" applyBorder="1" applyAlignment="1">
      <alignment horizontal="left"/>
    </xf>
    <xf numFmtId="0" fontId="82" fillId="35" borderId="26" xfId="0" applyFont="1" applyFill="1" applyBorder="1"/>
    <xf numFmtId="0" fontId="125" fillId="0" borderId="8" xfId="0" applyFont="1" applyBorder="1"/>
    <xf numFmtId="0" fontId="125" fillId="0" borderId="0" xfId="0" applyFont="1" applyFill="1" applyBorder="1" applyAlignment="1">
      <alignment horizontal="left"/>
    </xf>
    <xf numFmtId="0" fontId="125" fillId="0" borderId="0" xfId="0" quotePrefix="1" applyNumberFormat="1" applyFont="1" applyBorder="1" applyAlignment="1">
      <alignment horizontal="left"/>
    </xf>
    <xf numFmtId="0" fontId="125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1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2" fillId="0" borderId="0" xfId="0" applyFont="1" applyBorder="1"/>
    <xf numFmtId="0" fontId="34" fillId="0" borderId="0" xfId="0" applyFont="1" applyBorder="1"/>
    <xf numFmtId="49" fontId="34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4" fillId="0" borderId="0" xfId="0" applyNumberFormat="1" applyFont="1" applyBorder="1" applyAlignment="1">
      <alignment horizontal="center"/>
    </xf>
    <xf numFmtId="0" fontId="77" fillId="0" borderId="0" xfId="0" applyFont="1" applyBorder="1" applyAlignment="1">
      <alignment horizontal="center"/>
    </xf>
    <xf numFmtId="0" fontId="106" fillId="0" borderId="0" xfId="0" applyFont="1" applyBorder="1" applyAlignment="1">
      <alignment horizontal="left"/>
    </xf>
    <xf numFmtId="0" fontId="44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5" fillId="0" borderId="0" xfId="0" applyFont="1"/>
    <xf numFmtId="0" fontId="75" fillId="35" borderId="36" xfId="0" applyFont="1" applyFill="1" applyBorder="1" applyAlignment="1">
      <alignment horizontal="left"/>
    </xf>
    <xf numFmtId="0" fontId="82" fillId="35" borderId="37" xfId="0" applyFont="1" applyFill="1" applyBorder="1"/>
    <xf numFmtId="0" fontId="39" fillId="0" borderId="0" xfId="0" applyFont="1"/>
    <xf numFmtId="0" fontId="84" fillId="0" borderId="0" xfId="0" applyFont="1"/>
    <xf numFmtId="0" fontId="39" fillId="0" borderId="0" xfId="0" applyFont="1" applyAlignment="1">
      <alignment horizontal="left"/>
    </xf>
    <xf numFmtId="2" fontId="83" fillId="0" borderId="0" xfId="0" applyNumberFormat="1" applyFont="1"/>
    <xf numFmtId="0" fontId="84" fillId="35" borderId="27" xfId="0" applyFont="1" applyFill="1" applyBorder="1" applyAlignment="1">
      <alignment horizontal="right"/>
    </xf>
    <xf numFmtId="0" fontId="85" fillId="35" borderId="26" xfId="0" applyFont="1" applyFill="1" applyBorder="1" applyAlignment="1">
      <alignment horizontal="right"/>
    </xf>
    <xf numFmtId="0" fontId="84" fillId="35" borderId="6" xfId="0" applyFont="1" applyFill="1" applyBorder="1"/>
    <xf numFmtId="0" fontId="39" fillId="0" borderId="12" xfId="0" applyFont="1" applyBorder="1"/>
    <xf numFmtId="0" fontId="84" fillId="0" borderId="12" xfId="0" applyFont="1" applyBorder="1" applyAlignment="1">
      <alignment horizontal="right"/>
    </xf>
    <xf numFmtId="0" fontId="84" fillId="35" borderId="36" xfId="0" applyFont="1" applyFill="1" applyBorder="1" applyAlignment="1">
      <alignment horizontal="left"/>
    </xf>
    <xf numFmtId="0" fontId="84" fillId="35" borderId="40" xfId="0" applyFont="1" applyFill="1" applyBorder="1" applyAlignment="1">
      <alignment horizontal="left"/>
    </xf>
    <xf numFmtId="0" fontId="85" fillId="35" borderId="37" xfId="0" applyFont="1" applyFill="1" applyBorder="1"/>
    <xf numFmtId="0" fontId="85" fillId="35" borderId="52" xfId="0" applyFont="1" applyFill="1" applyBorder="1"/>
    <xf numFmtId="0" fontId="84" fillId="0" borderId="13" xfId="0" applyFont="1" applyBorder="1"/>
    <xf numFmtId="0" fontId="84" fillId="0" borderId="14" xfId="0" applyFont="1" applyBorder="1" applyAlignment="1">
      <alignment horizontal="right"/>
    </xf>
    <xf numFmtId="0" fontId="84" fillId="30" borderId="15" xfId="0" applyFont="1" applyFill="1" applyBorder="1"/>
    <xf numFmtId="0" fontId="84" fillId="30" borderId="8" xfId="0" applyFont="1" applyFill="1" applyBorder="1"/>
    <xf numFmtId="0" fontId="84" fillId="30" borderId="7" xfId="0" applyFont="1" applyFill="1" applyBorder="1"/>
    <xf numFmtId="0" fontId="84" fillId="30" borderId="0" xfId="0" applyFont="1" applyFill="1" applyBorder="1"/>
    <xf numFmtId="0" fontId="39" fillId="30" borderId="7" xfId="0" applyFont="1" applyFill="1" applyBorder="1" applyAlignment="1">
      <alignment horizontal="left"/>
    </xf>
    <xf numFmtId="0" fontId="39" fillId="30" borderId="0" xfId="0" applyFont="1" applyFill="1" applyBorder="1"/>
    <xf numFmtId="0" fontId="84" fillId="30" borderId="8" xfId="0" applyFont="1" applyFill="1" applyBorder="1" applyAlignment="1">
      <alignment horizontal="left"/>
    </xf>
    <xf numFmtId="0" fontId="85" fillId="30" borderId="0" xfId="0" applyFont="1" applyFill="1" applyBorder="1"/>
    <xf numFmtId="2" fontId="85" fillId="30" borderId="19" xfId="0" applyNumberFormat="1" applyFont="1" applyFill="1" applyBorder="1"/>
    <xf numFmtId="0" fontId="84" fillId="30" borderId="12" xfId="0" applyNumberFormat="1" applyFont="1" applyFill="1" applyBorder="1" applyAlignment="1">
      <alignment horizontal="right"/>
    </xf>
    <xf numFmtId="0" fontId="39" fillId="30" borderId="12" xfId="0" applyFont="1" applyFill="1" applyBorder="1"/>
    <xf numFmtId="0" fontId="84" fillId="30" borderId="13" xfId="0" applyFont="1" applyFill="1" applyBorder="1"/>
    <xf numFmtId="0" fontId="84" fillId="30" borderId="14" xfId="0" applyFont="1" applyFill="1" applyBorder="1"/>
    <xf numFmtId="2" fontId="85" fillId="30" borderId="16" xfId="0" applyNumberFormat="1" applyFont="1" applyFill="1" applyBorder="1"/>
    <xf numFmtId="2" fontId="85" fillId="30" borderId="17" xfId="0" applyNumberFormat="1" applyFont="1" applyFill="1" applyBorder="1"/>
    <xf numFmtId="0" fontId="84" fillId="30" borderId="12" xfId="0" applyFont="1" applyFill="1" applyBorder="1" applyAlignment="1">
      <alignment horizontal="right"/>
    </xf>
    <xf numFmtId="0" fontId="84" fillId="30" borderId="12" xfId="0" applyFont="1" applyFill="1" applyBorder="1"/>
    <xf numFmtId="2" fontId="85" fillId="30" borderId="6" xfId="0" applyNumberFormat="1" applyFont="1" applyFill="1" applyBorder="1"/>
    <xf numFmtId="0" fontId="126" fillId="0" borderId="0" xfId="0" applyFont="1"/>
    <xf numFmtId="0" fontId="127" fillId="0" borderId="0" xfId="0" applyFont="1"/>
    <xf numFmtId="0" fontId="24" fillId="5" borderId="36" xfId="0" applyFont="1" applyFill="1" applyBorder="1"/>
    <xf numFmtId="0" fontId="24" fillId="5" borderId="59" xfId="0" applyFont="1" applyFill="1" applyBorder="1"/>
    <xf numFmtId="0" fontId="24" fillId="5" borderId="59" xfId="0" applyFont="1" applyFill="1" applyBorder="1" applyAlignment="1">
      <alignment horizontal="center"/>
    </xf>
    <xf numFmtId="0" fontId="24" fillId="5" borderId="40" xfId="0" applyFont="1" applyFill="1" applyBorder="1"/>
    <xf numFmtId="0" fontId="24" fillId="5" borderId="5" xfId="0" applyFont="1" applyFill="1" applyBorder="1"/>
    <xf numFmtId="1" fontId="24" fillId="5" borderId="5" xfId="0" applyNumberFormat="1" applyFont="1" applyFill="1" applyBorder="1"/>
    <xf numFmtId="49" fontId="25" fillId="0" borderId="0" xfId="0" applyNumberFormat="1" applyFont="1"/>
    <xf numFmtId="169" fontId="64" fillId="0" borderId="39" xfId="0" applyNumberFormat="1" applyFont="1" applyBorder="1"/>
    <xf numFmtId="0" fontId="75" fillId="0" borderId="7" xfId="0" applyNumberFormat="1" applyFont="1" applyFill="1" applyBorder="1" applyAlignment="1">
      <alignment horizontal="left"/>
    </xf>
    <xf numFmtId="0" fontId="6" fillId="34" borderId="13" xfId="0" applyFont="1" applyFill="1" applyBorder="1" applyAlignment="1">
      <alignment horizontal="left"/>
    </xf>
    <xf numFmtId="0" fontId="25" fillId="0" borderId="0" xfId="0" quotePrefix="1" applyNumberFormat="1" applyFont="1" applyBorder="1" applyAlignment="1">
      <alignment horizontal="right"/>
    </xf>
    <xf numFmtId="0" fontId="25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7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3" fillId="0" borderId="2" xfId="0" applyFont="1" applyFill="1" applyBorder="1"/>
    <xf numFmtId="2" fontId="64" fillId="0" borderId="0" xfId="0" applyNumberFormat="1" applyFont="1" applyBorder="1" applyAlignment="1">
      <alignment horizontal="right"/>
    </xf>
    <xf numFmtId="0" fontId="34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7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8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4" fillId="30" borderId="14" xfId="0" applyFont="1" applyFill="1" applyBorder="1" applyAlignment="1">
      <alignment horizontal="right"/>
    </xf>
    <xf numFmtId="0" fontId="84" fillId="30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8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29" fillId="0" borderId="0" xfId="0" applyFont="1" applyBorder="1"/>
    <xf numFmtId="0" fontId="56" fillId="29" borderId="58" xfId="0" applyFont="1" applyFill="1" applyBorder="1"/>
    <xf numFmtId="0" fontId="72" fillId="0" borderId="28" xfId="0" applyFont="1" applyBorder="1"/>
    <xf numFmtId="0" fontId="72" fillId="0" borderId="46" xfId="0" applyFont="1" applyBorder="1"/>
    <xf numFmtId="0" fontId="72" fillId="13" borderId="32" xfId="0" applyFont="1" applyFill="1" applyBorder="1"/>
    <xf numFmtId="0" fontId="72" fillId="13" borderId="9" xfId="0" applyFont="1" applyFill="1" applyBorder="1"/>
    <xf numFmtId="0" fontId="130" fillId="0" borderId="0" xfId="0" applyFont="1" applyBorder="1"/>
    <xf numFmtId="0" fontId="131" fillId="0" borderId="0" xfId="0" applyFont="1" applyBorder="1" applyAlignment="1">
      <alignment horizontal="left"/>
    </xf>
    <xf numFmtId="0" fontId="130" fillId="0" borderId="0" xfId="0" applyFont="1" applyBorder="1" applyAlignment="1">
      <alignment horizontal="left"/>
    </xf>
    <xf numFmtId="0" fontId="130" fillId="0" borderId="0" xfId="0" applyFont="1"/>
    <xf numFmtId="0" fontId="72" fillId="0" borderId="71" xfId="0" applyFont="1" applyBorder="1"/>
    <xf numFmtId="0" fontId="72" fillId="0" borderId="68" xfId="0" applyFont="1" applyBorder="1"/>
    <xf numFmtId="0" fontId="72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2" fillId="0" borderId="2" xfId="0" applyFont="1" applyBorder="1" applyAlignment="1"/>
    <xf numFmtId="0" fontId="72" fillId="0" borderId="3" xfId="0" applyFont="1" applyBorder="1" applyAlignment="1"/>
    <xf numFmtId="0" fontId="72" fillId="0" borderId="4" xfId="0" applyFont="1" applyBorder="1" applyAlignment="1"/>
    <xf numFmtId="0" fontId="24" fillId="0" borderId="0" xfId="0" applyFont="1" applyBorder="1" applyAlignment="1">
      <alignment horizontal="left"/>
    </xf>
    <xf numFmtId="0" fontId="24" fillId="0" borderId="0" xfId="0" applyFont="1" applyFill="1" applyBorder="1" applyAlignment="1">
      <alignment horizontal="right"/>
    </xf>
    <xf numFmtId="0" fontId="24" fillId="0" borderId="48" xfId="0" applyFont="1" applyBorder="1"/>
    <xf numFmtId="0" fontId="24" fillId="0" borderId="46" xfId="0" applyFont="1" applyBorder="1"/>
    <xf numFmtId="0" fontId="24" fillId="0" borderId="30" xfId="0" applyFont="1" applyBorder="1"/>
    <xf numFmtId="0" fontId="43" fillId="0" borderId="5" xfId="0" applyFont="1" applyFill="1" applyBorder="1"/>
    <xf numFmtId="0" fontId="24" fillId="39" borderId="10" xfId="0" applyFont="1" applyFill="1" applyBorder="1" applyAlignment="1">
      <alignment horizontal="right"/>
    </xf>
    <xf numFmtId="0" fontId="24" fillId="39" borderId="22" xfId="0" applyFont="1" applyFill="1" applyBorder="1"/>
    <xf numFmtId="0" fontId="24" fillId="39" borderId="15" xfId="0" applyFont="1" applyFill="1" applyBorder="1"/>
    <xf numFmtId="0" fontId="72" fillId="0" borderId="62" xfId="0" applyFont="1" applyBorder="1"/>
    <xf numFmtId="0" fontId="72" fillId="0" borderId="51" xfId="0" applyFont="1" applyBorder="1"/>
    <xf numFmtId="0" fontId="72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0" xfId="0" applyFill="1"/>
    <xf numFmtId="0" fontId="132" fillId="0" borderId="0" xfId="0" applyFont="1" applyFill="1" applyBorder="1" applyAlignment="1">
      <alignment horizontal="center" vertical="center"/>
    </xf>
    <xf numFmtId="0" fontId="133" fillId="0" borderId="0" xfId="0" applyFont="1" applyFill="1" applyBorder="1" applyAlignment="1">
      <alignment horizontal="center" vertical="center"/>
    </xf>
    <xf numFmtId="0" fontId="24" fillId="0" borderId="0" xfId="0" applyFont="1" applyBorder="1" applyAlignment="1"/>
    <xf numFmtId="0" fontId="28" fillId="0" borderId="0" xfId="0" applyNumberFormat="1" applyFont="1" applyFill="1" applyBorder="1" applyAlignment="1">
      <alignment horizontal="left"/>
    </xf>
    <xf numFmtId="0" fontId="72" fillId="0" borderId="0" xfId="0" applyFont="1" applyFill="1" applyBorder="1" applyAlignment="1">
      <alignment horizontal="left"/>
    </xf>
    <xf numFmtId="0" fontId="72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2" fillId="0" borderId="0" xfId="0" applyNumberFormat="1" applyFont="1" applyBorder="1"/>
    <xf numFmtId="0" fontId="0" fillId="0" borderId="15" xfId="0" applyFont="1" applyBorder="1"/>
    <xf numFmtId="0" fontId="72" fillId="0" borderId="15" xfId="0" applyFont="1" applyBorder="1" applyAlignment="1">
      <alignment horizontal="center"/>
    </xf>
    <xf numFmtId="0" fontId="72" fillId="0" borderId="7" xfId="0" applyFont="1" applyBorder="1" applyAlignment="1">
      <alignment horizontal="right"/>
    </xf>
    <xf numFmtId="0" fontId="72" fillId="0" borderId="9" xfId="0" applyFont="1" applyBorder="1" applyAlignment="1">
      <alignment horizontal="center"/>
    </xf>
    <xf numFmtId="0" fontId="72" fillId="0" borderId="6" xfId="0" applyFont="1" applyBorder="1" applyAlignment="1">
      <alignment horizontal="center"/>
    </xf>
    <xf numFmtId="0" fontId="72" fillId="0" borderId="27" xfId="0" applyFont="1" applyBorder="1" applyAlignment="1">
      <alignment horizontal="center"/>
    </xf>
    <xf numFmtId="0" fontId="72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2" fillId="0" borderId="18" xfId="0" applyFont="1" applyBorder="1"/>
    <xf numFmtId="0" fontId="20" fillId="3" borderId="6" xfId="0" applyFont="1" applyFill="1" applyBorder="1"/>
    <xf numFmtId="0" fontId="24" fillId="21" borderId="19" xfId="0" applyFont="1" applyFill="1" applyBorder="1" applyAlignment="1">
      <alignment horizontal="left"/>
    </xf>
    <xf numFmtId="0" fontId="11" fillId="0" borderId="8" xfId="0" applyFont="1" applyBorder="1"/>
    <xf numFmtId="1" fontId="24" fillId="25" borderId="9" xfId="0" applyNumberFormat="1" applyFont="1" applyFill="1" applyBorder="1"/>
    <xf numFmtId="0" fontId="24" fillId="5" borderId="0" xfId="0" applyFont="1" applyFill="1" applyBorder="1" applyAlignment="1"/>
    <xf numFmtId="0" fontId="24" fillId="5" borderId="12" xfId="0" applyFont="1" applyFill="1" applyBorder="1" applyAlignment="1"/>
    <xf numFmtId="0" fontId="24" fillId="0" borderId="2" xfId="0" applyFont="1" applyBorder="1"/>
    <xf numFmtId="0" fontId="24" fillId="0" borderId="3" xfId="0" applyFont="1" applyBorder="1" applyAlignment="1">
      <alignment horizontal="right"/>
    </xf>
    <xf numFmtId="0" fontId="43" fillId="0" borderId="15" xfId="0" applyFont="1" applyFill="1" applyBorder="1"/>
    <xf numFmtId="0" fontId="43" fillId="0" borderId="8" xfId="0" applyFont="1" applyFill="1" applyBorder="1" applyAlignment="1">
      <alignment horizontal="right"/>
    </xf>
    <xf numFmtId="0" fontId="43" fillId="31" borderId="7" xfId="0" applyFont="1" applyFill="1" applyBorder="1"/>
    <xf numFmtId="0" fontId="43" fillId="0" borderId="18" xfId="0" applyFont="1" applyFill="1" applyBorder="1"/>
    <xf numFmtId="0" fontId="43" fillId="0" borderId="19" xfId="0" applyFont="1" applyFill="1" applyBorder="1"/>
    <xf numFmtId="0" fontId="0" fillId="0" borderId="0" xfId="0"/>
    <xf numFmtId="0" fontId="72" fillId="0" borderId="0" xfId="0" applyFont="1" applyBorder="1" applyAlignment="1"/>
    <xf numFmtId="170" fontId="72" fillId="0" borderId="0" xfId="0" applyNumberFormat="1" applyFont="1" applyBorder="1"/>
    <xf numFmtId="0" fontId="72" fillId="0" borderId="7" xfId="0" applyFont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8" fillId="0" borderId="0" xfId="0" applyNumberFormat="1" applyFont="1" applyBorder="1" applyAlignment="1">
      <alignment horizontal="right"/>
    </xf>
    <xf numFmtId="0" fontId="72" fillId="0" borderId="0" xfId="0" applyNumberFormat="1" applyFont="1"/>
    <xf numFmtId="0" fontId="72" fillId="0" borderId="15" xfId="0" applyNumberFormat="1" applyFont="1" applyBorder="1"/>
    <xf numFmtId="0" fontId="72" fillId="0" borderId="8" xfId="0" applyNumberFormat="1" applyFont="1" applyBorder="1"/>
    <xf numFmtId="0" fontId="72" fillId="0" borderId="8" xfId="0" applyNumberFormat="1" applyFont="1" applyBorder="1" applyAlignment="1">
      <alignment horizontal="right"/>
    </xf>
    <xf numFmtId="0" fontId="90" fillId="0" borderId="8" xfId="0" applyNumberFormat="1" applyFont="1" applyBorder="1" applyAlignment="1">
      <alignment horizontal="left"/>
    </xf>
    <xf numFmtId="0" fontId="90" fillId="0" borderId="9" xfId="0" applyNumberFormat="1" applyFont="1" applyBorder="1"/>
    <xf numFmtId="0" fontId="72" fillId="0" borderId="7" xfId="0" applyNumberFormat="1" applyFont="1" applyBorder="1"/>
    <xf numFmtId="0" fontId="90" fillId="0" borderId="0" xfId="0" applyNumberFormat="1" applyFont="1" applyBorder="1"/>
    <xf numFmtId="0" fontId="72" fillId="0" borderId="18" xfId="0" applyNumberFormat="1" applyFont="1" applyBorder="1"/>
    <xf numFmtId="0" fontId="72" fillId="0" borderId="19" xfId="0" applyNumberFormat="1" applyFont="1" applyBorder="1"/>
    <xf numFmtId="0" fontId="28" fillId="0" borderId="19" xfId="0" applyNumberFormat="1" applyFont="1" applyBorder="1" applyAlignment="1">
      <alignment vertical="center"/>
    </xf>
    <xf numFmtId="0" fontId="72" fillId="0" borderId="12" xfId="0" applyNumberFormat="1" applyFont="1" applyBorder="1"/>
    <xf numFmtId="0" fontId="28" fillId="0" borderId="0" xfId="0" applyNumberFormat="1" applyFont="1" applyFill="1" applyBorder="1" applyAlignment="1">
      <alignment horizontal="right"/>
    </xf>
    <xf numFmtId="0" fontId="28" fillId="0" borderId="0" xfId="0" applyNumberFormat="1" applyFont="1" applyBorder="1" applyAlignment="1">
      <alignment horizontal="left"/>
    </xf>
    <xf numFmtId="0" fontId="72" fillId="0" borderId="12" xfId="0" applyNumberFormat="1" applyFont="1" applyBorder="1" applyAlignment="1">
      <alignment horizontal="center"/>
    </xf>
    <xf numFmtId="0" fontId="72" fillId="0" borderId="0" xfId="0" applyNumberFormat="1" applyFont="1" applyAlignment="1">
      <alignment horizontal="left"/>
    </xf>
    <xf numFmtId="0" fontId="72" fillId="0" borderId="0" xfId="0" applyNumberFormat="1" applyFont="1" applyFill="1" applyBorder="1"/>
    <xf numFmtId="0" fontId="9" fillId="0" borderId="0" xfId="0" applyNumberFormat="1" applyFont="1" applyBorder="1"/>
    <xf numFmtId="0" fontId="72" fillId="0" borderId="20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right"/>
    </xf>
    <xf numFmtId="0" fontId="72" fillId="0" borderId="0" xfId="0" applyFont="1" applyFill="1" applyBorder="1" applyAlignment="1">
      <alignment horizontal="right"/>
    </xf>
    <xf numFmtId="0" fontId="90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72" fillId="0" borderId="0" xfId="0" applyNumberFormat="1" applyFont="1" applyFill="1" applyBorder="1" applyAlignment="1">
      <alignment horizontal="right"/>
    </xf>
    <xf numFmtId="0" fontId="72" fillId="0" borderId="0" xfId="0" applyFont="1" applyFill="1" applyBorder="1" applyAlignment="1">
      <alignment horizontal="center"/>
    </xf>
    <xf numFmtId="49" fontId="28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left" vertical="center"/>
    </xf>
    <xf numFmtId="1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left"/>
    </xf>
    <xf numFmtId="0" fontId="30" fillId="0" borderId="0" xfId="0" applyFont="1" applyFill="1" applyBorder="1"/>
    <xf numFmtId="49" fontId="72" fillId="0" borderId="0" xfId="0" applyNumberFormat="1" applyFont="1" applyFill="1" applyBorder="1" applyAlignment="1">
      <alignment horizontal="left"/>
    </xf>
    <xf numFmtId="0" fontId="89" fillId="0" borderId="0" xfId="0" applyFont="1" applyFill="1" applyBorder="1"/>
    <xf numFmtId="0" fontId="95" fillId="0" borderId="0" xfId="0" applyFont="1" applyFill="1" applyBorder="1" applyAlignment="1">
      <alignment horizontal="left"/>
    </xf>
    <xf numFmtId="10" fontId="72" fillId="0" borderId="0" xfId="0" applyNumberFormat="1" applyFont="1" applyFill="1" applyBorder="1" applyAlignment="1">
      <alignment horizontal="left"/>
    </xf>
    <xf numFmtId="0" fontId="72" fillId="0" borderId="0" xfId="0" quotePrefix="1" applyFont="1" applyFill="1" applyBorder="1"/>
    <xf numFmtId="0" fontId="90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vertical="center"/>
    </xf>
    <xf numFmtId="0" fontId="90" fillId="0" borderId="0" xfId="0" applyFont="1" applyFill="1" applyBorder="1" applyAlignment="1">
      <alignment vertical="center" wrapText="1"/>
    </xf>
    <xf numFmtId="2" fontId="72" fillId="0" borderId="0" xfId="0" applyNumberFormat="1" applyFont="1" applyFill="1" applyBorder="1" applyAlignment="1">
      <alignment horizontal="center"/>
    </xf>
    <xf numFmtId="49" fontId="30" fillId="0" borderId="0" xfId="0" applyNumberFormat="1" applyFont="1" applyFill="1" applyBorder="1"/>
    <xf numFmtId="49" fontId="89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left"/>
    </xf>
    <xf numFmtId="14" fontId="28" fillId="0" borderId="0" xfId="0" applyNumberFormat="1" applyFont="1" applyFill="1" applyBorder="1" applyAlignment="1"/>
    <xf numFmtId="0" fontId="28" fillId="0" borderId="0" xfId="0" applyFont="1" applyFill="1" applyBorder="1" applyAlignment="1"/>
    <xf numFmtId="0" fontId="89" fillId="0" borderId="19" xfId="0" applyFont="1" applyBorder="1"/>
    <xf numFmtId="0" fontId="72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3" fillId="0" borderId="12" xfId="0" applyFont="1" applyFill="1" applyBorder="1"/>
    <xf numFmtId="0" fontId="43" fillId="0" borderId="20" xfId="0" applyFont="1" applyFill="1" applyBorder="1"/>
    <xf numFmtId="3" fontId="24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5" fillId="16" borderId="7" xfId="0" applyFont="1" applyFill="1" applyBorder="1" applyAlignment="1">
      <alignment horizontal="left"/>
    </xf>
    <xf numFmtId="0" fontId="105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5" fillId="16" borderId="18" xfId="0" applyFont="1" applyFill="1" applyBorder="1" applyAlignment="1">
      <alignment horizontal="left"/>
    </xf>
    <xf numFmtId="0" fontId="105" fillId="16" borderId="70" xfId="0" applyFont="1" applyFill="1" applyBorder="1" applyAlignment="1">
      <alignment horizontal="left"/>
    </xf>
    <xf numFmtId="0" fontId="105" fillId="17" borderId="15" xfId="0" applyFont="1" applyFill="1" applyBorder="1" applyAlignment="1">
      <alignment horizontal="left"/>
    </xf>
    <xf numFmtId="0" fontId="105" fillId="17" borderId="34" xfId="0" applyFont="1" applyFill="1" applyBorder="1" applyAlignment="1">
      <alignment horizontal="left"/>
    </xf>
    <xf numFmtId="0" fontId="105" fillId="17" borderId="7" xfId="0" applyFont="1" applyFill="1" applyBorder="1" applyAlignment="1">
      <alignment horizontal="left"/>
    </xf>
    <xf numFmtId="0" fontId="105" fillId="17" borderId="30" xfId="0" applyFont="1" applyFill="1" applyBorder="1" applyAlignment="1">
      <alignment horizontal="left"/>
    </xf>
    <xf numFmtId="0" fontId="105" fillId="17" borderId="18" xfId="0" applyFont="1" applyFill="1" applyBorder="1" applyAlignment="1">
      <alignment horizontal="left"/>
    </xf>
    <xf numFmtId="0" fontId="105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2" fontId="0" fillId="34" borderId="14" xfId="0" applyNumberFormat="1" applyFill="1" applyBorder="1"/>
    <xf numFmtId="0" fontId="0" fillId="24" borderId="10" xfId="0" applyFill="1" applyBorder="1"/>
    <xf numFmtId="0" fontId="0" fillId="24" borderId="11" xfId="0" applyFill="1" applyBorder="1"/>
    <xf numFmtId="0" fontId="0" fillId="24" borderId="16" xfId="0" applyFill="1" applyBorder="1"/>
    <xf numFmtId="0" fontId="0" fillId="24" borderId="17" xfId="0" applyFill="1" applyBorder="1"/>
    <xf numFmtId="0" fontId="31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2" fillId="0" borderId="2" xfId="0" applyNumberFormat="1" applyFont="1" applyBorder="1"/>
    <xf numFmtId="0" fontId="72" fillId="0" borderId="3" xfId="0" applyNumberFormat="1" applyFont="1" applyBorder="1"/>
    <xf numFmtId="0" fontId="72" fillId="0" borderId="4" xfId="0" applyNumberFormat="1" applyFont="1" applyBorder="1"/>
    <xf numFmtId="0" fontId="28" fillId="0" borderId="0" xfId="0" applyNumberFormat="1" applyFont="1" applyBorder="1" applyAlignment="1"/>
    <xf numFmtId="0" fontId="72" fillId="0" borderId="20" xfId="0" applyNumberFormat="1" applyFont="1" applyBorder="1"/>
    <xf numFmtId="1" fontId="72" fillId="0" borderId="0" xfId="0" applyNumberFormat="1" applyFont="1"/>
    <xf numFmtId="0" fontId="72" fillId="0" borderId="0" xfId="0" quotePrefix="1" applyFont="1" applyBorder="1" applyAlignment="1">
      <alignment horizontal="center"/>
    </xf>
    <xf numFmtId="0" fontId="28" fillId="0" borderId="0" xfId="0" quotePrefix="1" applyFont="1" applyBorder="1" applyAlignment="1">
      <alignment horizontal="center"/>
    </xf>
    <xf numFmtId="0" fontId="72" fillId="0" borderId="0" xfId="0" quotePrefix="1" applyFont="1"/>
    <xf numFmtId="0" fontId="72" fillId="0" borderId="0" xfId="0" quotePrefix="1" applyFont="1" applyBorder="1"/>
    <xf numFmtId="0" fontId="28" fillId="0" borderId="0" xfId="0" quotePrefix="1" applyFont="1" applyBorder="1" applyAlignment="1">
      <alignment horizontal="left"/>
    </xf>
    <xf numFmtId="0" fontId="95" fillId="0" borderId="0" xfId="0" applyFont="1" applyBorder="1" applyAlignment="1">
      <alignment horizontal="right"/>
    </xf>
    <xf numFmtId="1" fontId="72" fillId="0" borderId="0" xfId="0" applyNumberFormat="1" applyFont="1" applyBorder="1" applyAlignment="1">
      <alignment horizontal="right"/>
    </xf>
    <xf numFmtId="0" fontId="72" fillId="3" borderId="13" xfId="0" applyFont="1" applyFill="1" applyBorder="1"/>
    <xf numFmtId="0" fontId="89" fillId="3" borderId="13" xfId="0" applyFont="1" applyFill="1" applyBorder="1"/>
    <xf numFmtId="0" fontId="0" fillId="5" borderId="5" xfId="0" applyFill="1" applyBorder="1"/>
    <xf numFmtId="0" fontId="0" fillId="0" borderId="0" xfId="0"/>
    <xf numFmtId="0" fontId="20" fillId="4" borderId="31" xfId="0" applyFont="1" applyFill="1" applyBorder="1" applyAlignment="1"/>
    <xf numFmtId="0" fontId="20" fillId="3" borderId="31" xfId="0" applyFont="1" applyFill="1" applyBorder="1" applyAlignment="1"/>
    <xf numFmtId="0" fontId="0" fillId="0" borderId="21" xfId="0" applyFill="1" applyBorder="1"/>
    <xf numFmtId="0" fontId="72" fillId="0" borderId="0" xfId="0" applyFont="1" applyBorder="1" applyAlignment="1">
      <alignment horizontal="left"/>
    </xf>
    <xf numFmtId="0" fontId="0" fillId="0" borderId="0" xfId="0"/>
    <xf numFmtId="0" fontId="41" fillId="21" borderId="43" xfId="0" applyFont="1" applyFill="1" applyBorder="1"/>
    <xf numFmtId="0" fontId="0" fillId="40" borderId="32" xfId="0" applyFill="1" applyBorder="1"/>
    <xf numFmtId="0" fontId="22" fillId="4" borderId="31" xfId="0" applyFont="1" applyFill="1" applyBorder="1" applyAlignment="1"/>
    <xf numFmtId="0" fontId="22" fillId="4" borderId="28" xfId="0" applyFont="1" applyFill="1" applyBorder="1" applyAlignment="1"/>
    <xf numFmtId="0" fontId="20" fillId="4" borderId="32" xfId="0" applyFont="1" applyFill="1" applyBorder="1" applyAlignment="1"/>
    <xf numFmtId="0" fontId="20" fillId="3" borderId="32" xfId="0" applyFont="1" applyFill="1" applyBorder="1" applyAlignment="1"/>
    <xf numFmtId="0" fontId="24" fillId="25" borderId="31" xfId="0" applyFont="1" applyFill="1" applyBorder="1"/>
    <xf numFmtId="0" fontId="24" fillId="25" borderId="28" xfId="0" applyFont="1" applyFill="1" applyBorder="1"/>
    <xf numFmtId="0" fontId="41" fillId="3" borderId="24" xfId="0" applyFont="1" applyFill="1" applyBorder="1"/>
    <xf numFmtId="0" fontId="22" fillId="8" borderId="43" xfId="0" applyFont="1" applyFill="1" applyBorder="1"/>
    <xf numFmtId="0" fontId="22" fillId="8" borderId="32" xfId="0" applyFont="1" applyFill="1" applyBorder="1"/>
    <xf numFmtId="10" fontId="0" fillId="0" borderId="0" xfId="0" applyNumberFormat="1" applyFont="1" applyBorder="1" applyAlignment="1">
      <alignment horizontal="right"/>
    </xf>
    <xf numFmtId="0" fontId="95" fillId="13" borderId="3" xfId="0" applyFont="1" applyFill="1" applyBorder="1"/>
    <xf numFmtId="0" fontId="72" fillId="0" borderId="33" xfId="0" applyFont="1" applyBorder="1"/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4" fillId="0" borderId="0" xfId="0" applyFont="1" applyBorder="1" applyAlignment="1">
      <alignment horizontal="left"/>
    </xf>
    <xf numFmtId="0" fontId="12" fillId="7" borderId="10" xfId="0" applyFont="1" applyFill="1" applyBorder="1"/>
    <xf numFmtId="0" fontId="0" fillId="5" borderId="9" xfId="0" applyFill="1" applyBorder="1"/>
    <xf numFmtId="0" fontId="30" fillId="5" borderId="35" xfId="0" applyFont="1" applyFill="1" applyBorder="1"/>
    <xf numFmtId="49" fontId="72" fillId="0" borderId="19" xfId="0" applyNumberFormat="1" applyFont="1" applyBorder="1" applyAlignment="1">
      <alignment horizontal="right"/>
    </xf>
    <xf numFmtId="0" fontId="72" fillId="0" borderId="7" xfId="0" applyFont="1" applyFill="1" applyBorder="1"/>
    <xf numFmtId="0" fontId="86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6" fillId="5" borderId="37" xfId="0" applyFont="1" applyFill="1" applyBorder="1" applyAlignment="1">
      <alignment horizontal="left"/>
    </xf>
    <xf numFmtId="0" fontId="6" fillId="19" borderId="52" xfId="0" applyFont="1" applyFill="1" applyBorder="1"/>
    <xf numFmtId="0" fontId="6" fillId="5" borderId="37" xfId="0" applyFont="1" applyFill="1" applyBorder="1" applyAlignment="1">
      <alignment horizontal="right"/>
    </xf>
    <xf numFmtId="2" fontId="0" fillId="5" borderId="52" xfId="0" applyNumberFormat="1" applyFill="1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6" borderId="52" xfId="0" applyFill="1" applyBorder="1"/>
    <xf numFmtId="0" fontId="0" fillId="6" borderId="14" xfId="0" applyFill="1" applyBorder="1"/>
    <xf numFmtId="0" fontId="34" fillId="0" borderId="0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vertical="center"/>
    </xf>
    <xf numFmtId="0" fontId="34" fillId="0" borderId="0" xfId="0" applyFont="1" applyFill="1" applyBorder="1"/>
    <xf numFmtId="0" fontId="34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vertical="center"/>
    </xf>
    <xf numFmtId="14" fontId="34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4" fillId="0" borderId="0" xfId="0" applyNumberFormat="1" applyFont="1" applyFill="1" applyBorder="1" applyAlignment="1"/>
    <xf numFmtId="0" fontId="34" fillId="0" borderId="0" xfId="0" applyFont="1" applyFill="1" applyBorder="1" applyAlignment="1"/>
    <xf numFmtId="0" fontId="6" fillId="36" borderId="43" xfId="0" applyFont="1" applyFill="1" applyBorder="1" applyAlignment="1">
      <alignment horizontal="center"/>
    </xf>
    <xf numFmtId="0" fontId="6" fillId="41" borderId="24" xfId="0" applyFont="1" applyFill="1" applyBorder="1"/>
    <xf numFmtId="0" fontId="6" fillId="41" borderId="42" xfId="0" applyFont="1" applyFill="1" applyBorder="1"/>
    <xf numFmtId="0" fontId="0" fillId="13" borderId="7" xfId="0" applyFill="1" applyBorder="1"/>
    <xf numFmtId="0" fontId="6" fillId="36" borderId="24" xfId="0" applyFont="1" applyFill="1" applyBorder="1" applyAlignment="1">
      <alignment horizontal="center"/>
    </xf>
    <xf numFmtId="0" fontId="6" fillId="0" borderId="0" xfId="0" applyFont="1" applyFill="1" applyBorder="1"/>
    <xf numFmtId="0" fontId="42" fillId="18" borderId="0" xfId="0" applyFont="1" applyFill="1" applyBorder="1"/>
    <xf numFmtId="0" fontId="105" fillId="0" borderId="7" xfId="0" applyFont="1" applyBorder="1"/>
    <xf numFmtId="0" fontId="72" fillId="0" borderId="0" xfId="0" applyFont="1" applyBorder="1" applyAlignment="1">
      <alignment horizontal="left"/>
    </xf>
    <xf numFmtId="0" fontId="89" fillId="3" borderId="37" xfId="0" applyFont="1" applyFill="1" applyBorder="1"/>
    <xf numFmtId="0" fontId="72" fillId="3" borderId="10" xfId="0" applyFont="1" applyFill="1" applyBorder="1"/>
    <xf numFmtId="0" fontId="72" fillId="3" borderId="16" xfId="0" applyFont="1" applyFill="1" applyBorder="1"/>
    <xf numFmtId="0" fontId="0" fillId="0" borderId="9" xfId="0" applyFont="1" applyBorder="1" applyAlignment="1">
      <alignment horizontal="center"/>
    </xf>
    <xf numFmtId="0" fontId="24" fillId="5" borderId="31" xfId="0" applyFont="1" applyFill="1" applyBorder="1"/>
    <xf numFmtId="0" fontId="24" fillId="5" borderId="32" xfId="0" applyFont="1" applyFill="1" applyBorder="1"/>
    <xf numFmtId="0" fontId="24" fillId="5" borderId="28" xfId="0" applyFont="1" applyFill="1" applyBorder="1"/>
    <xf numFmtId="2" fontId="24" fillId="0" borderId="43" xfId="0" applyNumberFormat="1" applyFont="1" applyBorder="1"/>
    <xf numFmtId="0" fontId="24" fillId="0" borderId="54" xfId="0" applyFont="1" applyBorder="1"/>
    <xf numFmtId="0" fontId="48" fillId="5" borderId="44" xfId="0" applyFont="1" applyFill="1" applyBorder="1"/>
    <xf numFmtId="0" fontId="24" fillId="5" borderId="48" xfId="0" applyFont="1" applyFill="1" applyBorder="1"/>
    <xf numFmtId="0" fontId="24" fillId="5" borderId="46" xfId="0" applyFont="1" applyFill="1" applyBorder="1"/>
    <xf numFmtId="0" fontId="48" fillId="5" borderId="21" xfId="0" applyFont="1" applyFill="1" applyBorder="1"/>
    <xf numFmtId="0" fontId="24" fillId="5" borderId="30" xfId="0" applyFont="1" applyFill="1" applyBorder="1"/>
    <xf numFmtId="0" fontId="48" fillId="5" borderId="45" xfId="0" applyFont="1" applyFill="1" applyBorder="1"/>
    <xf numFmtId="0" fontId="48" fillId="5" borderId="53" xfId="0" applyFont="1" applyFill="1" applyBorder="1"/>
    <xf numFmtId="0" fontId="24" fillId="5" borderId="55" xfId="0" applyFont="1" applyFill="1" applyBorder="1"/>
    <xf numFmtId="0" fontId="24" fillId="5" borderId="31" xfId="0" applyFont="1" applyFill="1" applyBorder="1" applyAlignment="1">
      <alignment horizontal="center"/>
    </xf>
    <xf numFmtId="0" fontId="43" fillId="21" borderId="7" xfId="0" applyFont="1" applyFill="1" applyBorder="1"/>
    <xf numFmtId="0" fontId="24" fillId="21" borderId="0" xfId="0" applyFont="1" applyFill="1" applyBorder="1" applyAlignment="1">
      <alignment horizontal="left" vertical="center"/>
    </xf>
    <xf numFmtId="0" fontId="48" fillId="21" borderId="0" xfId="0" applyFont="1" applyFill="1" applyBorder="1"/>
    <xf numFmtId="0" fontId="24" fillId="13" borderId="22" xfId="0" applyFont="1" applyFill="1" applyBorder="1"/>
    <xf numFmtId="0" fontId="24" fillId="13" borderId="5" xfId="0" applyFont="1" applyFill="1" applyBorder="1"/>
    <xf numFmtId="0" fontId="0" fillId="0" borderId="0" xfId="0" applyBorder="1"/>
    <xf numFmtId="0" fontId="28" fillId="5" borderId="58" xfId="0" applyFont="1" applyFill="1" applyBorder="1"/>
    <xf numFmtId="0" fontId="30" fillId="5" borderId="10" xfId="0" applyFont="1" applyFill="1" applyBorder="1"/>
    <xf numFmtId="0" fontId="90" fillId="0" borderId="8" xfId="0" applyFont="1" applyBorder="1" applyAlignment="1">
      <alignment horizontal="left"/>
    </xf>
    <xf numFmtId="0" fontId="72" fillId="0" borderId="0" xfId="0" applyFont="1" applyBorder="1"/>
    <xf numFmtId="172" fontId="72" fillId="0" borderId="20" xfId="0" applyNumberFormat="1" applyFont="1" applyBorder="1" applyAlignment="1">
      <alignment horizontal="left"/>
    </xf>
    <xf numFmtId="171" fontId="9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2" fillId="0" borderId="14" xfId="0" applyFont="1" applyFill="1" applyBorder="1"/>
    <xf numFmtId="0" fontId="64" fillId="0" borderId="0" xfId="0" applyFont="1" applyFill="1" applyBorder="1"/>
    <xf numFmtId="165" fontId="64" fillId="0" borderId="0" xfId="0" applyNumberFormat="1" applyFont="1" applyFill="1" applyBorder="1"/>
    <xf numFmtId="0" fontId="24" fillId="0" borderId="7" xfId="0" applyFont="1" applyBorder="1" applyAlignment="1"/>
    <xf numFmtId="0" fontId="24" fillId="0" borderId="18" xfId="0" applyFont="1" applyBorder="1" applyAlignment="1"/>
    <xf numFmtId="20" fontId="110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7" fillId="0" borderId="0" xfId="0" applyNumberFormat="1" applyFont="1" applyBorder="1"/>
    <xf numFmtId="0" fontId="43" fillId="0" borderId="0" xfId="0" applyNumberFormat="1" applyFont="1" applyBorder="1" applyAlignment="1">
      <alignment horizontal="right"/>
    </xf>
    <xf numFmtId="0" fontId="67" fillId="0" borderId="0" xfId="0" applyNumberFormat="1" applyFont="1" applyBorder="1" applyAlignment="1">
      <alignment horizontal="left"/>
    </xf>
    <xf numFmtId="0" fontId="72" fillId="0" borderId="19" xfId="0" quotePrefix="1" applyNumberFormat="1" applyFont="1" applyBorder="1" applyAlignment="1">
      <alignment horizontal="right"/>
    </xf>
    <xf numFmtId="0" fontId="72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5" fontId="64" fillId="0" borderId="17" xfId="0" applyNumberFormat="1" applyFont="1" applyBorder="1"/>
    <xf numFmtId="168" fontId="64" fillId="0" borderId="11" xfId="0" applyNumberFormat="1" applyFont="1" applyBorder="1"/>
    <xf numFmtId="0" fontId="56" fillId="0" borderId="39" xfId="0" applyFont="1" applyBorder="1"/>
    <xf numFmtId="0" fontId="0" fillId="37" borderId="39" xfId="0" applyFill="1" applyBorder="1"/>
    <xf numFmtId="0" fontId="56" fillId="0" borderId="73" xfId="0" applyFont="1" applyBorder="1"/>
    <xf numFmtId="0" fontId="4" fillId="0" borderId="74" xfId="0" applyFont="1" applyBorder="1"/>
    <xf numFmtId="0" fontId="4" fillId="0" borderId="75" xfId="0" applyFont="1" applyBorder="1"/>
    <xf numFmtId="0" fontId="0" fillId="37" borderId="6" xfId="0" applyFill="1" applyBorder="1"/>
    <xf numFmtId="0" fontId="0" fillId="0" borderId="0" xfId="0"/>
    <xf numFmtId="0" fontId="46" fillId="2" borderId="77" xfId="1" applyFont="1" applyBorder="1" applyAlignment="1" applyProtection="1"/>
    <xf numFmtId="0" fontId="46" fillId="2" borderId="78" xfId="1" applyFont="1" applyBorder="1" applyAlignment="1" applyProtection="1"/>
    <xf numFmtId="0" fontId="28" fillId="0" borderId="8" xfId="0" applyFont="1" applyBorder="1" applyAlignment="1">
      <alignment horizontal="right"/>
    </xf>
    <xf numFmtId="49" fontId="28" fillId="0" borderId="0" xfId="0" applyNumberFormat="1" applyFont="1" applyBorder="1" applyAlignment="1">
      <alignment horizontal="right"/>
    </xf>
    <xf numFmtId="0" fontId="72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2" fillId="0" borderId="0" xfId="0" applyNumberFormat="1" applyFont="1" applyFill="1" applyBorder="1" applyAlignment="1">
      <alignment horizontal="left"/>
    </xf>
    <xf numFmtId="0" fontId="28" fillId="0" borderId="0" xfId="0" applyNumberFormat="1" applyFont="1" applyFill="1" applyBorder="1"/>
    <xf numFmtId="0" fontId="30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right"/>
    </xf>
    <xf numFmtId="0" fontId="110" fillId="0" borderId="0" xfId="0" applyNumberFormat="1" applyFont="1" applyFill="1" applyBorder="1" applyAlignment="1">
      <alignment horizontal="right"/>
    </xf>
    <xf numFmtId="0" fontId="95" fillId="0" borderId="0" xfId="0" applyNumberFormat="1" applyFont="1" applyFill="1" applyBorder="1" applyAlignment="1">
      <alignment horizontal="left"/>
    </xf>
    <xf numFmtId="0" fontId="135" fillId="0" borderId="0" xfId="0" quotePrefix="1" applyNumberFormat="1" applyFont="1" applyBorder="1" applyAlignment="1">
      <alignment horizontal="right"/>
    </xf>
    <xf numFmtId="0" fontId="136" fillId="0" borderId="8" xfId="0" applyFont="1" applyBorder="1" applyAlignment="1">
      <alignment horizontal="right"/>
    </xf>
    <xf numFmtId="0" fontId="13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1" fillId="0" borderId="8" xfId="0" applyFont="1" applyBorder="1"/>
    <xf numFmtId="0" fontId="51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37" fillId="0" borderId="8" xfId="0" applyFont="1" applyBorder="1"/>
    <xf numFmtId="0" fontId="9" fillId="0" borderId="9" xfId="0" applyFont="1" applyBorder="1"/>
    <xf numFmtId="49" fontId="137" fillId="0" borderId="12" xfId="0" applyNumberFormat="1" applyFont="1" applyBorder="1" applyAlignment="1"/>
    <xf numFmtId="0" fontId="9" fillId="0" borderId="0" xfId="0" applyFont="1"/>
    <xf numFmtId="0" fontId="137" fillId="0" borderId="3" xfId="0" applyFont="1" applyBorder="1" applyAlignment="1">
      <alignment horizontal="left"/>
    </xf>
    <xf numFmtId="0" fontId="137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37" fillId="0" borderId="38" xfId="0" applyFont="1" applyBorder="1" applyAlignment="1">
      <alignment horizontal="center"/>
    </xf>
    <xf numFmtId="0" fontId="137" fillId="0" borderId="4" xfId="0" applyFont="1" applyBorder="1" applyAlignment="1">
      <alignment horizontal="center"/>
    </xf>
    <xf numFmtId="0" fontId="137" fillId="0" borderId="7" xfId="0" applyFont="1" applyBorder="1"/>
    <xf numFmtId="165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38" fillId="0" borderId="12" xfId="0" applyNumberFormat="1" applyFont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5" fontId="9" fillId="0" borderId="8" xfId="0" applyNumberFormat="1" applyFont="1" applyBorder="1" applyAlignment="1">
      <alignment horizontal="center"/>
    </xf>
    <xf numFmtId="0" fontId="137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37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37" fillId="0" borderId="6" xfId="0" applyFont="1" applyBorder="1" applyAlignment="1">
      <alignment horizontal="center"/>
    </xf>
    <xf numFmtId="0" fontId="137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1" fillId="0" borderId="3" xfId="0" applyFont="1" applyBorder="1"/>
    <xf numFmtId="0" fontId="72" fillId="0" borderId="7" xfId="0" applyNumberFormat="1" applyFont="1" applyFill="1" applyBorder="1" applyAlignment="1">
      <alignment horizontal="right"/>
    </xf>
    <xf numFmtId="0" fontId="72" fillId="0" borderId="12" xfId="0" applyNumberFormat="1" applyFont="1" applyFill="1" applyBorder="1" applyAlignment="1">
      <alignment horizontal="right"/>
    </xf>
    <xf numFmtId="0" fontId="28" fillId="0" borderId="7" xfId="0" applyNumberFormat="1" applyFont="1" applyFill="1" applyBorder="1" applyAlignment="1">
      <alignment horizontal="right"/>
    </xf>
    <xf numFmtId="0" fontId="28" fillId="0" borderId="18" xfId="0" applyNumberFormat="1" applyFont="1" applyFill="1" applyBorder="1" applyAlignment="1">
      <alignment horizontal="right"/>
    </xf>
    <xf numFmtId="0" fontId="28" fillId="0" borderId="19" xfId="0" applyNumberFormat="1" applyFont="1" applyFill="1" applyBorder="1" applyAlignment="1">
      <alignment horizontal="right"/>
    </xf>
    <xf numFmtId="0" fontId="72" fillId="0" borderId="19" xfId="0" applyNumberFormat="1" applyFont="1" applyFill="1" applyBorder="1" applyAlignment="1">
      <alignment horizontal="right"/>
    </xf>
    <xf numFmtId="0" fontId="72" fillId="0" borderId="20" xfId="0" applyNumberFormat="1" applyFont="1" applyFill="1" applyBorder="1" applyAlignment="1">
      <alignment horizontal="right"/>
    </xf>
    <xf numFmtId="0" fontId="89" fillId="3" borderId="16" xfId="0" applyFont="1" applyFill="1" applyBorder="1"/>
    <xf numFmtId="0" fontId="27" fillId="0" borderId="7" xfId="0" applyFont="1" applyBorder="1"/>
    <xf numFmtId="0" fontId="27" fillId="0" borderId="0" xfId="0" applyFont="1" applyBorder="1" applyAlignment="1">
      <alignment horizontal="left"/>
    </xf>
    <xf numFmtId="0" fontId="139" fillId="0" borderId="7" xfId="0" applyFont="1" applyBorder="1" applyAlignment="1">
      <alignment horizontal="left"/>
    </xf>
    <xf numFmtId="0" fontId="24" fillId="0" borderId="0" xfId="0" quotePrefix="1" applyFont="1" applyBorder="1"/>
    <xf numFmtId="0" fontId="24" fillId="0" borderId="0" xfId="0" quotePrefix="1" applyFont="1" applyBorder="1" applyAlignment="1">
      <alignment horizontal="right"/>
    </xf>
    <xf numFmtId="165" fontId="43" fillId="0" borderId="0" xfId="0" applyNumberFormat="1" applyFont="1" applyBorder="1" applyAlignment="1">
      <alignment horizontal="right"/>
    </xf>
    <xf numFmtId="0" fontId="27" fillId="0" borderId="0" xfId="0" applyFont="1"/>
    <xf numFmtId="49" fontId="24" fillId="0" borderId="0" xfId="0" quotePrefix="1" applyNumberFormat="1" applyFont="1" applyBorder="1"/>
    <xf numFmtId="0" fontId="27" fillId="0" borderId="18" xfId="0" applyFont="1" applyBorder="1"/>
    <xf numFmtId="0" fontId="27" fillId="0" borderId="19" xfId="0" applyFont="1" applyBorder="1"/>
    <xf numFmtId="49" fontId="43" fillId="0" borderId="19" xfId="0" applyNumberFormat="1" applyFont="1" applyBorder="1" applyAlignment="1">
      <alignment horizontal="right"/>
    </xf>
    <xf numFmtId="49" fontId="24" fillId="0" borderId="19" xfId="0" quotePrefix="1" applyNumberFormat="1" applyFont="1" applyBorder="1"/>
    <xf numFmtId="0" fontId="0" fillId="0" borderId="20" xfId="0" applyNumberFormat="1" applyBorder="1"/>
    <xf numFmtId="0" fontId="0" fillId="0" borderId="0" xfId="0"/>
    <xf numFmtId="165" fontId="64" fillId="0" borderId="0" xfId="0" applyNumberFormat="1" applyFont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0" fillId="8" borderId="4" xfId="0" applyFill="1" applyBorder="1" applyAlignment="1">
      <alignment horizontal="right"/>
    </xf>
    <xf numFmtId="0" fontId="31" fillId="8" borderId="2" xfId="0" applyFont="1" applyFill="1" applyBorder="1" applyAlignment="1">
      <alignment horizontal="right"/>
    </xf>
    <xf numFmtId="0" fontId="31" fillId="8" borderId="4" xfId="0" applyFont="1" applyFill="1" applyBorder="1" applyAlignment="1">
      <alignment horizontal="right"/>
    </xf>
    <xf numFmtId="0" fontId="31" fillId="8" borderId="4" xfId="0" applyFont="1" applyFill="1" applyBorder="1" applyAlignment="1"/>
    <xf numFmtId="0" fontId="0" fillId="0" borderId="0" xfId="0"/>
    <xf numFmtId="0" fontId="39" fillId="0" borderId="0" xfId="0" applyFont="1" applyBorder="1"/>
    <xf numFmtId="0" fontId="39" fillId="0" borderId="0" xfId="0" applyFont="1" applyBorder="1" applyAlignment="1">
      <alignment horizontal="center"/>
    </xf>
    <xf numFmtId="165" fontId="39" fillId="0" borderId="0" xfId="0" applyNumberFormat="1" applyFont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1" fontId="39" fillId="0" borderId="0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65" fontId="39" fillId="0" borderId="0" xfId="0" applyNumberFormat="1" applyFont="1" applyAlignment="1">
      <alignment horizontal="center"/>
    </xf>
    <xf numFmtId="0" fontId="140" fillId="0" borderId="0" xfId="0" applyFont="1" applyFill="1" applyBorder="1" applyAlignment="1">
      <alignment textRotation="60" wrapText="1"/>
    </xf>
    <xf numFmtId="0" fontId="141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69" fillId="26" borderId="5" xfId="0" applyFont="1" applyFill="1" applyBorder="1" applyAlignment="1"/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5" xfId="0" applyFont="1" applyBorder="1"/>
    <xf numFmtId="0" fontId="0" fillId="0" borderId="3" xfId="0" applyBorder="1" applyAlignment="1">
      <alignment horizontal="left"/>
    </xf>
    <xf numFmtId="0" fontId="7" fillId="0" borderId="18" xfId="0" applyFont="1" applyBorder="1"/>
    <xf numFmtId="171" fontId="18" fillId="0" borderId="0" xfId="0" applyNumberFormat="1" applyFont="1" applyBorder="1" applyAlignment="1">
      <alignment horizontal="left"/>
    </xf>
    <xf numFmtId="0" fontId="7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9" fillId="0" borderId="0" xfId="0" applyFont="1" applyFill="1" applyBorder="1"/>
    <xf numFmtId="165" fontId="36" fillId="0" borderId="0" xfId="0" applyNumberFormat="1" applyFont="1" applyFill="1" applyBorder="1"/>
    <xf numFmtId="0" fontId="56" fillId="0" borderId="0" xfId="0" applyFont="1" applyFill="1" applyBorder="1"/>
    <xf numFmtId="173" fontId="18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7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3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8" fillId="0" borderId="19" xfId="0" applyFont="1" applyBorder="1" applyAlignment="1"/>
    <xf numFmtId="0" fontId="72" fillId="0" borderId="2" xfId="0" applyFont="1" applyBorder="1" applyAlignment="1">
      <alignment horizontal="centerContinuous"/>
    </xf>
    <xf numFmtId="0" fontId="72" fillId="0" borderId="3" xfId="0" applyFont="1" applyBorder="1" applyAlignment="1">
      <alignment horizontal="centerContinuous"/>
    </xf>
    <xf numFmtId="14" fontId="28" fillId="0" borderId="2" xfId="0" applyNumberFormat="1" applyFont="1" applyBorder="1" applyAlignment="1">
      <alignment horizontal="centerContinuous"/>
    </xf>
    <xf numFmtId="14" fontId="28" fillId="0" borderId="3" xfId="0" applyNumberFormat="1" applyFont="1" applyBorder="1" applyAlignment="1">
      <alignment horizontal="centerContinuous"/>
    </xf>
    <xf numFmtId="0" fontId="72" fillId="0" borderId="4" xfId="0" applyFont="1" applyBorder="1" applyAlignment="1">
      <alignment horizontal="centerContinuous"/>
    </xf>
    <xf numFmtId="0" fontId="28" fillId="0" borderId="2" xfId="0" applyFont="1" applyBorder="1" applyAlignment="1">
      <alignment horizontal="centerContinuous"/>
    </xf>
    <xf numFmtId="0" fontId="28" fillId="0" borderId="4" xfId="0" applyFont="1" applyBorder="1" applyAlignment="1">
      <alignment horizontal="centerContinuous"/>
    </xf>
    <xf numFmtId="0" fontId="28" fillId="0" borderId="15" xfId="0" applyFont="1" applyBorder="1" applyAlignment="1">
      <alignment horizontal="centerContinuous"/>
    </xf>
    <xf numFmtId="0" fontId="28" fillId="0" borderId="8" xfId="0" applyFont="1" applyBorder="1" applyAlignment="1">
      <alignment horizontal="centerContinuous"/>
    </xf>
    <xf numFmtId="0" fontId="28" fillId="0" borderId="18" xfId="0" applyFont="1" applyBorder="1" applyAlignment="1">
      <alignment horizontal="centerContinuous"/>
    </xf>
    <xf numFmtId="0" fontId="28" fillId="0" borderId="19" xfId="0" applyFont="1" applyBorder="1" applyAlignment="1">
      <alignment horizontal="centerContinuous"/>
    </xf>
    <xf numFmtId="0" fontId="28" fillId="0" borderId="3" xfId="0" applyFont="1" applyBorder="1" applyAlignment="1">
      <alignment horizontal="centerContinuous"/>
    </xf>
    <xf numFmtId="0" fontId="28" fillId="0" borderId="9" xfId="0" applyFont="1" applyBorder="1" applyAlignment="1">
      <alignment horizontal="centerContinuous"/>
    </xf>
    <xf numFmtId="0" fontId="28" fillId="0" borderId="20" xfId="0" applyFont="1" applyBorder="1" applyAlignment="1">
      <alignment horizontal="centerContinuous"/>
    </xf>
    <xf numFmtId="0" fontId="72" fillId="0" borderId="9" xfId="0" applyFont="1" applyBorder="1" applyAlignment="1">
      <alignment horizontal="centerContinuous"/>
    </xf>
    <xf numFmtId="14" fontId="28" fillId="0" borderId="4" xfId="0" applyNumberFormat="1" applyFont="1" applyBorder="1" applyAlignment="1">
      <alignment horizontal="centerContinuous"/>
    </xf>
    <xf numFmtId="0" fontId="72" fillId="0" borderId="7" xfId="0" applyFont="1" applyBorder="1" applyAlignment="1">
      <alignment horizontal="centerContinuous"/>
    </xf>
    <xf numFmtId="0" fontId="72" fillId="0" borderId="0" xfId="0" applyFont="1" applyBorder="1" applyAlignment="1">
      <alignment horizontal="centerContinuous"/>
    </xf>
    <xf numFmtId="0" fontId="28" fillId="0" borderId="15" xfId="0" applyFont="1" applyFill="1" applyBorder="1" applyAlignment="1">
      <alignment horizontal="center"/>
    </xf>
    <xf numFmtId="0" fontId="72" fillId="0" borderId="20" xfId="0" applyFont="1" applyBorder="1" applyAlignment="1">
      <alignment horizontal="centerContinuous"/>
    </xf>
    <xf numFmtId="0" fontId="28" fillId="3" borderId="13" xfId="0" applyFont="1" applyFill="1" applyBorder="1"/>
    <xf numFmtId="0" fontId="27" fillId="0" borderId="11" xfId="0" applyNumberFormat="1" applyFont="1" applyFill="1" applyBorder="1"/>
    <xf numFmtId="0" fontId="27" fillId="0" borderId="14" xfId="0" applyNumberFormat="1" applyFont="1" applyBorder="1"/>
    <xf numFmtId="0" fontId="72" fillId="0" borderId="14" xfId="0" applyNumberFormat="1" applyFont="1" applyFill="1" applyBorder="1"/>
    <xf numFmtId="0" fontId="27" fillId="0" borderId="17" xfId="0" applyFont="1" applyBorder="1"/>
    <xf numFmtId="0" fontId="28" fillId="8" borderId="9" xfId="0" applyFont="1" applyFill="1" applyBorder="1"/>
    <xf numFmtId="0" fontId="89" fillId="10" borderId="2" xfId="0" applyFont="1" applyFill="1" applyBorder="1"/>
    <xf numFmtId="2" fontId="64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4" fillId="0" borderId="2" xfId="0" applyNumberFormat="1" applyFont="1" applyBorder="1" applyAlignment="1">
      <alignment horizontal="centerContinuous"/>
    </xf>
    <xf numFmtId="14" fontId="64" fillId="0" borderId="3" xfId="0" applyNumberFormat="1" applyFont="1" applyBorder="1" applyAlignment="1">
      <alignment horizontal="centerContinuous"/>
    </xf>
    <xf numFmtId="14" fontId="64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4" fillId="0" borderId="0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7" fillId="0" borderId="2" xfId="0" applyFont="1" applyBorder="1" applyAlignment="1">
      <alignment horizontal="centerContinuous"/>
    </xf>
    <xf numFmtId="0" fontId="7" fillId="0" borderId="3" xfId="0" applyFont="1" applyBorder="1" applyAlignment="1">
      <alignment horizontal="centerContinuous"/>
    </xf>
    <xf numFmtId="0" fontId="7" fillId="0" borderId="4" xfId="0" applyFont="1" applyBorder="1" applyAlignment="1">
      <alignment horizontal="centerContinuous"/>
    </xf>
    <xf numFmtId="0" fontId="7" fillId="0" borderId="15" xfId="0" applyNumberFormat="1" applyFont="1" applyBorder="1" applyAlignment="1">
      <alignment horizontal="centerContinuous"/>
    </xf>
    <xf numFmtId="0" fontId="7" fillId="0" borderId="8" xfId="0" applyNumberFormat="1" applyFont="1" applyBorder="1" applyAlignment="1">
      <alignment horizontal="centerContinuous"/>
    </xf>
    <xf numFmtId="0" fontId="7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4" fillId="22" borderId="0" xfId="0" applyFont="1" applyFill="1" applyBorder="1"/>
    <xf numFmtId="0" fontId="24" fillId="22" borderId="0" xfId="0" applyFont="1" applyFill="1" applyBorder="1" applyAlignment="1">
      <alignment horizontal="right"/>
    </xf>
    <xf numFmtId="0" fontId="24" fillId="0" borderId="48" xfId="0" applyFont="1" applyFill="1" applyBorder="1" applyAlignment="1">
      <alignment horizontal="right"/>
    </xf>
    <xf numFmtId="0" fontId="24" fillId="0" borderId="30" xfId="0" applyFont="1" applyFill="1" applyBorder="1"/>
    <xf numFmtId="0" fontId="24" fillId="22" borderId="30" xfId="0" applyFont="1" applyFill="1" applyBorder="1"/>
    <xf numFmtId="0" fontId="24" fillId="22" borderId="53" xfId="0" applyFont="1" applyFill="1" applyBorder="1" applyAlignment="1">
      <alignment horizontal="right"/>
    </xf>
    <xf numFmtId="0" fontId="24" fillId="22" borderId="53" xfId="0" applyFont="1" applyFill="1" applyBorder="1"/>
    <xf numFmtId="0" fontId="24" fillId="22" borderId="55" xfId="0" applyFont="1" applyFill="1" applyBorder="1"/>
    <xf numFmtId="0" fontId="24" fillId="0" borderId="8" xfId="0" applyFont="1" applyFill="1" applyBorder="1" applyAlignment="1">
      <alignment horizontal="right"/>
    </xf>
    <xf numFmtId="0" fontId="24" fillId="0" borderId="8" xfId="0" applyFont="1" applyFill="1" applyBorder="1" applyAlignment="1">
      <alignment horizontal="left"/>
    </xf>
    <xf numFmtId="0" fontId="24" fillId="5" borderId="68" xfId="0" applyFont="1" applyFill="1" applyBorder="1"/>
    <xf numFmtId="0" fontId="24" fillId="22" borderId="7" xfId="0" applyFont="1" applyFill="1" applyBorder="1"/>
    <xf numFmtId="0" fontId="24" fillId="22" borderId="79" xfId="0" applyFont="1" applyFill="1" applyBorder="1"/>
    <xf numFmtId="0" fontId="43" fillId="17" borderId="15" xfId="0" applyFont="1" applyFill="1" applyBorder="1"/>
    <xf numFmtId="0" fontId="47" fillId="0" borderId="0" xfId="0" applyFont="1" applyFill="1" applyBorder="1"/>
    <xf numFmtId="0" fontId="47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2" fillId="0" borderId="0" xfId="0" applyFont="1" applyFill="1" applyBorder="1"/>
    <xf numFmtId="165" fontId="43" fillId="0" borderId="0" xfId="0" applyNumberFormat="1" applyFont="1" applyFill="1" applyBorder="1" applyAlignment="1">
      <alignment horizontal="center"/>
    </xf>
    <xf numFmtId="165" fontId="29" fillId="0" borderId="0" xfId="0" applyNumberFormat="1" applyFont="1" applyFill="1" applyBorder="1" applyAlignment="1">
      <alignment horizontal="center"/>
    </xf>
    <xf numFmtId="2" fontId="44" fillId="0" borderId="0" xfId="0" applyNumberFormat="1" applyFont="1" applyFill="1" applyBorder="1" applyAlignment="1">
      <alignment horizontal="center"/>
    </xf>
    <xf numFmtId="2" fontId="51" fillId="0" borderId="0" xfId="0" applyNumberFormat="1" applyFont="1" applyFill="1" applyBorder="1" applyAlignment="1">
      <alignment horizontal="center"/>
    </xf>
    <xf numFmtId="2" fontId="47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/>
    <xf numFmtId="0" fontId="72" fillId="14" borderId="13" xfId="0" applyFont="1" applyFill="1" applyBorder="1" applyAlignment="1"/>
    <xf numFmtId="0" fontId="72" fillId="14" borderId="14" xfId="0" applyFont="1" applyFill="1" applyBorder="1" applyAlignment="1">
      <alignment horizontal="right"/>
    </xf>
    <xf numFmtId="0" fontId="22" fillId="14" borderId="7" xfId="0" applyFont="1" applyFill="1" applyBorder="1"/>
    <xf numFmtId="0" fontId="22" fillId="14" borderId="14" xfId="0" applyFont="1" applyFill="1" applyBorder="1" applyAlignment="1">
      <alignment horizontal="right"/>
    </xf>
    <xf numFmtId="0" fontId="72" fillId="14" borderId="13" xfId="0" applyFont="1" applyFill="1" applyBorder="1"/>
    <xf numFmtId="0" fontId="72" fillId="14" borderId="16" xfId="0" applyFont="1" applyFill="1" applyBorder="1"/>
    <xf numFmtId="0" fontId="72" fillId="14" borderId="17" xfId="0" applyFont="1" applyFill="1" applyBorder="1"/>
    <xf numFmtId="0" fontId="0" fillId="0" borderId="0" xfId="0"/>
    <xf numFmtId="0" fontId="28" fillId="26" borderId="0" xfId="0" applyFont="1" applyFill="1" applyBorder="1" applyAlignment="1">
      <alignment horizontal="right"/>
    </xf>
    <xf numFmtId="2" fontId="27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6" fillId="0" borderId="0" xfId="4" applyBorder="1" applyAlignment="1">
      <alignment horizontal="center" vertical="center"/>
    </xf>
    <xf numFmtId="0" fontId="16" fillId="43" borderId="0" xfId="4" applyFill="1" applyBorder="1" applyAlignment="1">
      <alignment horizontal="center" vertical="center"/>
    </xf>
    <xf numFmtId="0" fontId="16" fillId="13" borderId="0" xfId="4" applyFill="1" applyBorder="1" applyAlignment="1">
      <alignment horizontal="center" vertical="center"/>
    </xf>
    <xf numFmtId="0" fontId="16" fillId="0" borderId="0" xfId="4" applyFill="1" applyBorder="1" applyAlignment="1">
      <alignment horizontal="center" vertical="center"/>
    </xf>
    <xf numFmtId="165" fontId="16" fillId="0" borderId="0" xfId="4" applyNumberFormat="1" applyFill="1" applyBorder="1" applyAlignment="1">
      <alignment horizontal="right" vertical="center"/>
    </xf>
    <xf numFmtId="165" fontId="16" fillId="0" borderId="0" xfId="4" applyNumberFormat="1" applyBorder="1" applyAlignment="1">
      <alignment horizontal="right"/>
    </xf>
    <xf numFmtId="0" fontId="72" fillId="0" borderId="0" xfId="0" applyFont="1" applyBorder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72" fillId="14" borderId="5" xfId="0" applyFont="1" applyFill="1" applyBorder="1" applyAlignment="1">
      <alignment horizontal="centerContinuous"/>
    </xf>
    <xf numFmtId="0" fontId="89" fillId="44" borderId="38" xfId="0" applyFont="1" applyFill="1" applyBorder="1"/>
    <xf numFmtId="0" fontId="0" fillId="6" borderId="39" xfId="0" applyFill="1" applyBorder="1"/>
    <xf numFmtId="49" fontId="72" fillId="0" borderId="0" xfId="0" applyNumberFormat="1" applyFont="1" applyFill="1" applyBorder="1" applyAlignment="1"/>
    <xf numFmtId="0" fontId="72" fillId="0" borderId="0" xfId="0" applyNumberFormat="1" applyFont="1" applyFill="1" applyBorder="1" applyAlignment="1"/>
    <xf numFmtId="171" fontId="72" fillId="0" borderId="0" xfId="0" applyNumberFormat="1" applyFont="1" applyBorder="1"/>
    <xf numFmtId="171" fontId="72" fillId="0" borderId="0" xfId="0" applyNumberFormat="1" applyFont="1" applyBorder="1" applyAlignment="1">
      <alignment horizontal="left"/>
    </xf>
    <xf numFmtId="171" fontId="72" fillId="0" borderId="0" xfId="0" quotePrefix="1" applyNumberFormat="1" applyFont="1" applyBorder="1" applyAlignment="1">
      <alignment horizontal="right"/>
    </xf>
    <xf numFmtId="171" fontId="72" fillId="0" borderId="0" xfId="0" applyNumberFormat="1" applyFont="1" applyBorder="1" applyAlignment="1">
      <alignment horizontal="center"/>
    </xf>
    <xf numFmtId="171" fontId="28" fillId="0" borderId="0" xfId="0" applyNumberFormat="1" applyFont="1" applyBorder="1" applyAlignment="1">
      <alignment horizontal="left"/>
    </xf>
    <xf numFmtId="171" fontId="43" fillId="0" borderId="0" xfId="0" applyNumberFormat="1" applyFont="1" applyBorder="1" applyAlignment="1">
      <alignment horizontal="right"/>
    </xf>
    <xf numFmtId="171" fontId="43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5" fillId="0" borderId="0" xfId="0" applyNumberFormat="1" applyFont="1" applyBorder="1" applyAlignment="1">
      <alignment horizontal="center"/>
    </xf>
    <xf numFmtId="171" fontId="72" fillId="0" borderId="12" xfId="0" applyNumberFormat="1" applyFont="1" applyBorder="1" applyAlignment="1">
      <alignment horizontal="center"/>
    </xf>
    <xf numFmtId="49" fontId="28" fillId="0" borderId="0" xfId="0" applyNumberFormat="1" applyFont="1" applyBorder="1" applyAlignment="1"/>
    <xf numFmtId="1" fontId="28" fillId="0" borderId="0" xfId="0" applyNumberFormat="1" applyFont="1" applyBorder="1" applyAlignment="1">
      <alignment horizontal="center"/>
    </xf>
    <xf numFmtId="1" fontId="28" fillId="0" borderId="0" xfId="0" applyNumberFormat="1" applyFont="1" applyBorder="1"/>
    <xf numFmtId="171" fontId="28" fillId="0" borderId="12" xfId="0" applyNumberFormat="1" applyFont="1" applyBorder="1" applyAlignment="1">
      <alignment horizontal="left"/>
    </xf>
    <xf numFmtId="49" fontId="27" fillId="0" borderId="12" xfId="0" applyNumberFormat="1" applyFont="1" applyBorder="1"/>
    <xf numFmtId="49" fontId="34" fillId="0" borderId="0" xfId="0" applyNumberFormat="1" applyFont="1" applyBorder="1" applyAlignment="1">
      <alignment horizontal="right"/>
    </xf>
    <xf numFmtId="0" fontId="34" fillId="0" borderId="0" xfId="0" applyFont="1" applyBorder="1" applyAlignment="1">
      <alignment horizontal="left"/>
    </xf>
    <xf numFmtId="1" fontId="34" fillId="0" borderId="0" xfId="0" applyNumberFormat="1" applyFont="1" applyBorder="1" applyAlignment="1">
      <alignment horizontal="center"/>
    </xf>
    <xf numFmtId="1" fontId="34" fillId="0" borderId="0" xfId="0" applyNumberFormat="1" applyFont="1" applyBorder="1"/>
    <xf numFmtId="49" fontId="137" fillId="0" borderId="12" xfId="0" applyNumberFormat="1" applyFont="1" applyBorder="1" applyAlignment="1">
      <alignment horizontal="left" vertical="top"/>
    </xf>
    <xf numFmtId="20" fontId="27" fillId="0" borderId="0" xfId="0" quotePrefix="1" applyNumberFormat="1" applyFont="1" applyBorder="1" applyAlignment="1">
      <alignment horizontal="right"/>
    </xf>
    <xf numFmtId="49" fontId="28" fillId="0" borderId="12" xfId="0" applyNumberFormat="1" applyFont="1" applyBorder="1" applyAlignment="1">
      <alignment horizontal="left"/>
    </xf>
    <xf numFmtId="20" fontId="37" fillId="0" borderId="0" xfId="0" applyNumberFormat="1" applyFont="1" applyBorder="1" applyAlignment="1">
      <alignment horizontal="right"/>
    </xf>
    <xf numFmtId="0" fontId="53" fillId="0" borderId="58" xfId="0" applyFont="1" applyFill="1" applyBorder="1" applyAlignment="1">
      <alignment horizontal="center"/>
    </xf>
    <xf numFmtId="0" fontId="0" fillId="0" borderId="71" xfId="0" applyBorder="1"/>
    <xf numFmtId="0" fontId="139" fillId="13" borderId="0" xfId="0" applyNumberFormat="1" applyFont="1" applyFill="1"/>
    <xf numFmtId="0" fontId="27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8" fillId="0" borderId="12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left"/>
    </xf>
    <xf numFmtId="174" fontId="28" fillId="0" borderId="0" xfId="0" quotePrefix="1" applyNumberFormat="1" applyFont="1" applyBorder="1" applyAlignment="1">
      <alignment horizontal="right"/>
    </xf>
    <xf numFmtId="174" fontId="28" fillId="0" borderId="0" xfId="0" applyNumberFormat="1" applyFont="1" applyBorder="1" applyAlignment="1">
      <alignment horizontal="right"/>
    </xf>
    <xf numFmtId="174" fontId="28" fillId="0" borderId="12" xfId="0" applyNumberFormat="1" applyFont="1" applyBorder="1" applyAlignment="1">
      <alignment horizontal="left"/>
    </xf>
    <xf numFmtId="174" fontId="72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right"/>
    </xf>
    <xf numFmtId="174" fontId="18" fillId="0" borderId="0" xfId="0" applyNumberFormat="1" applyFont="1" applyBorder="1" applyAlignment="1">
      <alignment horizontal="left"/>
    </xf>
    <xf numFmtId="174" fontId="18" fillId="0" borderId="19" xfId="0" applyNumberFormat="1" applyFont="1" applyBorder="1" applyAlignment="1">
      <alignment horizontal="center"/>
    </xf>
    <xf numFmtId="174" fontId="34" fillId="0" borderId="0" xfId="0" applyNumberFormat="1" applyFont="1" applyBorder="1" applyAlignment="1">
      <alignment horizontal="right"/>
    </xf>
    <xf numFmtId="174" fontId="15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4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8" fillId="7" borderId="13" xfId="0" applyFont="1" applyFill="1" applyBorder="1"/>
    <xf numFmtId="0" fontId="72" fillId="21" borderId="14" xfId="0" applyFont="1" applyFill="1" applyBorder="1"/>
    <xf numFmtId="0" fontId="28" fillId="7" borderId="16" xfId="0" applyFont="1" applyFill="1" applyBorder="1"/>
    <xf numFmtId="0" fontId="72" fillId="10" borderId="10" xfId="0" applyFont="1" applyFill="1" applyBorder="1"/>
    <xf numFmtId="0" fontId="72" fillId="8" borderId="11" xfId="0" applyFont="1" applyFill="1" applyBorder="1"/>
    <xf numFmtId="0" fontId="72" fillId="7" borderId="16" xfId="0" applyFont="1" applyFill="1" applyBorder="1"/>
    <xf numFmtId="0" fontId="52" fillId="0" borderId="37" xfId="0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0" fillId="0" borderId="80" xfId="0" applyBorder="1"/>
    <xf numFmtId="0" fontId="32" fillId="0" borderId="41" xfId="0" applyFont="1" applyBorder="1" applyAlignment="1">
      <alignment horizontal="center"/>
    </xf>
    <xf numFmtId="0" fontId="0" fillId="0" borderId="81" xfId="0" applyBorder="1"/>
    <xf numFmtId="0" fontId="32" fillId="0" borderId="39" xfId="0" applyFont="1" applyBorder="1" applyAlignment="1">
      <alignment horizontal="center"/>
    </xf>
    <xf numFmtId="0" fontId="72" fillId="8" borderId="12" xfId="0" applyFont="1" applyFill="1" applyBorder="1"/>
    <xf numFmtId="0" fontId="67" fillId="0" borderId="14" xfId="0" applyNumberFormat="1" applyFont="1" applyFill="1" applyBorder="1"/>
    <xf numFmtId="0" fontId="68" fillId="0" borderId="14" xfId="0" applyNumberFormat="1" applyFont="1" applyFill="1" applyBorder="1"/>
    <xf numFmtId="0" fontId="28" fillId="0" borderId="14" xfId="0" applyFont="1" applyFill="1" applyBorder="1"/>
    <xf numFmtId="0" fontId="72" fillId="0" borderId="17" xfId="0" applyFont="1" applyFill="1" applyBorder="1"/>
    <xf numFmtId="0" fontId="72" fillId="21" borderId="17" xfId="0" applyFont="1" applyFill="1" applyBorder="1"/>
    <xf numFmtId="0" fontId="72" fillId="8" borderId="7" xfId="0" applyFont="1" applyFill="1" applyBorder="1"/>
    <xf numFmtId="0" fontId="72" fillId="44" borderId="38" xfId="0" applyFont="1" applyFill="1" applyBorder="1"/>
    <xf numFmtId="0" fontId="72" fillId="44" borderId="2" xfId="0" applyFont="1" applyFill="1" applyBorder="1"/>
    <xf numFmtId="0" fontId="72" fillId="6" borderId="39" xfId="0" applyFont="1" applyFill="1" applyBorder="1"/>
    <xf numFmtId="0" fontId="27" fillId="0" borderId="0" xfId="0" applyNumberFormat="1" applyFont="1"/>
    <xf numFmtId="0" fontId="24" fillId="0" borderId="9" xfId="0" applyFont="1" applyFill="1" applyBorder="1"/>
    <xf numFmtId="0" fontId="95" fillId="0" borderId="0" xfId="0" applyFont="1" applyBorder="1" applyAlignment="1">
      <alignment horizontal="left"/>
    </xf>
    <xf numFmtId="165" fontId="105" fillId="18" borderId="4" xfId="0" applyNumberFormat="1" applyFont="1" applyFill="1" applyBorder="1"/>
    <xf numFmtId="0" fontId="24" fillId="5" borderId="82" xfId="0" applyFont="1" applyFill="1" applyBorder="1"/>
    <xf numFmtId="0" fontId="24" fillId="5" borderId="57" xfId="0" applyFont="1" applyFill="1" applyBorder="1"/>
    <xf numFmtId="0" fontId="145" fillId="0" borderId="0" xfId="0" applyFont="1" applyAlignment="1"/>
    <xf numFmtId="2" fontId="0" fillId="5" borderId="17" xfId="0" applyNumberFormat="1" applyFill="1" applyBorder="1"/>
    <xf numFmtId="0" fontId="44" fillId="0" borderId="0" xfId="0" applyNumberFormat="1" applyFont="1" applyFill="1" applyBorder="1" applyAlignment="1">
      <alignment horizontal="center"/>
    </xf>
    <xf numFmtId="0" fontId="143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6" fillId="0" borderId="0" xfId="1" applyFont="1" applyFill="1" applyBorder="1" applyAlignment="1" applyProtection="1">
      <alignment horizontal="left"/>
    </xf>
    <xf numFmtId="0" fontId="24" fillId="5" borderId="44" xfId="0" applyFont="1" applyFill="1" applyBorder="1"/>
    <xf numFmtId="0" fontId="24" fillId="5" borderId="45" xfId="0" applyFont="1" applyFill="1" applyBorder="1"/>
    <xf numFmtId="0" fontId="24" fillId="5" borderId="53" xfId="0" applyFont="1" applyFill="1" applyBorder="1"/>
    <xf numFmtId="0" fontId="24" fillId="5" borderId="62" xfId="0" applyFont="1" applyFill="1" applyBorder="1"/>
    <xf numFmtId="0" fontId="24" fillId="5" borderId="72" xfId="0" applyFont="1" applyFill="1" applyBorder="1"/>
    <xf numFmtId="0" fontId="24" fillId="5" borderId="71" xfId="0" applyFont="1" applyFill="1" applyBorder="1"/>
    <xf numFmtId="0" fontId="24" fillId="5" borderId="74" xfId="0" applyFont="1" applyFill="1" applyBorder="1" applyAlignment="1">
      <alignment horizontal="right"/>
    </xf>
    <xf numFmtId="0" fontId="28" fillId="30" borderId="0" xfId="0" applyFont="1" applyFill="1" applyBorder="1" applyAlignment="1">
      <alignment horizontal="right"/>
    </xf>
    <xf numFmtId="0" fontId="0" fillId="14" borderId="31" xfId="0" applyFill="1" applyBorder="1"/>
    <xf numFmtId="0" fontId="0" fillId="14" borderId="21" xfId="0" applyFill="1" applyBorder="1"/>
    <xf numFmtId="0" fontId="0" fillId="17" borderId="31" xfId="0" applyFill="1" applyBorder="1"/>
    <xf numFmtId="0" fontId="0" fillId="17" borderId="28" xfId="0" applyFill="1" applyBorder="1"/>
    <xf numFmtId="0" fontId="0" fillId="0" borderId="27" xfId="0" quotePrefix="1" applyNumberFormat="1" applyBorder="1"/>
    <xf numFmtId="0" fontId="0" fillId="0" borderId="0" xfId="0" applyNumberFormat="1" applyFill="1" applyBorder="1"/>
    <xf numFmtId="0" fontId="72" fillId="40" borderId="0" xfId="0" applyFont="1" applyFill="1" applyBorder="1" applyAlignment="1">
      <alignment horizontal="center"/>
    </xf>
    <xf numFmtId="0" fontId="72" fillId="30" borderId="0" xfId="0" applyFont="1" applyFill="1" applyBorder="1" applyAlignment="1">
      <alignment horizontal="center"/>
    </xf>
    <xf numFmtId="0" fontId="72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0" fontId="72" fillId="45" borderId="13" xfId="0" applyFont="1" applyFill="1" applyBorder="1"/>
    <xf numFmtId="0" fontId="72" fillId="7" borderId="13" xfId="0" applyFont="1" applyFill="1" applyBorder="1"/>
    <xf numFmtId="0" fontId="72" fillId="7" borderId="58" xfId="0" applyFont="1" applyFill="1" applyBorder="1"/>
    <xf numFmtId="0" fontId="72" fillId="7" borderId="10" xfId="0" applyFont="1" applyFill="1" applyBorder="1"/>
    <xf numFmtId="0" fontId="72" fillId="5" borderId="13" xfId="0" applyFont="1" applyFill="1" applyBorder="1"/>
    <xf numFmtId="0" fontId="72" fillId="5" borderId="16" xfId="0" applyFont="1" applyFill="1" applyBorder="1"/>
    <xf numFmtId="0" fontId="72" fillId="5" borderId="16" xfId="0" applyFont="1" applyFill="1" applyBorder="1" applyAlignment="1"/>
    <xf numFmtId="0" fontId="89" fillId="40" borderId="18" xfId="0" applyFont="1" applyFill="1" applyBorder="1"/>
    <xf numFmtId="0" fontId="89" fillId="21" borderId="2" xfId="0" applyFont="1" applyFill="1" applyBorder="1"/>
    <xf numFmtId="0" fontId="109" fillId="3" borderId="16" xfId="0" applyFont="1" applyFill="1" applyBorder="1"/>
    <xf numFmtId="0" fontId="89" fillId="46" borderId="38" xfId="0" applyFont="1" applyFill="1" applyBorder="1"/>
    <xf numFmtId="0" fontId="89" fillId="8" borderId="15" xfId="0" applyFont="1" applyFill="1" applyBorder="1" applyAlignment="1"/>
    <xf numFmtId="0" fontId="72" fillId="45" borderId="10" xfId="0" applyFont="1" applyFill="1" applyBorder="1"/>
    <xf numFmtId="0" fontId="72" fillId="40" borderId="13" xfId="0" applyFont="1" applyFill="1" applyBorder="1"/>
    <xf numFmtId="0" fontId="72" fillId="40" borderId="16" xfId="0" applyFont="1" applyFill="1" applyBorder="1"/>
    <xf numFmtId="0" fontId="72" fillId="5" borderId="10" xfId="0" applyFont="1" applyFill="1" applyBorder="1" applyAlignment="1"/>
    <xf numFmtId="0" fontId="89" fillId="37" borderId="15" xfId="0" applyFont="1" applyFill="1" applyBorder="1"/>
    <xf numFmtId="0" fontId="28" fillId="0" borderId="14" xfId="0" applyNumberFormat="1" applyFont="1" applyBorder="1"/>
    <xf numFmtId="0" fontId="89" fillId="3" borderId="14" xfId="0" applyNumberFormat="1" applyFont="1" applyFill="1" applyBorder="1"/>
    <xf numFmtId="0" fontId="72" fillId="0" borderId="17" xfId="0" applyNumberFormat="1" applyFont="1" applyFill="1" applyBorder="1"/>
    <xf numFmtId="0" fontId="30" fillId="46" borderId="39" xfId="0" applyNumberFormat="1" applyFont="1" applyFill="1" applyBorder="1"/>
    <xf numFmtId="0" fontId="89" fillId="8" borderId="9" xfId="0" applyNumberFormat="1" applyFont="1" applyFill="1" applyBorder="1" applyAlignment="1"/>
    <xf numFmtId="0" fontId="72" fillId="14" borderId="14" xfId="0" applyNumberFormat="1" applyFont="1" applyFill="1" applyBorder="1" applyAlignment="1">
      <alignment horizontal="right"/>
    </xf>
    <xf numFmtId="0" fontId="72" fillId="14" borderId="17" xfId="0" applyNumberFormat="1" applyFont="1" applyFill="1" applyBorder="1"/>
    <xf numFmtId="0" fontId="72" fillId="21" borderId="4" xfId="0" applyNumberFormat="1" applyFont="1" applyFill="1" applyBorder="1"/>
    <xf numFmtId="0" fontId="28" fillId="21" borderId="11" xfId="0" applyNumberFormat="1" applyFont="1" applyFill="1" applyBorder="1"/>
    <xf numFmtId="0" fontId="28" fillId="21" borderId="14" xfId="0" applyNumberFormat="1" applyFont="1" applyFill="1" applyBorder="1"/>
    <xf numFmtId="0" fontId="28" fillId="21" borderId="54" xfId="0" applyNumberFormat="1" applyFont="1" applyFill="1" applyBorder="1"/>
    <xf numFmtId="0" fontId="72" fillId="21" borderId="17" xfId="0" applyNumberFormat="1" applyFont="1" applyFill="1" applyBorder="1"/>
    <xf numFmtId="0" fontId="72" fillId="40" borderId="20" xfId="0" applyNumberFormat="1" applyFont="1" applyFill="1" applyBorder="1"/>
    <xf numFmtId="0" fontId="28" fillId="40" borderId="11" xfId="0" applyNumberFormat="1" applyFont="1" applyFill="1" applyBorder="1"/>
    <xf numFmtId="0" fontId="28" fillId="40" borderId="14" xfId="0" applyNumberFormat="1" applyFont="1" applyFill="1" applyBorder="1"/>
    <xf numFmtId="0" fontId="72" fillId="40" borderId="14" xfId="0" applyNumberFormat="1" applyFont="1" applyFill="1" applyBorder="1"/>
    <xf numFmtId="0" fontId="72" fillId="40" borderId="17" xfId="0" applyNumberFormat="1" applyFont="1" applyFill="1" applyBorder="1"/>
    <xf numFmtId="0" fontId="72" fillId="37" borderId="9" xfId="0" applyNumberFormat="1" applyFont="1" applyFill="1" applyBorder="1"/>
    <xf numFmtId="0" fontId="72" fillId="5" borderId="11" xfId="0" applyNumberFormat="1" applyFont="1" applyFill="1" applyBorder="1"/>
    <xf numFmtId="0" fontId="72" fillId="5" borderId="17" xfId="0" applyNumberFormat="1" applyFont="1" applyFill="1" applyBorder="1"/>
    <xf numFmtId="0" fontId="89" fillId="24" borderId="7" xfId="0" applyFont="1" applyFill="1" applyBorder="1"/>
    <xf numFmtId="0" fontId="53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2" fontId="30" fillId="0" borderId="0" xfId="0" applyNumberFormat="1" applyFont="1" applyFill="1" applyBorder="1"/>
    <xf numFmtId="165" fontId="30" fillId="0" borderId="0" xfId="0" applyNumberFormat="1" applyFont="1" applyFill="1" applyBorder="1"/>
    <xf numFmtId="0" fontId="30" fillId="0" borderId="0" xfId="0" applyFont="1" applyFill="1" applyBorder="1" applyAlignment="1"/>
    <xf numFmtId="0" fontId="30" fillId="47" borderId="62" xfId="0" applyFont="1" applyFill="1" applyBorder="1"/>
    <xf numFmtId="0" fontId="28" fillId="47" borderId="72" xfId="0" applyFont="1" applyFill="1" applyBorder="1"/>
    <xf numFmtId="0" fontId="72" fillId="24" borderId="40" xfId="0" applyNumberFormat="1" applyFont="1" applyFill="1" applyBorder="1"/>
    <xf numFmtId="0" fontId="89" fillId="24" borderId="10" xfId="0" applyFont="1" applyFill="1" applyBorder="1"/>
    <xf numFmtId="0" fontId="72" fillId="24" borderId="17" xfId="0" applyNumberFormat="1" applyFont="1" applyFill="1" applyBorder="1"/>
    <xf numFmtId="0" fontId="72" fillId="8" borderId="13" xfId="0" applyFont="1" applyFill="1" applyBorder="1"/>
    <xf numFmtId="0" fontId="72" fillId="8" borderId="14" xfId="0" applyNumberFormat="1" applyFont="1" applyFill="1" applyBorder="1"/>
    <xf numFmtId="0" fontId="30" fillId="0" borderId="5" xfId="0" applyFont="1" applyFill="1" applyBorder="1"/>
    <xf numFmtId="0" fontId="89" fillId="0" borderId="5" xfId="0" applyFont="1" applyBorder="1"/>
    <xf numFmtId="0" fontId="30" fillId="0" borderId="5" xfId="0" applyFont="1" applyFill="1" applyBorder="1" applyAlignment="1">
      <alignment horizontal="left"/>
    </xf>
    <xf numFmtId="0" fontId="72" fillId="22" borderId="5" xfId="0" applyFont="1" applyFill="1" applyBorder="1" applyAlignment="1">
      <alignment horizontal="centerContinuous"/>
    </xf>
    <xf numFmtId="0" fontId="72" fillId="22" borderId="28" xfId="0" applyFont="1" applyFill="1" applyBorder="1" applyAlignment="1">
      <alignment horizontal="centerContinuous"/>
    </xf>
    <xf numFmtId="0" fontId="28" fillId="26" borderId="0" xfId="0" applyFont="1" applyFill="1" applyBorder="1" applyAlignment="1">
      <alignment horizontal="center"/>
    </xf>
    <xf numFmtId="0" fontId="28" fillId="30" borderId="0" xfId="0" applyFont="1" applyFill="1" applyBorder="1" applyAlignment="1">
      <alignment horizontal="center"/>
    </xf>
    <xf numFmtId="0" fontId="72" fillId="0" borderId="31" xfId="0" applyFont="1" applyBorder="1"/>
    <xf numFmtId="0" fontId="72" fillId="0" borderId="32" xfId="0" applyNumberFormat="1" applyFont="1" applyFill="1" applyBorder="1" applyAlignment="1"/>
    <xf numFmtId="49" fontId="72" fillId="0" borderId="32" xfId="0" applyNumberFormat="1" applyFont="1" applyFill="1" applyBorder="1" applyAlignment="1"/>
    <xf numFmtId="49" fontId="72" fillId="0" borderId="28" xfId="0" applyNumberFormat="1" applyFont="1" applyFill="1" applyBorder="1" applyAlignment="1"/>
    <xf numFmtId="0" fontId="28" fillId="0" borderId="31" xfId="0" applyFont="1" applyFill="1" applyBorder="1" applyAlignment="1"/>
    <xf numFmtId="0" fontId="28" fillId="0" borderId="32" xfId="0" applyFont="1" applyFill="1" applyBorder="1" applyAlignment="1"/>
    <xf numFmtId="0" fontId="28" fillId="0" borderId="32" xfId="0" applyFont="1" applyFill="1" applyBorder="1"/>
    <xf numFmtId="0" fontId="28" fillId="0" borderId="28" xfId="0" applyFont="1" applyFill="1" applyBorder="1"/>
    <xf numFmtId="0" fontId="72" fillId="47" borderId="14" xfId="0" applyNumberFormat="1" applyFont="1" applyFill="1" applyBorder="1"/>
    <xf numFmtId="176" fontId="95" fillId="0" borderId="19" xfId="0" applyNumberFormat="1" applyFont="1" applyBorder="1" applyAlignment="1">
      <alignment horizontal="left" vertical="center"/>
    </xf>
    <xf numFmtId="177" fontId="95" fillId="0" borderId="20" xfId="0" applyNumberFormat="1" applyFont="1" applyFill="1" applyBorder="1" applyAlignment="1">
      <alignment horizontal="left" vertical="center"/>
    </xf>
    <xf numFmtId="178" fontId="72" fillId="0" borderId="12" xfId="0" quotePrefix="1" applyNumberFormat="1" applyFont="1" applyBorder="1" applyAlignment="1">
      <alignment horizontal="left"/>
    </xf>
    <xf numFmtId="0" fontId="90" fillId="0" borderId="8" xfId="0" applyNumberFormat="1" applyFont="1" applyBorder="1" applyAlignment="1">
      <alignment horizontal="centerContinuous"/>
    </xf>
    <xf numFmtId="0" fontId="90" fillId="0" borderId="9" xfId="0" applyNumberFormat="1" applyFont="1" applyBorder="1" applyAlignment="1">
      <alignment horizontal="centerContinuous"/>
    </xf>
    <xf numFmtId="0" fontId="90" fillId="0" borderId="0" xfId="0" applyNumberFormat="1" applyFont="1" applyBorder="1" applyAlignment="1">
      <alignment horizontal="centerContinuous"/>
    </xf>
    <xf numFmtId="0" fontId="72" fillId="0" borderId="12" xfId="0" applyFont="1" applyBorder="1" applyAlignment="1">
      <alignment horizontal="centerContinuous"/>
    </xf>
    <xf numFmtId="179" fontId="72" fillId="0" borderId="0" xfId="0" applyNumberFormat="1" applyFont="1" applyAlignment="1">
      <alignment horizontal="right"/>
    </xf>
    <xf numFmtId="49" fontId="72" fillId="0" borderId="0" xfId="0" applyNumberFormat="1" applyFont="1" applyBorder="1" applyAlignment="1">
      <alignment horizontal="right"/>
    </xf>
    <xf numFmtId="170" fontId="72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8" fillId="5" borderId="37" xfId="0" applyFont="1" applyFill="1" applyBorder="1"/>
    <xf numFmtId="0" fontId="0" fillId="40" borderId="52" xfId="0" applyFill="1" applyBorder="1"/>
    <xf numFmtId="0" fontId="6" fillId="10" borderId="10" xfId="0" applyFont="1" applyFill="1" applyBorder="1"/>
    <xf numFmtId="0" fontId="6" fillId="48" borderId="11" xfId="0" applyFont="1" applyFill="1" applyBorder="1"/>
    <xf numFmtId="0" fontId="6" fillId="10" borderId="16" xfId="0" applyFont="1" applyFill="1" applyBorder="1"/>
    <xf numFmtId="0" fontId="6" fillId="48" borderId="17" xfId="0" applyFont="1" applyFill="1" applyBorder="1"/>
    <xf numFmtId="0" fontId="9" fillId="3" borderId="10" xfId="0" applyFont="1" applyFill="1" applyBorder="1"/>
    <xf numFmtId="0" fontId="148" fillId="5" borderId="16" xfId="0" applyFont="1" applyFill="1" applyBorder="1"/>
    <xf numFmtId="0" fontId="30" fillId="20" borderId="38" xfId="0" applyFont="1" applyFill="1" applyBorder="1"/>
    <xf numFmtId="0" fontId="13" fillId="20" borderId="4" xfId="0" applyFont="1" applyFill="1" applyBorder="1"/>
    <xf numFmtId="0" fontId="6" fillId="47" borderId="36" xfId="0" applyFont="1" applyFill="1" applyBorder="1"/>
    <xf numFmtId="0" fontId="6" fillId="21" borderId="9" xfId="0" applyFont="1" applyFill="1" applyBorder="1"/>
    <xf numFmtId="0" fontId="0" fillId="40" borderId="0" xfId="0" applyFill="1" applyBorder="1"/>
    <xf numFmtId="0" fontId="72" fillId="14" borderId="43" xfId="0" applyFont="1" applyFill="1" applyBorder="1"/>
    <xf numFmtId="0" fontId="32" fillId="0" borderId="5" xfId="0" applyFont="1" applyFill="1" applyBorder="1" applyAlignment="1">
      <alignment horizontal="center"/>
    </xf>
    <xf numFmtId="0" fontId="6" fillId="0" borderId="5" xfId="0" applyFont="1" applyBorder="1"/>
    <xf numFmtId="0" fontId="14" fillId="0" borderId="5" xfId="0" applyFont="1" applyFill="1" applyBorder="1" applyAlignment="1">
      <alignment horizontal="center"/>
    </xf>
    <xf numFmtId="0" fontId="47" fillId="40" borderId="0" xfId="0" applyFont="1" applyFill="1" applyBorder="1" applyAlignment="1">
      <alignment horizontal="center"/>
    </xf>
    <xf numFmtId="0" fontId="47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50" fillId="49" borderId="27" xfId="0" applyFont="1" applyFill="1" applyBorder="1"/>
    <xf numFmtId="0" fontId="151" fillId="50" borderId="15" xfId="0" applyFont="1" applyFill="1" applyBorder="1" applyAlignment="1">
      <alignment horizontal="center"/>
    </xf>
    <xf numFmtId="0" fontId="151" fillId="50" borderId="8" xfId="0" applyFont="1" applyFill="1" applyBorder="1" applyAlignment="1">
      <alignment horizontal="center"/>
    </xf>
    <xf numFmtId="0" fontId="151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0" fillId="0" borderId="79" xfId="0" applyBorder="1"/>
    <xf numFmtId="0" fontId="0" fillId="0" borderId="43" xfId="0" applyBorder="1"/>
    <xf numFmtId="0" fontId="6" fillId="8" borderId="5" xfId="0" applyFont="1" applyFill="1" applyBorder="1"/>
    <xf numFmtId="0" fontId="75" fillId="20" borderId="25" xfId="0" applyNumberFormat="1" applyFont="1" applyFill="1" applyBorder="1" applyAlignment="1">
      <alignment horizontal="left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2" fillId="0" borderId="7" xfId="0" applyFont="1" applyBorder="1" applyAlignment="1">
      <alignment horizontal="left"/>
    </xf>
    <xf numFmtId="0" fontId="72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41" xfId="0" applyFill="1" applyBorder="1"/>
    <xf numFmtId="0" fontId="42" fillId="18" borderId="10" xfId="0" applyFont="1" applyFill="1" applyBorder="1"/>
    <xf numFmtId="0" fontId="42" fillId="18" borderId="11" xfId="0" applyFont="1" applyFill="1" applyBorder="1"/>
    <xf numFmtId="0" fontId="42" fillId="18" borderId="13" xfId="0" applyFont="1" applyFill="1" applyBorder="1"/>
    <xf numFmtId="0" fontId="42" fillId="18" borderId="14" xfId="0" applyFont="1" applyFill="1" applyBorder="1"/>
    <xf numFmtId="0" fontId="3" fillId="18" borderId="13" xfId="0" applyFont="1" applyFill="1" applyBorder="1"/>
    <xf numFmtId="0" fontId="3" fillId="18" borderId="14" xfId="0" applyFont="1" applyFill="1" applyBorder="1"/>
    <xf numFmtId="0" fontId="72" fillId="8" borderId="2" xfId="0" applyNumberFormat="1" applyFont="1" applyFill="1" applyBorder="1" applyAlignment="1">
      <alignment horizontal="center"/>
    </xf>
    <xf numFmtId="0" fontId="72" fillId="8" borderId="3" xfId="0" applyNumberFormat="1" applyFont="1" applyFill="1" applyBorder="1" applyAlignment="1">
      <alignment horizontal="center"/>
    </xf>
    <xf numFmtId="0" fontId="72" fillId="8" borderId="4" xfId="0" applyNumberFormat="1" applyFont="1" applyFill="1" applyBorder="1" applyAlignment="1">
      <alignment horizontal="center"/>
    </xf>
    <xf numFmtId="0" fontId="3" fillId="18" borderId="16" xfId="0" applyFont="1" applyFill="1" applyBorder="1"/>
    <xf numFmtId="0" fontId="3" fillId="18" borderId="17" xfId="0" applyFont="1" applyFill="1" applyBorder="1"/>
    <xf numFmtId="0" fontId="105" fillId="18" borderId="38" xfId="0" applyFont="1" applyFill="1" applyBorder="1"/>
    <xf numFmtId="0" fontId="105" fillId="18" borderId="41" xfId="0" applyFont="1" applyFill="1" applyBorder="1"/>
    <xf numFmtId="0" fontId="105" fillId="18" borderId="10" xfId="0" applyFont="1" applyFill="1" applyBorder="1"/>
    <xf numFmtId="0" fontId="105" fillId="18" borderId="22" xfId="0" applyFont="1" applyFill="1" applyBorder="1"/>
    <xf numFmtId="0" fontId="64" fillId="18" borderId="16" xfId="0" applyFont="1" applyFill="1" applyBorder="1"/>
    <xf numFmtId="0" fontId="64" fillId="18" borderId="23" xfId="0" applyFont="1" applyFill="1" applyBorder="1"/>
    <xf numFmtId="0" fontId="70" fillId="14" borderId="31" xfId="2" applyFill="1" applyBorder="1" applyAlignment="1">
      <alignment horizontal="center"/>
    </xf>
    <xf numFmtId="0" fontId="70" fillId="14" borderId="32" xfId="2" applyFill="1" applyBorder="1" applyAlignment="1">
      <alignment horizontal="center"/>
    </xf>
    <xf numFmtId="0" fontId="70" fillId="14" borderId="28" xfId="2" applyFill="1" applyBorder="1" applyAlignment="1">
      <alignment horizontal="center"/>
    </xf>
    <xf numFmtId="0" fontId="70" fillId="22" borderId="31" xfId="2" applyFill="1" applyBorder="1" applyAlignment="1">
      <alignment horizontal="center"/>
    </xf>
    <xf numFmtId="0" fontId="70" fillId="22" borderId="32" xfId="2" applyFill="1" applyBorder="1" applyAlignment="1">
      <alignment horizontal="center"/>
    </xf>
    <xf numFmtId="0" fontId="70" fillId="22" borderId="28" xfId="2" applyFill="1" applyBorder="1" applyAlignment="1">
      <alignment horizontal="center"/>
    </xf>
    <xf numFmtId="0" fontId="72" fillId="0" borderId="2" xfId="0" applyFont="1" applyBorder="1" applyAlignment="1">
      <alignment horizontal="center"/>
    </xf>
    <xf numFmtId="0" fontId="72" fillId="0" borderId="4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89" fillId="8" borderId="7" xfId="0" applyFont="1" applyFill="1" applyBorder="1" applyAlignment="1">
      <alignment horizontal="center"/>
    </xf>
    <xf numFmtId="0" fontId="89" fillId="8" borderId="12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122" fillId="26" borderId="2" xfId="2" applyFont="1" applyFill="1" applyBorder="1" applyAlignment="1">
      <alignment horizontal="center"/>
    </xf>
    <xf numFmtId="0" fontId="122" fillId="26" borderId="4" xfId="2" applyFont="1" applyFill="1" applyBorder="1" applyAlignment="1">
      <alignment horizontal="center"/>
    </xf>
    <xf numFmtId="14" fontId="137" fillId="0" borderId="2" xfId="0" applyNumberFormat="1" applyFont="1" applyBorder="1" applyAlignment="1">
      <alignment horizontal="center"/>
    </xf>
    <xf numFmtId="14" fontId="137" fillId="0" borderId="3" xfId="0" applyNumberFormat="1" applyFont="1" applyBorder="1" applyAlignment="1">
      <alignment horizontal="center"/>
    </xf>
    <xf numFmtId="14" fontId="137" fillId="0" borderId="4" xfId="0" applyNumberFormat="1" applyFont="1" applyBorder="1" applyAlignment="1">
      <alignment horizontal="center"/>
    </xf>
    <xf numFmtId="0" fontId="137" fillId="0" borderId="2" xfId="0" applyFont="1" applyBorder="1" applyAlignment="1">
      <alignment horizontal="center"/>
    </xf>
    <xf numFmtId="0" fontId="137" fillId="0" borderId="3" xfId="0" applyFont="1" applyBorder="1" applyAlignment="1">
      <alignment horizontal="center"/>
    </xf>
    <xf numFmtId="0" fontId="137" fillId="0" borderId="4" xfId="0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137" fillId="0" borderId="7" xfId="0" applyNumberFormat="1" applyFont="1" applyBorder="1" applyAlignment="1">
      <alignment horizontal="center"/>
    </xf>
    <xf numFmtId="0" fontId="137" fillId="0" borderId="0" xfId="0" applyNumberFormat="1" applyFont="1" applyBorder="1" applyAlignment="1">
      <alignment horizontal="center"/>
    </xf>
    <xf numFmtId="0" fontId="137" fillId="0" borderId="12" xfId="0" applyNumberFormat="1" applyFont="1" applyBorder="1" applyAlignment="1">
      <alignment horizontal="center"/>
    </xf>
    <xf numFmtId="0" fontId="25" fillId="13" borderId="44" xfId="0" applyFont="1" applyFill="1" applyBorder="1" applyAlignment="1">
      <alignment horizontal="center" vertical="top" wrapText="1"/>
    </xf>
    <xf numFmtId="0" fontId="25" fillId="13" borderId="46" xfId="0" applyFont="1" applyFill="1" applyBorder="1" applyAlignment="1">
      <alignment horizontal="center" vertical="top" wrapText="1"/>
    </xf>
    <xf numFmtId="0" fontId="25" fillId="13" borderId="21" xfId="0" applyFont="1" applyFill="1" applyBorder="1" applyAlignment="1">
      <alignment horizontal="center" vertical="top" wrapText="1"/>
    </xf>
    <xf numFmtId="0" fontId="25" fillId="13" borderId="30" xfId="0" applyFont="1" applyFill="1" applyBorder="1" applyAlignment="1">
      <alignment horizontal="center" vertical="top" wrapText="1"/>
    </xf>
    <xf numFmtId="0" fontId="25" fillId="13" borderId="45" xfId="0" applyFont="1" applyFill="1" applyBorder="1" applyAlignment="1">
      <alignment horizontal="center" vertical="top" wrapText="1"/>
    </xf>
    <xf numFmtId="0" fontId="25" fillId="13" borderId="55" xfId="0" applyFont="1" applyFill="1" applyBorder="1" applyAlignment="1">
      <alignment horizontal="center" vertical="top" wrapText="1"/>
    </xf>
    <xf numFmtId="165" fontId="9" fillId="0" borderId="15" xfId="0" applyNumberFormat="1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5" fontId="9" fillId="0" borderId="7" xfId="0" applyNumberFormat="1" applyFont="1" applyBorder="1" applyAlignment="1">
      <alignment horizontal="center"/>
    </xf>
    <xf numFmtId="165" fontId="9" fillId="0" borderId="12" xfId="0" applyNumberFormat="1" applyFont="1" applyBorder="1" applyAlignment="1">
      <alignment horizontal="center"/>
    </xf>
    <xf numFmtId="165" fontId="9" fillId="0" borderId="18" xfId="0" applyNumberFormat="1" applyFont="1" applyBorder="1" applyAlignment="1">
      <alignment horizontal="center"/>
    </xf>
    <xf numFmtId="165" fontId="9" fillId="0" borderId="20" xfId="0" applyNumberFormat="1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8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7" fillId="0" borderId="2" xfId="0" applyNumberFormat="1" applyFont="1" applyBorder="1" applyAlignment="1">
      <alignment horizontal="center"/>
    </xf>
    <xf numFmtId="14" fontId="67" fillId="0" borderId="3" xfId="0" applyNumberFormat="1" applyFont="1" applyBorder="1" applyAlignment="1">
      <alignment horizontal="center"/>
    </xf>
    <xf numFmtId="14" fontId="67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3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28" fillId="0" borderId="31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0" fontId="95" fillId="0" borderId="31" xfId="0" applyFont="1" applyBorder="1" applyAlignment="1">
      <alignment horizontal="left"/>
    </xf>
    <xf numFmtId="0" fontId="95" fillId="0" borderId="28" xfId="0" applyFont="1" applyBorder="1" applyAlignment="1">
      <alignment horizontal="left"/>
    </xf>
    <xf numFmtId="0" fontId="35" fillId="0" borderId="31" xfId="0" applyFont="1" applyFill="1" applyBorder="1" applyAlignment="1">
      <alignment horizontal="left"/>
    </xf>
    <xf numFmtId="0" fontId="35" fillId="0" borderId="28" xfId="0" applyFont="1" applyFill="1" applyBorder="1" applyAlignment="1">
      <alignment horizontal="left"/>
    </xf>
    <xf numFmtId="0" fontId="97" fillId="0" borderId="0" xfId="0" applyFont="1" applyBorder="1" applyAlignment="1">
      <alignment horizontal="center" vertical="center"/>
    </xf>
    <xf numFmtId="0" fontId="97" fillId="0" borderId="12" xfId="0" applyFont="1" applyBorder="1" applyAlignment="1">
      <alignment horizontal="center" vertical="center"/>
    </xf>
    <xf numFmtId="0" fontId="96" fillId="0" borderId="53" xfId="0" applyFont="1" applyBorder="1" applyAlignment="1">
      <alignment horizontal="left"/>
    </xf>
    <xf numFmtId="0" fontId="96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6" fillId="0" borderId="54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35" fillId="0" borderId="49" xfId="0" applyFont="1" applyBorder="1" applyAlignment="1">
      <alignment horizontal="left"/>
    </xf>
    <xf numFmtId="0" fontId="35" fillId="0" borderId="33" xfId="0" applyFont="1" applyBorder="1" applyAlignment="1">
      <alignment horizontal="left"/>
    </xf>
    <xf numFmtId="0" fontId="35" fillId="0" borderId="49" xfId="0" applyFont="1" applyBorder="1" applyAlignment="1">
      <alignment horizontal="center"/>
    </xf>
    <xf numFmtId="0" fontId="35" fillId="0" borderId="33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32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5" xfId="0" applyFont="1" applyBorder="1" applyAlignment="1">
      <alignment horizontal="left"/>
    </xf>
    <xf numFmtId="14" fontId="7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4" fillId="0" borderId="15" xfId="0" applyFont="1" applyFill="1" applyBorder="1" applyAlignment="1">
      <alignment horizontal="center" wrapText="1"/>
    </xf>
    <xf numFmtId="0" fontId="34" fillId="0" borderId="9" xfId="0" applyFont="1" applyFill="1" applyBorder="1" applyAlignment="1">
      <alignment horizontal="center" wrapText="1"/>
    </xf>
    <xf numFmtId="0" fontId="34" fillId="0" borderId="18" xfId="0" applyFont="1" applyFill="1" applyBorder="1" applyAlignment="1">
      <alignment horizontal="center" wrapText="1"/>
    </xf>
    <xf numFmtId="0" fontId="34" fillId="0" borderId="20" xfId="0" applyFont="1" applyFill="1" applyBorder="1" applyAlignment="1">
      <alignment horizontal="center" wrapText="1"/>
    </xf>
    <xf numFmtId="0" fontId="34" fillId="0" borderId="15" xfId="0" applyFont="1" applyBorder="1" applyAlignment="1">
      <alignment horizontal="center" wrapText="1"/>
    </xf>
    <xf numFmtId="0" fontId="34" fillId="0" borderId="8" xfId="0" applyFont="1" applyBorder="1" applyAlignment="1">
      <alignment horizontal="center" wrapText="1"/>
    </xf>
    <xf numFmtId="0" fontId="34" fillId="0" borderId="9" xfId="0" applyFont="1" applyBorder="1" applyAlignment="1">
      <alignment horizontal="center" wrapText="1"/>
    </xf>
    <xf numFmtId="0" fontId="34" fillId="0" borderId="18" xfId="0" applyFont="1" applyBorder="1" applyAlignment="1">
      <alignment horizontal="center" wrapText="1"/>
    </xf>
    <xf numFmtId="0" fontId="34" fillId="0" borderId="19" xfId="0" applyFont="1" applyBorder="1" applyAlignment="1">
      <alignment horizontal="center" wrapText="1"/>
    </xf>
    <xf numFmtId="0" fontId="34" fillId="0" borderId="20" xfId="0" applyFont="1" applyBorder="1" applyAlignment="1">
      <alignment horizontal="center" wrapText="1"/>
    </xf>
    <xf numFmtId="174" fontId="34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4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7" borderId="10" xfId="0" applyFill="1" applyBorder="1" applyAlignment="1">
      <alignment horizontal="center"/>
    </xf>
    <xf numFmtId="0" fontId="0" fillId="17" borderId="83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17" borderId="1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6" fillId="29" borderId="15" xfId="0" applyFont="1" applyFill="1" applyBorder="1" applyAlignment="1">
      <alignment horizontal="center"/>
    </xf>
    <xf numFmtId="0" fontId="56" fillId="29" borderId="9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0" fontId="144" fillId="0" borderId="0" xfId="4" applyFont="1" applyBorder="1" applyAlignment="1">
      <alignment horizontal="center" wrapText="1"/>
    </xf>
    <xf numFmtId="0" fontId="144" fillId="0" borderId="53" xfId="4" applyFont="1" applyBorder="1" applyAlignment="1">
      <alignment horizontal="center" wrapText="1"/>
    </xf>
    <xf numFmtId="0" fontId="143" fillId="0" borderId="21" xfId="4" applyFont="1" applyBorder="1" applyAlignment="1">
      <alignment horizontal="center" vertical="center" wrapText="1"/>
    </xf>
    <xf numFmtId="0" fontId="143" fillId="0" borderId="45" xfId="4" applyFont="1" applyBorder="1" applyAlignment="1">
      <alignment horizontal="center" vertical="center" wrapText="1"/>
    </xf>
    <xf numFmtId="0" fontId="143" fillId="0" borderId="43" xfId="4" applyFont="1" applyBorder="1" applyAlignment="1">
      <alignment horizontal="center" wrapText="1"/>
    </xf>
    <xf numFmtId="0" fontId="143" fillId="0" borderId="42" xfId="4" applyFont="1" applyBorder="1" applyAlignment="1">
      <alignment horizontal="center" wrapText="1"/>
    </xf>
    <xf numFmtId="0" fontId="143" fillId="0" borderId="43" xfId="4" applyFont="1" applyBorder="1" applyAlignment="1">
      <alignment horizontal="center" vertical="center" wrapText="1"/>
    </xf>
    <xf numFmtId="0" fontId="143" fillId="0" borderId="42" xfId="4" applyFont="1" applyBorder="1" applyAlignment="1">
      <alignment horizontal="center" vertical="center" wrapText="1"/>
    </xf>
    <xf numFmtId="0" fontId="143" fillId="43" borderId="43" xfId="4" applyFont="1" applyFill="1" applyBorder="1" applyAlignment="1">
      <alignment horizontal="center" vertical="center" wrapText="1"/>
    </xf>
    <xf numFmtId="0" fontId="143" fillId="43" borderId="42" xfId="4" applyFont="1" applyFill="1" applyBorder="1" applyAlignment="1">
      <alignment horizontal="center" vertical="center" wrapText="1"/>
    </xf>
    <xf numFmtId="0" fontId="143" fillId="13" borderId="43" xfId="4" applyFont="1" applyFill="1" applyBorder="1" applyAlignment="1">
      <alignment horizontal="center" vertical="center" wrapText="1"/>
    </xf>
    <xf numFmtId="0" fontId="143" fillId="13" borderId="42" xfId="4" applyFont="1" applyFill="1" applyBorder="1" applyAlignment="1">
      <alignment horizontal="center" vertical="center" wrapText="1"/>
    </xf>
    <xf numFmtId="14" fontId="7" fillId="0" borderId="2" xfId="0" applyNumberFormat="1" applyFont="1" applyBorder="1" applyAlignment="1"/>
    <xf numFmtId="0" fontId="41" fillId="0" borderId="5" xfId="0" applyFont="1" applyFill="1" applyBorder="1" applyAlignment="1">
      <alignment horizontal="center"/>
    </xf>
    <xf numFmtId="0" fontId="41" fillId="0" borderId="14" xfId="0" applyFont="1" applyFill="1" applyBorder="1" applyAlignment="1">
      <alignment horizontal="center"/>
    </xf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0" fillId="30" borderId="5" xfId="0" applyFill="1" applyBorder="1" applyAlignment="1">
      <alignment horizontal="left"/>
    </xf>
    <xf numFmtId="0" fontId="0" fillId="35" borderId="5" xfId="0" applyFill="1" applyBorder="1" applyAlignment="1">
      <alignment horizontal="center"/>
    </xf>
    <xf numFmtId="0" fontId="76" fillId="0" borderId="18" xfId="0" applyFont="1" applyBorder="1" applyAlignment="1">
      <alignment horizontal="center"/>
    </xf>
    <xf numFmtId="0" fontId="76" fillId="0" borderId="19" xfId="0" applyFont="1" applyBorder="1" applyAlignment="1">
      <alignment horizontal="center"/>
    </xf>
    <xf numFmtId="0" fontId="76" fillId="0" borderId="20" xfId="0" applyFont="1" applyBorder="1" applyAlignment="1">
      <alignment horizontal="center"/>
    </xf>
    <xf numFmtId="0" fontId="0" fillId="30" borderId="71" xfId="0" applyFill="1" applyBorder="1" applyAlignment="1">
      <alignment horizontal="left"/>
    </xf>
    <xf numFmtId="14" fontId="64" fillId="0" borderId="2" xfId="0" applyNumberFormat="1" applyFont="1" applyBorder="1" applyAlignment="1">
      <alignment horizontal="center"/>
    </xf>
    <xf numFmtId="0" fontId="64" fillId="0" borderId="3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78" fillId="0" borderId="0" xfId="2" applyFont="1" applyAlignment="1">
      <alignment horizontal="left"/>
    </xf>
    <xf numFmtId="0" fontId="71" fillId="0" borderId="3" xfId="0" applyFont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6" fillId="0" borderId="15" xfId="0" applyFont="1" applyBorder="1" applyAlignment="1">
      <alignment horizontal="center"/>
    </xf>
    <xf numFmtId="0" fontId="76" fillId="0" borderId="8" xfId="0" applyFont="1" applyBorder="1" applyAlignment="1">
      <alignment horizontal="center"/>
    </xf>
    <xf numFmtId="0" fontId="76" fillId="0" borderId="9" xfId="0" applyFont="1" applyBorder="1" applyAlignment="1">
      <alignment horizontal="center"/>
    </xf>
    <xf numFmtId="0" fontId="41" fillId="0" borderId="44" xfId="0" applyNumberFormat="1" applyFont="1" applyBorder="1" applyAlignment="1">
      <alignment horizontal="left" vertical="top" wrapText="1"/>
    </xf>
    <xf numFmtId="0" fontId="41" fillId="0" borderId="48" xfId="0" applyNumberFormat="1" applyFont="1" applyBorder="1" applyAlignment="1">
      <alignment horizontal="left" vertical="top" wrapText="1"/>
    </xf>
    <xf numFmtId="0" fontId="41" fillId="0" borderId="46" xfId="0" applyNumberFormat="1" applyFont="1" applyBorder="1" applyAlignment="1">
      <alignment horizontal="left" vertical="top" wrapText="1"/>
    </xf>
    <xf numFmtId="0" fontId="41" fillId="0" borderId="21" xfId="0" applyNumberFormat="1" applyFont="1" applyBorder="1" applyAlignment="1">
      <alignment horizontal="left" vertical="top" wrapText="1"/>
    </xf>
    <xf numFmtId="0" fontId="41" fillId="0" borderId="0" xfId="0" applyNumberFormat="1" applyFont="1" applyBorder="1" applyAlignment="1">
      <alignment horizontal="left" vertical="top" wrapText="1"/>
    </xf>
    <xf numFmtId="0" fontId="41" fillId="0" borderId="30" xfId="0" applyNumberFormat="1" applyFont="1" applyBorder="1" applyAlignment="1">
      <alignment horizontal="left" vertical="top" wrapText="1"/>
    </xf>
    <xf numFmtId="0" fontId="41" fillId="0" borderId="45" xfId="0" applyNumberFormat="1" applyFont="1" applyBorder="1" applyAlignment="1">
      <alignment horizontal="left" vertical="top" wrapText="1"/>
    </xf>
    <xf numFmtId="0" fontId="41" fillId="0" borderId="53" xfId="0" applyNumberFormat="1" applyFont="1" applyBorder="1" applyAlignment="1">
      <alignment horizontal="left" vertical="top" wrapText="1"/>
    </xf>
    <xf numFmtId="0" fontId="41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4" fillId="30" borderId="18" xfId="0" applyFont="1" applyFill="1" applyBorder="1" applyAlignment="1">
      <alignment horizontal="center"/>
    </xf>
    <xf numFmtId="0" fontId="84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4" fillId="0" borderId="27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3" fillId="8" borderId="7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25" borderId="5" xfId="0" applyFont="1" applyFill="1" applyBorder="1" applyAlignment="1">
      <alignment horizontal="center"/>
    </xf>
    <xf numFmtId="0" fontId="46" fillId="2" borderId="76" xfId="1" applyFont="1" applyBorder="1" applyAlignment="1" applyProtection="1">
      <alignment horizontal="center"/>
    </xf>
    <xf numFmtId="0" fontId="46" fillId="2" borderId="77" xfId="1" applyFont="1" applyBorder="1" applyAlignment="1" applyProtection="1">
      <alignment horizontal="center"/>
    </xf>
    <xf numFmtId="0" fontId="24" fillId="14" borderId="8" xfId="0" applyFont="1" applyFill="1" applyBorder="1" applyAlignment="1">
      <alignment horizontal="center"/>
    </xf>
    <xf numFmtId="0" fontId="75" fillId="20" borderId="27" xfId="0" applyNumberFormat="1" applyFont="1" applyFill="1" applyBorder="1" applyAlignment="1">
      <alignment horizontal="left"/>
    </xf>
    <xf numFmtId="0" fontId="75" fillId="0" borderId="13" xfId="0" applyNumberFormat="1" applyFont="1" applyFill="1" applyBorder="1"/>
    <xf numFmtId="0" fontId="75" fillId="20" borderId="13" xfId="0" applyNumberFormat="1" applyFont="1" applyFill="1" applyBorder="1"/>
    <xf numFmtId="0" fontId="82" fillId="13" borderId="13" xfId="0" applyNumberFormat="1" applyFont="1" applyFill="1" applyBorder="1"/>
    <xf numFmtId="0" fontId="75" fillId="20" borderId="7" xfId="0" applyNumberFormat="1" applyFont="1" applyFill="1" applyBorder="1"/>
    <xf numFmtId="0" fontId="0" fillId="0" borderId="25" xfId="0" applyNumberFormat="1" applyBorder="1"/>
    <xf numFmtId="0" fontId="75" fillId="20" borderId="25" xfId="0" applyNumberFormat="1" applyFont="1" applyFill="1" applyBorder="1" applyAlignment="1">
      <alignment horizontal="right"/>
    </xf>
    <xf numFmtId="0" fontId="75" fillId="20" borderId="25" xfId="0" applyNumberFormat="1" applyFont="1" applyFill="1" applyBorder="1"/>
    <xf numFmtId="0" fontId="75" fillId="20" borderId="26" xfId="0" applyNumberFormat="1" applyFont="1" applyFill="1" applyBorder="1"/>
    <xf numFmtId="0" fontId="75" fillId="0" borderId="6" xfId="0" applyNumberFormat="1" applyFont="1" applyFill="1" applyBorder="1"/>
    <xf numFmtId="0" fontId="77" fillId="0" borderId="27" xfId="0" applyNumberFormat="1" applyFont="1" applyBorder="1" applyAlignment="1">
      <alignment horizontal="center"/>
    </xf>
    <xf numFmtId="0" fontId="77" fillId="0" borderId="20" xfId="0" applyNumberFormat="1" applyFont="1" applyBorder="1" applyAlignment="1">
      <alignment horizontal="center"/>
    </xf>
    <xf numFmtId="0" fontId="77" fillId="0" borderId="26" xfId="0" quotePrefix="1" applyNumberFormat="1" applyFont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8" fillId="0" borderId="0" xfId="0" applyNumberFormat="1" applyFont="1" applyBorder="1" applyAlignment="1">
      <alignment horizontal="center"/>
    </xf>
    <xf numFmtId="0" fontId="12" fillId="14" borderId="10" xfId="0" applyNumberFormat="1" applyFont="1" applyFill="1" applyBorder="1"/>
    <xf numFmtId="0" fontId="51" fillId="14" borderId="11" xfId="0" applyNumberFormat="1" applyFont="1" applyFill="1" applyBorder="1"/>
    <xf numFmtId="0" fontId="9" fillId="5" borderId="13" xfId="0" applyNumberFormat="1" applyFont="1" applyFill="1" applyBorder="1"/>
    <xf numFmtId="0" fontId="12" fillId="5" borderId="13" xfId="0" applyNumberFormat="1" applyFont="1" applyFill="1" applyBorder="1" applyAlignment="1">
      <alignment horizontal="left"/>
    </xf>
    <xf numFmtId="0" fontId="26" fillId="5" borderId="14" xfId="0" applyNumberFormat="1" applyFont="1" applyFill="1" applyBorder="1"/>
    <xf numFmtId="0" fontId="12" fillId="5" borderId="16" xfId="0" applyNumberFormat="1" applyFont="1" applyFill="1" applyBorder="1" applyAlignment="1">
      <alignment horizontal="left"/>
    </xf>
    <xf numFmtId="0" fontId="41" fillId="8" borderId="2" xfId="0" applyNumberFormat="1" applyFont="1" applyFill="1" applyBorder="1" applyAlignment="1">
      <alignment horizontal="left"/>
    </xf>
    <xf numFmtId="0" fontId="12" fillId="5" borderId="10" xfId="0" applyNumberFormat="1" applyFont="1" applyFill="1" applyBorder="1" applyAlignment="1">
      <alignment horizontal="left"/>
    </xf>
    <xf numFmtId="0" fontId="12" fillId="42" borderId="11" xfId="0" applyNumberFormat="1" applyFont="1" applyFill="1" applyBorder="1"/>
    <xf numFmtId="0" fontId="12" fillId="5" borderId="13" xfId="0" applyNumberFormat="1" applyFont="1" applyFill="1" applyBorder="1"/>
    <xf numFmtId="0" fontId="12" fillId="42" borderId="12" xfId="0" applyNumberFormat="1" applyFont="1" applyFill="1" applyBorder="1"/>
    <xf numFmtId="0" fontId="12" fillId="42" borderId="14" xfId="0" applyNumberFormat="1" applyFont="1" applyFill="1" applyBorder="1"/>
    <xf numFmtId="0" fontId="12" fillId="42" borderId="20" xfId="0" applyNumberFormat="1" applyFont="1" applyFill="1" applyBorder="1"/>
    <xf numFmtId="0" fontId="12" fillId="5" borderId="37" xfId="0" applyNumberFormat="1" applyFont="1" applyFill="1" applyBorder="1" applyAlignment="1">
      <alignment horizontal="left"/>
    </xf>
    <xf numFmtId="0" fontId="12" fillId="42" borderId="52" xfId="0" applyNumberFormat="1" applyFont="1" applyFill="1" applyBorder="1"/>
    <xf numFmtId="0" fontId="129" fillId="36" borderId="2" xfId="0" applyNumberFormat="1" applyFont="1" applyFill="1" applyBorder="1"/>
    <xf numFmtId="0" fontId="9" fillId="5" borderId="2" xfId="0" applyNumberFormat="1" applyFont="1" applyFill="1" applyBorder="1"/>
    <xf numFmtId="0" fontId="35" fillId="16" borderId="58" xfId="0" applyNumberFormat="1" applyFont="1" applyFill="1" applyBorder="1"/>
    <xf numFmtId="0" fontId="35" fillId="17" borderId="15" xfId="0" applyNumberFormat="1" applyFont="1" applyFill="1" applyBorder="1"/>
    <xf numFmtId="0" fontId="36" fillId="0" borderId="9" xfId="0" applyNumberFormat="1" applyFont="1" applyBorder="1"/>
    <xf numFmtId="0" fontId="35" fillId="17" borderId="18" xfId="0" applyNumberFormat="1" applyFont="1" applyFill="1" applyBorder="1" applyAlignment="1">
      <alignment horizontal="right"/>
    </xf>
    <xf numFmtId="0" fontId="36" fillId="0" borderId="20" xfId="0" applyNumberFormat="1" applyFont="1" applyBorder="1"/>
    <xf numFmtId="0" fontId="35" fillId="40" borderId="37" xfId="0" applyNumberFormat="1" applyFont="1" applyFill="1" applyBorder="1"/>
    <xf numFmtId="0" fontId="35" fillId="40" borderId="13" xfId="0" applyNumberFormat="1" applyFont="1" applyFill="1" applyBorder="1"/>
    <xf numFmtId="0" fontId="9" fillId="40" borderId="13" xfId="0" applyNumberFormat="1" applyFont="1" applyFill="1" applyBorder="1"/>
    <xf numFmtId="0" fontId="9" fillId="40" borderId="58" xfId="0" applyNumberFormat="1" applyFont="1" applyFill="1" applyBorder="1"/>
    <xf numFmtId="0" fontId="12" fillId="0" borderId="14" xfId="0" applyNumberFormat="1" applyFont="1" applyFill="1" applyBorder="1"/>
    <xf numFmtId="0" fontId="12" fillId="5" borderId="14" xfId="0" applyNumberFormat="1" applyFont="1" applyFill="1" applyBorder="1"/>
    <xf numFmtId="0" fontId="12" fillId="0" borderId="17" xfId="0" applyNumberFormat="1" applyFont="1" applyFill="1" applyBorder="1"/>
    <xf numFmtId="0" fontId="134" fillId="8" borderId="4" xfId="0" applyNumberFormat="1" applyFont="1" applyFill="1" applyBorder="1" applyAlignment="1">
      <alignment horizontal="right"/>
    </xf>
    <xf numFmtId="0" fontId="134" fillId="36" borderId="4" xfId="0" applyNumberFormat="1" applyFont="1" applyFill="1" applyBorder="1"/>
    <xf numFmtId="0" fontId="12" fillId="0" borderId="52" xfId="0" applyNumberFormat="1" applyFont="1" applyBorder="1"/>
    <xf numFmtId="0" fontId="36" fillId="0" borderId="14" xfId="0" applyNumberFormat="1" applyFont="1" applyBorder="1"/>
    <xf numFmtId="0" fontId="12" fillId="40" borderId="14" xfId="0" applyNumberFormat="1" applyFont="1" applyFill="1" applyBorder="1"/>
    <xf numFmtId="0" fontId="12" fillId="0" borderId="14" xfId="0" applyNumberFormat="1" applyFont="1" applyBorder="1"/>
    <xf numFmtId="0" fontId="12" fillId="0" borderId="54" xfId="0" applyNumberFormat="1" applyFont="1" applyFill="1" applyBorder="1"/>
    <xf numFmtId="0" fontId="12" fillId="0" borderId="4" xfId="0" applyNumberFormat="1" applyFont="1" applyFill="1" applyBorder="1"/>
    <xf numFmtId="0" fontId="36" fillId="18" borderId="54" xfId="0" applyNumberFormat="1" applyFont="1" applyFill="1" applyBorder="1"/>
    <xf numFmtId="0" fontId="13" fillId="13" borderId="3" xfId="0" applyFont="1" applyFill="1" applyBorder="1" applyAlignment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88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gray0625">
          <bgColor rgb="FF92D050"/>
        </patternFill>
      </fill>
    </dxf>
    <dxf>
      <fill>
        <patternFill patternType="gray0625">
          <fgColor rgb="FFFFFF00"/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EC6114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Данные!$R$156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B$38" lockText="1" noThreeD="1"/>
</file>

<file path=xl/ctrlProps/ctrlProp11.xml><?xml version="1.0" encoding="utf-8"?>
<formControlPr xmlns="http://schemas.microsoft.com/office/spreadsheetml/2009/9/main" objectType="CheckBox" fmlaLink="Данные!$B$42" lockText="1" noThreeD="1"/>
</file>

<file path=xl/ctrlProps/ctrlProp12.xml><?xml version="1.0" encoding="utf-8"?>
<formControlPr xmlns="http://schemas.microsoft.com/office/spreadsheetml/2009/9/main" objectType="CheckBox" fmlaLink="Данные!$R$137" lockText="1" noThreeD="1"/>
</file>

<file path=xl/ctrlProps/ctrlProp13.xml><?xml version="1.0" encoding="utf-8"?>
<formControlPr xmlns="http://schemas.microsoft.com/office/spreadsheetml/2009/9/main" objectType="CheckBox" fmlaLink="$N$26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Сухарь!$O$17" lockText="1" noThreeD="1"/>
</file>

<file path=xl/ctrlProps/ctrlProp17.xml><?xml version="1.0" encoding="utf-8"?>
<formControlPr xmlns="http://schemas.microsoft.com/office/spreadsheetml/2009/9/main" objectType="CheckBox" checked="Checked" fmlaLink="$A$1" lockText="1" noThreeD="1"/>
</file>

<file path=xl/ctrlProps/ctrlProp18.xml><?xml version="1.0" encoding="utf-8"?>
<formControlPr xmlns="http://schemas.microsoft.com/office/spreadsheetml/2009/9/main" objectType="CheckBox" fmlaLink="$AB$25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Relationship Id="rId9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27673"/>
          <a:ext cx="3052259" cy="589356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147275</xdr:rowOff>
    </xdr:from>
    <xdr:to>
      <xdr:col>7</xdr:col>
      <xdr:colOff>536272</xdr:colOff>
      <xdr:row>24</xdr:row>
      <xdr:rowOff>125503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34</xdr:row>
          <xdr:rowOff>0</xdr:rowOff>
        </xdr:from>
        <xdr:to>
          <xdr:col>14</xdr:col>
          <xdr:colOff>723900</xdr:colOff>
          <xdr:row>35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165463</xdr:rowOff>
    </xdr:from>
    <xdr:to>
      <xdr:col>3</xdr:col>
      <xdr:colOff>320040</xdr:colOff>
      <xdr:row>35</xdr:row>
      <xdr:rowOff>21772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35</xdr:row>
          <xdr:rowOff>0</xdr:rowOff>
        </xdr:from>
        <xdr:to>
          <xdr:col>14</xdr:col>
          <xdr:colOff>693420</xdr:colOff>
          <xdr:row>35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36</xdr:row>
          <xdr:rowOff>106680</xdr:rowOff>
        </xdr:from>
        <xdr:to>
          <xdr:col>15</xdr:col>
          <xdr:colOff>53340</xdr:colOff>
          <xdr:row>37</xdr:row>
          <xdr:rowOff>121920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</xdr:colOff>
          <xdr:row>36</xdr:row>
          <xdr:rowOff>129540</xdr:rowOff>
        </xdr:from>
        <xdr:to>
          <xdr:col>13</xdr:col>
          <xdr:colOff>1562100</xdr:colOff>
          <xdr:row>39</xdr:row>
          <xdr:rowOff>76200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267196</xdr:colOff>
      <xdr:row>30</xdr:row>
      <xdr:rowOff>36155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53340</xdr:colOff>
          <xdr:row>30</xdr:row>
          <xdr:rowOff>53340</xdr:rowOff>
        </xdr:from>
        <xdr:to>
          <xdr:col>12</xdr:col>
          <xdr:colOff>1813560</xdr:colOff>
          <xdr:row>33</xdr:row>
          <xdr:rowOff>22860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251460</xdr:colOff>
          <xdr:row>30</xdr:row>
          <xdr:rowOff>175260</xdr:rowOff>
        </xdr:from>
        <xdr:to>
          <xdr:col>11</xdr:col>
          <xdr:colOff>1706880</xdr:colOff>
          <xdr:row>33</xdr:row>
          <xdr:rowOff>137160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32</xdr:row>
          <xdr:rowOff>99060</xdr:rowOff>
        </xdr:from>
        <xdr:to>
          <xdr:col>13</xdr:col>
          <xdr:colOff>922020</xdr:colOff>
          <xdr:row>33</xdr:row>
          <xdr:rowOff>106680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25</xdr:row>
      <xdr:rowOff>0</xdr:rowOff>
    </xdr:from>
    <xdr:to>
      <xdr:col>4</xdr:col>
      <xdr:colOff>746603</xdr:colOff>
      <xdr:row>25</xdr:row>
      <xdr:rowOff>5444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59859" y="4849906"/>
          <a:ext cx="952791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54428</xdr:colOff>
      <xdr:row>1</xdr:row>
      <xdr:rowOff>0</xdr:rowOff>
    </xdr:from>
    <xdr:to>
      <xdr:col>15</xdr:col>
      <xdr:colOff>228600</xdr:colOff>
      <xdr:row>13</xdr:row>
      <xdr:rowOff>72118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7171" y="195943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218803</xdr:colOff>
      <xdr:row>1</xdr:row>
      <xdr:rowOff>1088</xdr:rowOff>
    </xdr:from>
    <xdr:to>
      <xdr:col>18</xdr:col>
      <xdr:colOff>501831</xdr:colOff>
      <xdr:row>13</xdr:row>
      <xdr:rowOff>73206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56174" y="197031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502919</xdr:colOff>
      <xdr:row>1</xdr:row>
      <xdr:rowOff>2177</xdr:rowOff>
    </xdr:from>
    <xdr:to>
      <xdr:col>21</xdr:col>
      <xdr:colOff>502919</xdr:colOff>
      <xdr:row>13</xdr:row>
      <xdr:rowOff>74295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6062" y="1981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504008</xdr:colOff>
      <xdr:row>1</xdr:row>
      <xdr:rowOff>3266</xdr:rowOff>
    </xdr:from>
    <xdr:to>
      <xdr:col>24</xdr:col>
      <xdr:colOff>406037</xdr:colOff>
      <xdr:row>13</xdr:row>
      <xdr:rowOff>75384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5951" y="199209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Подставить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689049</xdr:colOff>
      <xdr:row>20</xdr:row>
      <xdr:rowOff>6739</xdr:rowOff>
    </xdr:from>
    <xdr:to>
      <xdr:col>8</xdr:col>
      <xdr:colOff>81164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68133</xdr:colOff>
      <xdr:row>19</xdr:row>
      <xdr:rowOff>194022</xdr:rowOff>
    </xdr:from>
    <xdr:to>
      <xdr:col>8</xdr:col>
      <xdr:colOff>69873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315945</xdr:colOff>
      <xdr:row>26</xdr:row>
      <xdr:rowOff>1635</xdr:rowOff>
    </xdr:from>
    <xdr:to>
      <xdr:col>8</xdr:col>
      <xdr:colOff>124309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122195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8</xdr:col>
      <xdr:colOff>107657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180720</xdr:rowOff>
    </xdr:from>
    <xdr:to>
      <xdr:col>8</xdr:col>
      <xdr:colOff>84035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28</xdr:row>
          <xdr:rowOff>213360</xdr:rowOff>
        </xdr:from>
        <xdr:to>
          <xdr:col>12</xdr:col>
          <xdr:colOff>617220</xdr:colOff>
          <xdr:row>30</xdr:row>
          <xdr:rowOff>30480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1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574328</xdr:colOff>
      <xdr:row>24</xdr:row>
      <xdr:rowOff>157466</xdr:rowOff>
    </xdr:from>
    <xdr:to>
      <xdr:col>21</xdr:col>
      <xdr:colOff>171454</xdr:colOff>
      <xdr:row>43</xdr:row>
      <xdr:rowOff>150667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666871" y="4783895"/>
          <a:ext cx="3243840" cy="3705229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19</xdr:row>
          <xdr:rowOff>190500</xdr:rowOff>
        </xdr:from>
        <xdr:to>
          <xdr:col>14</xdr:col>
          <xdr:colOff>129540</xdr:colOff>
          <xdr:row>21</xdr:row>
          <xdr:rowOff>7620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45719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64</xdr:col>
      <xdr:colOff>38100</xdr:colOff>
      <xdr:row>15</xdr:row>
      <xdr:rowOff>0</xdr:rowOff>
    </xdr:from>
    <xdr:to>
      <xdr:col>69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73</xdr:col>
      <xdr:colOff>249382</xdr:colOff>
      <xdr:row>14</xdr:row>
      <xdr:rowOff>138546</xdr:rowOff>
    </xdr:from>
    <xdr:to>
      <xdr:col>81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13</xdr:col>
      <xdr:colOff>40277</xdr:colOff>
      <xdr:row>13</xdr:row>
      <xdr:rowOff>111034</xdr:rowOff>
    </xdr:from>
    <xdr:to>
      <xdr:col>18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24</xdr:col>
      <xdr:colOff>110837</xdr:colOff>
      <xdr:row>12</xdr:row>
      <xdr:rowOff>0</xdr:rowOff>
    </xdr:from>
    <xdr:to>
      <xdr:col>31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33</xdr:col>
      <xdr:colOff>195941</xdr:colOff>
      <xdr:row>14</xdr:row>
      <xdr:rowOff>130627</xdr:rowOff>
    </xdr:from>
    <xdr:to>
      <xdr:col>41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43</xdr:col>
      <xdr:colOff>185057</xdr:colOff>
      <xdr:row>14</xdr:row>
      <xdr:rowOff>43543</xdr:rowOff>
    </xdr:from>
    <xdr:to>
      <xdr:col>51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23</xdr:row>
      <xdr:rowOff>65311</xdr:rowOff>
    </xdr:from>
    <xdr:to>
      <xdr:col>59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601977</xdr:colOff>
      <xdr:row>16</xdr:row>
      <xdr:rowOff>166687</xdr:rowOff>
    </xdr:from>
    <xdr:to>
      <xdr:col>58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57</xdr:col>
      <xdr:colOff>0</xdr:colOff>
      <xdr:row>15</xdr:row>
      <xdr:rowOff>76200</xdr:rowOff>
    </xdr:from>
    <xdr:to>
      <xdr:col>57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15</xdr:row>
      <xdr:rowOff>8965</xdr:rowOff>
    </xdr:from>
    <xdr:to>
      <xdr:col>56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0</xdr:colOff>
      <xdr:row>28</xdr:row>
      <xdr:rowOff>13252</xdr:rowOff>
    </xdr:from>
    <xdr:to>
      <xdr:col>60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397565</xdr:colOff>
      <xdr:row>23</xdr:row>
      <xdr:rowOff>53008</xdr:rowOff>
    </xdr:from>
    <xdr:to>
      <xdr:col>59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554131</xdr:colOff>
      <xdr:row>16</xdr:row>
      <xdr:rowOff>160536</xdr:rowOff>
    </xdr:from>
    <xdr:to>
      <xdr:col>58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533400</xdr:colOff>
      <xdr:row>16</xdr:row>
      <xdr:rowOff>157163</xdr:rowOff>
    </xdr:from>
    <xdr:to>
      <xdr:col>58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176955</xdr:colOff>
      <xdr:row>25</xdr:row>
      <xdr:rowOff>116541</xdr:rowOff>
    </xdr:from>
    <xdr:to>
      <xdr:col>60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29</xdr:row>
      <xdr:rowOff>185530</xdr:rowOff>
    </xdr:from>
    <xdr:to>
      <xdr:col>60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277905</xdr:colOff>
      <xdr:row>23</xdr:row>
      <xdr:rowOff>0</xdr:rowOff>
    </xdr:from>
    <xdr:to>
      <xdr:col>57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23</xdr:row>
      <xdr:rowOff>0</xdr:rowOff>
    </xdr:from>
    <xdr:to>
      <xdr:col>56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13166</xdr:colOff>
      <xdr:row>15</xdr:row>
      <xdr:rowOff>14288</xdr:rowOff>
    </xdr:from>
    <xdr:to>
      <xdr:col>58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4763</xdr:colOff>
      <xdr:row>15</xdr:row>
      <xdr:rowOff>4763</xdr:rowOff>
    </xdr:from>
    <xdr:to>
      <xdr:col>58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7620</xdr:colOff>
      <xdr:row>27</xdr:row>
      <xdr:rowOff>170330</xdr:rowOff>
    </xdr:from>
    <xdr:to>
      <xdr:col>54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25</xdr:row>
      <xdr:rowOff>133642</xdr:rowOff>
    </xdr:from>
    <xdr:to>
      <xdr:col>60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28</xdr:row>
      <xdr:rowOff>0</xdr:rowOff>
    </xdr:from>
    <xdr:to>
      <xdr:col>60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169161</xdr:colOff>
      <xdr:row>23</xdr:row>
      <xdr:rowOff>89647</xdr:rowOff>
    </xdr:from>
    <xdr:to>
      <xdr:col>57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84</xdr:col>
      <xdr:colOff>74404</xdr:colOff>
      <xdr:row>13</xdr:row>
      <xdr:rowOff>170329</xdr:rowOff>
    </xdr:from>
    <xdr:to>
      <xdr:col>91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94</xdr:col>
      <xdr:colOff>268943</xdr:colOff>
      <xdr:row>14</xdr:row>
      <xdr:rowOff>5123</xdr:rowOff>
    </xdr:from>
    <xdr:to>
      <xdr:col>99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94</xdr:col>
      <xdr:colOff>306159</xdr:colOff>
      <xdr:row>24</xdr:row>
      <xdr:rowOff>183134</xdr:rowOff>
    </xdr:from>
    <xdr:to>
      <xdr:col>99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95</xdr:col>
      <xdr:colOff>600635</xdr:colOff>
      <xdr:row>14</xdr:row>
      <xdr:rowOff>0</xdr:rowOff>
    </xdr:from>
    <xdr:to>
      <xdr:col>95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312845</xdr:colOff>
      <xdr:row>23</xdr:row>
      <xdr:rowOff>96970</xdr:rowOff>
    </xdr:from>
    <xdr:to>
      <xdr:col>94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272825</xdr:colOff>
      <xdr:row>23</xdr:row>
      <xdr:rowOff>112419</xdr:rowOff>
    </xdr:from>
    <xdr:to>
      <xdr:col>99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326574</xdr:colOff>
      <xdr:row>24</xdr:row>
      <xdr:rowOff>4278</xdr:rowOff>
    </xdr:from>
    <xdr:to>
      <xdr:col>99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267109</xdr:colOff>
      <xdr:row>25</xdr:row>
      <xdr:rowOff>126021</xdr:rowOff>
    </xdr:from>
    <xdr:to>
      <xdr:col>100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18</xdr:row>
      <xdr:rowOff>113406</xdr:rowOff>
    </xdr:from>
    <xdr:to>
      <xdr:col>100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14</xdr:row>
      <xdr:rowOff>87575</xdr:rowOff>
    </xdr:from>
    <xdr:to>
      <xdr:col>100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94</xdr:col>
      <xdr:colOff>12414</xdr:colOff>
      <xdr:row>14</xdr:row>
      <xdr:rowOff>95195</xdr:rowOff>
    </xdr:from>
    <xdr:to>
      <xdr:col>94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94</xdr:col>
      <xdr:colOff>12005</xdr:colOff>
      <xdr:row>18</xdr:row>
      <xdr:rowOff>130029</xdr:rowOff>
    </xdr:from>
    <xdr:to>
      <xdr:col>94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94</xdr:col>
      <xdr:colOff>38894</xdr:colOff>
      <xdr:row>25</xdr:row>
      <xdr:rowOff>121321</xdr:rowOff>
    </xdr:from>
    <xdr:to>
      <xdr:col>94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95</xdr:col>
      <xdr:colOff>483785</xdr:colOff>
      <xdr:row>25</xdr:row>
      <xdr:rowOff>8964</xdr:rowOff>
    </xdr:from>
    <xdr:to>
      <xdr:col>95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395747</xdr:colOff>
      <xdr:row>26</xdr:row>
      <xdr:rowOff>115010</xdr:rowOff>
    </xdr:from>
    <xdr:to>
      <xdr:col>100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47296</xdr:colOff>
      <xdr:row>26</xdr:row>
      <xdr:rowOff>120870</xdr:rowOff>
    </xdr:from>
    <xdr:to>
      <xdr:col>99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192323</xdr:colOff>
      <xdr:row>19</xdr:row>
      <xdr:rowOff>94100</xdr:rowOff>
    </xdr:from>
    <xdr:to>
      <xdr:col>100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211067</xdr:colOff>
      <xdr:row>15</xdr:row>
      <xdr:rowOff>89094</xdr:rowOff>
    </xdr:from>
    <xdr:to>
      <xdr:col>100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154134</xdr:colOff>
      <xdr:row>19</xdr:row>
      <xdr:rowOff>107702</xdr:rowOff>
    </xdr:from>
    <xdr:to>
      <xdr:col>100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142302</xdr:colOff>
      <xdr:row>13</xdr:row>
      <xdr:rowOff>174946</xdr:rowOff>
    </xdr:from>
    <xdr:to>
      <xdr:col>100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208702</xdr:colOff>
      <xdr:row>13</xdr:row>
      <xdr:rowOff>190378</xdr:rowOff>
    </xdr:from>
    <xdr:to>
      <xdr:col>100</xdr:col>
      <xdr:colOff>231275</xdr:colOff>
      <xdr:row>13</xdr:row>
      <xdr:rowOff>192274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211541</xdr:colOff>
      <xdr:row>21</xdr:row>
      <xdr:rowOff>44604</xdr:rowOff>
    </xdr:from>
    <xdr:to>
      <xdr:col>100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296260</xdr:colOff>
      <xdr:row>15</xdr:row>
      <xdr:rowOff>95721</xdr:rowOff>
    </xdr:from>
    <xdr:to>
      <xdr:col>94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276855</xdr:colOff>
      <xdr:row>19</xdr:row>
      <xdr:rowOff>108973</xdr:rowOff>
    </xdr:from>
    <xdr:to>
      <xdr:col>94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327025</xdr:colOff>
      <xdr:row>26</xdr:row>
      <xdr:rowOff>104715</xdr:rowOff>
    </xdr:from>
    <xdr:to>
      <xdr:col>94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100</xdr:col>
      <xdr:colOff>3817</xdr:colOff>
      <xdr:row>23</xdr:row>
      <xdr:rowOff>127788</xdr:rowOff>
    </xdr:from>
    <xdr:to>
      <xdr:col>100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236564</xdr:colOff>
      <xdr:row>24</xdr:row>
      <xdr:rowOff>1226</xdr:rowOff>
    </xdr:from>
    <xdr:to>
      <xdr:col>99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6626</xdr:colOff>
      <xdr:row>24</xdr:row>
      <xdr:rowOff>2367</xdr:rowOff>
    </xdr:from>
    <xdr:to>
      <xdr:col>100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175260</xdr:colOff>
          <xdr:row>2</xdr:row>
          <xdr:rowOff>83820</xdr:rowOff>
        </xdr:from>
        <xdr:to>
          <xdr:col>12</xdr:col>
          <xdr:colOff>182880</xdr:colOff>
          <xdr:row>5</xdr:row>
          <xdr:rowOff>91440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510988</xdr:colOff>
      <xdr:row>23</xdr:row>
      <xdr:rowOff>98612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7570" y="3839978"/>
          <a:ext cx="2665" cy="48997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20</xdr:row>
          <xdr:rowOff>7620</xdr:rowOff>
        </xdr:from>
        <xdr:to>
          <xdr:col>16</xdr:col>
          <xdr:colOff>236220</xdr:colOff>
          <xdr:row>23</xdr:row>
          <xdr:rowOff>22860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6">
    <queryTableFields count="15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Ст_ящики_конус" displayName="Ст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87"/>
    <tableColumn id="13" xr3:uid="{4325A253-7B5A-4ED1-B040-BAC2A1DB905F}" uniqueName="13" name="Д3" queryTableFieldId="13" dataDxfId="86">
      <calculatedColumnFormula>INDEX(Втулки1[],MATCH(Ст_ящики_конус[чертеж],Втулки1[чертеж],0),7)</calculatedColumnFormula>
    </tableColumn>
    <tableColumn id="14" xr3:uid="{1416BF7A-8703-4434-AE59-17F2C21D4D16}" uniqueName="14" name="Д1" queryTableFieldId="14" dataDxfId="85">
      <calculatedColumnFormula>INDEX(Втулки1[],MATCH(Ст_ящики_конус[чертеж],Втулки1[чертеж],0),7)+2*INDEX(Втулки1[],MATCH(Ст_ящики_конус[чертеж],Втулки1[чертеж],0),8)</calculatedColumnFormula>
    </tableColumn>
    <tableColumn id="15" xr3:uid="{F5B2421B-C5C6-4737-825F-72B2FCB0ED00}" uniqueName="15" name="Высота3" queryTableFieldId="15" dataDxfId="84">
      <calculatedColumnFormula>INDEX(Втулки1[],MATCH(Ст_ящики_конус[чертеж],Втулки1[чертеж],0),9)</calculatedColumnFormula>
    </tableColumn>
    <tableColumn id="16" xr3:uid="{1CCD00E3-28AB-411A-B965-25F50AF61B4F}" uniqueName="16" name="Средний диам." queryTableFieldId="16" dataDxfId="83">
      <calculatedColumnFormula>(INDEX(Втулки1[],MATCH(Ст_ящики_конус[чертеж],Втулки1[чертеж],0),10)+(INDEX(Втулки1[],MATCH(Ст_ящики_конус[чертеж],Втулки1[чертеж],0),11)))/2</calculatedColumnFormula>
    </tableColumn>
    <tableColumn id="17" xr3:uid="{267D23E2-8202-4974-815A-606871F5C2AD}" uniqueName="17" name="Высота2" queryTableFieldId="17" dataDxfId="82">
      <calculatedColumnFormula>INDEX(Втулки1[],MATCH(Ст_ящики_конус[чертеж],Втулки1[чертеж],0),12)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81"/>
    <tableColumn id="6" xr3:uid="{286882C6-2579-4E89-B3A0-191FE684D279}" uniqueName="6" name="Д.приб1" queryTableFieldId="6"/>
    <tableColumn id="7" xr3:uid="{5280AC5E-BA0C-4CFB-B5B9-08BC6C87D010}" uniqueName="7" name="Д.приб2" queryTableFieldId="7" dataDxfId="80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79"/>
    <tableColumn id="11" xr3:uid="{EA45EACD-42C8-4198-A437-32AA9BDC6750}" uniqueName="11" name="Толщ. щели" queryTableFieldId="11" dataDxfId="78"/>
    <tableColumn id="12" xr3:uid="{8C526EC5-7C4A-40F3-BCE0-62018326DA0A}" uniqueName="12" name="Опоки" queryTableFieldId="12" dataDxfId="7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76" dataDxfId="74" headerRowBorderDxfId="75" tableBorderDxfId="73">
  <autoFilter ref="O3:X13" xr:uid="{ABE37560-84C1-4D05-8D7E-960A33F276C2}"/>
  <tableColumns count="10">
    <tableColumn id="1" xr3:uid="{FB8420C4-BEA7-49A5-B768-6F4E5EA55D62}" name="№" dataDxfId="72"/>
    <tableColumn id="2" xr3:uid="{19531669-B118-462A-9055-792C183002DF}" name="L1" dataDxfId="71"/>
    <tableColumn id="3" xr3:uid="{5205A32A-EDB3-48A3-A1EF-0838E201EFD7}" name="H" dataDxfId="70"/>
    <tableColumn id="4" xr3:uid="{D1BDD49C-F02B-4D13-81BC-9F1D1DD2888F}" name="L2" dataDxfId="69"/>
    <tableColumn id="5" xr3:uid="{E816B15D-8AA0-412A-8A66-84CE595758B3}" name="L3" dataDxfId="68"/>
    <tableColumn id="6" xr3:uid="{247423F3-EA36-4ADC-B14A-05E4EC8AEEFB}" name="L12" dataDxfId="67"/>
    <tableColumn id="7" xr3:uid="{4DACD352-4E5F-4FA2-9C39-A4B9FC33C7AE}" name="h3" dataDxfId="66"/>
    <tableColumn id="8" xr3:uid="{490A7770-1C62-44E6-B9D4-EFBCF24557C5}" name="L4" dataDxfId="65"/>
    <tableColumn id="9" xr3:uid="{7CD5C006-C72C-4837-A606-F929C678C6F9}" name="L5" dataDxfId="64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3">
  <autoFilter ref="Q3:Y15" xr:uid="{8B5C5945-2911-4E90-8276-1FE71A2857E5}"/>
  <tableColumns count="9">
    <tableColumn id="1" xr3:uid="{3D418DE6-CB7E-4E9F-8937-CD60DFB79DA5}" name="Чертеж" dataDxfId="62">
      <calculatedColumnFormula>Таблицы!AP90</calculatedColumnFormula>
    </tableColumn>
    <tableColumn id="2" xr3:uid="{184AC7AD-15D2-4E52-B3B3-BEA8476997C6}" name="Диам. нар." dataDxfId="61">
      <calculatedColumnFormula>Таблицы!AQ90</calculatedColumnFormula>
    </tableColumn>
    <tableColumn id="3" xr3:uid="{BF9225B2-D01A-4C50-B94B-56332F0657DA}" name="Диам. внутр." dataDxfId="60">
      <calculatedColumnFormula>Таблицы!AR90</calculatedColumnFormula>
    </tableColumn>
    <tableColumn id="4" xr3:uid="{D630243F-EC88-400F-9601-841CC175E673}" name="высота" dataDxfId="59">
      <calculatedColumnFormula>Таблицы!AS90</calculatedColumnFormula>
    </tableColumn>
    <tableColumn id="5" xr3:uid="{E9C6917D-4495-49F5-9A6C-02F96575B8B2}" name="Масса д." dataDxfId="58">
      <calculatedColumnFormula>Таблицы!AT90</calculatedColumnFormula>
    </tableColumn>
    <tableColumn id="6" xr3:uid="{E64E474C-1431-4B5A-9D43-A44E4F6985DD}" name="черная" dataDxfId="57">
      <calculatedColumnFormula>Таблицы!AU90</calculatedColumnFormula>
    </tableColumn>
    <tableColumn id="7" xr3:uid="{970965E1-F8A0-45ED-8160-9F6788FCA53B}" name="жидкая" dataDxfId="56">
      <calculatedColumnFormula>Таблицы!AV90</calculatedColumnFormula>
    </tableColumn>
    <tableColumn id="8" xr3:uid="{960D0E11-0648-4C7C-B61F-81E4035AB850}" name="М/З" dataDxfId="55">
      <calculatedColumnFormula>Таблицы!AW90</calculatedColumnFormula>
    </tableColumn>
    <tableColumn id="9" xr3:uid="{7B407D08-5962-40E3-992A-509CBA9FB2A3}" name="комментарии" dataDxfId="54">
      <calculatedColumnFormula>Таблицы!AX90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&lt;50" dataDxfId="52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Столбец1" dataDxfId="50"/>
    <tableColumn id="2" xr3:uid="{BD0E6219-9483-48F0-87DC-936106267111}" name="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Столбец3" dataDxfId="43" dataCellStyle="Excel Built-in Output"/>
    <tableColumn id="9" xr3:uid="{1E4797F3-D86D-4CDB-BA96-D421FCFF99EA}" name="Столбец4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Q4:V22" totalsRowShown="0" headerRowDxfId="40" dataDxfId="39" tableBorderDxfId="38">
  <autoFilter ref="Q4:V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O22" totalsRowShown="0" headerRowDxfId="31" dataDxfId="30">
  <autoFilter ref="N2:O22" xr:uid="{F347DB60-A93D-48EA-B0F1-C6DCBB2EF377}"/>
  <tableColumns count="2">
    <tableColumn id="1" xr3:uid="{B4A3BE2B-E82E-477F-B67B-2022B6A1041F}" name="Ø посадки" dataDxfId="29"/>
    <tableColumn id="2" xr3:uid="{36D52F42-0E2A-4E96-988B-09525E26AED4}" name="№ чертежа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C1:AM130" tableType="queryTable" totalsRowShown="0">
  <autoFilter ref="AC1:AM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P1:BL14" tableType="queryTable" totalsRowShown="0">
  <autoFilter ref="AP1:BL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16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5" displayName="Кольца5" ref="AP89:AX101" tableType="queryTable" totalsRowShown="0">
  <autoFilter ref="AP89:AX101" xr:uid="{353F9CD5-2FFB-4E12-A9CC-5CF656FB94A3}"/>
  <tableColumns count="9">
    <tableColumn id="1" xr3:uid="{99F5EB4E-3442-48AB-B394-E554E44909FC}" uniqueName="1" name="Чертеж" queryTableFieldId="1" dataDxfId="1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O2:BP184" totalsRowShown="0">
  <autoFilter ref="BO2:BP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U1:BY1156" tableType="queryTable" totalsRowShown="0">
  <autoFilter ref="BU1:BY1156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B1:CH148" tableType="queryTable" totalsRowShown="0">
  <autoFilter ref="CB1:CH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O146" tableType="queryTable" totalsRowShown="0">
  <autoFilter ref="A1:O146" xr:uid="{FD7111DF-0280-4778-B739-D17EC6471420}"/>
  <tableColumns count="15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5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4"/>
    <tableColumn id="15" xr3:uid="{3632C3B1-6CB4-47D4-83E9-8EA697000CDD}" uniqueName="15" name="М/завалка" queryTableFieldId="1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R1:W125" tableType="queryTable" totalsRowShown="0">
  <autoFilter ref="R1:W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3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P36:AW58" tableType="queryTable" totalsRowShown="0">
  <autoFilter ref="AP36:AW58" xr:uid="{08B67D63-1968-4F6C-80EB-DA5ECCCAEF48}"/>
  <sortState ref="AP37:AW58">
    <sortCondition ref="AR36:AR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2"/>
    <tableColumn id="8" xr3:uid="{3A610A50-ACBA-4388-B2B3-A81CD0F95223}" uniqueName="8" name="комментарии" queryTableFieldId="8" dataDxfId="2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K1:CP45" tableType="queryTable" totalsRowShown="0">
  <autoFilter ref="CK1:CP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0"/>
    <tableColumn id="6" xr3:uid="{1AC04B56-9014-4098-9C0A-A69841EE9FFE}" uniqueName="6" name="№ чертежа" queryTableFieldId="6" dataDxfId="1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K62:CQ69" tableType="queryTable" totalsRowShown="0">
  <autoFilter ref="CK62:CQ69" xr:uid="{D66F6778-8059-44AB-906A-012FFC9B1F84}"/>
  <tableColumns count="7">
    <tableColumn id="1" xr3:uid="{72F0B355-07BE-49A7-8B0B-8F2BF08EABF6}" uniqueName="1" name="№ чертежа" queryTableFieldId="1" dataDxfId="18"/>
    <tableColumn id="2" xr3:uid="{BCC0EC00-7F1E-41CB-9C7F-9713C6AECCC0}" uniqueName="2" name="Ø пос. мм" queryTableFieldId="2" dataDxfId="1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07/relationships/slicer" Target="../slicers/slicer1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microsoft.com/office/2007/relationships/slicer" Target="../slicers/slicer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hyperlink" Target="../..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08"/>
  <sheetViews>
    <sheetView showGridLines="0" tabSelected="1" zoomScale="70" zoomScaleNormal="70" workbookViewId="0">
      <selection activeCell="S31" sqref="S31"/>
    </sheetView>
  </sheetViews>
  <sheetFormatPr defaultColWidth="8.5546875" defaultRowHeight="15.6" x14ac:dyDescent="0.3"/>
  <cols>
    <col min="1" max="1" width="2.6640625" style="496" customWidth="1"/>
    <col min="2" max="2" width="5.109375" style="496" customWidth="1"/>
    <col min="3" max="3" width="8.5546875" style="496"/>
    <col min="4" max="4" width="9.33203125" style="496" customWidth="1"/>
    <col min="5" max="5" width="11.44140625" style="496" customWidth="1"/>
    <col min="6" max="6" width="14.33203125" style="496" customWidth="1"/>
    <col min="7" max="7" width="10.77734375" style="496" customWidth="1"/>
    <col min="8" max="8" width="14.77734375" style="496" customWidth="1"/>
    <col min="9" max="9" width="10.5546875" style="496" customWidth="1"/>
    <col min="10" max="10" width="10.44140625" style="496" customWidth="1"/>
    <col min="11" max="11" width="11.6640625" style="496" customWidth="1"/>
    <col min="12" max="12" width="14.6640625" style="496" customWidth="1"/>
    <col min="13" max="13" width="3.88671875" style="496" customWidth="1"/>
    <col min="14" max="14" width="27.5546875" style="496" customWidth="1"/>
    <col min="15" max="15" width="12.21875" style="496" customWidth="1"/>
    <col min="16" max="16" width="4.109375" style="496" customWidth="1"/>
    <col min="17" max="17" width="8" style="496" customWidth="1"/>
    <col min="18" max="18" width="17.44140625" style="496" customWidth="1"/>
    <col min="19" max="19" width="11" style="496" customWidth="1"/>
    <col min="20" max="21" width="11.21875" style="496" customWidth="1"/>
    <col min="22" max="22" width="4.109375" style="496" customWidth="1"/>
    <col min="23" max="23" width="11" style="496" customWidth="1"/>
    <col min="24" max="24" width="7.6640625" style="496" customWidth="1"/>
    <col min="25" max="25" width="10.21875" style="496" customWidth="1"/>
    <col min="26" max="28" width="9.77734375" style="496" customWidth="1"/>
    <col min="29" max="29" width="11.33203125" style="496" customWidth="1"/>
    <col min="30" max="49" width="9.77734375" style="496" customWidth="1"/>
    <col min="50" max="16384" width="8.5546875" style="496"/>
  </cols>
  <sheetData>
    <row r="1" spans="1:53" ht="16.2" thickBot="1" x14ac:dyDescent="0.35">
      <c r="A1" s="1172"/>
      <c r="B1" s="1172"/>
      <c r="C1" s="1172"/>
      <c r="D1" s="1172"/>
      <c r="E1" s="1172"/>
      <c r="F1" s="1172"/>
      <c r="G1" s="1172"/>
      <c r="H1" s="1172"/>
      <c r="I1" s="1172"/>
      <c r="J1" s="1172"/>
      <c r="K1" s="1172"/>
      <c r="L1" s="1172" t="s">
        <v>353</v>
      </c>
      <c r="P1" s="509"/>
      <c r="Q1" s="509"/>
      <c r="R1" s="509"/>
      <c r="S1" s="509"/>
      <c r="T1" s="509"/>
      <c r="U1" s="509"/>
      <c r="V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L1" s="1167"/>
      <c r="AM1" s="1167"/>
      <c r="AN1" s="1167"/>
      <c r="AO1" s="1167"/>
      <c r="AP1" s="1167"/>
      <c r="AQ1" s="1167"/>
      <c r="AR1" s="1167"/>
      <c r="AS1" s="1167"/>
      <c r="AT1" s="1167"/>
      <c r="AU1" s="1167"/>
      <c r="AV1" s="1167"/>
      <c r="AW1" s="1167"/>
      <c r="AX1" s="1167"/>
      <c r="AY1" s="1167"/>
      <c r="AZ1" s="1167"/>
      <c r="BA1" s="1167"/>
    </row>
    <row r="2" spans="1:53" ht="16.2" thickBot="1" x14ac:dyDescent="0.35">
      <c r="A2" s="1172"/>
      <c r="B2" s="1173"/>
      <c r="C2" s="1174"/>
      <c r="D2" s="1174"/>
      <c r="E2" s="1174"/>
      <c r="F2" s="1174" t="s">
        <v>0</v>
      </c>
      <c r="G2" s="1174"/>
      <c r="H2" s="1174"/>
      <c r="I2" s="1174"/>
      <c r="J2" s="1174"/>
      <c r="K2" s="1174"/>
      <c r="L2" s="1218" t="s">
        <v>878</v>
      </c>
      <c r="N2" s="1840" t="s">
        <v>76</v>
      </c>
      <c r="O2" s="1841"/>
      <c r="P2" s="509"/>
      <c r="Q2" s="1940" t="s">
        <v>1165</v>
      </c>
      <c r="R2" s="1941"/>
      <c r="S2" s="1942"/>
      <c r="T2" s="1685">
        <f t="array" aca="1" ref="T2" ca="1">MIN(IF(Втулки1[Диаметр2]:Втулки1[Диаметр2]&gt;=O17,Втулки1[Диаметр2]))</f>
        <v>1000</v>
      </c>
      <c r="U2" s="1790"/>
      <c r="V2" s="509"/>
      <c r="W2" s="783"/>
      <c r="X2" s="1918" t="s">
        <v>736</v>
      </c>
      <c r="Y2" s="1918"/>
      <c r="Z2" s="1918"/>
      <c r="AA2" s="1918"/>
      <c r="AB2" s="1918"/>
      <c r="AC2" s="784"/>
      <c r="AD2" s="509"/>
      <c r="AE2" s="509"/>
      <c r="AF2" s="509"/>
      <c r="AG2" s="509"/>
      <c r="AH2" s="509"/>
      <c r="AI2" s="1204"/>
      <c r="AL2" s="1167"/>
      <c r="AM2" s="1167"/>
      <c r="AN2" s="1167"/>
      <c r="AO2" s="1167"/>
      <c r="AP2" s="1167"/>
      <c r="AQ2" s="1167"/>
      <c r="AR2" s="1167"/>
      <c r="AS2" s="1167"/>
      <c r="AT2" s="1167"/>
      <c r="AU2" s="1167"/>
      <c r="AV2" s="1167"/>
      <c r="AW2" s="1167"/>
      <c r="AX2" s="1167"/>
      <c r="AY2" s="1167"/>
      <c r="AZ2" s="1167"/>
      <c r="BA2" s="1167"/>
    </row>
    <row r="3" spans="1:53" x14ac:dyDescent="0.3">
      <c r="A3" s="1172"/>
      <c r="B3" s="1173"/>
      <c r="C3" s="1174" t="s">
        <v>1</v>
      </c>
      <c r="D3" s="1174"/>
      <c r="E3" s="1174"/>
      <c r="F3" s="1174"/>
      <c r="G3" s="1175"/>
      <c r="H3" s="1175"/>
      <c r="I3" s="1174"/>
      <c r="J3" s="1176" t="s">
        <v>371</v>
      </c>
      <c r="K3" s="1866"/>
      <c r="L3" s="1867" t="str">
        <f ca="1">IF(O23=0,R8,VLOOKUP(O23,Втулки1[],3,0))</f>
        <v>1060.21.284</v>
      </c>
      <c r="N3" s="1260" t="s">
        <v>1137</v>
      </c>
      <c r="O3" s="1813">
        <v>960</v>
      </c>
      <c r="P3" s="509"/>
      <c r="Q3" s="1849" t="s">
        <v>591</v>
      </c>
      <c r="R3" s="1847" t="s">
        <v>673</v>
      </c>
      <c r="S3" s="1847" t="s">
        <v>1166</v>
      </c>
      <c r="T3" s="1847" t="s">
        <v>79</v>
      </c>
      <c r="U3" s="1847" t="s">
        <v>1900</v>
      </c>
      <c r="V3" s="509"/>
      <c r="W3" s="825" t="s">
        <v>817</v>
      </c>
      <c r="X3" s="942">
        <v>1</v>
      </c>
      <c r="Y3" s="942">
        <v>2</v>
      </c>
      <c r="Z3" s="942">
        <v>3</v>
      </c>
      <c r="AA3" s="943">
        <v>4</v>
      </c>
      <c r="AB3" s="781" t="s">
        <v>671</v>
      </c>
      <c r="AC3" s="781"/>
      <c r="AD3" s="509"/>
      <c r="AE3" s="509"/>
      <c r="AF3" s="559"/>
      <c r="AG3" s="1193"/>
      <c r="AH3" s="509"/>
      <c r="AI3" s="509"/>
      <c r="AL3" s="1167"/>
      <c r="AM3" s="1167"/>
      <c r="AN3" s="1167"/>
      <c r="AO3" s="1167"/>
      <c r="AP3" s="1167"/>
      <c r="AQ3" s="1167"/>
      <c r="AR3" s="1167"/>
      <c r="AS3" s="1167"/>
      <c r="AT3" s="1167"/>
      <c r="AU3" s="1167"/>
      <c r="AV3" s="1167"/>
      <c r="AW3" s="1167"/>
      <c r="AX3" s="1167"/>
      <c r="AY3" s="1167"/>
      <c r="AZ3" s="1167"/>
      <c r="BA3" s="1167"/>
    </row>
    <row r="4" spans="1:53" ht="16.2" thickBot="1" x14ac:dyDescent="0.35">
      <c r="A4" s="1172"/>
      <c r="B4" s="1178"/>
      <c r="C4" s="1143" t="s">
        <v>1133</v>
      </c>
      <c r="D4" s="1143"/>
      <c r="E4" s="1143"/>
      <c r="F4" s="1143"/>
      <c r="G4" s="1171"/>
      <c r="H4" s="634"/>
      <c r="I4" s="1143"/>
      <c r="J4" s="1143" t="s">
        <v>606</v>
      </c>
      <c r="K4" s="1690">
        <f ca="1">O25</f>
        <v>993</v>
      </c>
      <c r="L4" s="1865">
        <f ca="1">O27</f>
        <v>775</v>
      </c>
      <c r="N4" s="1260" t="s">
        <v>1138</v>
      </c>
      <c r="O4" s="1813">
        <v>905</v>
      </c>
      <c r="P4" s="509"/>
      <c r="Q4" s="1852">
        <f t="array" aca="1" ref="Q4" ca="1">IFERROR(INDEX(Втулки1[],MATCH($T$2,Втулки1[Диаметр2],0)-4,1),"")</f>
        <v>108</v>
      </c>
      <c r="R4" s="1852">
        <f t="array" aca="1" ref="R4" ca="1">IFERROR(INDEX(Втулки1[],MATCH($T$2,Втулки1[Диаметр2],0)-4,3),"")</f>
        <v>0</v>
      </c>
      <c r="S4" s="1852">
        <f t="array" aca="1" ref="S4" ca="1">IFERROR(INDEX(Втулки1[],MATCH($T$2,Втулки1[Диаметр2],0)-4,7),"")</f>
        <v>930</v>
      </c>
      <c r="T4" s="1852">
        <f t="array" aca="1" ref="T4" ca="1">IFERROR(INDEX(Втулки1[],MATCH($T$2,Втулки1[Диаметр2],0)-4,9),"")</f>
        <v>520</v>
      </c>
      <c r="U4" s="1852">
        <f t="array" aca="1" ref="U4" ca="1">IFERROR(INDEX(Втулки1[],MATCH($T$2,Втулки1[Диаметр2],0)-4,12),"")</f>
        <v>150</v>
      </c>
      <c r="V4" s="509"/>
      <c r="W4" s="779"/>
      <c r="X4" s="1348">
        <v>0</v>
      </c>
      <c r="Y4" s="1348">
        <v>0</v>
      </c>
      <c r="Z4" s="1348">
        <v>280</v>
      </c>
      <c r="AA4" s="10">
        <v>70</v>
      </c>
      <c r="AB4" s="1394">
        <f>SUM(X4:AA4)</f>
        <v>350</v>
      </c>
      <c r="AC4" s="781"/>
      <c r="AD4" s="509"/>
      <c r="AE4" s="509"/>
      <c r="AF4" s="509"/>
      <c r="AG4" s="1207"/>
      <c r="AH4" s="509"/>
      <c r="AI4" s="509"/>
      <c r="AL4" s="1167"/>
      <c r="AM4" s="1167"/>
      <c r="AN4" s="1167"/>
      <c r="AO4" s="1167"/>
      <c r="AP4" s="1167"/>
      <c r="AQ4" s="1167"/>
      <c r="AR4" s="1167"/>
      <c r="AS4" s="1167"/>
      <c r="AT4" s="1167"/>
      <c r="AU4" s="1167"/>
      <c r="AV4" s="1167"/>
      <c r="AW4" s="1167"/>
      <c r="AX4" s="1167"/>
      <c r="AY4" s="1167"/>
      <c r="AZ4" s="1167"/>
      <c r="BA4" s="1167"/>
    </row>
    <row r="5" spans="1:53" ht="16.2" thickBot="1" x14ac:dyDescent="0.35">
      <c r="A5" s="1172"/>
      <c r="B5" s="1178"/>
      <c r="C5" s="1143" t="s">
        <v>3</v>
      </c>
      <c r="D5" s="1143"/>
      <c r="E5" s="1143"/>
      <c r="F5" s="1143"/>
      <c r="G5" s="505"/>
      <c r="H5" s="634"/>
      <c r="I5" s="1143"/>
      <c r="J5" s="1179" t="s">
        <v>1134</v>
      </c>
      <c r="K5" s="1868"/>
      <c r="L5" s="1869" t="str">
        <f ca="1">IF(O24=0,R20,VLOOKUP(O24,Ст_ящики[],2,0))</f>
        <v>1255.8.310/312</v>
      </c>
      <c r="N5" s="1260" t="s">
        <v>5</v>
      </c>
      <c r="O5" s="1813">
        <v>700</v>
      </c>
      <c r="P5" s="509"/>
      <c r="Q5" s="1852">
        <f t="array" aca="1" ref="Q5" ca="1">IFERROR(INDEX(Втулки1[],MATCH($T$2,Втулки1[Диаметр2],0)-3,1),"")</f>
        <v>109</v>
      </c>
      <c r="R5" s="1852">
        <f t="array" aca="1" ref="R5" ca="1">IFERROR(INDEX(Втулки1[],MATCH($T$2,Втулки1[Диаметр2],0)-3,3),"")</f>
        <v>0</v>
      </c>
      <c r="S5" s="1852">
        <f t="array" aca="1" ref="S5" ca="1">IFERROR(INDEX(Втулки1[],MATCH($T$2,Втулки1[Диаметр2],0)-3,7),"")</f>
        <v>950</v>
      </c>
      <c r="T5" s="1852">
        <f t="array" aca="1" ref="T5" ca="1">IFERROR(INDEX(Втулки1[],MATCH($T$2,Втулки1[Диаметр2],0)-3,9),"")</f>
        <v>430</v>
      </c>
      <c r="U5" s="1852">
        <f t="array" aca="1" ref="U5" ca="1">IFERROR(INDEX(Втулки1[],MATCH($T$2,Втулки1[Диаметр2],0)-3,12),"")</f>
        <v>110</v>
      </c>
      <c r="V5" s="509"/>
      <c r="W5" s="779"/>
      <c r="X5" s="786">
        <f ca="1">$X$4/$AB$4*AB5</f>
        <v>0</v>
      </c>
      <c r="Y5" s="786">
        <f ca="1">$Y$4/$AB$4*AB5</f>
        <v>0</v>
      </c>
      <c r="Z5" s="786">
        <f ca="1">$Z$4/$AB$4*AB5</f>
        <v>836</v>
      </c>
      <c r="AA5" s="826">
        <f ca="1">$AA$4/$AB$4*AB5</f>
        <v>209</v>
      </c>
      <c r="AB5" s="1395">
        <f ca="1">G10</f>
        <v>1045</v>
      </c>
      <c r="AC5" s="485" t="s">
        <v>838</v>
      </c>
      <c r="AD5" s="509"/>
      <c r="AE5" s="509"/>
      <c r="AF5" s="1193"/>
      <c r="AG5" s="1208"/>
      <c r="AH5" s="509"/>
      <c r="AI5" s="509"/>
      <c r="AL5" s="1167"/>
      <c r="AM5" s="1167"/>
      <c r="AN5" s="1167"/>
      <c r="AO5" s="1167"/>
      <c r="AP5" s="1167"/>
      <c r="AQ5" s="1167"/>
      <c r="AR5" s="1167"/>
      <c r="AS5" s="1167"/>
      <c r="AT5" s="1167"/>
      <c r="AU5" s="1167"/>
      <c r="AV5" s="1167"/>
      <c r="AW5" s="1167"/>
      <c r="AX5" s="1167"/>
      <c r="AY5" s="1167"/>
      <c r="AZ5" s="1167"/>
      <c r="BA5" s="1167"/>
    </row>
    <row r="6" spans="1:53" ht="15" customHeight="1" thickBot="1" x14ac:dyDescent="0.35">
      <c r="A6" s="1172"/>
      <c r="B6" s="1180"/>
      <c r="C6" s="1181" t="s">
        <v>7</v>
      </c>
      <c r="D6" s="1181"/>
      <c r="E6" s="1181"/>
      <c r="F6" s="1181"/>
      <c r="G6" s="1391"/>
      <c r="H6" s="1392"/>
      <c r="I6" s="1181"/>
      <c r="J6" s="1182"/>
      <c r="K6" s="1863">
        <f ca="1">T14</f>
        <v>890</v>
      </c>
      <c r="L6" s="1864">
        <f ca="1">T20</f>
        <v>780</v>
      </c>
      <c r="N6" s="1260" t="s">
        <v>1092</v>
      </c>
      <c r="O6" s="1813">
        <v>1</v>
      </c>
      <c r="P6" s="509"/>
      <c r="Q6" s="1852">
        <f t="array" aca="1" ref="Q6" ca="1">IFERROR(INDEX(Втулки1[],MATCH($T$2,Втулки1[Диаметр2],0)-2,1),"")</f>
        <v>110</v>
      </c>
      <c r="R6" s="1852">
        <f t="array" aca="1" ref="R6" ca="1">IFERROR(INDEX(Втулки1[],MATCH($T$2,Втулки1[Диаметр2],0)-2,3),"")</f>
        <v>0</v>
      </c>
      <c r="S6" s="1852">
        <f t="array" aca="1" ref="S6" ca="1">IFERROR(INDEX(Втулки1[],MATCH($T$2,Втулки1[Диаметр2],0)-2,7),"")</f>
        <v>955</v>
      </c>
      <c r="T6" s="1852">
        <f t="array" aca="1" ref="T6" ca="1">IFERROR(INDEX(Втулки1[],MATCH($T$2,Втулки1[Диаметр2],0)-2,9),"")</f>
        <v>710</v>
      </c>
      <c r="U6" s="1852">
        <f t="array" aca="1" ref="U6" ca="1">IFERROR(INDEX(Втулки1[],MATCH($T$2,Втулки1[Диаметр2],0)-2,12),"")</f>
        <v>120</v>
      </c>
      <c r="V6" s="509"/>
      <c r="W6" s="779"/>
      <c r="X6" s="786">
        <f ca="1">$X$4/$AB$4*AB6</f>
        <v>0</v>
      </c>
      <c r="Y6" s="786">
        <f ca="1">$Y$4/$AB$4*AB6</f>
        <v>0</v>
      </c>
      <c r="Z6" s="786">
        <f ca="1">$Z$4/$AB$4*AB6</f>
        <v>1236.8000000000002</v>
      </c>
      <c r="AA6" s="826">
        <f ca="1">$AA$4/$AB$4*AB6</f>
        <v>309.20000000000005</v>
      </c>
      <c r="AB6" s="1395">
        <f ca="1">G14</f>
        <v>1546</v>
      </c>
      <c r="AC6" s="485" t="s">
        <v>837</v>
      </c>
      <c r="AD6" s="509"/>
      <c r="AE6" s="509"/>
      <c r="AF6" s="1209"/>
      <c r="AG6" s="1210"/>
      <c r="AH6" s="509"/>
      <c r="AI6" s="1204"/>
      <c r="AL6" s="1167"/>
      <c r="AM6" s="1167"/>
      <c r="AN6" s="1167"/>
      <c r="AO6" s="1167"/>
      <c r="AP6" s="1167"/>
      <c r="AQ6" s="1167"/>
      <c r="AR6" s="1167"/>
      <c r="AS6" s="1167"/>
      <c r="AT6" s="1167"/>
      <c r="AU6" s="1167"/>
      <c r="AV6" s="1167"/>
      <c r="AW6" s="1167"/>
      <c r="AX6" s="1167"/>
      <c r="AY6" s="1167"/>
      <c r="AZ6" s="1167"/>
      <c r="BA6" s="1167"/>
    </row>
    <row r="7" spans="1:53" ht="16.2" thickBot="1" x14ac:dyDescent="0.35">
      <c r="A7" s="1172"/>
      <c r="B7" s="1178"/>
      <c r="C7" s="1143"/>
      <c r="D7" s="1143"/>
      <c r="E7" s="1143"/>
      <c r="F7" s="1143"/>
      <c r="G7" s="505"/>
      <c r="H7" s="634"/>
      <c r="I7" s="1143"/>
      <c r="J7" s="1143"/>
      <c r="K7" s="1143"/>
      <c r="L7" s="1183"/>
      <c r="N7" s="1261" t="s">
        <v>16</v>
      </c>
      <c r="O7" s="1814">
        <f>((O3*O3-O4*O4)*3.1415926*O5*O9)/4000000</f>
        <v>513.1813110549125</v>
      </c>
      <c r="P7" s="509"/>
      <c r="Q7" s="1852">
        <f t="array" aca="1" ref="Q7" ca="1">IFERROR(INDEX(Втулки1[],MATCH($T$2,Втулки1[Диаметр2],0)-1,1),"")</f>
        <v>111</v>
      </c>
      <c r="R7" s="1852">
        <f t="array" aca="1" ref="R7" ca="1">IFERROR(INDEX(Втулки1[],MATCH($T$2,Втулки1[Диаметр2],0)-1,3),"")</f>
        <v>0</v>
      </c>
      <c r="S7" s="1852">
        <f t="array" aca="1" ref="S7" ca="1">IFERROR(INDEX(Втулки1[],MATCH($T$2,Втулки1[Диаметр2],0)-1,7),"")</f>
        <v>990</v>
      </c>
      <c r="T7" s="1852">
        <f t="array" aca="1" ref="T7" ca="1">IFERROR(INDEX(Втулки1[],MATCH($T$2,Втулки1[Диаметр2],0)-1,9),"")</f>
        <v>640</v>
      </c>
      <c r="U7" s="1852">
        <f t="array" aca="1" ref="U7" ca="1">IFERROR(INDEX(Втулки1[],MATCH($T$2,Втулки1[Диаметр2],0)-1,12),"")</f>
        <v>150</v>
      </c>
      <c r="V7" s="509"/>
      <c r="W7" s="780"/>
      <c r="X7" s="787">
        <f ca="1">$X$4/$AB$4*AB7</f>
        <v>0</v>
      </c>
      <c r="Y7" s="787">
        <f ca="1">$Y$4/$AB$4*AB7</f>
        <v>0</v>
      </c>
      <c r="Z7" s="787">
        <f ca="1">$Z$4/$AB$4*AB7</f>
        <v>1286.4000000000001</v>
      </c>
      <c r="AA7" s="827">
        <f ca="1">$AA$4/$AB$4*AB7</f>
        <v>321.60000000000002</v>
      </c>
      <c r="AB7" s="1393">
        <f ca="1">G16</f>
        <v>1608</v>
      </c>
      <c r="AC7" s="485" t="s">
        <v>815</v>
      </c>
      <c r="AD7" s="509"/>
      <c r="AE7" s="509"/>
      <c r="AF7" s="509"/>
      <c r="AG7" s="509"/>
      <c r="AH7" s="509"/>
      <c r="AI7" s="1204"/>
      <c r="AL7" s="1167"/>
      <c r="AM7" s="1167"/>
      <c r="AN7" s="1167"/>
      <c r="AO7" s="1167"/>
      <c r="AP7" s="1167"/>
      <c r="AQ7" s="1167"/>
      <c r="AR7" s="1167"/>
      <c r="AS7" s="1167"/>
      <c r="AT7" s="1167"/>
      <c r="AU7" s="1167"/>
      <c r="AV7" s="1167"/>
      <c r="AW7" s="1167"/>
      <c r="AX7" s="1167"/>
      <c r="AY7" s="1167"/>
      <c r="AZ7" s="1167"/>
      <c r="BA7" s="1167"/>
    </row>
    <row r="8" spans="1:53" ht="16.2" thickBot="1" x14ac:dyDescent="0.35">
      <c r="A8" s="1172"/>
      <c r="B8" s="1178"/>
      <c r="C8" s="1143" t="s">
        <v>13</v>
      </c>
      <c r="D8" s="1143"/>
      <c r="E8" s="1143"/>
      <c r="F8" s="1143"/>
      <c r="G8" s="1184" t="s">
        <v>6</v>
      </c>
      <c r="H8" s="634"/>
      <c r="I8" s="1185"/>
      <c r="J8" s="505" t="s">
        <v>1016</v>
      </c>
      <c r="K8" s="505"/>
      <c r="L8" s="1186">
        <f ca="1">ROUND(G9/G15,2)</f>
        <v>0.33</v>
      </c>
      <c r="N8" s="1805" t="s">
        <v>1140</v>
      </c>
      <c r="O8" s="1815"/>
      <c r="P8" s="1194"/>
      <c r="Q8" s="1853">
        <f t="array" aca="1" ref="Q8" ca="1">IFERROR(INDEX(Втулки1[],MATCH($T$2,Втулки1[Диаметр2],0),1),"")</f>
        <v>112</v>
      </c>
      <c r="R8" s="1853" t="str">
        <f t="array" aca="1" ref="R8" ca="1">IFERROR(INDEX(Втулки1[],MATCH($T$2,Втулки1[Диаметр2],0),3),"")</f>
        <v>1060.21.284</v>
      </c>
      <c r="S8" s="1853">
        <f t="array" aca="1" ref="S8" ca="1">IFERROR(INDEX(Втулки1[],MATCH($T$2,Втулки1[Диаметр2],0),7),"")</f>
        <v>1000</v>
      </c>
      <c r="T8" s="1853">
        <f t="array" aca="1" ref="T8" ca="1">IFERROR(INDEX(Втулки1[],MATCH($T$2,Втулки1[Диаметр2],0),9),"")</f>
        <v>440</v>
      </c>
      <c r="U8" s="1853">
        <f t="array" aca="1" ref="U8" ca="1">IFERROR(INDEX(Втулки1[],MATCH($T$2,Втулки1[Диаметр2],0),12),"")</f>
        <v>150</v>
      </c>
      <c r="X8" s="1361"/>
      <c r="Y8" s="1362"/>
      <c r="Z8" s="509"/>
      <c r="AA8" s="509"/>
      <c r="AB8" s="509"/>
      <c r="AC8" s="633"/>
      <c r="AD8" s="1194"/>
      <c r="AE8" s="1194"/>
      <c r="AF8" s="1192"/>
      <c r="AG8" s="1211"/>
      <c r="AH8" s="509"/>
      <c r="AI8" s="1204"/>
      <c r="AL8" s="1167"/>
      <c r="AM8" s="1167"/>
      <c r="AN8" s="1167"/>
      <c r="AO8" s="1167"/>
      <c r="AP8" s="1167"/>
      <c r="AQ8" s="1167"/>
      <c r="AR8" s="1167"/>
      <c r="AS8" s="1167"/>
      <c r="AT8" s="1167"/>
      <c r="AU8" s="1167"/>
      <c r="AV8" s="1167"/>
      <c r="AW8" s="1167"/>
      <c r="AX8" s="1167"/>
      <c r="AY8" s="1167"/>
      <c r="AZ8" s="1167"/>
      <c r="BA8" s="1167"/>
    </row>
    <row r="9" spans="1:53" ht="16.2" thickBot="1" x14ac:dyDescent="0.35">
      <c r="A9" s="1172"/>
      <c r="B9" s="1178"/>
      <c r="C9" s="1143" t="s">
        <v>16</v>
      </c>
      <c r="D9" s="1143"/>
      <c r="E9" s="1143"/>
      <c r="F9" s="1143"/>
      <c r="G9" s="1171">
        <f>IF(O8&lt;&gt;0,O8,IF(O7&lt;100,ROUNDUP(O7,1),ROUNDUP(O7,0)))</f>
        <v>514</v>
      </c>
      <c r="H9" s="634"/>
      <c r="I9" s="1187"/>
      <c r="J9" s="505"/>
      <c r="K9" s="505"/>
      <c r="L9" s="1186"/>
      <c r="N9" s="1806" t="s">
        <v>9</v>
      </c>
      <c r="O9" s="1816">
        <f>VLOOKUP(G8,Марка_металла[],9,0)</f>
        <v>9.1</v>
      </c>
      <c r="Q9" s="1852">
        <f t="array" aca="1" ref="Q9" ca="1">IFERROR(INDEX(Втулки1[],MATCH($T$2,Втулки1[Диаметр2],0)+1,1),"")</f>
        <v>113</v>
      </c>
      <c r="R9" s="1852">
        <f t="array" aca="1" ref="R9" ca="1">IFERROR(INDEX(Втулки1[],MATCH($T$2,Втулки1[Диаметр2],0)+1,3),"")</f>
        <v>0</v>
      </c>
      <c r="S9" s="1852">
        <f t="array" aca="1" ref="S9" ca="1">IFERROR(INDEX(Втулки1[],MATCH($T$2,Втулки1[Диаметр2],0)+1,7),"")</f>
        <v>1000</v>
      </c>
      <c r="T9" s="1852">
        <f t="array" aca="1" ref="T9" ca="1">IFERROR(INDEX(Втулки1[],MATCH($T$2,Втулки1[Диаметр2],0)+1,9),"")</f>
        <v>1030</v>
      </c>
      <c r="U9" s="1852">
        <f t="array" aca="1" ref="U9" ca="1">IFERROR(INDEX(Втулки1[],MATCH($T$2,Втулки1[Диаметр2],0)+1,12),"")</f>
        <v>130</v>
      </c>
      <c r="W9" s="1921" t="s">
        <v>942</v>
      </c>
      <c r="X9" s="1922"/>
      <c r="Y9" s="1399"/>
      <c r="Z9" s="509"/>
      <c r="AA9" s="1915" t="s">
        <v>1062</v>
      </c>
      <c r="AB9" s="1916"/>
      <c r="AC9" s="1917"/>
      <c r="AD9" s="1387"/>
      <c r="AF9" s="1192"/>
      <c r="AG9" s="1211"/>
      <c r="AH9" s="509"/>
      <c r="AI9" s="509"/>
      <c r="AL9" s="1167"/>
      <c r="AM9" s="1167"/>
      <c r="AN9" s="1167"/>
      <c r="AO9" s="1167"/>
      <c r="AP9" s="1167"/>
      <c r="AQ9" s="1167"/>
      <c r="AR9" s="1167"/>
      <c r="AS9" s="1167"/>
      <c r="AT9" s="1167"/>
      <c r="AU9" s="1167"/>
      <c r="AV9" s="1167"/>
      <c r="AW9" s="1167"/>
      <c r="AX9" s="1167"/>
      <c r="AY9" s="1167"/>
      <c r="AZ9" s="1167"/>
      <c r="BA9" s="1167"/>
    </row>
    <row r="10" spans="1:53" x14ac:dyDescent="0.3">
      <c r="A10" s="1172"/>
      <c r="B10" s="1178"/>
      <c r="C10" s="1143" t="s">
        <v>18</v>
      </c>
      <c r="D10" s="1143"/>
      <c r="E10" s="1143"/>
      <c r="F10" s="1143"/>
      <c r="G10" s="1191">
        <f ca="1">IF(O23=0,ROUNDUP(O20,0),ROUNDUP(O31,0))</f>
        <v>1045</v>
      </c>
      <c r="H10" s="634"/>
      <c r="I10" s="1143"/>
      <c r="J10" s="505" t="s">
        <v>19</v>
      </c>
      <c r="K10" s="505"/>
      <c r="L10" s="1186">
        <f ca="1">ROUND(G9/G17,2)</f>
        <v>0.32</v>
      </c>
      <c r="M10" s="635"/>
      <c r="N10" s="1807" t="s">
        <v>807</v>
      </c>
      <c r="O10" s="1817"/>
      <c r="Q10" s="1852">
        <f t="array" aca="1" ref="Q10" ca="1">IFERROR(INDEX(Втулки1[],MATCH($T$2,Втулки1[Диаметр2],0)+2,1),"")</f>
        <v>114</v>
      </c>
      <c r="R10" s="1852">
        <f t="array" aca="1" ref="R10" ca="1">IFERROR(INDEX(Втулки1[],MATCH($T$2,Втулки1[Диаметр2],0)+2,3),"")</f>
        <v>0</v>
      </c>
      <c r="S10" s="1852">
        <f t="array" aca="1" ref="S10" ca="1">IFERROR(INDEX(Втулки1[],MATCH($T$2,Втулки1[Диаметр2],0)+2,7),"")</f>
        <v>1050</v>
      </c>
      <c r="T10" s="1852">
        <f t="array" aca="1" ref="T10" ca="1">IFERROR(INDEX(Втулки1[],MATCH($T$2,Втулки1[Диаметр2],0)+2,9),"")</f>
        <v>680</v>
      </c>
      <c r="U10" s="1852">
        <f t="array" aca="1" ref="U10" ca="1">IFERROR(INDEX(Втулки1[],MATCH($T$2,Втулки1[Диаметр2],0)+2,12),"")</f>
        <v>120</v>
      </c>
      <c r="V10" s="735"/>
      <c r="W10" s="1923" t="s">
        <v>833</v>
      </c>
      <c r="X10" s="1924"/>
      <c r="Y10" s="1400"/>
      <c r="Z10" s="509"/>
      <c r="AA10" s="923" t="s">
        <v>911</v>
      </c>
      <c r="AB10" s="924"/>
      <c r="AC10" s="925">
        <v>40</v>
      </c>
      <c r="AD10" s="1387"/>
      <c r="AF10" s="1192"/>
      <c r="AG10" s="1211"/>
      <c r="AH10" s="509"/>
      <c r="AI10" s="1204"/>
      <c r="AL10" s="1167"/>
      <c r="AM10" s="1167"/>
      <c r="AN10" s="1167"/>
      <c r="AO10" s="1167"/>
      <c r="AP10" s="1167"/>
      <c r="AQ10" s="1167"/>
      <c r="AR10" s="1167"/>
      <c r="AS10" s="1167"/>
      <c r="AT10" s="1167"/>
      <c r="AU10" s="1167"/>
      <c r="AV10" s="1167"/>
      <c r="AW10" s="1167"/>
      <c r="AX10" s="1167"/>
      <c r="AY10" s="1167"/>
      <c r="AZ10" s="1167"/>
      <c r="BA10" s="1167"/>
    </row>
    <row r="11" spans="1:53" ht="16.2" thickBot="1" x14ac:dyDescent="0.35">
      <c r="A11" s="1172"/>
      <c r="B11" s="1178"/>
      <c r="C11" s="1143" t="s">
        <v>72</v>
      </c>
      <c r="D11" s="1143"/>
      <c r="E11" s="1143"/>
      <c r="F11" s="1143"/>
      <c r="G11" s="1171">
        <f ca="1">ROUND(G10/G18,0)</f>
        <v>1045</v>
      </c>
      <c r="H11" s="634"/>
      <c r="I11" s="1143"/>
      <c r="J11" s="505"/>
      <c r="K11" s="505"/>
      <c r="L11" s="1186"/>
      <c r="N11" s="1662" t="s">
        <v>770</v>
      </c>
      <c r="O11" s="1818" t="str">
        <f ca="1">Данные!E205</f>
        <v xml:space="preserve">9 </v>
      </c>
      <c r="Q11" s="1852">
        <f t="array" aca="1" ref="Q11" ca="1">IFERROR(INDEX(Втулки1[],MATCH($T$2,Втулки1[Диаметр2],0)+3,1),"")</f>
        <v>115</v>
      </c>
      <c r="R11" s="1852">
        <f t="array" aca="1" ref="R11" ca="1">IFERROR(INDEX(Втулки1[],MATCH($T$2,Втулки1[Диаметр2],0)+3,3),"")</f>
        <v>0</v>
      </c>
      <c r="S11" s="1852">
        <f t="array" aca="1" ref="S11" ca="1">IFERROR(INDEX(Втулки1[],MATCH($T$2,Втулки1[Диаметр2],0)+3,7),"")</f>
        <v>1060</v>
      </c>
      <c r="T11" s="1852">
        <f t="array" aca="1" ref="T11" ca="1">IFERROR(INDEX(Втулки1[],MATCH($T$2,Втулки1[Диаметр2],0)+3,9),"")</f>
        <v>120</v>
      </c>
      <c r="U11" s="1852">
        <f t="array" aca="1" ref="U11" ca="1">IFERROR(INDEX(Втулки1[],MATCH($T$2,Втулки1[Диаметр2],0)+3,12),"")</f>
        <v>140</v>
      </c>
      <c r="W11" s="1925" t="s">
        <v>834</v>
      </c>
      <c r="X11" s="1926"/>
      <c r="Y11" s="1401">
        <v>990</v>
      </c>
      <c r="Z11" s="509"/>
      <c r="AA11" s="19" t="s">
        <v>912</v>
      </c>
      <c r="AB11" s="63"/>
      <c r="AC11" s="899">
        <v>4</v>
      </c>
      <c r="AD11" s="1387"/>
      <c r="AF11" s="1192"/>
      <c r="AG11" s="1211"/>
      <c r="AH11" s="509"/>
      <c r="AI11" s="1204"/>
      <c r="AL11" s="1167"/>
      <c r="AM11" s="1167"/>
      <c r="AN11" s="1167"/>
      <c r="AO11" s="1167"/>
      <c r="AP11" s="1167"/>
      <c r="AQ11" s="1167"/>
      <c r="AR11" s="1167"/>
      <c r="AS11" s="1167"/>
      <c r="AT11" s="1167"/>
      <c r="AU11" s="1167"/>
      <c r="AV11" s="1167"/>
      <c r="AW11" s="1167"/>
      <c r="AX11" s="1167"/>
      <c r="AY11" s="1167"/>
      <c r="AZ11" s="1167"/>
      <c r="BA11" s="1167"/>
    </row>
    <row r="12" spans="1:53" x14ac:dyDescent="0.3">
      <c r="A12" s="1172"/>
      <c r="B12" s="1178"/>
      <c r="C12" s="1143" t="s">
        <v>20</v>
      </c>
      <c r="D12" s="1143"/>
      <c r="E12" s="1143"/>
      <c r="F12" s="1143"/>
      <c r="G12" s="1191">
        <f ca="1">ROUNDUP(O32,0)</f>
        <v>438</v>
      </c>
      <c r="H12" s="634"/>
      <c r="I12" s="1143"/>
      <c r="J12" s="1143"/>
      <c r="K12" s="1143"/>
      <c r="L12" s="1186"/>
      <c r="N12" s="1666" t="s">
        <v>771</v>
      </c>
      <c r="O12" s="1818" t="str">
        <f ca="1">Данные!F205</f>
        <v xml:space="preserve">10 </v>
      </c>
      <c r="Q12" s="1858" t="str">
        <f t="array" aca="1" ref="Q12" ca="1">IF(INDEX(Втулки1[],MATCH($T$2,Втулки1[Диаметр2],0),4)&lt;&gt;0,"Модель с буртом!","")</f>
        <v/>
      </c>
      <c r="R12" s="1859"/>
      <c r="S12" s="1860" t="str">
        <f t="array" aca="1" ref="S12" ca="1">IF(Q12&lt;&gt;"Модель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860"/>
      <c r="U12" s="1861"/>
      <c r="W12" s="1927" t="s">
        <v>832</v>
      </c>
      <c r="X12" s="1928"/>
      <c r="Y12" s="1401">
        <v>500</v>
      </c>
      <c r="Z12" s="509"/>
      <c r="AA12" s="912" t="s">
        <v>913</v>
      </c>
      <c r="AB12" s="913"/>
      <c r="AC12" s="914">
        <v>6</v>
      </c>
      <c r="AD12" s="1387"/>
      <c r="AF12" s="509"/>
      <c r="AG12" s="1211"/>
      <c r="AH12" s="509"/>
      <c r="AI12" s="1204"/>
      <c r="AL12" s="1167"/>
      <c r="AM12" s="1167"/>
      <c r="AN12" s="1167"/>
      <c r="AO12" s="1167"/>
      <c r="AP12" s="1167"/>
      <c r="AQ12" s="1167"/>
      <c r="AR12" s="1167"/>
      <c r="AS12" s="1167"/>
      <c r="AT12" s="1167"/>
      <c r="AU12" s="1167"/>
      <c r="AV12" s="1167"/>
      <c r="AW12" s="1167"/>
      <c r="AX12" s="1167"/>
      <c r="AY12" s="1167"/>
      <c r="AZ12" s="1167"/>
      <c r="BA12" s="1167"/>
    </row>
    <row r="13" spans="1:53" x14ac:dyDescent="0.3">
      <c r="A13" s="1172"/>
      <c r="B13" s="1178"/>
      <c r="C13" s="1188" t="s">
        <v>310</v>
      </c>
      <c r="D13" s="1188"/>
      <c r="E13" s="1188"/>
      <c r="F13" s="1143"/>
      <c r="G13" s="1171">
        <f ca="1">ROUNDUP(O33,0)</f>
        <v>63</v>
      </c>
      <c r="H13" s="634"/>
      <c r="I13" s="1143"/>
      <c r="J13" s="1143"/>
      <c r="K13" s="1143"/>
      <c r="L13" s="1186"/>
      <c r="N13" s="1666" t="s">
        <v>772</v>
      </c>
      <c r="O13" s="1818" t="str">
        <f ca="1">Данные!G205</f>
        <v xml:space="preserve"> 9</v>
      </c>
      <c r="W13" s="1927" t="s">
        <v>248</v>
      </c>
      <c r="X13" s="1928"/>
      <c r="Y13" s="1401"/>
      <c r="Z13" s="509"/>
      <c r="AA13" s="917" t="s">
        <v>915</v>
      </c>
      <c r="AB13" s="918"/>
      <c r="AC13" s="919">
        <v>4</v>
      </c>
      <c r="AD13" s="1387"/>
      <c r="AF13" s="509"/>
      <c r="AG13" s="1211"/>
      <c r="AH13" s="509"/>
      <c r="AI13" s="1204"/>
      <c r="AL13" s="1167"/>
      <c r="AM13" s="1167"/>
      <c r="AN13" s="1167"/>
      <c r="AO13" s="1167"/>
      <c r="AP13" s="1167"/>
      <c r="AQ13" s="1167"/>
      <c r="AR13" s="1167"/>
      <c r="AS13" s="1167"/>
      <c r="AT13" s="1167"/>
      <c r="AU13" s="1167"/>
      <c r="AV13" s="1167"/>
      <c r="AW13" s="1167"/>
      <c r="AX13" s="1167"/>
      <c r="AY13" s="1167"/>
      <c r="AZ13" s="1167"/>
      <c r="BA13" s="1167"/>
    </row>
    <row r="14" spans="1:53" ht="16.2" thickBot="1" x14ac:dyDescent="0.35">
      <c r="A14" s="1172"/>
      <c r="B14" s="1178"/>
      <c r="C14" s="1143" t="s">
        <v>23</v>
      </c>
      <c r="D14" s="1143"/>
      <c r="E14" s="1143"/>
      <c r="F14" s="1143"/>
      <c r="G14" s="1191">
        <f ca="1">G10+G12+G13</f>
        <v>1546</v>
      </c>
      <c r="H14" s="634"/>
      <c r="I14" s="1143"/>
      <c r="J14" s="1189"/>
      <c r="K14" s="1189"/>
      <c r="L14" s="1183"/>
      <c r="N14" s="1666" t="s">
        <v>808</v>
      </c>
      <c r="O14" s="1818">
        <f>IF(O6&gt;1,Данные!D238,0)</f>
        <v>0</v>
      </c>
      <c r="Q14" s="1943" t="s">
        <v>1174</v>
      </c>
      <c r="R14" s="1944"/>
      <c r="S14" s="1945"/>
      <c r="T14" s="1850">
        <f t="array" aca="1" ref="T14" ca="1">MAX(IF(Ст_ящики[Диаметр]:Ст_ящики[Диаметр]&lt;=O18,Ст_ящики[Диаметр]))</f>
        <v>890</v>
      </c>
      <c r="U14" s="1851"/>
      <c r="W14" s="1932" t="s">
        <v>249</v>
      </c>
      <c r="X14" s="1933"/>
      <c r="Y14" s="1402">
        <v>35</v>
      </c>
      <c r="Z14" s="509"/>
      <c r="AA14" s="920" t="s">
        <v>819</v>
      </c>
      <c r="AB14" s="921"/>
      <c r="AC14" s="922">
        <v>0</v>
      </c>
      <c r="AD14" s="1387"/>
      <c r="AF14" s="509"/>
      <c r="AG14" s="509"/>
      <c r="AH14" s="509"/>
      <c r="AI14" s="1204"/>
      <c r="AL14" s="1167"/>
      <c r="AM14" s="1167"/>
      <c r="AN14" s="1167"/>
      <c r="AO14" s="1167"/>
      <c r="AP14" s="1167"/>
      <c r="AQ14" s="1167"/>
      <c r="AR14" s="1167"/>
      <c r="AS14" s="1167"/>
      <c r="AT14" s="1167"/>
      <c r="AU14" s="1167"/>
      <c r="AV14" s="1167"/>
      <c r="AW14" s="1167"/>
      <c r="AX14" s="1167"/>
      <c r="AY14" s="1167"/>
      <c r="AZ14" s="1167"/>
      <c r="BA14" s="1167"/>
    </row>
    <row r="15" spans="1:53" ht="16.2" thickBot="1" x14ac:dyDescent="0.35">
      <c r="A15" s="1172"/>
      <c r="B15" s="1178"/>
      <c r="C15" s="1143" t="s">
        <v>25</v>
      </c>
      <c r="D15" s="1143"/>
      <c r="E15" s="1143"/>
      <c r="F15" s="1143"/>
      <c r="G15" s="1171">
        <f ca="1">ROUNDUP(G14/G18,0)</f>
        <v>1546</v>
      </c>
      <c r="H15" s="634"/>
      <c r="I15" s="1143"/>
      <c r="J15" s="1690"/>
      <c r="K15" s="1690"/>
      <c r="L15" s="1183"/>
      <c r="N15" s="1667" t="s">
        <v>1021</v>
      </c>
      <c r="O15" s="1819">
        <f>IF(AND(O9&gt;=8.7,G8&lt;&gt;"БрО10Ф1"),40,37)</f>
        <v>40</v>
      </c>
      <c r="P15" s="1669"/>
      <c r="Q15" s="1848" t="s">
        <v>591</v>
      </c>
      <c r="R15" s="1847" t="s">
        <v>673</v>
      </c>
      <c r="S15" s="1847" t="s">
        <v>1166</v>
      </c>
      <c r="T15" s="1847" t="s">
        <v>79</v>
      </c>
      <c r="U15" s="1847" t="s">
        <v>1176</v>
      </c>
      <c r="W15" s="1934" t="s">
        <v>9</v>
      </c>
      <c r="X15" s="1935"/>
      <c r="Y15" s="1398">
        <v>8.5</v>
      </c>
      <c r="Z15" s="509"/>
      <c r="AA15" s="1387"/>
      <c r="AB15" s="1387"/>
      <c r="AC15" s="1403">
        <f>AC10*AC11+AC12*AC13+AC14</f>
        <v>184</v>
      </c>
      <c r="AD15" s="1387"/>
      <c r="AE15" s="1387"/>
      <c r="AF15" s="509"/>
      <c r="AG15" s="509"/>
      <c r="AH15" s="509"/>
      <c r="AI15" s="509"/>
      <c r="AL15" s="1167"/>
      <c r="AM15" s="1167"/>
      <c r="AN15" s="1167"/>
      <c r="AO15" s="1167"/>
      <c r="AP15" s="1167"/>
      <c r="AQ15" s="1167"/>
      <c r="AR15" s="1167"/>
      <c r="AS15" s="1167"/>
      <c r="AT15" s="1167"/>
      <c r="AU15" s="1167"/>
      <c r="AV15" s="1167"/>
      <c r="AW15" s="1167"/>
      <c r="AX15" s="1167"/>
      <c r="AY15" s="1167"/>
      <c r="AZ15" s="1167"/>
      <c r="BA15" s="1167"/>
    </row>
    <row r="16" spans="1:53" ht="16.2" thickBot="1" x14ac:dyDescent="0.35">
      <c r="A16" s="1172"/>
      <c r="B16" s="1178"/>
      <c r="C16" s="1143" t="s">
        <v>28</v>
      </c>
      <c r="D16" s="1143"/>
      <c r="E16" s="1143"/>
      <c r="F16" s="1143"/>
      <c r="G16" s="1171">
        <f ca="1">ROUND(G14*1.04,0)</f>
        <v>1608</v>
      </c>
      <c r="H16" s="634"/>
      <c r="I16" s="1172"/>
      <c r="J16" s="1143"/>
      <c r="K16" s="1143"/>
      <c r="L16" s="1186"/>
      <c r="N16" s="1804" t="s">
        <v>1898</v>
      </c>
      <c r="O16" s="1820"/>
      <c r="P16" s="1669"/>
      <c r="Q16" s="1788">
        <f t="array" aca="1" ref="Q16" ca="1">IFERROR(INDEX(Ст_ящики[],MATCH($T$14,Ст_ящики[Диаметр],0)-4,1),"")</f>
        <v>92</v>
      </c>
      <c r="R16" s="1788" t="str">
        <f t="array" aca="1" ref="R16" ca="1">IFERROR(INDEX(Ст_ящики[],MATCH($T$14,Ст_ящики[Диаметр],0)-4,2),"")</f>
        <v>1060.21.284</v>
      </c>
      <c r="S16" s="1788">
        <f t="array" aca="1" ref="S16" ca="1">IFERROR(INDEX(Ст_ящики[],MATCH($T$14,Ст_ящики[Диаметр],0)-4,3),"")</f>
        <v>860</v>
      </c>
      <c r="T16" s="1788">
        <f t="array" aca="1" ref="T16" ca="1">IFERROR(INDEX(Ст_ящики[],MATCH($T$14,Ст_ящики[Диаметр],0)-4,4),"")</f>
        <v>910</v>
      </c>
      <c r="U16" s="1788">
        <f t="array" aca="1" ref="U16" ca="1">IFERROR(INDEX(Ст_ящики[],MATCH($T$14,Ст_ящики[Диаметр],0)-4,5),"")</f>
        <v>80</v>
      </c>
      <c r="W16" s="1936"/>
      <c r="X16" s="1937"/>
      <c r="Y16" s="1397">
        <f>((Y10*Y10-Y12*Y12)*3.1415926*Y13*Y15+(Y11*Y11-Y12*Y12)*(Y14-Y13)*Y15*3.1415926)/4000000</f>
        <v>170.59220882121249</v>
      </c>
      <c r="Z16" s="509"/>
      <c r="AA16" s="17"/>
      <c r="AB16" s="17"/>
      <c r="AC16" s="786"/>
      <c r="AD16" s="1387"/>
      <c r="AE16" s="1387"/>
      <c r="AF16" s="509"/>
      <c r="AG16" s="1196"/>
      <c r="AH16" s="509"/>
      <c r="AI16" s="509"/>
      <c r="AL16" s="1167"/>
      <c r="AM16" s="1167"/>
      <c r="AN16" s="1167"/>
      <c r="AO16" s="1167"/>
      <c r="AP16" s="1167"/>
      <c r="AQ16" s="1167"/>
      <c r="AR16" s="1167"/>
      <c r="AS16" s="1167"/>
      <c r="AT16" s="1167"/>
      <c r="AU16" s="1167"/>
      <c r="AV16" s="1167"/>
      <c r="AW16" s="1167"/>
      <c r="AX16" s="1167"/>
      <c r="AY16" s="1167"/>
      <c r="AZ16" s="1167"/>
      <c r="BA16" s="1167"/>
    </row>
    <row r="17" spans="1:53" ht="15" customHeight="1" thickBot="1" x14ac:dyDescent="0.35">
      <c r="A17" s="1172"/>
      <c r="B17" s="1178"/>
      <c r="C17" s="1143" t="s">
        <v>30</v>
      </c>
      <c r="D17" s="1143"/>
      <c r="E17" s="1143"/>
      <c r="F17" s="1143"/>
      <c r="G17" s="1171">
        <f ca="1">ROUNDUP(G16/G18,0)</f>
        <v>1608</v>
      </c>
      <c r="H17" s="634"/>
      <c r="I17" s="1143"/>
      <c r="J17" s="1143"/>
      <c r="K17" s="1143"/>
      <c r="L17" s="1186"/>
      <c r="N17" s="1799" t="s">
        <v>1137</v>
      </c>
      <c r="O17" s="1821">
        <f ca="1">ROUNDUP((O3+O11*2)/0.985,0)</f>
        <v>993</v>
      </c>
      <c r="P17" s="509"/>
      <c r="Q17" s="1788">
        <f t="array" aca="1" ref="Q17" ca="1">IFERROR(INDEX(Ст_ящики[],MATCH($T$14,Ст_ящики[Диаметр],0)-3,1),"")</f>
        <v>93</v>
      </c>
      <c r="R17" s="1788">
        <f t="array" aca="1" ref="R17" ca="1">IFERROR(INDEX(Ст_ящики[],MATCH($T$14,Ст_ящики[Диаметр],0)-3,2),"")</f>
        <v>0</v>
      </c>
      <c r="S17" s="1788">
        <f t="array" aca="1" ref="S17" ca="1">IFERROR(INDEX(Ст_ящики[],MATCH($T$14,Ст_ящики[Диаметр],0)-3,3),"")</f>
        <v>860</v>
      </c>
      <c r="T17" s="1788">
        <f t="array" aca="1" ref="T17" ca="1">IFERROR(INDEX(Ст_ящики[],MATCH($T$14,Ст_ящики[Диаметр],0)-3,4),"")</f>
        <v>760</v>
      </c>
      <c r="U17" s="1788">
        <f t="array" aca="1" ref="U17" ca="1">IFERROR(INDEX(Ст_ящики[],MATCH($T$14,Ст_ящики[Диаметр],0)-3,5),"")</f>
        <v>80</v>
      </c>
      <c r="W17" s="1938" t="s">
        <v>16</v>
      </c>
      <c r="X17" s="1939"/>
      <c r="Y17" s="1396">
        <f>IF(Y16&gt;=100,ROUNDUP(Y16,0),ROUNDUP(Y16,1))</f>
        <v>171</v>
      </c>
      <c r="Z17" s="509"/>
      <c r="AA17" s="509"/>
      <c r="AB17" s="509"/>
      <c r="AC17" s="1195"/>
      <c r="AD17" s="1140"/>
      <c r="AE17" s="509"/>
      <c r="AF17" s="509"/>
      <c r="AG17" s="1196"/>
      <c r="AH17" s="509"/>
      <c r="AI17" s="509"/>
      <c r="AL17" s="1167"/>
      <c r="AM17" s="1167"/>
      <c r="AN17" s="1167"/>
      <c r="AO17" s="1167"/>
      <c r="AP17" s="1167"/>
      <c r="AQ17" s="1167"/>
      <c r="AR17" s="1167"/>
      <c r="AS17" s="1167"/>
      <c r="AT17" s="1167"/>
      <c r="AU17" s="1167"/>
      <c r="AV17" s="1167"/>
      <c r="AW17" s="1167"/>
      <c r="AX17" s="1167"/>
      <c r="AY17" s="1167"/>
      <c r="AZ17" s="1167"/>
      <c r="BA17" s="1167"/>
    </row>
    <row r="18" spans="1:53" ht="16.2" thickBot="1" x14ac:dyDescent="0.35">
      <c r="A18" s="1172"/>
      <c r="B18" s="1178"/>
      <c r="C18" s="1143" t="s">
        <v>32</v>
      </c>
      <c r="D18" s="1143"/>
      <c r="E18" s="1143"/>
      <c r="F18" s="1143"/>
      <c r="G18" s="505">
        <f>G19*G20</f>
        <v>1</v>
      </c>
      <c r="H18" s="505"/>
      <c r="I18" s="1143"/>
      <c r="J18" s="1143"/>
      <c r="K18" s="1143"/>
      <c r="L18" s="1186"/>
      <c r="N18" s="1797" t="s">
        <v>1138</v>
      </c>
      <c r="O18" s="1822">
        <f ca="1">ROUNDUP((O4-O13*2)/0.994,0)</f>
        <v>893</v>
      </c>
      <c r="P18" s="509"/>
      <c r="Q18" s="1788">
        <f t="array" aca="1" ref="Q18" ca="1">IFERROR(INDEX(Ст_ящики[],MATCH($T$14,Ст_ящики[Диаметр],0)-2,1),"")</f>
        <v>94</v>
      </c>
      <c r="R18" s="1788">
        <f t="array" aca="1" ref="R18" ca="1">IFERROR(INDEX(Ст_ящики[],MATCH($T$14,Ст_ящики[Диаметр],0)-2,2),"")</f>
        <v>0</v>
      </c>
      <c r="S18" s="1788">
        <f t="array" aca="1" ref="S18" ca="1">IFERROR(INDEX(Ст_ящики[],MATCH($T$14,Ст_ящики[Диаметр],0)-2,3),"")</f>
        <v>870</v>
      </c>
      <c r="T18" s="1788">
        <f t="array" aca="1" ref="T18" ca="1">IFERROR(INDEX(Ст_ящики[],MATCH($T$14,Ст_ящики[Диаметр],0)-2,4),"")</f>
        <v>1320</v>
      </c>
      <c r="U18" s="1788">
        <f t="array" aca="1" ref="U18" ca="1">IFERROR(INDEX(Ст_ящики[],MATCH($T$14,Ст_ящики[Диаметр],0)-2,5),"")</f>
        <v>100</v>
      </c>
      <c r="X18" s="509"/>
      <c r="Y18" s="509"/>
      <c r="Z18" s="509"/>
      <c r="AA18" s="509"/>
      <c r="AB18" s="509"/>
      <c r="AC18" s="1195"/>
      <c r="AD18" s="509"/>
      <c r="AE18" s="509"/>
      <c r="AF18" s="509"/>
      <c r="AG18" s="1196"/>
      <c r="AH18" s="509"/>
      <c r="AI18" s="509"/>
      <c r="AL18" s="1167"/>
      <c r="AM18" s="1167"/>
      <c r="AN18" s="1167"/>
      <c r="AO18" s="1167"/>
      <c r="AP18" s="1167"/>
      <c r="AQ18" s="1167"/>
      <c r="AR18" s="1167"/>
      <c r="AS18" s="1167"/>
      <c r="AT18" s="1167"/>
      <c r="AU18" s="1167"/>
      <c r="AV18" s="1167"/>
      <c r="AW18" s="1167"/>
      <c r="AX18" s="1167"/>
      <c r="AY18" s="1167"/>
      <c r="AZ18" s="1167"/>
      <c r="BA18" s="1167"/>
    </row>
    <row r="19" spans="1:53" ht="16.2" thickBot="1" x14ac:dyDescent="0.35">
      <c r="A19" s="1172"/>
      <c r="B19" s="1178"/>
      <c r="C19" s="1143" t="s">
        <v>34</v>
      </c>
      <c r="D19" s="1143"/>
      <c r="E19" s="1143"/>
      <c r="F19" s="1143"/>
      <c r="G19" s="505">
        <v>1</v>
      </c>
      <c r="H19" s="505"/>
      <c r="I19" s="1143"/>
      <c r="J19" s="1143"/>
      <c r="K19" s="1143"/>
      <c r="L19" s="1186"/>
      <c r="N19" s="1798" t="s">
        <v>5</v>
      </c>
      <c r="O19" s="1823">
        <f ca="1">_xlfn.CEILING.MATH(IF(O6=1,(O5+O11+O12+O14+O15)/0.985,((O5+O14)*O6+O11+O12+O15)/0.985),5)</f>
        <v>775</v>
      </c>
      <c r="P19" s="509"/>
      <c r="Q19" s="1788">
        <f t="array" aca="1" ref="Q19" ca="1">IFERROR(INDEX(Ст_ящики[],MATCH($T$14,Ст_ящики[Диаметр],0)-1,1),"")</f>
        <v>95</v>
      </c>
      <c r="R19" s="1788">
        <f t="array" aca="1" ref="R19" ca="1">IFERROR(INDEX(Ст_ящики[],MATCH($T$14,Ст_ящики[Диаметр],0)-1,2),"")</f>
        <v>0</v>
      </c>
      <c r="S19" s="1788">
        <f t="array" aca="1" ref="S19" ca="1">IFERROR(INDEX(Ст_ящики[],MATCH($T$14,Ст_ящики[Диаметр],0)-1,3),"")</f>
        <v>885</v>
      </c>
      <c r="T19" s="1788">
        <f t="array" aca="1" ref="T19" ca="1">IFERROR(INDEX(Ст_ящики[],MATCH($T$14,Ст_ящики[Диаметр],0)-1,4),"")</f>
        <v>830</v>
      </c>
      <c r="U19" s="1788">
        <f t="array" aca="1" ref="U19" ca="1">IFERROR(INDEX(Ст_ящики[],MATCH($T$14,Ст_ящики[Диаметр],0)-1,5),"")</f>
        <v>100</v>
      </c>
      <c r="W19" s="1929" t="s">
        <v>1097</v>
      </c>
      <c r="X19" s="1930"/>
      <c r="Y19" s="1930"/>
      <c r="Z19" s="1930"/>
      <c r="AA19" s="1930"/>
      <c r="AB19" s="1930"/>
      <c r="AC19" s="1931"/>
      <c r="AD19" s="509"/>
      <c r="AE19" s="509"/>
      <c r="AF19" s="509"/>
      <c r="AG19" s="1196"/>
      <c r="AH19" s="509"/>
      <c r="AI19" s="509"/>
      <c r="AL19" s="1167"/>
      <c r="AM19" s="1167"/>
      <c r="AN19" s="1167"/>
      <c r="AO19" s="1167"/>
      <c r="AP19" s="1167"/>
      <c r="AQ19" s="1167"/>
      <c r="AR19" s="1167"/>
      <c r="AS19" s="1167"/>
      <c r="AT19" s="1167"/>
      <c r="AU19" s="1167"/>
      <c r="AV19" s="1167"/>
      <c r="AW19" s="1167"/>
      <c r="AX19" s="1167"/>
      <c r="AY19" s="1167"/>
      <c r="AZ19" s="1167"/>
      <c r="BA19" s="1167"/>
    </row>
    <row r="20" spans="1:53" ht="16.2" thickBot="1" x14ac:dyDescent="0.35">
      <c r="A20" s="1172"/>
      <c r="B20" s="1180"/>
      <c r="C20" s="1181" t="s">
        <v>1132</v>
      </c>
      <c r="D20" s="1181"/>
      <c r="E20" s="1181"/>
      <c r="F20" s="1181"/>
      <c r="G20" s="636">
        <v>1</v>
      </c>
      <c r="H20" s="636"/>
      <c r="I20" s="1181"/>
      <c r="J20" s="1181"/>
      <c r="K20" s="1181"/>
      <c r="L20" s="1190"/>
      <c r="N20" s="1800" t="s">
        <v>243</v>
      </c>
      <c r="O20" s="1862">
        <f ca="1">((O17*O17-O18*O18)*3.1415926*O19*O9)/4000000</f>
        <v>1044.6592574122251</v>
      </c>
      <c r="P20" s="509"/>
      <c r="Q20" s="1789">
        <f t="array" aca="1" ref="Q20" ca="1">IFERROR(INDEX(Ст_ящики[],MATCH($T$14,Ст_ящики[Диаметр],0),1),"")</f>
        <v>96</v>
      </c>
      <c r="R20" s="1789" t="str">
        <f t="array" aca="1" ref="R20" ca="1">IFERROR(INDEX(Ст_ящики[],MATCH($T$14,Ст_ящики[Диаметр],0),2),"")</f>
        <v>1255.8.310/312</v>
      </c>
      <c r="S20" s="1789">
        <f t="array" aca="1" ref="S20" ca="1">IFERROR(INDEX(Ст_ящики[],MATCH($T$14,Ст_ящики[Диаметр],0),3),"")</f>
        <v>890</v>
      </c>
      <c r="T20" s="1789">
        <f t="array" aca="1" ref="T20" ca="1">IFERROR(INDEX(Ст_ящики[],MATCH($T$14,Ст_ящики[Диаметр],0),4),"")</f>
        <v>780</v>
      </c>
      <c r="U20" s="1789">
        <f t="array" aca="1" ref="U20" ca="1">IFERROR(INDEX(Ст_ящики[],MATCH($T$14,Ст_ящики[Диаметр],0),5),"")</f>
        <v>80</v>
      </c>
      <c r="W20" s="1471" t="s">
        <v>1094</v>
      </c>
      <c r="X20" s="1195" t="s">
        <v>1093</v>
      </c>
      <c r="Y20" s="1195">
        <v>390</v>
      </c>
      <c r="Z20" s="1195">
        <v>600</v>
      </c>
      <c r="AA20" s="1195">
        <v>800</v>
      </c>
      <c r="AB20" s="1195">
        <v>1000</v>
      </c>
      <c r="AC20" s="1472">
        <v>1200</v>
      </c>
      <c r="AD20" s="509"/>
      <c r="AE20" s="509"/>
      <c r="AF20" s="509"/>
      <c r="AG20" s="1196"/>
      <c r="AH20" s="509"/>
      <c r="AI20" s="509"/>
      <c r="AL20" s="1167"/>
      <c r="AM20" s="1167"/>
      <c r="AN20" s="1167"/>
      <c r="AO20" s="1167"/>
      <c r="AP20" s="1167"/>
      <c r="AQ20" s="1167"/>
      <c r="AR20" s="1167"/>
      <c r="AS20" s="1167"/>
      <c r="AT20" s="1167"/>
      <c r="AU20" s="1167"/>
      <c r="AV20" s="1167"/>
      <c r="AW20" s="1167"/>
      <c r="AX20" s="1167"/>
      <c r="AY20" s="1167"/>
      <c r="AZ20" s="1167"/>
      <c r="BA20" s="1167"/>
    </row>
    <row r="21" spans="1:53" ht="16.2" thickBot="1" x14ac:dyDescent="0.35">
      <c r="B21" s="501"/>
      <c r="C21" s="495" t="s">
        <v>816</v>
      </c>
      <c r="D21" s="495"/>
      <c r="E21" s="495"/>
      <c r="F21" s="495" t="str">
        <f ca="1">"Формовочный уклон  "&amp;Данные!F32</f>
        <v>Формовочный уклон  6</v>
      </c>
      <c r="G21" s="495"/>
      <c r="H21" s="495"/>
      <c r="I21" s="495" t="str">
        <f ca="1">"Радиус скругления прибыли "&amp;ROUNDUP(E25/0.89,0)</f>
        <v>Радиус скругления прибыли 23</v>
      </c>
      <c r="J21" s="638"/>
      <c r="K21" s="638"/>
      <c r="L21" s="639"/>
      <c r="N21" s="1801" t="s">
        <v>11</v>
      </c>
      <c r="O21" s="1824">
        <f ca="1">Данные!F35</f>
        <v>210</v>
      </c>
      <c r="P21" s="509"/>
      <c r="Q21" s="1788">
        <f t="array" aca="1" ref="Q21" ca="1">IFERROR(INDEX(Ст_ящики[],MATCH($T$14,Ст_ящики[Диаметр],0)+1,1),"")</f>
        <v>97</v>
      </c>
      <c r="R21" s="1788" t="str">
        <f t="array" aca="1" ref="R21" ca="1">IFERROR(INDEX(Ст_ящики[],MATCH($T$14,Ст_ящики[Диаметр],0)+1,2),"")</f>
        <v>11040.21.012</v>
      </c>
      <c r="S21" s="1788">
        <f t="array" aca="1" ref="S21" ca="1">IFERROR(INDEX(Ст_ящики[],MATCH($T$14,Ст_ящики[Диаметр],0)+1,3),"")</f>
        <v>890</v>
      </c>
      <c r="T21" s="1788">
        <f t="array" aca="1" ref="T21" ca="1">IFERROR(INDEX(Ст_ящики[],MATCH($T$14,Ст_ящики[Диаметр],0)+1,4),"")</f>
        <v>1110</v>
      </c>
      <c r="U21" s="1788">
        <f t="array" aca="1" ref="U21" ca="1">IFERROR(INDEX(Ст_ящики[],MATCH($T$14,Ст_ящики[Диаметр],0)+1,5),"")</f>
        <v>80</v>
      </c>
      <c r="V21" s="735"/>
      <c r="W21" s="1471" t="s">
        <v>1095</v>
      </c>
      <c r="X21" s="1195">
        <v>0</v>
      </c>
      <c r="Y21" s="1195">
        <v>50</v>
      </c>
      <c r="Z21" s="1195">
        <v>55</v>
      </c>
      <c r="AA21" s="1195">
        <v>60</v>
      </c>
      <c r="AB21" s="1195"/>
      <c r="AC21" s="1472"/>
      <c r="AD21" s="509"/>
      <c r="AE21" s="509"/>
      <c r="AF21" s="902"/>
      <c r="AG21" s="902"/>
      <c r="AH21" s="509"/>
      <c r="AI21" s="509"/>
      <c r="AJ21" s="710"/>
      <c r="AL21" s="1167"/>
      <c r="AM21" s="1167"/>
      <c r="AN21" s="1167"/>
      <c r="AO21" s="1167"/>
      <c r="AP21" s="1167"/>
      <c r="AQ21" s="1167"/>
      <c r="AR21" s="1167"/>
      <c r="AS21" s="1167"/>
      <c r="AT21" s="1167"/>
      <c r="AU21" s="1167"/>
      <c r="AV21" s="1167"/>
      <c r="AW21" s="1167"/>
      <c r="AX21" s="1167"/>
      <c r="AY21" s="1167"/>
      <c r="AZ21" s="1167"/>
      <c r="BA21" s="1167"/>
    </row>
    <row r="22" spans="1:53" ht="16.2" thickBot="1" x14ac:dyDescent="0.35">
      <c r="B22" s="494"/>
      <c r="C22" s="336"/>
      <c r="D22" s="336"/>
      <c r="E22" s="336"/>
      <c r="F22" s="336"/>
      <c r="G22" s="336"/>
      <c r="H22" s="336"/>
      <c r="I22" s="336"/>
      <c r="J22" s="517"/>
      <c r="K22" s="517"/>
      <c r="L22" s="518"/>
      <c r="N22" s="1803" t="s">
        <v>371</v>
      </c>
      <c r="O22" s="1825"/>
      <c r="P22" s="509"/>
      <c r="Q22" s="1788">
        <f t="array" aca="1" ref="Q22" ca="1">IFERROR(INDEX(Ст_ящики[],MATCH($T$14,Ст_ящики[Диаметр],0)+2,1),"")</f>
        <v>98</v>
      </c>
      <c r="R22" s="1788" t="str">
        <f t="array" aca="1" ref="R22" ca="1">IFERROR(INDEX(Ст_ящики[],MATCH($T$14,Ст_ящики[Диаметр],0)+2,2),"")</f>
        <v>1289.08.111</v>
      </c>
      <c r="S22" s="1788">
        <f t="array" aca="1" ref="S22" ca="1">IFERROR(INDEX(Ст_ящики[],MATCH($T$14,Ст_ящики[Диаметр],0)+2,3),"")</f>
        <v>910</v>
      </c>
      <c r="T22" s="1788">
        <f t="array" aca="1" ref="T22" ca="1">IFERROR(INDEX(Ст_ящики[],MATCH($T$14,Ст_ящики[Диаметр],0)+2,4),"")</f>
        <v>480</v>
      </c>
      <c r="U22" s="1788">
        <f t="array" aca="1" ref="U22" ca="1">IFERROR(INDEX(Ст_ящики[],MATCH($T$14,Ст_ящики[Диаметр],0)+2,5),"")</f>
        <v>100</v>
      </c>
      <c r="V22" s="711"/>
      <c r="W22" s="1473" t="s">
        <v>1096</v>
      </c>
      <c r="X22" s="1184">
        <v>0</v>
      </c>
      <c r="Y22" s="1195">
        <v>55</v>
      </c>
      <c r="Z22" s="1184">
        <v>60</v>
      </c>
      <c r="AA22" s="1184">
        <v>60</v>
      </c>
      <c r="AB22" s="1195">
        <v>60</v>
      </c>
      <c r="AC22" s="1472">
        <v>65</v>
      </c>
      <c r="AD22" s="509"/>
      <c r="AE22" s="509"/>
      <c r="AF22" s="902"/>
      <c r="AG22" s="902"/>
      <c r="AH22" s="509"/>
      <c r="AI22" s="509"/>
      <c r="AJ22" s="710"/>
      <c r="AL22" s="1167"/>
      <c r="AM22" s="1167"/>
      <c r="AN22" s="1167"/>
      <c r="AO22" s="1167"/>
      <c r="AP22" s="1167"/>
      <c r="AQ22" s="1167"/>
      <c r="AR22" s="1167"/>
      <c r="AS22" s="1167"/>
      <c r="AT22" s="1167"/>
      <c r="AU22" s="1167"/>
      <c r="AV22" s="1167"/>
      <c r="AW22" s="1167"/>
      <c r="AX22" s="1167"/>
      <c r="AY22" s="1167"/>
      <c r="AZ22" s="1167"/>
      <c r="BA22" s="1167"/>
    </row>
    <row r="23" spans="1:53" ht="16.2" thickBot="1" x14ac:dyDescent="0.35">
      <c r="B23" s="494"/>
      <c r="C23" s="336"/>
      <c r="D23" s="516">
        <f ca="1">ROUND(O21*0.985,0)</f>
        <v>207</v>
      </c>
      <c r="E23" s="516"/>
      <c r="F23" s="516">
        <f ca="1">ROUNDDOWN(O19*0.985,0)</f>
        <v>763</v>
      </c>
      <c r="G23" s="336" t="str">
        <f ca="1">"( "&amp;ROUNDUP(F23/0.985,0)&amp;" для модели) * "</f>
        <v xml:space="preserve">( 775 для модели) * </v>
      </c>
      <c r="H23" s="336"/>
      <c r="I23" s="336"/>
      <c r="J23" s="902"/>
      <c r="K23" s="902"/>
      <c r="L23" s="518"/>
      <c r="N23" s="1843" t="s">
        <v>1465</v>
      </c>
      <c r="O23" s="1842"/>
      <c r="P23" s="509"/>
      <c r="Q23" s="1788">
        <f t="array" aca="1" ref="Q23" ca="1">IFERROR(INDEX(Ст_ящики[],MATCH($T$14,Ст_ящики[Диаметр],0)+3,1),"")</f>
        <v>99</v>
      </c>
      <c r="R23" s="1788" t="str">
        <f t="array" aca="1" ref="R23" ca="1">IFERROR(INDEX(Ст_ящики[],MATCH($T$14,Ст_ящики[Диаметр],0)+3,2),"")</f>
        <v>11050.21.27/33</v>
      </c>
      <c r="S23" s="1788">
        <f t="array" aca="1" ref="S23" ca="1">IFERROR(INDEX(Ст_ящики[],MATCH($T$14,Ст_ящики[Диаметр],0)+3,3),"")</f>
        <v>915</v>
      </c>
      <c r="T23" s="1788">
        <f t="array" aca="1" ref="T23" ca="1">IFERROR(INDEX(Ст_ящики[],MATCH($T$14,Ст_ящики[Диаметр],0)+3,4),"")</f>
        <v>720</v>
      </c>
      <c r="U23" s="1788">
        <f t="array" aca="1" ref="U23" ca="1">IFERROR(INDEX(Ст_ящики[],MATCH($T$14,Ст_ящики[Диаметр],0)+3,5),"")</f>
        <v>80</v>
      </c>
      <c r="W23" s="1474" t="s">
        <v>224</v>
      </c>
      <c r="X23" s="1475">
        <v>0</v>
      </c>
      <c r="Y23" s="1476">
        <v>60</v>
      </c>
      <c r="Z23" s="1475">
        <v>65</v>
      </c>
      <c r="AA23" s="1475">
        <v>65</v>
      </c>
      <c r="AB23" s="1476">
        <v>70</v>
      </c>
      <c r="AC23" s="1477"/>
      <c r="AD23" s="509"/>
      <c r="AE23" s="509"/>
      <c r="AF23" s="902"/>
      <c r="AG23" s="902"/>
      <c r="AH23" s="509"/>
      <c r="AI23" s="509"/>
      <c r="AL23" s="1167"/>
      <c r="AM23" s="1167"/>
      <c r="AN23" s="1167"/>
      <c r="AO23" s="1167"/>
      <c r="AP23" s="1167"/>
      <c r="AQ23" s="1167"/>
      <c r="AR23" s="1167"/>
      <c r="AS23" s="1167"/>
      <c r="AT23" s="1167"/>
      <c r="AU23" s="1167"/>
      <c r="AV23" s="1167"/>
      <c r="AW23" s="1167"/>
      <c r="AX23" s="1167"/>
      <c r="AY23" s="1167"/>
      <c r="AZ23" s="1167"/>
      <c r="BA23" s="1167"/>
    </row>
    <row r="24" spans="1:53" ht="16.2" thickBot="1" x14ac:dyDescent="0.35">
      <c r="B24" s="494"/>
      <c r="C24" s="336"/>
      <c r="D24" s="336"/>
      <c r="E24" s="336"/>
      <c r="F24" s="1723">
        <f>O5</f>
        <v>700</v>
      </c>
      <c r="G24" s="517"/>
      <c r="H24" s="336"/>
      <c r="I24" s="336"/>
      <c r="J24" s="517"/>
      <c r="K24" s="517"/>
      <c r="L24" s="518"/>
      <c r="N24" s="1833" t="s">
        <v>1941</v>
      </c>
      <c r="O24" s="1844"/>
      <c r="P24" s="509"/>
      <c r="Q24" s="1854"/>
      <c r="R24" s="1855">
        <f t="array" aca="1" ref="R24" ca="1">IFERROR(INDEX(Ст_ящики[],MATCH($T$14,Ст_ящики[Диаметр],0),6),"")</f>
        <v>0</v>
      </c>
      <c r="S24" s="1856"/>
      <c r="T24" s="1856"/>
      <c r="U24" s="1857"/>
      <c r="Y24" s="509"/>
      <c r="Z24" s="509"/>
      <c r="AA24" s="509"/>
      <c r="AB24" s="1197"/>
      <c r="AC24" s="509"/>
      <c r="AD24" s="509"/>
      <c r="AE24" s="509"/>
      <c r="AF24" s="902"/>
      <c r="AG24" s="902"/>
      <c r="AH24" s="509"/>
      <c r="AI24" s="509"/>
      <c r="AJ24" s="336"/>
      <c r="AL24" s="1167"/>
      <c r="AM24" s="1167"/>
      <c r="AN24" s="1167"/>
      <c r="AO24" s="1167"/>
      <c r="AP24" s="1167"/>
      <c r="AQ24" s="1167"/>
      <c r="AR24" s="1167"/>
      <c r="AS24" s="1167"/>
      <c r="AT24" s="1167"/>
      <c r="AU24" s="1167"/>
      <c r="AV24" s="1167"/>
      <c r="AW24" s="1167"/>
      <c r="AX24" s="1167"/>
      <c r="AY24" s="1167"/>
      <c r="AZ24" s="1167"/>
      <c r="BA24" s="1167"/>
    </row>
    <row r="25" spans="1:53" x14ac:dyDescent="0.3">
      <c r="B25" s="494"/>
      <c r="C25" s="336"/>
      <c r="D25" s="336"/>
      <c r="E25" s="640">
        <f ca="1">IF(O23=0,ROUNDUP(O30/2.7,0),(VLOOKUP(O23,Втулки1[],10,0)-(O25+2*Данные!F32))/2)</f>
        <v>20</v>
      </c>
      <c r="F25" s="336"/>
      <c r="G25" s="336"/>
      <c r="H25" s="336"/>
      <c r="I25" s="336"/>
      <c r="J25" s="336"/>
      <c r="K25" s="1352"/>
      <c r="L25" s="519"/>
      <c r="N25" s="1808" t="s">
        <v>1137</v>
      </c>
      <c r="O25" s="1826">
        <f ca="1">IF(O23=0,O17,VLOOKUP(O23,Втулки1[],7,0))</f>
        <v>993</v>
      </c>
      <c r="P25" s="509"/>
      <c r="Q25" s="509"/>
      <c r="R25" s="1212"/>
      <c r="S25" s="509"/>
      <c r="T25" s="509"/>
      <c r="U25" s="509"/>
      <c r="W25" s="1387" t="s">
        <v>964</v>
      </c>
      <c r="Y25" s="509"/>
      <c r="Z25" s="509"/>
      <c r="AA25" s="1198"/>
      <c r="AB25" s="509"/>
      <c r="AC25" s="509"/>
      <c r="AD25" s="509"/>
      <c r="AE25" s="509"/>
      <c r="AF25" s="509"/>
      <c r="AG25" s="1212"/>
      <c r="AH25" s="509"/>
      <c r="AI25" s="509"/>
      <c r="AJ25" s="336"/>
      <c r="AL25" s="1167"/>
      <c r="AM25" s="1167"/>
      <c r="AN25" s="1167"/>
      <c r="AO25" s="1167"/>
      <c r="AP25" s="1167"/>
      <c r="AQ25" s="1167"/>
      <c r="AR25" s="1167"/>
      <c r="AS25" s="1167"/>
      <c r="AT25" s="1167"/>
      <c r="AU25" s="1167"/>
      <c r="AV25" s="1167"/>
      <c r="AW25" s="1167"/>
      <c r="AX25" s="1167"/>
      <c r="AY25" s="1167"/>
      <c r="AZ25" s="1167"/>
      <c r="BA25" s="1167"/>
    </row>
    <row r="26" spans="1:53" x14ac:dyDescent="0.3">
      <c r="B26" s="494"/>
      <c r="C26" s="336"/>
      <c r="D26" s="336"/>
      <c r="E26" s="336"/>
      <c r="F26" s="336"/>
      <c r="G26" s="336"/>
      <c r="H26" s="336"/>
      <c r="I26" s="336"/>
      <c r="J26" s="520"/>
      <c r="K26" s="520"/>
      <c r="L26" s="519"/>
      <c r="N26" s="1796" t="s">
        <v>1138</v>
      </c>
      <c r="O26" s="1827">
        <f ca="1">IF(O24=0,O18,VLOOKUP(O24,Ст_ящики[],3,0))</f>
        <v>893</v>
      </c>
      <c r="P26" s="509"/>
      <c r="Q26" s="1199"/>
      <c r="R26" s="1212"/>
      <c r="S26" s="509"/>
      <c r="T26" s="509"/>
      <c r="U26" s="509"/>
      <c r="W26" s="1387" t="s">
        <v>944</v>
      </c>
      <c r="Y26" s="509"/>
      <c r="Z26" s="509"/>
      <c r="AA26" s="509"/>
      <c r="AB26" s="509"/>
      <c r="AC26" s="509"/>
      <c r="AD26" s="509"/>
      <c r="AE26" s="509"/>
      <c r="AF26" s="1199"/>
      <c r="AG26" s="1212"/>
      <c r="AH26" s="509"/>
      <c r="AI26" s="509"/>
      <c r="AJ26" s="336"/>
      <c r="AL26" s="1167"/>
      <c r="AM26" s="1167"/>
      <c r="AN26" s="1167"/>
      <c r="AO26" s="1167"/>
      <c r="AP26" s="1167"/>
      <c r="AQ26" s="1167"/>
      <c r="AR26" s="1167"/>
      <c r="AS26" s="1167"/>
      <c r="AT26" s="1167"/>
      <c r="AU26" s="1167"/>
      <c r="AV26" s="1167"/>
      <c r="AW26" s="1167"/>
      <c r="AX26" s="1167"/>
      <c r="AY26" s="1167"/>
      <c r="AZ26" s="1167"/>
      <c r="BA26" s="1167"/>
    </row>
    <row r="27" spans="1:53" x14ac:dyDescent="0.3">
      <c r="B27" s="494"/>
      <c r="C27" s="336"/>
      <c r="D27" s="336"/>
      <c r="E27" s="336"/>
      <c r="F27" s="336"/>
      <c r="G27" s="336"/>
      <c r="H27" s="511">
        <f ca="1">IF(O24=0,U20,VLOOKUP(O24,Ст_ящики[],5,0))</f>
        <v>80</v>
      </c>
      <c r="J27" s="521"/>
      <c r="K27" s="521"/>
      <c r="L27" s="519"/>
      <c r="N27" s="1796" t="s">
        <v>5</v>
      </c>
      <c r="O27" s="1827">
        <f ca="1">IF(O23=0,O19,VLOOKUP(O23,Втулки1[],9,0))</f>
        <v>775</v>
      </c>
      <c r="P27" s="1140"/>
      <c r="Q27" s="1200"/>
      <c r="R27" s="1212"/>
      <c r="S27" s="509"/>
      <c r="T27" s="509"/>
      <c r="U27" s="509"/>
      <c r="W27" s="1387" t="s">
        <v>945</v>
      </c>
      <c r="Y27" s="509"/>
      <c r="Z27" s="509"/>
      <c r="AA27" s="509"/>
      <c r="AB27" s="509"/>
      <c r="AC27" s="509"/>
      <c r="AD27" s="509"/>
      <c r="AE27" s="1140"/>
      <c r="AF27" s="1200"/>
      <c r="AG27" s="1212"/>
      <c r="AH27" s="509"/>
      <c r="AI27" s="509"/>
      <c r="AJ27" s="336"/>
      <c r="AL27" s="1167"/>
      <c r="AM27" s="1167"/>
      <c r="AN27" s="1167"/>
      <c r="AO27" s="1167"/>
      <c r="AP27" s="1167"/>
      <c r="AQ27" s="1167"/>
      <c r="AR27" s="1167"/>
      <c r="AS27" s="1167"/>
      <c r="AT27" s="1167"/>
      <c r="AU27" s="1167"/>
      <c r="AV27" s="1167"/>
      <c r="AW27" s="1167"/>
      <c r="AX27" s="1167"/>
      <c r="AY27" s="1167"/>
      <c r="AZ27" s="1167"/>
      <c r="BA27" s="1167"/>
    </row>
    <row r="28" spans="1:53" x14ac:dyDescent="0.3">
      <c r="B28" s="494"/>
      <c r="C28" s="336"/>
      <c r="D28" s="336"/>
      <c r="E28" s="336"/>
      <c r="F28" s="336"/>
      <c r="G28" s="336"/>
      <c r="H28" s="336"/>
      <c r="I28" s="336"/>
      <c r="J28" s="522"/>
      <c r="K28" s="522"/>
      <c r="L28" s="519"/>
      <c r="N28" s="1809" t="s">
        <v>1139</v>
      </c>
      <c r="O28" s="1828">
        <f ca="1">IF(O23=0,Данные!D35,(VLOOKUP(Втулка!O23,Втулки1[],10,0)+VLOOKUP(O23,Втулки1[],11,0))/2)</f>
        <v>1041.3425</v>
      </c>
      <c r="P28" s="509"/>
      <c r="Q28" s="1201"/>
      <c r="R28" s="1212"/>
      <c r="S28" s="509"/>
      <c r="T28" s="509"/>
      <c r="U28" s="509"/>
      <c r="W28" s="1387" t="s">
        <v>946</v>
      </c>
      <c r="X28" s="1213"/>
      <c r="Y28" s="509"/>
      <c r="Z28" s="509"/>
      <c r="AA28" s="509"/>
      <c r="AB28" s="509"/>
      <c r="AC28" s="509"/>
      <c r="AD28" s="509"/>
      <c r="AE28" s="509"/>
      <c r="AF28" s="1201"/>
      <c r="AG28" s="1212"/>
      <c r="AH28" s="509"/>
      <c r="AI28" s="509"/>
      <c r="AJ28" s="336"/>
      <c r="AL28" s="1167"/>
      <c r="AM28" s="1167"/>
      <c r="AN28" s="1167"/>
      <c r="AO28" s="1167"/>
      <c r="AP28" s="1167"/>
      <c r="AQ28" s="1167"/>
      <c r="AR28" s="1167"/>
      <c r="AS28" s="1167"/>
      <c r="AT28" s="1167"/>
      <c r="AU28" s="1167"/>
      <c r="AV28" s="1167"/>
      <c r="AW28" s="1167"/>
      <c r="AX28" s="1167"/>
      <c r="AY28" s="1167"/>
      <c r="AZ28" s="1167"/>
      <c r="BA28" s="1167"/>
    </row>
    <row r="29" spans="1:53" x14ac:dyDescent="0.3">
      <c r="B29" s="494"/>
      <c r="C29" s="336"/>
      <c r="D29" s="336"/>
      <c r="E29" s="336"/>
      <c r="F29" s="336"/>
      <c r="G29" s="336"/>
      <c r="H29" s="336"/>
      <c r="I29" s="1691">
        <f ca="1">IF(O24=0,ROUND(O18*0.994,0),ROUND(O26*0.994,0))</f>
        <v>888</v>
      </c>
      <c r="J29" s="1691">
        <f ca="1">IF(O23=0,ROUNDUP(O17*0.985,0),ROUNDUP(O25*0.985,0))</f>
        <v>979</v>
      </c>
      <c r="K29" s="1691"/>
      <c r="L29" s="519"/>
      <c r="N29" s="1809" t="s">
        <v>2021</v>
      </c>
      <c r="O29" s="1828">
        <f ca="1">IF(O23=0,O21,VLOOKUP(O23,Втулки1[],12,0))</f>
        <v>210</v>
      </c>
      <c r="P29" s="1195"/>
      <c r="Q29" s="1195"/>
      <c r="R29" s="1184"/>
      <c r="S29" s="509"/>
      <c r="T29" s="509"/>
      <c r="U29" s="509"/>
      <c r="W29" s="1387" t="s">
        <v>947</v>
      </c>
      <c r="X29" s="1195"/>
      <c r="Y29" s="1195"/>
      <c r="Z29" s="1195"/>
      <c r="AA29" s="1195"/>
      <c r="AB29" s="1195"/>
      <c r="AC29" s="1195"/>
      <c r="AD29" s="1195"/>
      <c r="AE29" s="1195"/>
      <c r="AF29" s="1195"/>
      <c r="AG29" s="1184"/>
      <c r="AH29" s="509"/>
      <c r="AI29" s="509"/>
      <c r="AJ29" s="336"/>
      <c r="AL29" s="1167"/>
      <c r="AM29" s="1167"/>
      <c r="AN29" s="1167"/>
      <c r="AO29" s="1167"/>
      <c r="AP29" s="1167"/>
      <c r="AQ29" s="1167"/>
      <c r="AR29" s="1167"/>
      <c r="AS29" s="1167"/>
      <c r="AT29" s="1167"/>
      <c r="AU29" s="1167"/>
      <c r="AV29" s="1167"/>
      <c r="AW29" s="1167"/>
      <c r="AX29" s="1167"/>
      <c r="AY29" s="1167"/>
      <c r="AZ29" s="1167"/>
      <c r="BA29" s="1167"/>
    </row>
    <row r="30" spans="1:53" x14ac:dyDescent="0.3">
      <c r="B30" s="494"/>
      <c r="C30" s="336"/>
      <c r="D30" s="336"/>
      <c r="E30" s="524"/>
      <c r="F30" s="525"/>
      <c r="G30" s="336"/>
      <c r="H30" s="336"/>
      <c r="I30" s="1724">
        <f>O4</f>
        <v>905</v>
      </c>
      <c r="J30" s="1724">
        <f>O3</f>
        <v>960</v>
      </c>
      <c r="K30" s="1724"/>
      <c r="L30" s="519"/>
      <c r="N30" s="1845" t="s">
        <v>672</v>
      </c>
      <c r="O30" s="1846">
        <f ca="1">ROUND(((J29+Данные!F32*2)-I29)/2,1)</f>
        <v>51.5</v>
      </c>
      <c r="Q30" s="1184"/>
      <c r="R30" s="1184"/>
      <c r="S30" s="509"/>
      <c r="T30" s="509"/>
      <c r="U30" s="509"/>
      <c r="W30" s="1387" t="s">
        <v>914</v>
      </c>
      <c r="X30" s="1195"/>
      <c r="AF30" s="1184"/>
      <c r="AG30" s="1184"/>
      <c r="AH30" s="509"/>
      <c r="AI30" s="509"/>
      <c r="AJ30" s="1143"/>
      <c r="AL30" s="1167"/>
      <c r="AM30" s="1167"/>
      <c r="AN30" s="1167"/>
      <c r="AO30" s="1167"/>
      <c r="AP30" s="1167"/>
      <c r="AQ30" s="1167"/>
      <c r="AR30" s="1167"/>
      <c r="AS30" s="1167"/>
      <c r="AT30" s="1167"/>
      <c r="AU30" s="1167"/>
      <c r="AV30" s="1167"/>
      <c r="AW30" s="1167"/>
      <c r="AX30" s="1167"/>
      <c r="AY30" s="1167"/>
      <c r="AZ30" s="1167"/>
      <c r="BA30" s="1167"/>
    </row>
    <row r="31" spans="1:53" x14ac:dyDescent="0.3">
      <c r="B31" s="494"/>
      <c r="C31" s="336"/>
      <c r="D31" s="336"/>
      <c r="E31" s="336"/>
      <c r="F31" s="336"/>
      <c r="G31" s="336"/>
      <c r="H31" s="336"/>
      <c r="I31" s="336"/>
      <c r="J31" s="521"/>
      <c r="K31" s="521"/>
      <c r="L31" s="519"/>
      <c r="N31" s="1809" t="s">
        <v>18</v>
      </c>
      <c r="O31" s="1828">
        <f ca="1">Данные!B34</f>
        <v>990.75281709389856</v>
      </c>
      <c r="Q31" s="1419"/>
      <c r="R31" s="1419"/>
      <c r="S31" s="509"/>
      <c r="T31" s="509"/>
      <c r="U31" s="509"/>
      <c r="W31" s="499"/>
      <c r="X31" s="1195"/>
      <c r="AF31" s="1419"/>
      <c r="AG31" s="1419"/>
      <c r="AH31" s="509"/>
      <c r="AI31" s="509"/>
      <c r="AL31" s="1167"/>
      <c r="AM31" s="1167"/>
      <c r="AN31" s="1167"/>
      <c r="AO31" s="1167"/>
      <c r="AP31" s="1167"/>
      <c r="AQ31" s="1167"/>
      <c r="AR31" s="1167"/>
      <c r="AS31" s="1167"/>
      <c r="AT31" s="1167"/>
      <c r="AU31" s="1167"/>
      <c r="AV31" s="1167"/>
      <c r="AW31" s="1167"/>
      <c r="AX31" s="1167"/>
      <c r="AY31" s="1167"/>
      <c r="AZ31" s="1167"/>
      <c r="BA31" s="1167"/>
    </row>
    <row r="32" spans="1:53" x14ac:dyDescent="0.3">
      <c r="B32" s="494"/>
      <c r="C32" s="336"/>
      <c r="D32" s="336"/>
      <c r="E32" s="336"/>
      <c r="F32" s="336"/>
      <c r="G32" s="336"/>
      <c r="H32" s="336"/>
      <c r="I32" s="336"/>
      <c r="J32" s="521"/>
      <c r="K32" s="521"/>
      <c r="L32" s="519"/>
      <c r="N32" s="1796" t="s">
        <v>20</v>
      </c>
      <c r="O32" s="1828">
        <f ca="1">Данные!B35</f>
        <v>437.6969116944976</v>
      </c>
      <c r="Q32" s="1419"/>
      <c r="R32" s="1419"/>
      <c r="S32" s="509"/>
      <c r="T32" s="509"/>
      <c r="U32" s="509"/>
      <c r="W32" s="499"/>
      <c r="X32" s="1195"/>
      <c r="AF32" s="1419"/>
      <c r="AG32" s="1419"/>
      <c r="AH32" s="509"/>
      <c r="AI32" s="509"/>
      <c r="AL32" s="1167"/>
      <c r="AM32" s="1167"/>
      <c r="AN32" s="1167"/>
      <c r="AO32" s="1167"/>
      <c r="AP32" s="1167"/>
      <c r="AQ32" s="1167"/>
      <c r="AR32" s="1167"/>
      <c r="AS32" s="1167"/>
      <c r="AT32" s="1167"/>
      <c r="AU32" s="1167"/>
      <c r="AV32" s="1167"/>
      <c r="AW32" s="1167"/>
      <c r="AX32" s="1167"/>
      <c r="AY32" s="1167"/>
      <c r="AZ32" s="1167"/>
      <c r="BA32" s="1167"/>
    </row>
    <row r="33" spans="2:53" ht="16.2" thickBot="1" x14ac:dyDescent="0.35">
      <c r="B33" s="494"/>
      <c r="C33" s="527"/>
      <c r="D33" s="527"/>
      <c r="E33" s="336"/>
      <c r="F33" s="528"/>
      <c r="G33" s="524"/>
      <c r="H33" s="336"/>
      <c r="I33" s="336"/>
      <c r="J33" s="521"/>
      <c r="K33" s="521"/>
      <c r="L33" s="519"/>
      <c r="N33" s="1810" t="s">
        <v>310</v>
      </c>
      <c r="O33" s="1829">
        <f ca="1">Данные!B31</f>
        <v>62.9</v>
      </c>
      <c r="Q33" s="1419"/>
      <c r="R33" s="1419"/>
      <c r="S33" s="509"/>
      <c r="T33" s="509"/>
      <c r="U33" s="509"/>
      <c r="V33" s="336"/>
      <c r="W33" s="1143"/>
      <c r="X33" s="505"/>
      <c r="AF33" s="1419"/>
      <c r="AG33" s="1419"/>
      <c r="AH33" s="509"/>
      <c r="AI33" s="509"/>
      <c r="AL33" s="1167"/>
      <c r="AM33" s="1167"/>
      <c r="AN33" s="1167"/>
      <c r="AO33" s="1167"/>
      <c r="AP33" s="1167"/>
      <c r="AQ33" s="1167"/>
      <c r="AR33" s="1167"/>
      <c r="AS33" s="1167"/>
      <c r="AT33" s="1167"/>
      <c r="AU33" s="1167"/>
      <c r="AV33" s="1167"/>
      <c r="AW33" s="1167"/>
      <c r="AX33" s="1167"/>
      <c r="AY33" s="1167"/>
      <c r="AZ33" s="1167"/>
      <c r="BA33" s="1167"/>
    </row>
    <row r="34" spans="2:53" ht="16.2" thickBot="1" x14ac:dyDescent="0.35">
      <c r="B34" s="494"/>
      <c r="C34" s="527"/>
      <c r="D34" s="527"/>
      <c r="E34" s="336"/>
      <c r="F34" s="528"/>
      <c r="G34" s="524"/>
      <c r="H34" s="336"/>
      <c r="I34" s="336"/>
      <c r="J34" s="521"/>
      <c r="K34" s="521"/>
      <c r="L34" s="519"/>
      <c r="N34" s="1812" t="s">
        <v>1940</v>
      </c>
      <c r="O34" s="1830"/>
      <c r="Q34" s="1419"/>
      <c r="R34" s="1419"/>
      <c r="S34" s="509"/>
      <c r="T34" s="509"/>
      <c r="U34" s="509"/>
      <c r="V34" s="336"/>
      <c r="W34" s="1143"/>
      <c r="X34" s="1195"/>
      <c r="AF34" s="1419"/>
      <c r="AG34" s="1419"/>
      <c r="AH34" s="509"/>
      <c r="AI34" s="509"/>
      <c r="AL34" s="1167"/>
      <c r="AM34" s="1167"/>
      <c r="AN34" s="1167"/>
      <c r="AO34" s="1167"/>
      <c r="AP34" s="1167"/>
      <c r="AQ34" s="1167"/>
      <c r="AR34" s="1167"/>
      <c r="AS34" s="1167"/>
      <c r="AT34" s="1167"/>
      <c r="AU34" s="1167"/>
      <c r="AV34" s="1167"/>
      <c r="AW34" s="1167"/>
      <c r="AX34" s="1167"/>
      <c r="AY34" s="1167"/>
      <c r="AZ34" s="1167"/>
      <c r="BA34" s="1167"/>
    </row>
    <row r="35" spans="2:53" x14ac:dyDescent="0.3">
      <c r="B35" s="494"/>
      <c r="C35" s="336"/>
      <c r="D35" s="336"/>
      <c r="E35" s="336"/>
      <c r="F35" s="653"/>
      <c r="G35" s="525"/>
      <c r="I35" s="336"/>
      <c r="J35" s="521"/>
      <c r="K35" s="521"/>
      <c r="L35" s="519"/>
      <c r="N35" s="1811" t="s">
        <v>1141</v>
      </c>
      <c r="O35" s="1831"/>
      <c r="P35" s="1195"/>
      <c r="Q35" s="1419"/>
      <c r="R35" s="1419"/>
      <c r="S35" s="509"/>
      <c r="T35" s="509"/>
      <c r="U35" s="509"/>
      <c r="V35" s="336"/>
      <c r="W35" s="1172"/>
      <c r="X35" s="1195"/>
      <c r="Y35" s="1195"/>
      <c r="Z35" s="1195"/>
      <c r="AA35" s="1195"/>
      <c r="AB35" s="1195"/>
      <c r="AC35" s="1184"/>
      <c r="AD35" s="1184"/>
      <c r="AE35" s="1195"/>
      <c r="AF35" s="1419"/>
      <c r="AG35" s="1419"/>
      <c r="AH35" s="509"/>
      <c r="AI35" s="509"/>
      <c r="AL35" s="1167"/>
      <c r="AM35" s="1167"/>
      <c r="AN35" s="1167"/>
      <c r="AO35" s="1167"/>
      <c r="AP35" s="1167"/>
      <c r="AQ35" s="1167"/>
      <c r="AR35" s="1167"/>
      <c r="AS35" s="1167"/>
      <c r="AT35" s="1167"/>
      <c r="AU35" s="1167"/>
      <c r="AV35" s="1167"/>
      <c r="AW35" s="1167"/>
      <c r="AX35" s="1167"/>
      <c r="AY35" s="1167"/>
      <c r="AZ35" s="1167"/>
      <c r="BA35" s="1167"/>
    </row>
    <row r="36" spans="2:53" ht="16.2" thickBot="1" x14ac:dyDescent="0.35">
      <c r="B36" s="494"/>
      <c r="C36" s="642" t="s">
        <v>1135</v>
      </c>
      <c r="D36" s="643">
        <v>10</v>
      </c>
      <c r="E36" s="490" t="str">
        <f>IF(Данные!F34=TRUE,"Формовать в обратном порядке на высоту Н = "&amp;O19&amp;" мм.","")</f>
        <v/>
      </c>
      <c r="G36" s="490"/>
      <c r="H36" s="490"/>
      <c r="I36" s="490"/>
      <c r="J36" s="521"/>
      <c r="K36" s="521"/>
      <c r="L36" s="519"/>
      <c r="N36" s="1802" t="s">
        <v>1142</v>
      </c>
      <c r="O36" s="1832"/>
      <c r="P36" s="1195"/>
      <c r="Q36" s="1419"/>
      <c r="R36" s="1419"/>
      <c r="S36" s="509"/>
      <c r="T36" s="509"/>
      <c r="U36" s="509"/>
      <c r="V36" s="336"/>
      <c r="W36" s="1172"/>
      <c r="X36" s="1195"/>
      <c r="Y36" s="1195"/>
      <c r="Z36" s="1420"/>
      <c r="AA36" s="1195"/>
      <c r="AB36" s="1195"/>
      <c r="AC36" s="1195"/>
      <c r="AD36" s="1195"/>
      <c r="AE36" s="1195"/>
      <c r="AF36" s="1419"/>
      <c r="AG36" s="1419"/>
      <c r="AH36" s="509"/>
      <c r="AI36" s="509"/>
      <c r="AL36" s="1167"/>
      <c r="AM36" s="1167"/>
      <c r="AN36" s="1167"/>
      <c r="AO36" s="1167"/>
      <c r="AP36" s="1167"/>
      <c r="AQ36" s="1167"/>
      <c r="AR36" s="1167"/>
      <c r="AS36" s="1167"/>
      <c r="AT36" s="1167"/>
      <c r="AU36" s="1167"/>
      <c r="AV36" s="1167"/>
      <c r="AW36" s="1167"/>
      <c r="AX36" s="1167"/>
      <c r="AY36" s="1167"/>
      <c r="AZ36" s="1167"/>
      <c r="BA36" s="1167"/>
    </row>
    <row r="37" spans="2:53" ht="16.2" thickBot="1" x14ac:dyDescent="0.35">
      <c r="B37" s="512"/>
      <c r="C37" s="513"/>
      <c r="D37" s="513"/>
      <c r="E37" s="1217" t="str">
        <f>IF(Данные!C37=TRUE,"Модель нашить до размера Ф = "&amp;R64&amp;" мм.","")</f>
        <v/>
      </c>
      <c r="F37" s="513"/>
      <c r="G37" s="1217"/>
      <c r="H37" s="513"/>
      <c r="I37" s="1217" t="str">
        <f>IF(Данные!F33=TRUE,"Использовать холодильники","")</f>
        <v/>
      </c>
      <c r="J37" s="645"/>
      <c r="K37" s="645"/>
      <c r="L37" s="646"/>
      <c r="P37" s="1188"/>
      <c r="Q37" s="1214"/>
      <c r="R37" s="1418"/>
      <c r="S37" s="509"/>
      <c r="T37" s="509"/>
      <c r="U37" s="509"/>
      <c r="W37" s="1172"/>
      <c r="X37" s="1188"/>
      <c r="Y37" s="1188"/>
      <c r="Z37" s="1188"/>
      <c r="AA37" s="1188"/>
      <c r="AB37" s="1188"/>
      <c r="AC37" s="1188"/>
      <c r="AD37" s="1139"/>
      <c r="AE37" s="1188"/>
      <c r="AF37" s="1214"/>
      <c r="AG37" s="1418"/>
      <c r="AH37" s="509"/>
      <c r="AI37" s="509"/>
      <c r="AL37" s="1167"/>
      <c r="AM37" s="1167"/>
      <c r="AN37" s="1167"/>
      <c r="AO37" s="1167"/>
      <c r="AP37" s="1167"/>
      <c r="AQ37" s="1167"/>
      <c r="AR37" s="1167"/>
      <c r="AS37" s="1167"/>
      <c r="AT37" s="1167"/>
      <c r="AU37" s="1167"/>
      <c r="AV37" s="1167"/>
      <c r="AW37" s="1167"/>
      <c r="AX37" s="1167"/>
      <c r="AY37" s="1167"/>
      <c r="AZ37" s="1167"/>
      <c r="BA37" s="1167"/>
    </row>
    <row r="38" spans="2:53" x14ac:dyDescent="0.3">
      <c r="B38" s="494" t="s">
        <v>43</v>
      </c>
      <c r="C38" s="336"/>
      <c r="D38" s="336"/>
      <c r="E38" s="336"/>
      <c r="F38" s="508"/>
      <c r="G38" s="336"/>
      <c r="I38" s="336" t="s">
        <v>44</v>
      </c>
      <c r="J38" s="521"/>
      <c r="K38" s="521"/>
      <c r="L38" s="519"/>
      <c r="N38" s="336"/>
      <c r="O38" s="336"/>
      <c r="P38" s="1188"/>
      <c r="Q38" s="1419"/>
      <c r="R38" s="1418"/>
      <c r="S38" s="509"/>
      <c r="T38" s="509"/>
      <c r="U38" s="509"/>
      <c r="W38" s="1172"/>
      <c r="X38" s="1188"/>
      <c r="Y38" s="1188"/>
      <c r="Z38" s="1188"/>
      <c r="AA38" s="1188"/>
      <c r="AB38" s="1416"/>
      <c r="AC38" s="1188"/>
      <c r="AD38" s="1188"/>
      <c r="AE38" s="1188"/>
      <c r="AF38" s="1419"/>
      <c r="AG38" s="1418"/>
      <c r="AH38" s="509"/>
      <c r="AI38" s="509"/>
      <c r="AL38" s="1167"/>
      <c r="AM38" s="1167"/>
      <c r="AN38" s="1167"/>
      <c r="AO38" s="1167"/>
      <c r="AP38" s="1167"/>
      <c r="AQ38" s="1167"/>
      <c r="AR38" s="1167"/>
      <c r="AS38" s="1167"/>
      <c r="AT38" s="1167"/>
      <c r="AU38" s="1167"/>
      <c r="AV38" s="1167"/>
      <c r="AW38" s="1167"/>
      <c r="AX38" s="1167"/>
      <c r="AY38" s="1167"/>
      <c r="AZ38" s="1167"/>
      <c r="BA38" s="1167"/>
    </row>
    <row r="39" spans="2:53" x14ac:dyDescent="0.3">
      <c r="B39" s="494" t="s">
        <v>45</v>
      </c>
      <c r="C39" s="336"/>
      <c r="D39" s="336"/>
      <c r="E39" s="336"/>
      <c r="F39" s="635" t="str">
        <f>VLOOKUP(G8,Марка_металла[],6,FALSE())</f>
        <v>25010.00173</v>
      </c>
      <c r="G39" s="336"/>
      <c r="I39" s="336" t="s">
        <v>1136</v>
      </c>
      <c r="J39" s="1870">
        <f ca="1">ROUNDUP(I29*I29*3.1415296*(H27+F23+15+(D23/0.985))*2.045/4000000,0)</f>
        <v>1353</v>
      </c>
      <c r="L39" s="647"/>
      <c r="P39" s="1188"/>
      <c r="Q39" s="1188"/>
      <c r="R39" s="1417"/>
      <c r="S39" s="509"/>
      <c r="T39" s="509"/>
      <c r="U39" s="509"/>
      <c r="W39" s="1172"/>
      <c r="X39" s="1188"/>
      <c r="Y39" s="1188"/>
      <c r="Z39" s="1188"/>
      <c r="AA39" s="1188"/>
      <c r="AB39" s="1416"/>
      <c r="AC39" s="1188"/>
      <c r="AD39" s="1188"/>
      <c r="AE39" s="1188"/>
      <c r="AF39" s="1188"/>
      <c r="AG39" s="1417"/>
      <c r="AH39" s="509"/>
      <c r="AI39" s="509"/>
      <c r="AL39" s="1167"/>
      <c r="AM39" s="1167"/>
      <c r="AN39" s="1167"/>
      <c r="AO39" s="1167"/>
      <c r="AP39" s="1167"/>
      <c r="AQ39" s="1167"/>
      <c r="AR39" s="1167"/>
      <c r="AS39" s="1167"/>
      <c r="AT39" s="1167"/>
      <c r="AU39" s="1167"/>
      <c r="AV39" s="1167"/>
      <c r="AW39" s="1167"/>
      <c r="AX39" s="1167"/>
      <c r="AY39" s="1167"/>
      <c r="AZ39" s="1167"/>
      <c r="BA39" s="1167"/>
    </row>
    <row r="40" spans="2:53" x14ac:dyDescent="0.3">
      <c r="B40" s="494" t="s">
        <v>46</v>
      </c>
      <c r="C40" s="336"/>
      <c r="D40" s="336"/>
      <c r="E40" s="336"/>
      <c r="F40" s="648" t="str">
        <f ca="1">IF(G14&gt;1900,Данные!G4,Данные!G3)</f>
        <v>25011.00007</v>
      </c>
      <c r="G40" s="336"/>
      <c r="I40" s="336" t="s">
        <v>47</v>
      </c>
      <c r="J40" s="511" t="s">
        <v>48</v>
      </c>
      <c r="K40" s="511"/>
      <c r="L40" s="519"/>
      <c r="P40" s="1188"/>
      <c r="Q40" s="1195"/>
      <c r="R40" s="1418"/>
      <c r="S40" s="509"/>
      <c r="T40" s="509"/>
      <c r="U40" s="509"/>
      <c r="V40" s="509"/>
      <c r="W40" s="1188"/>
      <c r="X40" s="1188"/>
      <c r="Y40" s="1188"/>
      <c r="Z40" s="1188"/>
      <c r="AA40" s="1188"/>
      <c r="AB40" s="1416"/>
      <c r="AC40" s="1188"/>
      <c r="AD40" s="1188"/>
      <c r="AE40" s="1188"/>
      <c r="AF40" s="1195"/>
      <c r="AG40" s="1418"/>
      <c r="AH40" s="509"/>
      <c r="AI40" s="509"/>
      <c r="AL40" s="1167"/>
      <c r="AM40" s="1167"/>
      <c r="AN40" s="1167"/>
      <c r="AO40" s="1167"/>
      <c r="AP40" s="1167"/>
      <c r="AQ40" s="1167"/>
      <c r="AR40" s="1167"/>
      <c r="AS40" s="1167"/>
      <c r="AT40" s="1167"/>
      <c r="AU40" s="1167"/>
      <c r="AV40" s="1167"/>
      <c r="AW40" s="1167"/>
      <c r="AX40" s="1167"/>
      <c r="AY40" s="1167"/>
      <c r="AZ40" s="1167"/>
      <c r="BA40" s="1167"/>
    </row>
    <row r="41" spans="2:53" x14ac:dyDescent="0.3">
      <c r="B41" s="494" t="s">
        <v>737</v>
      </c>
      <c r="C41" s="336"/>
      <c r="D41" s="336"/>
      <c r="E41" s="336"/>
      <c r="F41" s="503" t="str">
        <f ca="1">Данные!H34</f>
        <v>1050-1090</v>
      </c>
      <c r="G41" s="336" t="s">
        <v>620</v>
      </c>
      <c r="I41" s="336" t="s">
        <v>49</v>
      </c>
      <c r="J41" s="511" t="s">
        <v>50</v>
      </c>
      <c r="K41" s="511"/>
      <c r="L41" s="518"/>
      <c r="P41" s="1188"/>
      <c r="Q41" s="1650"/>
      <c r="R41" s="1650"/>
      <c r="S41" s="1650"/>
      <c r="T41" s="1650"/>
      <c r="U41" s="1650"/>
      <c r="V41" s="1650"/>
      <c r="W41" s="1650"/>
      <c r="X41" s="1188"/>
      <c r="Y41" s="1188"/>
      <c r="Z41" s="1188"/>
      <c r="AA41" s="1188"/>
      <c r="AB41" s="1421"/>
      <c r="AC41" s="1188"/>
      <c r="AD41" s="1188"/>
      <c r="AE41" s="1188"/>
      <c r="AF41" s="1195"/>
      <c r="AG41" s="1188"/>
      <c r="AH41" s="509"/>
      <c r="AI41" s="509"/>
      <c r="AL41" s="1167"/>
      <c r="AM41" s="1167"/>
      <c r="AN41" s="1167"/>
      <c r="AO41" s="1167"/>
      <c r="AP41" s="1167"/>
      <c r="AQ41" s="1167"/>
      <c r="AR41" s="1167"/>
      <c r="AS41" s="1167"/>
      <c r="AT41" s="1167"/>
      <c r="AU41" s="1167"/>
      <c r="AV41" s="1167"/>
      <c r="AW41" s="1167"/>
      <c r="AX41" s="1167"/>
      <c r="AY41" s="1167"/>
      <c r="AZ41" s="1167"/>
      <c r="BA41" s="1167"/>
    </row>
    <row r="42" spans="2:53" x14ac:dyDescent="0.3">
      <c r="B42" s="494" t="s">
        <v>84</v>
      </c>
      <c r="C42" s="336"/>
      <c r="D42" s="336"/>
      <c r="E42" s="336"/>
      <c r="F42" s="508" t="str">
        <f>IF(F39="250010.00001","Засыпать сухим песком.","25010.00168")</f>
        <v>25010.00168</v>
      </c>
      <c r="G42" s="336"/>
      <c r="I42" s="336" t="s">
        <v>53</v>
      </c>
      <c r="J42" s="521"/>
      <c r="K42" s="522"/>
      <c r="L42" s="518"/>
      <c r="P42" s="1188"/>
      <c r="Q42" s="1649"/>
      <c r="R42" s="1651"/>
      <c r="S42" s="1648"/>
      <c r="T42" s="1651"/>
      <c r="U42" s="1651"/>
      <c r="V42" s="1651"/>
      <c r="W42" s="1651"/>
      <c r="X42" s="1188"/>
      <c r="Y42" s="1188"/>
      <c r="Z42" s="1188"/>
      <c r="AA42" s="1188"/>
      <c r="AB42" s="1416"/>
      <c r="AC42" s="1188"/>
      <c r="AD42" s="1188"/>
      <c r="AE42" s="1188"/>
      <c r="AF42" s="1214"/>
      <c r="AG42" s="1188"/>
      <c r="AH42" s="509"/>
      <c r="AI42" s="509"/>
      <c r="AL42" s="1167"/>
      <c r="AM42" s="1167"/>
      <c r="AN42" s="1167"/>
      <c r="AO42" s="1167"/>
      <c r="AP42" s="1167"/>
      <c r="AQ42" s="1167"/>
      <c r="AR42" s="1167"/>
      <c r="AS42" s="1167"/>
      <c r="AT42" s="1167"/>
      <c r="AU42" s="1167"/>
      <c r="AV42" s="1167"/>
      <c r="AW42" s="1167"/>
      <c r="AX42" s="1167"/>
      <c r="AY42" s="1167"/>
      <c r="AZ42" s="1167"/>
      <c r="BA42" s="1167"/>
    </row>
    <row r="43" spans="2:53" x14ac:dyDescent="0.3">
      <c r="B43" s="494" t="s">
        <v>47</v>
      </c>
      <c r="C43" s="336"/>
      <c r="D43" s="336"/>
      <c r="E43" s="336"/>
      <c r="F43" s="530" t="s">
        <v>48</v>
      </c>
      <c r="G43" s="336"/>
      <c r="I43" s="336" t="s">
        <v>1019</v>
      </c>
      <c r="J43" s="1871"/>
      <c r="K43" s="517"/>
      <c r="L43" s="518"/>
      <c r="P43" s="509"/>
      <c r="Q43" s="1651"/>
      <c r="R43" s="1651"/>
      <c r="S43" s="1648"/>
      <c r="T43" s="1651"/>
      <c r="U43" s="1651"/>
      <c r="V43" s="1651"/>
      <c r="W43" s="1651"/>
      <c r="X43" s="509"/>
      <c r="Y43" s="509"/>
      <c r="Z43" s="509"/>
      <c r="AA43" s="509"/>
      <c r="AB43" s="1206"/>
      <c r="AC43" s="509"/>
      <c r="AD43" s="509"/>
      <c r="AE43" s="509"/>
      <c r="AF43" s="902"/>
      <c r="AG43" s="902"/>
      <c r="AH43" s="509"/>
      <c r="AI43" s="509"/>
      <c r="AL43" s="1167"/>
      <c r="AM43" s="1167"/>
      <c r="AN43" s="1167"/>
      <c r="AO43" s="1167"/>
      <c r="AP43" s="1167"/>
      <c r="AQ43" s="1167"/>
      <c r="AR43" s="1167"/>
      <c r="AS43" s="1167"/>
      <c r="AT43" s="1167"/>
      <c r="AU43" s="1167"/>
      <c r="AV43" s="1167"/>
      <c r="AW43" s="1167"/>
      <c r="AX43" s="1167"/>
      <c r="AY43" s="1167"/>
      <c r="AZ43" s="1167"/>
      <c r="BA43" s="1167"/>
    </row>
    <row r="44" spans="2:53" x14ac:dyDescent="0.3">
      <c r="B44" s="494" t="s">
        <v>49</v>
      </c>
      <c r="C44" s="336"/>
      <c r="D44" s="336"/>
      <c r="E44" s="336"/>
      <c r="F44" s="508" t="s">
        <v>50</v>
      </c>
      <c r="G44" s="500"/>
      <c r="I44" s="336" t="s">
        <v>55</v>
      </c>
      <c r="J44" s="511"/>
      <c r="K44" s="1352"/>
      <c r="L44" s="498"/>
      <c r="P44" s="509"/>
      <c r="Q44" s="1651"/>
      <c r="R44" s="1651"/>
      <c r="S44" s="1648"/>
      <c r="T44" s="1651"/>
      <c r="U44" s="1651"/>
      <c r="V44" s="1651"/>
      <c r="W44" s="1651"/>
      <c r="X44" s="509"/>
      <c r="Y44" s="509"/>
      <c r="Z44" s="509"/>
      <c r="AA44" s="509"/>
      <c r="AB44" s="1140"/>
      <c r="AC44" s="1203"/>
      <c r="AD44" s="509"/>
      <c r="AE44" s="509"/>
      <c r="AF44" s="509"/>
      <c r="AG44" s="509"/>
      <c r="AH44" s="509"/>
      <c r="AI44" s="509"/>
      <c r="AL44" s="1167"/>
      <c r="AM44" s="1167"/>
      <c r="AN44" s="1167"/>
      <c r="AO44" s="1167"/>
      <c r="AP44" s="1167"/>
      <c r="AQ44" s="1167"/>
      <c r="AR44" s="1167"/>
      <c r="AS44" s="1167"/>
      <c r="AT44" s="1167"/>
      <c r="AU44" s="1167"/>
      <c r="AV44" s="1167"/>
      <c r="AW44" s="1167"/>
      <c r="AX44" s="1167"/>
      <c r="AY44" s="1167"/>
      <c r="AZ44" s="1167"/>
      <c r="BA44" s="1167"/>
    </row>
    <row r="45" spans="2:53" x14ac:dyDescent="0.3">
      <c r="B45" s="494" t="s">
        <v>56</v>
      </c>
      <c r="C45" s="336"/>
      <c r="D45" s="336"/>
      <c r="E45" s="336"/>
      <c r="F45" s="503" t="str">
        <f ca="1">Данные!B30</f>
        <v>242.04.462-1</v>
      </c>
      <c r="G45" s="508" t="str">
        <f>Данные!C30</f>
        <v>( 1 щель )</v>
      </c>
      <c r="I45" s="336" t="s">
        <v>54</v>
      </c>
      <c r="J45" s="1872" t="s">
        <v>1018</v>
      </c>
      <c r="K45" s="1168"/>
      <c r="L45" s="498"/>
      <c r="P45" s="509"/>
      <c r="Q45" s="1649"/>
      <c r="R45" s="1651"/>
      <c r="S45" s="1648"/>
      <c r="T45" s="1651"/>
      <c r="U45" s="1651"/>
      <c r="V45" s="1651"/>
      <c r="W45" s="1651"/>
      <c r="X45" s="509"/>
      <c r="Y45" s="509"/>
      <c r="Z45" s="509"/>
      <c r="AA45" s="509"/>
      <c r="AB45" s="1205"/>
      <c r="AC45" s="1140"/>
      <c r="AD45" s="509"/>
      <c r="AE45" s="509"/>
      <c r="AF45" s="509"/>
      <c r="AG45" s="509"/>
      <c r="AH45" s="509"/>
      <c r="AI45" s="509"/>
      <c r="AL45" s="1167"/>
      <c r="AM45" s="1167"/>
      <c r="AN45" s="1167"/>
      <c r="AO45" s="1167"/>
      <c r="AP45" s="1167"/>
      <c r="AQ45" s="1167"/>
      <c r="AR45" s="1167"/>
      <c r="AS45" s="1167"/>
      <c r="AT45" s="1167"/>
      <c r="AU45" s="1167"/>
      <c r="AV45" s="1167"/>
      <c r="AW45" s="1167"/>
      <c r="AX45" s="1167"/>
      <c r="AY45" s="1167"/>
      <c r="AZ45" s="1167"/>
      <c r="BA45" s="1167"/>
    </row>
    <row r="46" spans="2:53" ht="18" x14ac:dyDescent="0.35">
      <c r="B46" s="494" t="s">
        <v>989</v>
      </c>
      <c r="C46" s="336"/>
      <c r="D46" s="336">
        <f ca="1">Данные!N248</f>
        <v>1200</v>
      </c>
      <c r="E46" s="336" t="str">
        <f ca="1">" Х "&amp;Данные!O248</f>
        <v xml:space="preserve"> Х 1200</v>
      </c>
      <c r="F46" s="503" t="str">
        <f ca="1">" Х "&amp;Данные!P248&amp;"  /  1 шт."</f>
        <v xml:space="preserve"> Х 200  /  1 шт.</v>
      </c>
      <c r="G46" s="1115"/>
      <c r="H46" s="1112"/>
      <c r="I46" s="336" t="s">
        <v>279</v>
      </c>
      <c r="J46" s="511">
        <v>4</v>
      </c>
      <c r="K46" s="1352"/>
      <c r="L46" s="498"/>
      <c r="P46" s="509"/>
      <c r="Q46" s="1651"/>
      <c r="R46" s="1651"/>
      <c r="S46" s="1648"/>
      <c r="T46" s="1651"/>
      <c r="U46" s="1651"/>
      <c r="V46" s="1651"/>
      <c r="W46" s="1651"/>
      <c r="X46" s="509"/>
      <c r="Y46" s="509"/>
      <c r="Z46" s="509"/>
      <c r="AA46" s="509"/>
      <c r="AB46" s="1206"/>
      <c r="AC46" s="1194"/>
      <c r="AD46" s="509"/>
      <c r="AE46" s="509"/>
      <c r="AF46" s="509"/>
      <c r="AG46" s="509"/>
      <c r="AH46" s="509"/>
      <c r="AI46" s="509"/>
      <c r="AL46" s="1167"/>
      <c r="AM46" s="1167"/>
      <c r="AN46" s="1167"/>
      <c r="AO46" s="1167"/>
      <c r="AP46" s="1167"/>
      <c r="AQ46" s="1167"/>
      <c r="AR46" s="1167"/>
      <c r="AS46" s="1167"/>
      <c r="AT46" s="1167"/>
      <c r="AU46" s="1167"/>
      <c r="AV46" s="1167"/>
      <c r="AW46" s="1167"/>
      <c r="AX46" s="1167"/>
      <c r="AY46" s="1167"/>
      <c r="AZ46" s="1167"/>
      <c r="BA46" s="1167"/>
    </row>
    <row r="47" spans="2:53" ht="18" x14ac:dyDescent="0.35">
      <c r="B47" s="1919" t="s">
        <v>990</v>
      </c>
      <c r="C47" s="1920"/>
      <c r="D47" s="336">
        <f ca="1">IF(Данные!O251&gt;0,Данные!N251,"")</f>
        <v>350</v>
      </c>
      <c r="E47" s="511" t="str">
        <f ca="1">" мм. "&amp;" / "&amp;Данные!O251&amp;" шт."</f>
        <v xml:space="preserve"> мм.  / 2 шт.</v>
      </c>
      <c r="F47" s="503" t="str">
        <f ca="1">IF(Данные!O252&gt;0,Данные!N255&amp;" мм. / "&amp;Данные!O252&amp;" шт.","")</f>
        <v>200 мм. / 1 шт.</v>
      </c>
      <c r="G47" s="1115"/>
      <c r="H47" s="1112"/>
      <c r="I47" s="336"/>
      <c r="J47" s="336"/>
      <c r="K47" s="1352"/>
      <c r="L47" s="498"/>
      <c r="P47" s="509"/>
      <c r="Q47" s="1651"/>
      <c r="R47" s="1651"/>
      <c r="S47" s="1648"/>
      <c r="T47" s="1651"/>
      <c r="U47" s="1651"/>
      <c r="V47" s="1651"/>
      <c r="W47" s="1651"/>
      <c r="X47" s="509"/>
      <c r="Y47" s="509"/>
      <c r="Z47" s="509"/>
      <c r="AA47" s="509"/>
      <c r="AB47" s="1140"/>
      <c r="AC47" s="1194"/>
      <c r="AD47" s="509"/>
      <c r="AE47" s="509"/>
      <c r="AF47" s="509"/>
      <c r="AG47" s="509"/>
      <c r="AH47" s="509"/>
      <c r="AI47" s="509"/>
      <c r="AL47" s="1167"/>
      <c r="AM47" s="1167"/>
      <c r="AN47" s="1167"/>
      <c r="AO47" s="1167"/>
      <c r="AP47" s="1167"/>
      <c r="AQ47" s="1167"/>
      <c r="AR47" s="1167"/>
      <c r="AS47" s="1167"/>
      <c r="AT47" s="1167"/>
      <c r="AU47" s="1167"/>
      <c r="AV47" s="1167"/>
      <c r="AW47" s="1167"/>
      <c r="AX47" s="1167"/>
      <c r="AY47" s="1167"/>
      <c r="AZ47" s="1167"/>
      <c r="BA47" s="1167"/>
    </row>
    <row r="48" spans="2:53" x14ac:dyDescent="0.3">
      <c r="B48" s="494" t="s">
        <v>54</v>
      </c>
      <c r="C48" s="336"/>
      <c r="D48" s="336"/>
      <c r="E48" s="336"/>
      <c r="F48" s="530">
        <v>1.4999999999999999E-2</v>
      </c>
      <c r="G48" s="503"/>
      <c r="L48" s="498"/>
      <c r="P48" s="509"/>
      <c r="Q48" s="1834"/>
      <c r="R48" s="1651"/>
      <c r="S48" s="1652"/>
      <c r="T48" s="1651"/>
      <c r="U48" s="1651"/>
      <c r="V48" s="1651"/>
      <c r="W48" s="1651"/>
      <c r="X48" s="509"/>
      <c r="Y48" s="1204"/>
      <c r="Z48" s="509"/>
      <c r="AA48" s="509"/>
      <c r="AB48" s="1140"/>
      <c r="AC48" s="1140"/>
      <c r="AD48" s="1204"/>
      <c r="AE48" s="509"/>
      <c r="AF48" s="509"/>
      <c r="AG48" s="509"/>
      <c r="AH48" s="509"/>
      <c r="AI48" s="509"/>
      <c r="AL48" s="1167"/>
      <c r="AM48" s="1167"/>
      <c r="AN48" s="1167"/>
      <c r="AO48" s="1167"/>
      <c r="AP48" s="1167"/>
      <c r="AQ48" s="1167"/>
      <c r="AR48" s="1167"/>
      <c r="AS48" s="1167"/>
      <c r="AT48" s="1167"/>
      <c r="AU48" s="1167"/>
      <c r="AV48" s="1167"/>
      <c r="AW48" s="1167"/>
      <c r="AX48" s="1167"/>
      <c r="AY48" s="1167"/>
      <c r="AZ48" s="1167"/>
      <c r="BA48" s="1167"/>
    </row>
    <row r="49" spans="2:53" x14ac:dyDescent="0.3">
      <c r="B49" s="494"/>
      <c r="C49" s="490"/>
      <c r="D49" s="490"/>
      <c r="E49" s="490"/>
      <c r="F49" s="523"/>
      <c r="G49" s="523"/>
      <c r="H49" s="490"/>
      <c r="I49" s="336"/>
      <c r="J49" s="336"/>
      <c r="K49" s="1352"/>
      <c r="L49" s="498"/>
      <c r="P49" s="509"/>
      <c r="Q49" s="1834"/>
      <c r="R49" s="1651"/>
      <c r="S49" s="1648"/>
      <c r="T49" s="1651"/>
      <c r="U49" s="1835"/>
      <c r="V49" s="1651"/>
      <c r="W49" s="1651"/>
      <c r="X49" s="509"/>
      <c r="Y49" s="1204"/>
      <c r="Z49" s="509"/>
      <c r="AA49" s="509"/>
      <c r="AB49" s="1140"/>
      <c r="AC49" s="1140"/>
      <c r="AD49" s="1204"/>
      <c r="AE49" s="509"/>
      <c r="AF49" s="509"/>
      <c r="AG49" s="509"/>
      <c r="AH49" s="509"/>
      <c r="AI49" s="509"/>
      <c r="AL49" s="1167"/>
      <c r="AM49" s="1167"/>
      <c r="AN49" s="1167"/>
      <c r="AO49" s="1167"/>
      <c r="AP49" s="1167"/>
      <c r="AQ49" s="1167"/>
      <c r="AR49" s="1167"/>
      <c r="AS49" s="1167"/>
      <c r="AT49" s="1167"/>
      <c r="AU49" s="1167"/>
      <c r="AV49" s="1167"/>
      <c r="AW49" s="1167"/>
      <c r="AX49" s="1167"/>
      <c r="AY49" s="1167"/>
      <c r="AZ49" s="1167"/>
      <c r="BA49" s="1167"/>
    </row>
    <row r="50" spans="2:53" ht="16.2" thickBot="1" x14ac:dyDescent="0.35">
      <c r="B50" s="494"/>
      <c r="C50" s="336" t="s">
        <v>1017</v>
      </c>
      <c r="D50" s="336"/>
      <c r="E50" s="336"/>
      <c r="F50" s="508"/>
      <c r="G50" s="508" t="s">
        <v>59</v>
      </c>
      <c r="H50" s="336"/>
      <c r="I50" s="336"/>
      <c r="J50" s="336"/>
      <c r="K50" s="1352"/>
      <c r="L50" s="498"/>
      <c r="P50" s="509"/>
      <c r="Q50" s="1651"/>
      <c r="R50" s="1836"/>
      <c r="S50" s="1652"/>
      <c r="T50" s="1651"/>
      <c r="U50" s="1651"/>
      <c r="V50" s="1651"/>
      <c r="W50" s="1651"/>
      <c r="X50" s="509"/>
      <c r="Y50" s="509"/>
      <c r="Z50" s="509"/>
      <c r="AA50" s="509"/>
      <c r="AB50" s="1140"/>
      <c r="AC50" s="1140"/>
      <c r="AD50" s="509"/>
      <c r="AE50" s="509"/>
      <c r="AF50" s="509"/>
      <c r="AG50" s="509"/>
      <c r="AH50" s="509"/>
      <c r="AI50" s="509"/>
      <c r="AL50" s="1167"/>
      <c r="AM50" s="1167"/>
      <c r="AN50" s="1167"/>
      <c r="AO50" s="1167"/>
      <c r="AP50" s="1167"/>
      <c r="AQ50" s="1167"/>
      <c r="AR50" s="1167"/>
      <c r="AS50" s="1167"/>
      <c r="AT50" s="1167"/>
      <c r="AU50" s="1167"/>
      <c r="AV50" s="1167"/>
      <c r="AW50" s="1167"/>
      <c r="AX50" s="1167"/>
      <c r="AY50" s="1167"/>
      <c r="AZ50" s="1167"/>
      <c r="BA50" s="1167"/>
    </row>
    <row r="51" spans="2:53" ht="16.2" thickBot="1" x14ac:dyDescent="0.35">
      <c r="B51" s="1571" t="s">
        <v>60</v>
      </c>
      <c r="C51" s="1572"/>
      <c r="D51" s="1572"/>
      <c r="E51" s="1575"/>
      <c r="F51" s="1147" t="s">
        <v>61</v>
      </c>
      <c r="G51" s="1145" t="s">
        <v>60</v>
      </c>
      <c r="H51" s="1148" t="s">
        <v>62</v>
      </c>
      <c r="I51" s="1149" t="s">
        <v>60</v>
      </c>
      <c r="J51" s="1571" t="s">
        <v>930</v>
      </c>
      <c r="K51" s="1572"/>
      <c r="L51" s="1575"/>
      <c r="P51" s="509"/>
      <c r="Q51" s="1651"/>
      <c r="R51" s="1653"/>
      <c r="S51" s="1652"/>
      <c r="T51" s="1651"/>
      <c r="U51" s="1651"/>
      <c r="V51" s="1651"/>
      <c r="W51" s="1651"/>
      <c r="X51" s="711"/>
      <c r="Y51" s="711"/>
      <c r="Z51" s="711"/>
      <c r="AA51" s="711"/>
      <c r="AB51" s="1140"/>
      <c r="AC51" s="1140"/>
      <c r="AD51" s="509"/>
      <c r="AE51" s="509"/>
      <c r="AF51" s="509"/>
      <c r="AG51" s="509"/>
      <c r="AH51" s="509"/>
      <c r="AI51" s="509"/>
      <c r="AL51" s="1167"/>
      <c r="AM51" s="1167"/>
      <c r="AN51" s="1167"/>
      <c r="AO51" s="1167"/>
      <c r="AP51" s="1167"/>
      <c r="AQ51" s="1167"/>
      <c r="AR51" s="1167"/>
      <c r="AS51" s="1167"/>
      <c r="AT51" s="1167"/>
      <c r="AU51" s="1167"/>
      <c r="AV51" s="1167"/>
      <c r="AW51" s="1167"/>
      <c r="AX51" s="1167"/>
      <c r="AY51" s="1167"/>
      <c r="AZ51" s="1167"/>
      <c r="BA51" s="1167"/>
    </row>
    <row r="52" spans="2:53" ht="16.2" thickBot="1" x14ac:dyDescent="0.35">
      <c r="B52" s="1573">
        <f ca="1">TODAY()</f>
        <v>45497</v>
      </c>
      <c r="C52" s="1574"/>
      <c r="D52" s="1574"/>
      <c r="E52" s="1586"/>
      <c r="F52" s="1520" t="s">
        <v>252</v>
      </c>
      <c r="G52" s="1519"/>
      <c r="H52" s="1148" t="s">
        <v>253</v>
      </c>
      <c r="I52" s="1148"/>
      <c r="J52" s="1571" t="s">
        <v>252</v>
      </c>
      <c r="K52" s="1572"/>
      <c r="L52" s="1575"/>
      <c r="P52" s="509"/>
      <c r="Q52" s="1651"/>
      <c r="R52" s="1651"/>
      <c r="S52" s="1648"/>
      <c r="T52" s="1651"/>
      <c r="U52" s="1651"/>
      <c r="V52" s="1651"/>
      <c r="W52" s="1651"/>
      <c r="X52" s="1215"/>
      <c r="Y52" s="1215"/>
      <c r="Z52" s="1215"/>
      <c r="AA52" s="1215"/>
      <c r="AB52" s="1140"/>
      <c r="AC52" s="509"/>
      <c r="AD52" s="509"/>
      <c r="AE52" s="509"/>
      <c r="AF52" s="509"/>
      <c r="AG52" s="509"/>
      <c r="AH52" s="509"/>
      <c r="AI52" s="509"/>
      <c r="AL52" s="1167"/>
      <c r="AM52" s="1167"/>
      <c r="AN52" s="1167"/>
      <c r="AO52" s="1167"/>
      <c r="AP52" s="1167"/>
      <c r="AQ52" s="1167"/>
      <c r="AR52" s="1167"/>
      <c r="AS52" s="1167"/>
      <c r="AT52" s="1167"/>
      <c r="AU52" s="1167"/>
      <c r="AV52" s="1167"/>
      <c r="AW52" s="1167"/>
      <c r="AX52" s="1167"/>
      <c r="AY52" s="1167"/>
      <c r="AZ52" s="1167"/>
      <c r="BA52" s="1167"/>
    </row>
    <row r="53" spans="2:53" ht="16.2" thickBot="1" x14ac:dyDescent="0.35">
      <c r="B53" s="1571" t="s">
        <v>63</v>
      </c>
      <c r="C53" s="1572"/>
      <c r="D53" s="1572"/>
      <c r="E53" s="1575"/>
      <c r="F53" s="1148"/>
      <c r="G53" s="1519"/>
      <c r="H53" s="1148"/>
      <c r="I53" s="1148"/>
      <c r="J53" s="1150"/>
      <c r="K53" s="1150"/>
      <c r="L53" s="515"/>
      <c r="P53" s="509"/>
      <c r="Q53" s="509"/>
      <c r="R53" s="509"/>
      <c r="S53" s="509"/>
      <c r="T53" s="509"/>
      <c r="U53" s="509"/>
      <c r="V53" s="509"/>
      <c r="W53" s="509"/>
      <c r="X53" s="711"/>
      <c r="Y53" s="711"/>
      <c r="Z53" s="711"/>
      <c r="AA53" s="711"/>
      <c r="AB53" s="1140"/>
      <c r="AC53" s="509"/>
      <c r="AD53" s="509"/>
      <c r="AE53" s="509"/>
      <c r="AF53" s="509"/>
      <c r="AG53" s="509"/>
      <c r="AH53" s="509"/>
      <c r="AI53" s="509"/>
      <c r="AL53" s="1167"/>
      <c r="AM53" s="1167"/>
      <c r="AN53" s="1167"/>
      <c r="AO53" s="1167"/>
      <c r="AP53" s="1167"/>
      <c r="AQ53" s="1167"/>
      <c r="AR53" s="1167"/>
      <c r="AS53" s="1167"/>
      <c r="AT53" s="1167"/>
      <c r="AU53" s="1167"/>
      <c r="AV53" s="1167"/>
      <c r="AW53" s="1167"/>
      <c r="AX53" s="1167"/>
      <c r="AY53" s="1167"/>
      <c r="AZ53" s="1167"/>
      <c r="BA53" s="1167"/>
    </row>
    <row r="54" spans="2:53" ht="16.2" thickBot="1" x14ac:dyDescent="0.35">
      <c r="B54" s="1587"/>
      <c r="C54" s="1588"/>
      <c r="D54" s="1588"/>
      <c r="E54" s="1588"/>
      <c r="F54" s="1352"/>
      <c r="G54" s="1352"/>
      <c r="H54" s="1352"/>
      <c r="I54" s="1352"/>
      <c r="J54" s="1352"/>
      <c r="K54" s="1352"/>
      <c r="L54" s="498"/>
      <c r="P54" s="509"/>
      <c r="Q54" s="509"/>
      <c r="R54" s="509"/>
      <c r="S54" s="1684"/>
      <c r="T54" s="1684"/>
      <c r="U54" s="1684"/>
      <c r="V54" s="509"/>
      <c r="W54" s="509"/>
      <c r="X54" s="711"/>
      <c r="Y54" s="711"/>
      <c r="Z54" s="711"/>
      <c r="AA54" s="711"/>
      <c r="AB54" s="509"/>
      <c r="AC54" s="509"/>
      <c r="AD54" s="509"/>
      <c r="AE54" s="509"/>
      <c r="AF54" s="509"/>
      <c r="AG54" s="509"/>
      <c r="AH54" s="1170"/>
      <c r="AI54" s="509"/>
      <c r="AL54" s="1167"/>
      <c r="AM54" s="1167"/>
      <c r="AN54" s="1167"/>
      <c r="AO54" s="1167"/>
      <c r="AP54" s="1167"/>
      <c r="AQ54" s="1167"/>
      <c r="AR54" s="1167"/>
      <c r="AS54" s="1167"/>
      <c r="AT54" s="1167"/>
      <c r="AU54" s="1167"/>
      <c r="AV54" s="1167"/>
      <c r="AW54" s="1167"/>
      <c r="AX54" s="1167"/>
      <c r="AY54" s="1167"/>
      <c r="AZ54" s="1167"/>
      <c r="BA54" s="1167"/>
    </row>
    <row r="55" spans="2:53" ht="16.2" thickBot="1" x14ac:dyDescent="0.35">
      <c r="B55" s="1578" t="s">
        <v>3</v>
      </c>
      <c r="C55" s="1579"/>
      <c r="D55" s="1579"/>
      <c r="E55" s="1583"/>
      <c r="F55" s="536" t="s">
        <v>277</v>
      </c>
      <c r="G55" s="537" t="s">
        <v>278</v>
      </c>
      <c r="H55" s="536" t="s">
        <v>278</v>
      </c>
      <c r="I55" s="536" t="s">
        <v>279</v>
      </c>
      <c r="J55" s="1576" t="s">
        <v>280</v>
      </c>
      <c r="K55" s="1582"/>
      <c r="L55" s="1577"/>
      <c r="P55" s="1170"/>
      <c r="Q55" s="1216"/>
      <c r="R55" s="1216"/>
      <c r="S55" s="1170"/>
      <c r="T55" s="1170"/>
      <c r="U55" s="1684"/>
      <c r="X55" s="1216"/>
      <c r="Y55" s="1216"/>
      <c r="Z55" s="1216"/>
      <c r="AA55" s="1216"/>
      <c r="AB55" s="1170"/>
      <c r="AC55" s="1170"/>
      <c r="AD55" s="1170"/>
      <c r="AE55" s="1170"/>
      <c r="AF55" s="1216"/>
      <c r="AG55" s="1216"/>
      <c r="AH55" s="1170"/>
      <c r="AI55" s="509"/>
      <c r="AL55" s="1167"/>
      <c r="AM55" s="1167"/>
      <c r="AN55" s="1167"/>
      <c r="AO55" s="1167"/>
      <c r="AP55" s="1167"/>
      <c r="AQ55" s="1167"/>
      <c r="AR55" s="1167"/>
      <c r="AS55" s="1167"/>
      <c r="AT55" s="1167"/>
      <c r="AU55" s="1167"/>
      <c r="AV55" s="1167"/>
      <c r="AW55" s="1167"/>
      <c r="AX55" s="1167"/>
      <c r="AY55" s="1167"/>
      <c r="AZ55" s="1167"/>
      <c r="BA55" s="1167"/>
    </row>
    <row r="56" spans="2:53" ht="16.2" thickBot="1" x14ac:dyDescent="0.35">
      <c r="B56" s="1580" t="s">
        <v>281</v>
      </c>
      <c r="C56" s="1581"/>
      <c r="D56" s="1581"/>
      <c r="E56" s="1584"/>
      <c r="F56" s="538" t="s">
        <v>1020</v>
      </c>
      <c r="G56" s="538" t="s">
        <v>283</v>
      </c>
      <c r="H56" s="538" t="s">
        <v>284</v>
      </c>
      <c r="I56" s="538"/>
      <c r="J56" s="1576" t="s">
        <v>285</v>
      </c>
      <c r="K56" s="1582"/>
      <c r="L56" s="1577"/>
      <c r="P56" s="1170"/>
      <c r="Q56" s="1216"/>
      <c r="R56" s="1216"/>
      <c r="S56" s="509"/>
      <c r="T56" s="509"/>
      <c r="U56" s="509"/>
      <c r="X56" s="1216"/>
      <c r="Y56" s="1216"/>
      <c r="Z56" s="1216"/>
      <c r="AA56" s="1216"/>
      <c r="AB56" s="1170"/>
      <c r="AC56" s="1170"/>
      <c r="AD56" s="1170"/>
      <c r="AE56" s="1170"/>
      <c r="AF56" s="1216"/>
      <c r="AG56" s="1216"/>
      <c r="AH56" s="509"/>
      <c r="AI56" s="509"/>
      <c r="AL56" s="1167"/>
      <c r="AM56" s="1167"/>
      <c r="AN56" s="1167"/>
      <c r="AO56" s="1167"/>
      <c r="AP56" s="1167"/>
      <c r="AQ56" s="1167"/>
      <c r="AR56" s="1167"/>
      <c r="AS56" s="1167"/>
      <c r="AT56" s="1167"/>
      <c r="AU56" s="1167"/>
      <c r="AV56" s="1167"/>
      <c r="AW56" s="1167"/>
      <c r="AX56" s="1167"/>
      <c r="AY56" s="1167"/>
      <c r="AZ56" s="1167"/>
      <c r="BA56" s="1167"/>
    </row>
    <row r="57" spans="2:53" ht="16.2" thickBot="1" x14ac:dyDescent="0.35">
      <c r="B57" s="1576" t="s">
        <v>351</v>
      </c>
      <c r="C57" s="1582"/>
      <c r="D57" s="1582"/>
      <c r="E57" s="1577"/>
      <c r="F57" s="539">
        <v>40</v>
      </c>
      <c r="G57" s="540">
        <v>1</v>
      </c>
      <c r="H57" s="539">
        <v>20</v>
      </c>
      <c r="I57" s="538">
        <v>3</v>
      </c>
      <c r="J57" s="1576">
        <f ca="1">ROUND(D46*Данные!O248*(Данные!N257)/1000000*2.045*2.3/1000*Данные!T180/G18,3)</f>
        <v>7.45</v>
      </c>
      <c r="K57" s="1582"/>
      <c r="L57" s="1577"/>
      <c r="P57" s="1170"/>
      <c r="Q57" s="1216"/>
      <c r="R57" s="1216"/>
      <c r="S57" s="509"/>
      <c r="T57" s="509"/>
      <c r="U57" s="509"/>
      <c r="X57" s="1216"/>
      <c r="Y57" s="1216"/>
      <c r="Z57" s="1216"/>
      <c r="AA57" s="1216"/>
      <c r="AB57" s="1170"/>
      <c r="AC57" s="1170"/>
      <c r="AD57" s="1170"/>
      <c r="AE57" s="1170"/>
      <c r="AF57" s="1216"/>
      <c r="AG57" s="1216"/>
      <c r="AH57" s="509"/>
      <c r="AI57" s="509"/>
      <c r="AL57" s="1167"/>
      <c r="AM57" s="1167"/>
      <c r="AN57" s="1167"/>
      <c r="AO57" s="1167"/>
      <c r="AP57" s="1167"/>
      <c r="AQ57" s="1167"/>
      <c r="AR57" s="1167"/>
      <c r="AS57" s="1167"/>
      <c r="AT57" s="1167"/>
      <c r="AU57" s="1167"/>
      <c r="AV57" s="1167"/>
      <c r="AW57" s="1167"/>
      <c r="AX57" s="1167"/>
      <c r="AY57" s="1167"/>
      <c r="AZ57" s="1167"/>
      <c r="BA57" s="1167"/>
    </row>
    <row r="58" spans="2:53" ht="16.2" thickBot="1" x14ac:dyDescent="0.35">
      <c r="B58" s="1576" t="s">
        <v>44</v>
      </c>
      <c r="C58" s="1582"/>
      <c r="D58" s="1582"/>
      <c r="E58" s="1577"/>
      <c r="F58" s="541">
        <v>40</v>
      </c>
      <c r="G58" s="1524">
        <v>1</v>
      </c>
      <c r="H58" s="541">
        <v>20</v>
      </c>
      <c r="I58" s="538">
        <v>4</v>
      </c>
      <c r="J58" s="1576">
        <f ca="1">ROUND(J39/1000*3.5/G19,3)</f>
        <v>4.7359999999999998</v>
      </c>
      <c r="K58" s="1582"/>
      <c r="L58" s="1577"/>
      <c r="P58" s="1170"/>
      <c r="Q58" s="1216"/>
      <c r="R58" s="1216"/>
      <c r="S58" s="509"/>
      <c r="T58" s="509"/>
      <c r="U58" s="509"/>
      <c r="X58" s="1216"/>
      <c r="Y58" s="1216"/>
      <c r="Z58" s="1216"/>
      <c r="AA58" s="1216"/>
      <c r="AB58" s="1170"/>
      <c r="AC58" s="1170"/>
      <c r="AD58" s="1170"/>
      <c r="AE58" s="1170"/>
      <c r="AF58" s="1216"/>
      <c r="AG58" s="1216"/>
      <c r="AH58" s="509"/>
      <c r="AI58" s="509"/>
      <c r="AL58" s="1167"/>
      <c r="AM58" s="1167"/>
      <c r="AN58" s="1167"/>
      <c r="AO58" s="1167"/>
      <c r="AP58" s="1167"/>
      <c r="AQ58" s="1167"/>
      <c r="AR58" s="1167"/>
      <c r="AS58" s="1167"/>
      <c r="AT58" s="1167"/>
      <c r="AU58" s="1167"/>
      <c r="AV58" s="1167"/>
      <c r="AW58" s="1167"/>
      <c r="AX58" s="1167"/>
      <c r="AY58" s="1167"/>
      <c r="AZ58" s="1167"/>
      <c r="BA58" s="1167"/>
    </row>
    <row r="59" spans="2:53" x14ac:dyDescent="0.3">
      <c r="L59" s="336"/>
      <c r="P59" s="509"/>
      <c r="Q59" s="509"/>
      <c r="R59" s="509"/>
      <c r="S59" s="509"/>
      <c r="T59" s="509"/>
      <c r="U59" s="509"/>
      <c r="X59" s="509"/>
      <c r="Y59" s="509"/>
      <c r="Z59" s="509"/>
      <c r="AA59" s="509"/>
      <c r="AB59" s="509"/>
      <c r="AC59" s="509"/>
      <c r="AD59" s="509"/>
      <c r="AE59" s="509"/>
      <c r="AF59" s="509"/>
      <c r="AG59" s="509"/>
      <c r="AH59" s="509"/>
      <c r="AI59" s="509"/>
      <c r="AL59" s="1167"/>
      <c r="AM59" s="1167"/>
      <c r="AN59" s="1167"/>
      <c r="AO59" s="1167"/>
      <c r="AP59" s="1167"/>
      <c r="AQ59" s="1167"/>
      <c r="AR59" s="1167"/>
      <c r="AS59" s="1167"/>
      <c r="AT59" s="1167"/>
      <c r="AU59" s="1167"/>
      <c r="AV59" s="1167"/>
      <c r="AW59" s="1167"/>
      <c r="AX59" s="1167"/>
      <c r="AY59" s="1167"/>
      <c r="AZ59" s="1167"/>
      <c r="BA59" s="1167"/>
    </row>
    <row r="60" spans="2:53" x14ac:dyDescent="0.3">
      <c r="B60" s="689"/>
      <c r="C60" s="689"/>
      <c r="D60" s="689"/>
      <c r="E60" s="689"/>
      <c r="F60" s="689"/>
      <c r="G60" s="689"/>
      <c r="H60" s="689"/>
      <c r="I60" s="689"/>
      <c r="J60" s="689"/>
      <c r="K60" s="689"/>
      <c r="L60" s="689"/>
      <c r="M60" s="689"/>
      <c r="N60" s="689"/>
      <c r="O60" s="689"/>
      <c r="P60" s="689"/>
      <c r="Q60" s="689"/>
      <c r="R60" s="689"/>
      <c r="S60" s="689"/>
      <c r="T60" s="689"/>
      <c r="U60" s="509"/>
      <c r="X60" s="509"/>
      <c r="Y60" s="509"/>
      <c r="Z60" s="509"/>
      <c r="AA60" s="509"/>
      <c r="AB60" s="509"/>
      <c r="AC60" s="509"/>
      <c r="AD60" s="509"/>
      <c r="AE60" s="509"/>
      <c r="AF60" s="509"/>
      <c r="AG60" s="509"/>
      <c r="AH60" s="509"/>
      <c r="AI60" s="509"/>
      <c r="AL60" s="1167"/>
      <c r="AM60" s="1167"/>
      <c r="AN60" s="1167"/>
      <c r="AO60" s="1167"/>
      <c r="AP60" s="1167"/>
      <c r="AQ60" s="1167"/>
      <c r="AR60" s="1167"/>
      <c r="AS60" s="1167"/>
      <c r="AT60" s="1167"/>
      <c r="AU60" s="1167"/>
      <c r="AV60" s="1167"/>
      <c r="AW60" s="1167"/>
      <c r="AX60" s="1167"/>
      <c r="AY60" s="1167"/>
      <c r="AZ60" s="1167"/>
      <c r="BA60" s="1167"/>
    </row>
    <row r="61" spans="2:53" x14ac:dyDescent="0.3">
      <c r="B61" s="689"/>
      <c r="C61" s="689"/>
      <c r="D61" s="689"/>
      <c r="E61" s="689"/>
      <c r="F61" s="689"/>
      <c r="G61" s="689"/>
      <c r="H61" s="689"/>
      <c r="I61" s="689"/>
      <c r="J61" s="689"/>
      <c r="K61" s="689"/>
      <c r="L61" s="689"/>
      <c r="M61" s="689"/>
      <c r="N61" s="689"/>
      <c r="O61" s="689"/>
      <c r="P61" s="689"/>
      <c r="Q61" s="689"/>
      <c r="R61" s="689"/>
      <c r="S61" s="689"/>
      <c r="T61" s="689"/>
      <c r="AL61" s="1167"/>
      <c r="AM61" s="1167"/>
      <c r="AN61" s="1167"/>
      <c r="AO61" s="1167"/>
      <c r="AP61" s="1167"/>
      <c r="AQ61" s="1167"/>
      <c r="AR61" s="1167"/>
      <c r="AS61" s="1167"/>
      <c r="AT61" s="1167"/>
      <c r="AU61" s="1167"/>
      <c r="AV61" s="1167"/>
      <c r="AW61" s="1167"/>
      <c r="AX61" s="1167"/>
      <c r="AY61" s="1167"/>
      <c r="AZ61" s="1167"/>
      <c r="BA61" s="1167"/>
    </row>
    <row r="62" spans="2:53" x14ac:dyDescent="0.3">
      <c r="B62" s="689"/>
      <c r="C62" s="689"/>
      <c r="D62" s="689"/>
      <c r="E62" s="689"/>
      <c r="F62" s="689"/>
      <c r="G62" s="689"/>
      <c r="H62" s="689"/>
      <c r="I62" s="689"/>
      <c r="J62" s="689"/>
      <c r="K62" s="689"/>
      <c r="L62" s="689"/>
      <c r="M62" s="689"/>
      <c r="N62" s="689"/>
      <c r="O62" s="689"/>
      <c r="P62" s="689"/>
      <c r="Q62" s="689"/>
      <c r="R62" s="689"/>
      <c r="S62" s="689"/>
      <c r="T62" s="689"/>
      <c r="AL62" s="1167"/>
      <c r="AM62" s="1167"/>
      <c r="AN62" s="1167"/>
      <c r="AO62" s="1167"/>
      <c r="AP62" s="1167"/>
      <c r="AQ62" s="1167"/>
      <c r="AR62" s="1167"/>
      <c r="AS62" s="1167"/>
      <c r="AT62" s="1167"/>
      <c r="AU62" s="1167"/>
      <c r="AV62" s="1167"/>
      <c r="AW62" s="1167"/>
      <c r="AX62" s="1167"/>
      <c r="AY62" s="1167"/>
      <c r="AZ62" s="1167"/>
      <c r="BA62" s="1167"/>
    </row>
    <row r="63" spans="2:53" x14ac:dyDescent="0.3">
      <c r="B63" s="689"/>
      <c r="C63" s="689"/>
      <c r="D63" s="689"/>
      <c r="E63" s="689"/>
      <c r="F63" s="689"/>
      <c r="G63" s="689"/>
      <c r="H63" s="689"/>
      <c r="I63" s="689"/>
      <c r="J63" s="689"/>
      <c r="K63" s="689"/>
      <c r="L63" s="689"/>
      <c r="M63" s="689"/>
      <c r="N63" s="689"/>
      <c r="O63" s="689"/>
      <c r="P63" s="689"/>
      <c r="Q63" s="1202"/>
      <c r="R63" s="689"/>
      <c r="S63" s="689"/>
      <c r="T63" s="689"/>
      <c r="AL63" s="1167"/>
      <c r="AM63" s="1167"/>
      <c r="AN63" s="1167"/>
      <c r="AO63" s="1167"/>
      <c r="AP63" s="1167"/>
      <c r="AQ63" s="1167"/>
      <c r="AR63" s="1167"/>
      <c r="AS63" s="1167"/>
      <c r="AT63" s="1167"/>
      <c r="AU63" s="1167"/>
      <c r="AV63" s="1167"/>
      <c r="AW63" s="1167"/>
      <c r="AX63" s="1167"/>
      <c r="AY63" s="1167"/>
      <c r="AZ63" s="1167"/>
      <c r="BA63" s="1167"/>
    </row>
    <row r="64" spans="2:53" x14ac:dyDescent="0.3">
      <c r="B64" s="689"/>
      <c r="C64" s="689"/>
      <c r="D64" s="689"/>
      <c r="E64" s="689"/>
      <c r="F64" s="689"/>
      <c r="G64" s="689"/>
      <c r="H64" s="689"/>
      <c r="I64" s="689"/>
      <c r="J64" s="689"/>
      <c r="K64" s="689"/>
      <c r="L64" s="689"/>
      <c r="M64" s="689"/>
      <c r="N64" s="689"/>
      <c r="O64" s="689"/>
      <c r="P64" s="689"/>
      <c r="Q64" s="689"/>
      <c r="R64" s="689"/>
      <c r="S64" s="689"/>
      <c r="T64" s="689"/>
      <c r="AL64" s="1167"/>
      <c r="AM64" s="1167"/>
      <c r="AN64" s="1167"/>
      <c r="AO64" s="1167"/>
      <c r="AP64" s="1167"/>
      <c r="AQ64" s="1167"/>
      <c r="AR64" s="1167"/>
      <c r="AS64" s="1167"/>
      <c r="AT64" s="1167"/>
      <c r="AU64" s="1167"/>
      <c r="AV64" s="1167"/>
      <c r="AW64" s="1167"/>
      <c r="AX64" s="1167"/>
      <c r="AY64" s="1167"/>
      <c r="AZ64" s="1167"/>
      <c r="BA64" s="1167"/>
    </row>
    <row r="65" spans="2:53" x14ac:dyDescent="0.3">
      <c r="B65" s="689"/>
      <c r="C65" s="689"/>
      <c r="D65" s="689"/>
      <c r="E65" s="689"/>
      <c r="F65" s="689"/>
      <c r="G65" s="689"/>
      <c r="H65" s="689"/>
      <c r="I65" s="689"/>
      <c r="J65" s="689"/>
      <c r="K65" s="689"/>
      <c r="L65" s="689"/>
      <c r="M65" s="689"/>
      <c r="N65" s="689"/>
      <c r="O65" s="689"/>
      <c r="P65" s="689"/>
      <c r="Q65" s="689"/>
      <c r="R65" s="689"/>
      <c r="S65" s="689"/>
      <c r="T65" s="689"/>
      <c r="AL65" s="1167"/>
      <c r="AM65" s="1167"/>
      <c r="AN65" s="1167"/>
      <c r="AO65" s="1167"/>
      <c r="AP65" s="1167"/>
      <c r="AQ65" s="1167"/>
      <c r="AR65" s="1167"/>
      <c r="AS65" s="1167"/>
      <c r="AT65" s="1167"/>
      <c r="AU65" s="1167"/>
      <c r="AV65" s="1167"/>
      <c r="AW65" s="1167"/>
      <c r="AX65" s="1167"/>
      <c r="AY65" s="1167"/>
      <c r="AZ65" s="1167"/>
      <c r="BA65" s="1167"/>
    </row>
    <row r="66" spans="2:53" x14ac:dyDescent="0.3">
      <c r="B66" s="689"/>
      <c r="C66" s="689"/>
      <c r="D66" s="689"/>
      <c r="E66" s="689"/>
      <c r="F66" s="689"/>
      <c r="G66" s="689"/>
      <c r="H66" s="689"/>
      <c r="I66" s="689"/>
      <c r="J66" s="689"/>
      <c r="K66" s="689"/>
      <c r="L66" s="689"/>
      <c r="M66" s="689"/>
      <c r="N66" s="689"/>
      <c r="O66" s="689"/>
      <c r="P66" s="689"/>
      <c r="Q66" s="689"/>
      <c r="R66" s="689"/>
      <c r="S66" s="689"/>
      <c r="T66" s="689"/>
    </row>
    <row r="67" spans="2:53" x14ac:dyDescent="0.3">
      <c r="B67" s="689"/>
      <c r="C67" s="689"/>
      <c r="D67" s="689"/>
      <c r="E67" s="689"/>
      <c r="F67" s="689"/>
      <c r="G67" s="689"/>
      <c r="H67" s="689"/>
      <c r="I67" s="689"/>
      <c r="J67" s="689"/>
      <c r="K67" s="689"/>
      <c r="L67" s="689"/>
      <c r="M67" s="689"/>
      <c r="N67" s="689"/>
      <c r="O67" s="689"/>
      <c r="P67" s="689"/>
      <c r="Q67" s="1202"/>
      <c r="R67" s="689"/>
      <c r="S67" s="689"/>
      <c r="T67" s="689"/>
    </row>
    <row r="68" spans="2:53" x14ac:dyDescent="0.3">
      <c r="B68" s="689"/>
      <c r="C68" s="689"/>
      <c r="D68" s="689"/>
      <c r="E68" s="689"/>
      <c r="F68" s="689"/>
      <c r="G68" s="689"/>
      <c r="H68" s="689"/>
      <c r="I68" s="689"/>
      <c r="J68" s="689"/>
      <c r="K68" s="689"/>
      <c r="L68" s="689"/>
      <c r="M68" s="689"/>
      <c r="N68" s="689"/>
      <c r="O68" s="689"/>
      <c r="P68" s="689"/>
      <c r="Q68" s="1202"/>
      <c r="R68" s="1202"/>
      <c r="S68" s="689"/>
      <c r="T68" s="689"/>
    </row>
    <row r="69" spans="2:53" x14ac:dyDescent="0.3">
      <c r="B69" s="689"/>
      <c r="C69" s="689"/>
      <c r="D69" s="689"/>
      <c r="E69" s="689"/>
      <c r="F69" s="689"/>
      <c r="G69" s="689"/>
      <c r="H69" s="689"/>
      <c r="I69" s="689"/>
      <c r="J69" s="689"/>
      <c r="K69" s="689"/>
      <c r="L69" s="689"/>
      <c r="M69" s="689"/>
      <c r="N69" s="689"/>
      <c r="O69" s="689"/>
      <c r="P69" s="689"/>
      <c r="Q69" s="1202"/>
      <c r="R69" s="1202"/>
      <c r="S69" s="689"/>
      <c r="T69" s="689"/>
    </row>
    <row r="70" spans="2:53" x14ac:dyDescent="0.3">
      <c r="B70" s="689"/>
      <c r="C70" s="689"/>
      <c r="D70" s="689"/>
      <c r="E70" s="689"/>
      <c r="F70" s="689"/>
      <c r="G70" s="689"/>
      <c r="H70" s="689"/>
      <c r="I70" s="689"/>
      <c r="J70" s="689"/>
      <c r="K70" s="689"/>
      <c r="L70" s="689"/>
      <c r="M70" s="689"/>
      <c r="N70" s="689"/>
      <c r="O70" s="689"/>
      <c r="P70" s="689"/>
      <c r="Q70" s="689"/>
      <c r="R70" s="1202"/>
      <c r="S70" s="689"/>
      <c r="T70" s="689"/>
    </row>
    <row r="71" spans="2:53" x14ac:dyDescent="0.3">
      <c r="B71" s="689"/>
      <c r="C71" s="689"/>
      <c r="D71" s="689"/>
      <c r="E71" s="689"/>
      <c r="F71" s="689"/>
      <c r="G71" s="689"/>
      <c r="H71" s="689"/>
      <c r="I71" s="689"/>
      <c r="J71" s="689"/>
      <c r="K71" s="689"/>
      <c r="L71" s="689"/>
      <c r="M71" s="689"/>
      <c r="N71" s="689"/>
      <c r="O71" s="689"/>
      <c r="P71" s="689"/>
      <c r="Q71" s="1202"/>
      <c r="R71" s="1837"/>
      <c r="S71" s="689"/>
      <c r="T71" s="689"/>
    </row>
    <row r="72" spans="2:53" x14ac:dyDescent="0.3">
      <c r="B72" s="689"/>
      <c r="C72" s="689"/>
      <c r="D72" s="689"/>
      <c r="E72" s="689"/>
      <c r="F72" s="689"/>
      <c r="G72" s="689"/>
      <c r="H72" s="689"/>
      <c r="I72" s="689"/>
      <c r="J72" s="689"/>
      <c r="K72" s="689"/>
      <c r="L72" s="689"/>
      <c r="M72" s="689"/>
      <c r="N72" s="689"/>
      <c r="O72" s="689"/>
      <c r="P72" s="689"/>
      <c r="Q72" s="1202"/>
      <c r="R72" s="1837"/>
      <c r="S72" s="689"/>
      <c r="T72" s="689"/>
    </row>
    <row r="73" spans="2:53" x14ac:dyDescent="0.3">
      <c r="B73" s="689"/>
      <c r="C73" s="689"/>
      <c r="D73" s="689"/>
      <c r="E73" s="689"/>
      <c r="F73" s="689"/>
      <c r="G73" s="689"/>
      <c r="H73" s="689"/>
      <c r="I73" s="689"/>
      <c r="J73" s="689"/>
      <c r="K73" s="689"/>
      <c r="L73" s="689"/>
      <c r="M73" s="689"/>
      <c r="N73" s="689"/>
      <c r="O73" s="689"/>
      <c r="P73" s="689"/>
      <c r="Q73" s="1202"/>
      <c r="R73" s="1202"/>
      <c r="S73" s="689"/>
      <c r="T73" s="689"/>
    </row>
    <row r="74" spans="2:53" x14ac:dyDescent="0.3">
      <c r="B74" s="689"/>
      <c r="C74" s="689"/>
      <c r="D74" s="689"/>
      <c r="E74" s="689"/>
      <c r="F74" s="689"/>
      <c r="G74" s="689"/>
      <c r="H74" s="689"/>
      <c r="I74" s="689"/>
      <c r="J74" s="689"/>
      <c r="K74" s="689"/>
      <c r="L74" s="689"/>
      <c r="M74" s="689"/>
      <c r="N74" s="689"/>
      <c r="O74" s="689"/>
      <c r="P74" s="689"/>
      <c r="Q74" s="1202"/>
      <c r="R74" s="689"/>
      <c r="S74" s="689"/>
      <c r="T74" s="689"/>
    </row>
    <row r="75" spans="2:53" x14ac:dyDescent="0.3">
      <c r="B75" s="689"/>
      <c r="C75" s="689"/>
      <c r="D75" s="689"/>
      <c r="E75" s="689"/>
      <c r="F75" s="689"/>
      <c r="G75" s="689"/>
      <c r="H75" s="689"/>
      <c r="I75" s="689"/>
      <c r="J75" s="689"/>
      <c r="K75" s="689"/>
      <c r="L75" s="689"/>
      <c r="M75" s="689"/>
      <c r="N75" s="689"/>
      <c r="O75" s="689"/>
      <c r="P75" s="689"/>
      <c r="Q75" s="1202"/>
      <c r="R75" s="689"/>
      <c r="S75" s="689"/>
      <c r="T75" s="689"/>
    </row>
    <row r="76" spans="2:53" x14ac:dyDescent="0.3">
      <c r="B76" s="689"/>
      <c r="C76" s="689"/>
      <c r="D76" s="689"/>
      <c r="E76" s="689"/>
      <c r="F76" s="689"/>
      <c r="G76" s="689"/>
      <c r="H76" s="689"/>
      <c r="I76" s="689"/>
      <c r="J76" s="689"/>
      <c r="K76" s="689"/>
      <c r="L76" s="689"/>
      <c r="M76" s="689"/>
      <c r="N76" s="689"/>
      <c r="O76" s="689"/>
      <c r="P76" s="689"/>
      <c r="Q76" s="689"/>
      <c r="R76" s="689"/>
      <c r="S76" s="689"/>
      <c r="T76" s="689"/>
    </row>
    <row r="77" spans="2:53" x14ac:dyDescent="0.3">
      <c r="B77" s="689"/>
      <c r="C77" s="689"/>
      <c r="D77" s="689"/>
      <c r="E77" s="689"/>
      <c r="F77" s="689"/>
      <c r="G77" s="689"/>
      <c r="H77" s="689"/>
      <c r="I77" s="689"/>
      <c r="J77" s="689"/>
      <c r="K77" s="689"/>
      <c r="L77" s="689"/>
      <c r="M77" s="689"/>
      <c r="N77" s="689"/>
      <c r="O77" s="689"/>
      <c r="P77" s="689"/>
      <c r="Q77" s="689"/>
      <c r="R77" s="689"/>
      <c r="S77" s="689"/>
      <c r="T77" s="689"/>
    </row>
    <row r="78" spans="2:53" x14ac:dyDescent="0.3">
      <c r="B78" s="689"/>
      <c r="C78" s="689"/>
      <c r="D78" s="689"/>
      <c r="E78" s="689"/>
      <c r="F78" s="689"/>
      <c r="G78" s="689"/>
      <c r="H78" s="689"/>
      <c r="I78" s="689"/>
      <c r="J78" s="689"/>
      <c r="K78" s="689"/>
      <c r="L78" s="689"/>
      <c r="M78" s="689"/>
      <c r="N78" s="689"/>
      <c r="O78" s="689"/>
      <c r="P78" s="689"/>
      <c r="Q78" s="689"/>
      <c r="R78" s="689"/>
      <c r="S78" s="689"/>
      <c r="T78" s="689"/>
    </row>
    <row r="79" spans="2:53" ht="15" customHeight="1" x14ac:dyDescent="0.3">
      <c r="B79" s="689"/>
      <c r="C79" s="689"/>
      <c r="D79" s="689"/>
      <c r="E79" s="689"/>
      <c r="F79" s="689"/>
      <c r="G79" s="689"/>
      <c r="H79" s="689"/>
      <c r="I79" s="689"/>
      <c r="J79" s="689"/>
      <c r="K79" s="689"/>
      <c r="L79" s="689"/>
      <c r="M79" s="689"/>
      <c r="N79" s="689"/>
      <c r="O79" s="689"/>
      <c r="P79" s="689"/>
      <c r="Q79" s="689"/>
      <c r="R79" s="689"/>
      <c r="S79" s="689"/>
      <c r="T79" s="689"/>
    </row>
    <row r="80" spans="2:53" x14ac:dyDescent="0.3">
      <c r="B80" s="689"/>
      <c r="C80" s="689"/>
      <c r="D80" s="689"/>
      <c r="E80" s="689"/>
      <c r="F80" s="689"/>
      <c r="G80" s="689"/>
      <c r="H80" s="689"/>
      <c r="I80" s="689"/>
      <c r="J80" s="689"/>
      <c r="K80" s="689"/>
      <c r="L80" s="689"/>
      <c r="M80" s="689"/>
      <c r="N80" s="689"/>
      <c r="O80" s="689"/>
      <c r="P80" s="689"/>
      <c r="Q80" s="1202"/>
      <c r="R80" s="1838"/>
      <c r="S80" s="689"/>
      <c r="T80" s="689"/>
    </row>
    <row r="81" spans="2:20" x14ac:dyDescent="0.3">
      <c r="B81" s="689"/>
      <c r="C81" s="689"/>
      <c r="D81" s="689"/>
      <c r="E81" s="689"/>
      <c r="F81" s="689"/>
      <c r="G81" s="689"/>
      <c r="H81" s="689"/>
      <c r="I81" s="689"/>
      <c r="J81" s="689"/>
      <c r="K81" s="689"/>
      <c r="L81" s="689"/>
      <c r="M81" s="689"/>
      <c r="N81" s="689"/>
      <c r="O81" s="689"/>
      <c r="P81" s="689"/>
      <c r="Q81" s="1202"/>
      <c r="R81" s="689"/>
      <c r="S81" s="689"/>
      <c r="T81" s="689"/>
    </row>
    <row r="82" spans="2:20" x14ac:dyDescent="0.3">
      <c r="B82" s="689"/>
      <c r="C82" s="689"/>
      <c r="D82" s="689"/>
      <c r="E82" s="689"/>
      <c r="F82" s="689"/>
      <c r="G82" s="689"/>
      <c r="H82" s="689"/>
      <c r="I82" s="689"/>
      <c r="J82" s="689"/>
      <c r="K82" s="689"/>
      <c r="L82" s="689"/>
      <c r="M82" s="689"/>
      <c r="N82" s="689"/>
      <c r="O82" s="689"/>
      <c r="P82" s="689"/>
      <c r="Q82" s="1839"/>
      <c r="R82" s="1839"/>
      <c r="S82" s="689"/>
      <c r="T82" s="689"/>
    </row>
    <row r="83" spans="2:20" x14ac:dyDescent="0.3">
      <c r="B83" s="689"/>
      <c r="C83" s="689"/>
      <c r="D83" s="689"/>
      <c r="E83" s="689"/>
      <c r="F83" s="689"/>
      <c r="G83" s="689"/>
      <c r="H83" s="689"/>
      <c r="I83" s="689"/>
      <c r="J83" s="689"/>
      <c r="K83" s="689"/>
      <c r="L83" s="689"/>
      <c r="M83" s="689"/>
      <c r="N83" s="689"/>
      <c r="O83" s="689"/>
      <c r="P83" s="689"/>
      <c r="Q83" s="1216"/>
      <c r="R83" s="633"/>
      <c r="S83" s="689"/>
      <c r="T83" s="689"/>
    </row>
    <row r="84" spans="2:20" x14ac:dyDescent="0.3">
      <c r="B84" s="689"/>
      <c r="C84" s="689"/>
      <c r="D84" s="689"/>
      <c r="E84" s="689"/>
      <c r="F84" s="689"/>
      <c r="G84" s="689"/>
      <c r="H84" s="689"/>
      <c r="I84" s="689"/>
      <c r="J84" s="689"/>
      <c r="K84" s="689"/>
      <c r="L84" s="689"/>
      <c r="M84" s="689"/>
      <c r="N84" s="689"/>
      <c r="O84" s="689"/>
      <c r="P84" s="689"/>
      <c r="Q84" s="689"/>
      <c r="R84" s="633"/>
      <c r="S84" s="689"/>
      <c r="T84" s="689"/>
    </row>
    <row r="85" spans="2:20" x14ac:dyDescent="0.3">
      <c r="B85" s="689"/>
      <c r="C85" s="689"/>
      <c r="D85" s="689"/>
      <c r="E85" s="689"/>
      <c r="F85" s="689"/>
      <c r="G85" s="689"/>
      <c r="H85" s="689"/>
      <c r="I85" s="689"/>
      <c r="J85" s="689"/>
      <c r="K85" s="689"/>
      <c r="L85" s="689"/>
      <c r="M85" s="689"/>
      <c r="N85" s="689"/>
      <c r="O85" s="689"/>
      <c r="P85" s="689"/>
      <c r="Q85" s="689"/>
      <c r="R85" s="633"/>
      <c r="S85" s="689"/>
      <c r="T85" s="689"/>
    </row>
    <row r="86" spans="2:20" x14ac:dyDescent="0.3">
      <c r="B86" s="689"/>
      <c r="C86" s="689"/>
      <c r="D86" s="689"/>
      <c r="E86" s="689"/>
      <c r="F86" s="689"/>
      <c r="G86" s="689"/>
      <c r="H86" s="689"/>
      <c r="I86" s="689"/>
      <c r="J86" s="689"/>
      <c r="K86" s="689"/>
      <c r="L86" s="689"/>
      <c r="M86" s="689"/>
      <c r="N86" s="689"/>
      <c r="O86" s="689"/>
      <c r="P86" s="689"/>
      <c r="Q86" s="689"/>
      <c r="R86" s="633"/>
      <c r="S86" s="689"/>
      <c r="T86" s="689"/>
    </row>
    <row r="87" spans="2:20" x14ac:dyDescent="0.3">
      <c r="B87" s="689"/>
      <c r="C87" s="689"/>
      <c r="D87" s="689"/>
      <c r="E87" s="689"/>
      <c r="F87" s="689"/>
      <c r="G87" s="689"/>
      <c r="H87" s="689"/>
      <c r="I87" s="689"/>
      <c r="J87" s="689"/>
      <c r="K87" s="689"/>
      <c r="L87" s="689"/>
      <c r="M87" s="689"/>
      <c r="N87" s="689"/>
      <c r="O87" s="689"/>
      <c r="P87" s="689"/>
      <c r="Q87" s="689"/>
      <c r="R87" s="689"/>
      <c r="S87" s="689"/>
      <c r="T87" s="689"/>
    </row>
    <row r="88" spans="2:20" x14ac:dyDescent="0.3">
      <c r="B88" s="689"/>
      <c r="C88" s="689"/>
      <c r="D88" s="689"/>
      <c r="E88" s="689"/>
      <c r="F88" s="689"/>
      <c r="G88" s="689"/>
      <c r="H88" s="689"/>
      <c r="I88" s="689"/>
      <c r="J88" s="689"/>
      <c r="K88" s="689"/>
      <c r="L88" s="689"/>
      <c r="M88" s="689"/>
      <c r="N88" s="689"/>
      <c r="O88" s="689"/>
      <c r="P88" s="689"/>
      <c r="Q88" s="1839"/>
      <c r="R88" s="1839"/>
      <c r="S88" s="689"/>
      <c r="T88" s="689"/>
    </row>
    <row r="89" spans="2:20" x14ac:dyDescent="0.3">
      <c r="B89" s="689"/>
      <c r="C89" s="689"/>
      <c r="D89" s="689"/>
      <c r="E89" s="689"/>
      <c r="F89" s="689"/>
      <c r="G89" s="689"/>
      <c r="H89" s="689"/>
      <c r="I89" s="689"/>
      <c r="J89" s="689"/>
      <c r="K89" s="689"/>
      <c r="L89" s="689"/>
      <c r="M89" s="689"/>
      <c r="N89" s="689"/>
      <c r="O89" s="689"/>
      <c r="P89" s="689"/>
      <c r="Q89" s="1839"/>
      <c r="R89" s="1839"/>
      <c r="S89" s="689"/>
      <c r="T89" s="689"/>
    </row>
    <row r="90" spans="2:20" x14ac:dyDescent="0.3">
      <c r="B90" s="689"/>
      <c r="C90" s="689"/>
      <c r="D90" s="689"/>
      <c r="E90" s="689"/>
      <c r="F90" s="689"/>
      <c r="G90" s="689"/>
      <c r="H90" s="689"/>
      <c r="I90" s="689"/>
      <c r="J90" s="689"/>
      <c r="K90" s="689"/>
      <c r="L90" s="689"/>
      <c r="M90" s="689"/>
      <c r="N90" s="689"/>
      <c r="O90" s="689"/>
      <c r="P90" s="689"/>
      <c r="Q90" s="689"/>
      <c r="R90" s="689"/>
      <c r="S90" s="689"/>
      <c r="T90" s="689"/>
    </row>
    <row r="91" spans="2:20" x14ac:dyDescent="0.3">
      <c r="B91" s="689"/>
      <c r="C91" s="689"/>
      <c r="D91" s="689"/>
      <c r="E91" s="689"/>
      <c r="F91" s="689"/>
      <c r="G91" s="689"/>
      <c r="H91" s="689"/>
      <c r="I91" s="689"/>
      <c r="J91" s="689"/>
      <c r="K91" s="689"/>
      <c r="L91" s="689"/>
      <c r="M91" s="689"/>
      <c r="N91" s="689"/>
      <c r="O91" s="689"/>
      <c r="P91" s="689"/>
      <c r="Q91" s="689"/>
      <c r="R91" s="689"/>
      <c r="S91" s="689"/>
      <c r="T91" s="689"/>
    </row>
    <row r="92" spans="2:20" x14ac:dyDescent="0.3">
      <c r="B92" s="689"/>
      <c r="C92" s="689"/>
      <c r="D92" s="689"/>
      <c r="E92" s="689"/>
      <c r="F92" s="689"/>
      <c r="G92" s="689"/>
      <c r="H92" s="689"/>
      <c r="I92" s="689"/>
      <c r="J92" s="689"/>
      <c r="K92" s="689"/>
      <c r="L92" s="689"/>
      <c r="M92" s="689"/>
      <c r="N92" s="689"/>
      <c r="O92" s="689"/>
      <c r="P92" s="689"/>
      <c r="Q92" s="689"/>
      <c r="R92" s="689"/>
      <c r="S92" s="689"/>
      <c r="T92" s="689"/>
    </row>
    <row r="93" spans="2:20" x14ac:dyDescent="0.3">
      <c r="B93" s="689"/>
      <c r="C93" s="689"/>
      <c r="D93" s="689"/>
      <c r="E93" s="689"/>
      <c r="F93" s="689"/>
      <c r="G93" s="689"/>
      <c r="H93" s="689"/>
      <c r="I93" s="689"/>
      <c r="J93" s="689"/>
      <c r="K93" s="689"/>
      <c r="L93" s="689"/>
      <c r="M93" s="689"/>
      <c r="N93" s="689"/>
      <c r="O93" s="689"/>
      <c r="P93" s="689"/>
      <c r="Q93" s="689"/>
      <c r="R93" s="689"/>
      <c r="S93" s="689"/>
      <c r="T93" s="689"/>
    </row>
    <row r="94" spans="2:20" x14ac:dyDescent="0.3">
      <c r="B94" s="689"/>
      <c r="C94" s="689"/>
      <c r="D94" s="689"/>
      <c r="E94" s="689"/>
      <c r="F94" s="689"/>
      <c r="G94" s="689"/>
      <c r="H94" s="689"/>
      <c r="I94" s="689"/>
      <c r="J94" s="689"/>
      <c r="K94" s="689"/>
      <c r="L94" s="689"/>
      <c r="M94" s="689"/>
      <c r="N94" s="689"/>
      <c r="O94" s="689"/>
      <c r="P94" s="689"/>
      <c r="Q94" s="689"/>
      <c r="R94" s="689"/>
      <c r="S94" s="689"/>
      <c r="T94" s="689"/>
    </row>
    <row r="95" spans="2:20" x14ac:dyDescent="0.3">
      <c r="B95" s="689"/>
      <c r="C95" s="689"/>
      <c r="D95" s="689"/>
      <c r="E95" s="689"/>
      <c r="F95" s="689"/>
      <c r="G95" s="689"/>
      <c r="H95" s="689"/>
      <c r="I95" s="689"/>
      <c r="J95" s="689"/>
      <c r="K95" s="689"/>
      <c r="L95" s="689"/>
      <c r="M95" s="689"/>
      <c r="N95" s="689"/>
      <c r="O95" s="689"/>
      <c r="P95" s="689"/>
      <c r="Q95" s="689"/>
      <c r="R95" s="689"/>
      <c r="S95" s="689"/>
      <c r="T95" s="689"/>
    </row>
    <row r="96" spans="2:20" x14ac:dyDescent="0.3">
      <c r="B96" s="689"/>
      <c r="C96" s="689"/>
      <c r="D96" s="689"/>
      <c r="E96" s="689"/>
      <c r="F96" s="689"/>
      <c r="G96" s="689"/>
      <c r="H96" s="689"/>
      <c r="I96" s="689"/>
      <c r="J96" s="689"/>
      <c r="K96" s="689"/>
      <c r="L96" s="689"/>
      <c r="M96" s="689"/>
      <c r="N96" s="689"/>
      <c r="O96" s="689"/>
      <c r="P96" s="689"/>
      <c r="Q96" s="689"/>
      <c r="R96" s="689"/>
      <c r="S96" s="689"/>
      <c r="T96" s="689"/>
    </row>
    <row r="97" spans="2:20" x14ac:dyDescent="0.3">
      <c r="B97" s="689"/>
      <c r="C97" s="689"/>
      <c r="D97" s="689"/>
      <c r="E97" s="689"/>
      <c r="F97" s="689"/>
      <c r="G97" s="689"/>
      <c r="H97" s="689"/>
      <c r="I97" s="689"/>
      <c r="J97" s="689"/>
      <c r="K97" s="689"/>
      <c r="L97" s="689"/>
      <c r="M97" s="689"/>
      <c r="N97" s="689"/>
      <c r="O97" s="689"/>
      <c r="P97" s="689"/>
      <c r="Q97" s="689"/>
      <c r="R97" s="689"/>
      <c r="S97" s="689"/>
      <c r="T97" s="689"/>
    </row>
    <row r="98" spans="2:20" x14ac:dyDescent="0.3">
      <c r="B98" s="689"/>
      <c r="C98" s="689"/>
      <c r="D98" s="689"/>
      <c r="E98" s="689"/>
      <c r="F98" s="689"/>
      <c r="G98" s="689"/>
      <c r="H98" s="689"/>
      <c r="I98" s="689"/>
      <c r="J98" s="689"/>
      <c r="K98" s="689"/>
      <c r="L98" s="689"/>
      <c r="M98" s="689"/>
      <c r="N98" s="689"/>
      <c r="O98" s="689"/>
      <c r="P98" s="689"/>
      <c r="Q98" s="689"/>
      <c r="R98" s="689"/>
      <c r="S98" s="689"/>
      <c r="T98" s="689"/>
    </row>
    <row r="99" spans="2:20" x14ac:dyDescent="0.3">
      <c r="B99" s="689"/>
      <c r="C99" s="689"/>
      <c r="D99" s="689"/>
      <c r="E99" s="689"/>
      <c r="F99" s="689"/>
      <c r="G99" s="689"/>
      <c r="H99" s="689"/>
      <c r="I99" s="689"/>
      <c r="J99" s="689"/>
      <c r="K99" s="689"/>
      <c r="L99" s="689"/>
      <c r="M99" s="689"/>
      <c r="N99" s="689"/>
      <c r="O99" s="689"/>
      <c r="P99" s="689"/>
      <c r="Q99" s="689"/>
      <c r="R99" s="689"/>
      <c r="S99" s="689"/>
      <c r="T99" s="689"/>
    </row>
    <row r="100" spans="2:20" x14ac:dyDescent="0.3">
      <c r="B100" s="689"/>
      <c r="C100" s="689"/>
      <c r="D100" s="689"/>
      <c r="E100" s="689"/>
      <c r="F100" s="689"/>
      <c r="G100" s="689"/>
      <c r="H100" s="689"/>
      <c r="I100" s="689"/>
      <c r="J100" s="689"/>
      <c r="K100" s="689"/>
      <c r="L100" s="689"/>
      <c r="M100" s="689"/>
      <c r="N100" s="689"/>
      <c r="O100" s="689"/>
      <c r="P100" s="689"/>
      <c r="Q100" s="689"/>
      <c r="R100" s="689"/>
      <c r="S100" s="689"/>
      <c r="T100" s="689"/>
    </row>
    <row r="101" spans="2:20" x14ac:dyDescent="0.3">
      <c r="B101" s="689"/>
      <c r="C101" s="689"/>
      <c r="D101" s="689"/>
      <c r="E101" s="689"/>
      <c r="F101" s="689"/>
      <c r="G101" s="689"/>
      <c r="H101" s="689"/>
      <c r="I101" s="689"/>
      <c r="J101" s="689"/>
      <c r="K101" s="689"/>
      <c r="L101" s="689"/>
      <c r="M101" s="689"/>
      <c r="N101" s="689"/>
      <c r="O101" s="689"/>
      <c r="P101" s="689"/>
      <c r="Q101" s="689"/>
      <c r="R101" s="689"/>
      <c r="S101" s="689"/>
      <c r="T101" s="689"/>
    </row>
    <row r="102" spans="2:20" x14ac:dyDescent="0.3">
      <c r="B102" s="689"/>
      <c r="C102" s="689"/>
      <c r="D102" s="689"/>
      <c r="E102" s="689"/>
      <c r="F102" s="689"/>
      <c r="G102" s="689"/>
      <c r="H102" s="689"/>
      <c r="I102" s="689"/>
      <c r="J102" s="689"/>
      <c r="K102" s="689"/>
      <c r="L102" s="689"/>
      <c r="M102" s="689"/>
      <c r="N102" s="689"/>
      <c r="O102" s="689"/>
      <c r="P102" s="689"/>
      <c r="Q102" s="689"/>
      <c r="R102" s="689"/>
      <c r="S102" s="689"/>
      <c r="T102" s="689"/>
    </row>
    <row r="103" spans="2:20" x14ac:dyDescent="0.3">
      <c r="B103" s="689"/>
      <c r="C103" s="689"/>
      <c r="D103" s="689"/>
      <c r="E103" s="689"/>
      <c r="F103" s="689"/>
      <c r="G103" s="689"/>
      <c r="H103" s="689"/>
      <c r="I103" s="689"/>
      <c r="J103" s="689"/>
      <c r="K103" s="689"/>
      <c r="L103" s="689"/>
      <c r="M103" s="689"/>
      <c r="N103" s="689"/>
      <c r="O103" s="689"/>
      <c r="P103" s="689"/>
      <c r="Q103" s="689"/>
      <c r="R103" s="689"/>
      <c r="S103" s="689"/>
      <c r="T103" s="689"/>
    </row>
    <row r="104" spans="2:20" x14ac:dyDescent="0.3">
      <c r="B104" s="689"/>
      <c r="C104" s="689"/>
      <c r="D104" s="689"/>
      <c r="E104" s="689"/>
      <c r="F104" s="689"/>
      <c r="G104" s="689"/>
      <c r="H104" s="689"/>
      <c r="I104" s="689"/>
      <c r="J104" s="689"/>
      <c r="K104" s="689"/>
      <c r="L104" s="689"/>
      <c r="M104" s="689"/>
      <c r="N104" s="689"/>
      <c r="O104" s="689"/>
      <c r="P104" s="689"/>
      <c r="Q104" s="689"/>
      <c r="R104" s="689"/>
      <c r="S104" s="689"/>
      <c r="T104" s="689"/>
    </row>
    <row r="105" spans="2:20" x14ac:dyDescent="0.3">
      <c r="B105" s="689"/>
      <c r="C105" s="689"/>
      <c r="D105" s="689"/>
      <c r="E105" s="689"/>
      <c r="F105" s="689"/>
      <c r="G105" s="689"/>
      <c r="H105" s="689"/>
      <c r="I105" s="689"/>
      <c r="J105" s="689"/>
      <c r="K105" s="689"/>
      <c r="L105" s="689"/>
      <c r="M105" s="689"/>
      <c r="N105" s="689"/>
      <c r="O105" s="689"/>
      <c r="P105" s="689"/>
      <c r="Q105" s="689"/>
      <c r="R105" s="689"/>
      <c r="S105" s="689"/>
      <c r="T105" s="689"/>
    </row>
    <row r="106" spans="2:20" x14ac:dyDescent="0.3">
      <c r="B106" s="689"/>
      <c r="C106" s="689"/>
      <c r="D106" s="689"/>
      <c r="E106" s="689"/>
      <c r="F106" s="689"/>
      <c r="G106" s="689"/>
      <c r="H106" s="689"/>
      <c r="I106" s="689"/>
      <c r="J106" s="689"/>
      <c r="K106" s="689"/>
      <c r="L106" s="689"/>
      <c r="M106" s="689"/>
      <c r="N106" s="689"/>
      <c r="O106" s="689"/>
      <c r="P106" s="689"/>
      <c r="Q106" s="689"/>
      <c r="R106" s="689"/>
      <c r="S106" s="689"/>
      <c r="T106" s="689"/>
    </row>
    <row r="107" spans="2:20" x14ac:dyDescent="0.3">
      <c r="B107" s="689"/>
      <c r="C107" s="689"/>
      <c r="D107" s="689"/>
      <c r="E107" s="689"/>
      <c r="F107" s="689"/>
      <c r="G107" s="689"/>
      <c r="H107" s="689"/>
      <c r="I107" s="689"/>
      <c r="J107" s="689"/>
      <c r="K107" s="689"/>
      <c r="L107" s="689"/>
      <c r="M107" s="689"/>
      <c r="N107" s="689"/>
      <c r="O107" s="689"/>
      <c r="P107" s="689"/>
      <c r="Q107" s="689"/>
      <c r="R107" s="689"/>
      <c r="S107" s="689"/>
      <c r="T107" s="689"/>
    </row>
    <row r="108" spans="2:20" x14ac:dyDescent="0.3">
      <c r="B108" s="689"/>
      <c r="C108" s="689"/>
      <c r="D108" s="689"/>
      <c r="E108" s="689"/>
      <c r="F108" s="689"/>
      <c r="G108" s="689"/>
      <c r="H108" s="689"/>
      <c r="I108" s="689"/>
      <c r="J108" s="689"/>
      <c r="K108" s="689"/>
      <c r="L108" s="689"/>
      <c r="M108" s="689"/>
      <c r="N108" s="689"/>
      <c r="O108" s="689"/>
      <c r="P108" s="689"/>
      <c r="Q108" s="689"/>
      <c r="R108" s="689"/>
      <c r="S108" s="689"/>
      <c r="T108" s="689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4:S14"/>
  </mergeCells>
  <conditionalFormatting sqref="AC13">
    <cfRule type="cellIs" dxfId="11" priority="5" operator="lessThan">
      <formula>$Z$25</formula>
    </cfRule>
  </conditionalFormatting>
  <conditionalFormatting sqref="Q12">
    <cfRule type="notContainsBlanks" dxfId="10" priority="6">
      <formula>LEN(TRIM(Q12))&gt;0</formula>
    </cfRule>
  </conditionalFormatting>
  <dataValidations disablePrompts="1" count="2">
    <dataValidation type="list" allowBlank="1" showInputMessage="1" showErrorMessage="1" prompt="Выбор модели" sqref="O23" xr:uid="{50C9CE5B-E1D9-499B-A741-0494415DB52F}">
      <formula1>$Q$4:$Q$11</formula1>
    </dataValidation>
    <dataValidation type="list" allowBlank="1" showInputMessage="1" showErrorMessage="1" prompt="Выбор ящика" sqref="O24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2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34</xdr:row>
                    <xdr:rowOff>0</xdr:rowOff>
                  </from>
                  <to>
                    <xdr:col>14</xdr:col>
                    <xdr:colOff>723900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35</xdr:row>
                    <xdr:rowOff>0</xdr:rowOff>
                  </from>
                  <to>
                    <xdr:col>14</xdr:col>
                    <xdr:colOff>693420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36</xdr:row>
                    <xdr:rowOff>106680</xdr:rowOff>
                  </from>
                  <to>
                    <xdr:col>15</xdr:col>
                    <xdr:colOff>53340</xdr:colOff>
                    <xdr:row>37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ЭтаКнига.calc_start">
                <anchor>
                  <from>
                    <xdr:col>12</xdr:col>
                    <xdr:colOff>68580</xdr:colOff>
                    <xdr:row>36</xdr:row>
                    <xdr:rowOff>129540</xdr:rowOff>
                  </from>
                  <to>
                    <xdr:col>13</xdr:col>
                    <xdr:colOff>1562100</xdr:colOff>
                    <xdr:row>39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5"/>
  <sheetViews>
    <sheetView showGridLines="0" zoomScale="70" zoomScaleNormal="70" workbookViewId="0">
      <selection activeCell="N17" sqref="N17"/>
    </sheetView>
  </sheetViews>
  <sheetFormatPr defaultRowHeight="15.6" x14ac:dyDescent="0.3"/>
  <cols>
    <col min="1" max="1" width="2.21875" customWidth="1"/>
    <col min="2" max="2" width="4.21875" style="496" customWidth="1"/>
    <col min="3" max="3" width="10.77734375" style="496" customWidth="1"/>
    <col min="4" max="4" width="8.6640625" style="496" customWidth="1"/>
    <col min="5" max="5" width="12.21875" style="496" customWidth="1"/>
    <col min="6" max="6" width="16.44140625" style="496" customWidth="1"/>
    <col min="7" max="7" width="8.44140625" style="496" customWidth="1"/>
    <col min="8" max="8" width="11.88671875" style="496" customWidth="1"/>
    <col min="9" max="9" width="10" style="496" customWidth="1"/>
    <col min="10" max="10" width="10.5546875" style="496" customWidth="1"/>
    <col min="11" max="11" width="13" style="496" bestFit="1" customWidth="1"/>
    <col min="12" max="12" width="3.21875" style="496" customWidth="1"/>
    <col min="13" max="13" width="30.5546875" style="496" customWidth="1"/>
    <col min="14" max="14" width="9.88671875" style="496" customWidth="1"/>
    <col min="15" max="15" width="2.33203125" style="57" customWidth="1"/>
    <col min="16" max="16" width="6" style="1348" customWidth="1"/>
    <col min="17" max="17" width="17.88671875" customWidth="1"/>
    <col min="18" max="18" width="10.21875" customWidth="1"/>
    <col min="19" max="19" width="7.109375" customWidth="1"/>
    <col min="20" max="20" width="8.6640625" customWidth="1"/>
    <col min="21" max="21" width="9.21875" customWidth="1"/>
    <col min="22" max="22" width="8.77734375" customWidth="1"/>
    <col min="23" max="23" width="7.44140625" customWidth="1"/>
    <col min="24" max="24" width="7" customWidth="1"/>
    <col min="25" max="25" width="8.5546875" customWidth="1"/>
    <col min="26" max="26" width="10.77734375" customWidth="1"/>
    <col min="27" max="27" width="13.21875" customWidth="1"/>
    <col min="28" max="28" width="14" customWidth="1"/>
    <col min="29" max="29" width="16.88671875" customWidth="1"/>
    <col min="30" max="30" width="10.109375" customWidth="1"/>
    <col min="32" max="33" width="8.88671875" style="1720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28"/>
      <c r="B1" s="1172"/>
      <c r="C1" s="1172"/>
      <c r="D1" s="1172"/>
      <c r="E1" s="1172"/>
      <c r="F1" s="1172"/>
      <c r="G1" s="1172"/>
      <c r="H1" s="1172"/>
      <c r="I1" s="1172"/>
      <c r="J1" s="1172"/>
      <c r="K1" s="1172" t="s">
        <v>353</v>
      </c>
      <c r="O1" s="1348"/>
      <c r="Q1" s="546"/>
      <c r="R1" s="1674" t="s">
        <v>1173</v>
      </c>
      <c r="S1" s="1675"/>
      <c r="T1" s="1873"/>
      <c r="U1" s="1676" t="s">
        <v>629</v>
      </c>
      <c r="V1" s="1877"/>
      <c r="W1" s="1874" t="s">
        <v>1174</v>
      </c>
      <c r="X1" s="1875"/>
      <c r="Y1" s="1875"/>
      <c r="Z1" s="1875"/>
      <c r="AA1" s="1875"/>
      <c r="AB1" s="1876"/>
      <c r="AC1" s="1262" t="s">
        <v>1176</v>
      </c>
    </row>
    <row r="2" spans="1:33" ht="16.2" thickBot="1" x14ac:dyDescent="0.35">
      <c r="A2" s="328"/>
      <c r="B2" s="1247"/>
      <c r="C2" s="1248"/>
      <c r="D2" s="1248"/>
      <c r="E2" s="1248"/>
      <c r="F2" s="1248" t="s">
        <v>0</v>
      </c>
      <c r="G2" s="1248"/>
      <c r="H2" s="1248"/>
      <c r="I2" s="1248"/>
      <c r="J2" s="1248"/>
      <c r="K2" s="1249" t="s">
        <v>878</v>
      </c>
      <c r="M2" s="1597" t="s">
        <v>1042</v>
      </c>
      <c r="N2" s="1596"/>
      <c r="P2" t="s">
        <v>591</v>
      </c>
      <c r="Q2" t="s">
        <v>673</v>
      </c>
      <c r="R2" s="1511" t="s">
        <v>1171</v>
      </c>
      <c r="S2" s="1511" t="s">
        <v>919</v>
      </c>
      <c r="T2" s="1511" t="s">
        <v>2025</v>
      </c>
      <c r="U2" s="1511" t="s">
        <v>2026</v>
      </c>
      <c r="V2" s="1511" t="s">
        <v>1186</v>
      </c>
      <c r="W2" t="s">
        <v>920</v>
      </c>
      <c r="X2" t="s">
        <v>1175</v>
      </c>
      <c r="Y2" s="1770" t="s">
        <v>5</v>
      </c>
      <c r="Z2" t="s">
        <v>2014</v>
      </c>
      <c r="AA2" s="113" t="s">
        <v>2015</v>
      </c>
      <c r="AB2" t="s">
        <v>2016</v>
      </c>
      <c r="AC2" t="s">
        <v>2017</v>
      </c>
      <c r="AD2" t="s">
        <v>1214</v>
      </c>
      <c r="AE2" s="1673" t="s">
        <v>1202</v>
      </c>
      <c r="AF2" s="1673" t="s">
        <v>985</v>
      </c>
      <c r="AG2"/>
    </row>
    <row r="3" spans="1:33" x14ac:dyDescent="0.3">
      <c r="A3" s="328"/>
      <c r="B3" s="1173"/>
      <c r="C3" s="1174" t="s">
        <v>1</v>
      </c>
      <c r="D3" s="1174"/>
      <c r="E3" s="1174"/>
      <c r="F3" s="1174"/>
      <c r="G3" s="1175"/>
      <c r="H3" s="1174"/>
      <c r="I3" s="1174"/>
      <c r="J3" s="1176" t="s">
        <v>371</v>
      </c>
      <c r="K3" s="1177" t="str">
        <f>VLOOKUP(N23,Ст_ящики_конус[],2,0)</f>
        <v>1275.03.308</v>
      </c>
      <c r="M3" s="1326" t="s">
        <v>1041</v>
      </c>
      <c r="N3" s="1592">
        <v>500</v>
      </c>
      <c r="O3" s="499"/>
      <c r="P3" s="1720">
        <v>1</v>
      </c>
      <c r="Q3" s="328" t="s">
        <v>1177</v>
      </c>
      <c r="R3" s="1485">
        <f>INDEX(Втулки1[],MATCH(Ст_ящики_конус[чертеж],Втулки1[чертеж],0),7)</f>
        <v>180</v>
      </c>
      <c r="S3" s="1485">
        <f>INDEX(Втулки1[],MATCH(Ст_ящики_конус[чертеж],Втулки1[чертеж],0),7)+2*INDEX(Втулки1[],MATCH(Ст_ящики_конус[чертеж],Втулки1[чертеж],0),8)</f>
        <v>277</v>
      </c>
      <c r="T3" s="1485">
        <f>INDEX(Втулки1[],MATCH(Ст_ящики_конус[чертеж],Втулки1[чертеж],0),9)</f>
        <v>965</v>
      </c>
      <c r="U3" s="1485">
        <f>(INDEX(Втулки1[],MATCH(Ст_ящики_конус[чертеж],Втулки1[чертеж],0),10)+(INDEX(Втулки1[],MATCH(Ст_ящики_конус[чертеж],Втулки1[чертеж],0),11)))/2</f>
        <v>390</v>
      </c>
      <c r="V3" s="1485">
        <f>INDEX(Втулки1[],MATCH(Ст_ящики_конус[чертеж],Втулки1[чертеж],0),12)</f>
        <v>140</v>
      </c>
      <c r="W3" s="1720">
        <v>160</v>
      </c>
      <c r="X3" s="1720">
        <v>105</v>
      </c>
      <c r="Y3" s="1720">
        <v>990</v>
      </c>
      <c r="Z3" s="1720">
        <v>160</v>
      </c>
      <c r="AA3" s="1720">
        <v>175</v>
      </c>
      <c r="AB3" s="1720">
        <v>140</v>
      </c>
      <c r="AC3" s="1720">
        <v>90</v>
      </c>
      <c r="AD3" s="328" t="s">
        <v>2018</v>
      </c>
      <c r="AE3" s="1716">
        <v>7</v>
      </c>
      <c r="AF3" s="1760">
        <v>700</v>
      </c>
      <c r="AG3"/>
    </row>
    <row r="4" spans="1:33" x14ac:dyDescent="0.3">
      <c r="A4" s="328"/>
      <c r="B4" s="1178"/>
      <c r="C4" s="1143" t="s">
        <v>2</v>
      </c>
      <c r="D4" s="1143"/>
      <c r="E4" s="1143"/>
      <c r="F4" s="1143"/>
      <c r="G4" s="1171" t="s">
        <v>1184</v>
      </c>
      <c r="H4" s="1143"/>
      <c r="I4" s="1143"/>
      <c r="J4" s="1250"/>
      <c r="K4" s="1183"/>
      <c r="M4" s="1591" t="s">
        <v>882</v>
      </c>
      <c r="N4" s="1593">
        <v>458</v>
      </c>
      <c r="O4" s="499"/>
      <c r="P4" s="1720">
        <v>2</v>
      </c>
      <c r="Q4" s="328" t="s">
        <v>1179</v>
      </c>
      <c r="R4" s="1485">
        <f>INDEX(Втулки1[],MATCH(Ст_ящики_конус[чертеж],Втулки1[чертеж],0),7)</f>
        <v>185</v>
      </c>
      <c r="S4" s="1485">
        <f>INDEX(Втулки1[],MATCH(Ст_ящики_конус[чертеж],Втулки1[чертеж],0),7)+2*INDEX(Втулки1[],MATCH(Ст_ящики_конус[чертеж],Втулки1[чертеж],0),8)</f>
        <v>260</v>
      </c>
      <c r="T4" s="1485">
        <f>INDEX(Втулки1[],MATCH(Ст_ящики_конус[чертеж],Втулки1[чертеж],0),9)</f>
        <v>755</v>
      </c>
      <c r="U4" s="1485">
        <f>(INDEX(Втулки1[],MATCH(Ст_ящики_конус[чертеж],Втулки1[чертеж],0),10)+(INDEX(Втулки1[],MATCH(Ст_ящики_конус[чертеж],Втулки1[чертеж],0),11)))/2</f>
        <v>377.5</v>
      </c>
      <c r="V4" s="1485">
        <f>INDEX(Втулки1[],MATCH(Ст_ящики_конус[чертеж],Втулки1[чертеж],0),12)</f>
        <v>150</v>
      </c>
      <c r="W4" s="1720">
        <v>160</v>
      </c>
      <c r="X4" s="1720">
        <v>110</v>
      </c>
      <c r="Y4" s="1720">
        <v>760</v>
      </c>
      <c r="Z4" s="1720">
        <v>160</v>
      </c>
      <c r="AA4" s="1720">
        <v>130</v>
      </c>
      <c r="AB4" s="1720">
        <v>190</v>
      </c>
      <c r="AC4" s="1720">
        <v>90</v>
      </c>
      <c r="AD4" s="328" t="s">
        <v>2019</v>
      </c>
      <c r="AE4" s="1716">
        <v>7</v>
      </c>
      <c r="AF4" s="1760">
        <v>700</v>
      </c>
      <c r="AG4"/>
    </row>
    <row r="5" spans="1:33" x14ac:dyDescent="0.3">
      <c r="A5" s="328"/>
      <c r="B5" s="1178"/>
      <c r="C5" s="1143" t="s">
        <v>3</v>
      </c>
      <c r="D5" s="1143"/>
      <c r="E5" s="1143"/>
      <c r="F5" s="1143"/>
      <c r="G5" s="505" t="s">
        <v>1199</v>
      </c>
      <c r="H5" s="1143"/>
      <c r="I5" s="1143"/>
      <c r="J5" s="1179"/>
      <c r="K5" s="1183"/>
      <c r="M5" s="1260" t="s">
        <v>1043</v>
      </c>
      <c r="N5" s="1751">
        <v>376</v>
      </c>
      <c r="O5" s="499"/>
      <c r="P5" s="1720">
        <v>3</v>
      </c>
      <c r="Q5" s="328" t="s">
        <v>1178</v>
      </c>
      <c r="R5" s="1485">
        <f>INDEX(Втулки1[],MATCH(Ст_ящики_конус[чертеж],Втулки1[чертеж],0),7)</f>
        <v>180</v>
      </c>
      <c r="S5" s="1485">
        <f>INDEX(Втулки1[],MATCH(Ст_ящики_конус[чертеж],Втулки1[чертеж],0),7)+2*INDEX(Втулки1[],MATCH(Ст_ящики_конус[чертеж],Втулки1[чертеж],0),8)</f>
        <v>310</v>
      </c>
      <c r="T5" s="1485">
        <f>INDEX(Втулки1[],MATCH(Ст_ящики_конус[чертеж],Втулки1[чертеж],0),9)</f>
        <v>1030</v>
      </c>
      <c r="U5" s="1485">
        <f>(INDEX(Втулки1[],MATCH(Ст_ящики_конус[чертеж],Втулки1[чертеж],0),10)+(INDEX(Втулки1[],MATCH(Ст_ящики_конус[чертеж],Втулки1[чертеж],0),11)))/2</f>
        <v>435</v>
      </c>
      <c r="V5" s="1485">
        <f>INDEX(Втулки1[],MATCH(Ст_ящики_конус[чертеж],Втулки1[чертеж],0),12)</f>
        <v>150</v>
      </c>
      <c r="W5" s="1720">
        <v>245</v>
      </c>
      <c r="X5" s="1720">
        <v>110</v>
      </c>
      <c r="Y5" s="1720">
        <v>1060</v>
      </c>
      <c r="Z5" s="1720">
        <v>245</v>
      </c>
      <c r="AA5" s="1720">
        <v>260</v>
      </c>
      <c r="AB5" s="1720">
        <v>150</v>
      </c>
      <c r="AC5" s="1720">
        <v>90</v>
      </c>
      <c r="AD5" s="328" t="s">
        <v>2018</v>
      </c>
      <c r="AE5" s="1716">
        <v>7</v>
      </c>
      <c r="AF5" s="1760">
        <v>700</v>
      </c>
      <c r="AG5"/>
    </row>
    <row r="6" spans="1:33" ht="16.2" thickBot="1" x14ac:dyDescent="0.35">
      <c r="A6" s="328"/>
      <c r="B6" s="1180"/>
      <c r="C6" s="1181" t="s">
        <v>7</v>
      </c>
      <c r="D6" s="1181"/>
      <c r="E6" s="1181"/>
      <c r="F6" s="1181"/>
      <c r="G6" s="636">
        <v>1</v>
      </c>
      <c r="H6" s="1181"/>
      <c r="I6" s="1181"/>
      <c r="J6" s="1182"/>
      <c r="K6" s="1251"/>
      <c r="M6" s="1260" t="s">
        <v>883</v>
      </c>
      <c r="N6" s="1752">
        <v>340</v>
      </c>
      <c r="O6" s="499"/>
      <c r="P6" s="1720">
        <v>4</v>
      </c>
      <c r="Q6" s="328" t="s">
        <v>1180</v>
      </c>
      <c r="R6" s="1485">
        <f>INDEX(Втулки1[],MATCH(Ст_ящики_конус[чертеж],Втулки1[чертеж],0),7)</f>
        <v>225</v>
      </c>
      <c r="S6" s="1485">
        <f>INDEX(Втулки1[],MATCH(Ст_ящики_конус[чертеж],Втулки1[чертеж],0),7)+2*INDEX(Втулки1[],MATCH(Ст_ящики_конус[чертеж],Втулки1[чертеж],0),8)</f>
        <v>310</v>
      </c>
      <c r="T6" s="1485">
        <f>INDEX(Втулки1[],MATCH(Ст_ящики_конус[чертеж],Втулки1[чертеж],0),9)</f>
        <v>1010</v>
      </c>
      <c r="U6" s="1485">
        <f>(INDEX(Втулки1[],MATCH(Ст_ящики_конус[чертеж],Втулки1[чертеж],0),10)+(INDEX(Втулки1[],MATCH(Ст_ящики_конус[чертеж],Втулки1[чертеж],0),11)))/2</f>
        <v>380</v>
      </c>
      <c r="V6" s="1485">
        <f>INDEX(Втулки1[],MATCH(Ст_ящики_конус[чертеж],Втулки1[чертеж],0),12)</f>
        <v>180</v>
      </c>
      <c r="W6" s="1720">
        <v>260</v>
      </c>
      <c r="X6" s="1720">
        <v>155</v>
      </c>
      <c r="Y6" s="1720">
        <v>1120</v>
      </c>
      <c r="Z6" s="1720">
        <v>260</v>
      </c>
      <c r="AA6" s="1720">
        <v>270</v>
      </c>
      <c r="AB6" s="1720">
        <v>180</v>
      </c>
      <c r="AC6" s="1720">
        <v>90</v>
      </c>
      <c r="AD6" s="328" t="s">
        <v>2018</v>
      </c>
      <c r="AE6" s="1716">
        <v>7</v>
      </c>
      <c r="AF6" s="1760">
        <v>700</v>
      </c>
      <c r="AG6"/>
    </row>
    <row r="7" spans="1:33" x14ac:dyDescent="0.3">
      <c r="A7" s="328"/>
      <c r="B7" s="1178"/>
      <c r="C7" s="1143"/>
      <c r="D7" s="1172"/>
      <c r="E7" s="1143"/>
      <c r="F7" s="1143"/>
      <c r="G7" s="505"/>
      <c r="H7" s="1143"/>
      <c r="I7" s="1143"/>
      <c r="J7" s="1143"/>
      <c r="K7" s="1183"/>
      <c r="M7" s="1260" t="s">
        <v>5</v>
      </c>
      <c r="N7" s="1752">
        <v>1428</v>
      </c>
      <c r="O7" s="499"/>
      <c r="P7" s="1720">
        <v>5</v>
      </c>
      <c r="Q7" s="328" t="s">
        <v>1181</v>
      </c>
      <c r="R7" s="1485">
        <f>INDEX(Втулки1[],MATCH(Ст_ящики_конус[чертеж],Втулки1[чертеж],0),7)</f>
        <v>280</v>
      </c>
      <c r="S7" s="1485">
        <f>INDEX(Втулки1[],MATCH(Ст_ящики_конус[чертеж],Втулки1[чертеж],0),7)+2*INDEX(Втулки1[],MATCH(Ст_ящики_конус[чертеж],Втулки1[чертеж],0),8)</f>
        <v>435</v>
      </c>
      <c r="T7" s="1485">
        <f>INDEX(Втулки1[],MATCH(Ст_ящики_конус[чертеж],Втулки1[чертеж],0),9)</f>
        <v>1225</v>
      </c>
      <c r="U7" s="1485">
        <f>(INDEX(Втулки1[],MATCH(Ст_ящики_конус[чертеж],Втулки1[чертеж],0),10)+(INDEX(Втулки1[],MATCH(Ст_ящики_конус[чертеж],Втулки1[чертеж],0),11)))/2</f>
        <v>477.5</v>
      </c>
      <c r="V7" s="1485">
        <f>INDEX(Втулки1[],MATCH(Ст_ящики_конус[чертеж],Втулки1[чертеж],0),12)</f>
        <v>165</v>
      </c>
      <c r="W7" s="1720">
        <v>290</v>
      </c>
      <c r="X7" s="1720">
        <v>185</v>
      </c>
      <c r="Y7" s="1720">
        <v>1265</v>
      </c>
      <c r="Z7" s="1720">
        <v>290</v>
      </c>
      <c r="AA7" s="1720">
        <v>305</v>
      </c>
      <c r="AB7" s="1720">
        <v>165</v>
      </c>
      <c r="AC7" s="1720">
        <v>150</v>
      </c>
      <c r="AD7" s="328" t="s">
        <v>2018</v>
      </c>
      <c r="AE7" s="1717">
        <v>14</v>
      </c>
      <c r="AF7" s="1760">
        <v>700</v>
      </c>
      <c r="AG7"/>
    </row>
    <row r="8" spans="1:33" x14ac:dyDescent="0.3">
      <c r="A8" s="328"/>
      <c r="B8" s="1178"/>
      <c r="C8" s="1143" t="s">
        <v>13</v>
      </c>
      <c r="D8" s="1172"/>
      <c r="E8" s="1143"/>
      <c r="F8" s="1143"/>
      <c r="G8" s="1171" t="s">
        <v>21</v>
      </c>
      <c r="H8" s="1143"/>
      <c r="I8" s="1143"/>
      <c r="J8" s="1143" t="s">
        <v>1016</v>
      </c>
      <c r="K8" s="1186">
        <f>ROUND(G9/G13,2)</f>
        <v>0.24</v>
      </c>
      <c r="M8" s="1325" t="s">
        <v>16</v>
      </c>
      <c r="N8" s="1671">
        <f>ROUNDUP((3.1415926*N7/3000000*((N3/2)*(N3/2)+(N5/2)*(N3/2)+(N5/2)*(N5/2))*N10)-(3.1415926*N7/3000000*((N6/2)*(N6/2)+(N6/2)*(N4/2)+(N4/2)*(N4/2))*N10),1)</f>
        <v>341.8</v>
      </c>
      <c r="P8" s="1720">
        <v>6</v>
      </c>
      <c r="Q8" s="328" t="s">
        <v>1182</v>
      </c>
      <c r="R8" s="1485">
        <f>INDEX(Втулки1[],MATCH(Ст_ящики_конус[чертеж],Втулки1[чертеж],0),7)</f>
        <v>295</v>
      </c>
      <c r="S8" s="1485">
        <f>INDEX(Втулки1[],MATCH(Ст_ящики_конус[чертеж],Втулки1[чертеж],0),7)+2*INDEX(Втулки1[],MATCH(Ст_ящики_конус[чертеж],Втулки1[чертеж],0),8)</f>
        <v>415</v>
      </c>
      <c r="T8" s="1485">
        <f>INDEX(Втулки1[],MATCH(Ст_ящики_конус[чертеж],Втулки1[чертеж],0),9)</f>
        <v>1340</v>
      </c>
      <c r="U8" s="1485">
        <f>(INDEX(Втулки1[],MATCH(Ст_ящики_конус[чертеж],Втулки1[чертеж],0),10)+(INDEX(Втулки1[],MATCH(Ст_ящики_конус[чертеж],Втулки1[чертеж],0),11)))/2</f>
        <v>562.5</v>
      </c>
      <c r="V8" s="1485">
        <f>INDEX(Втулки1[],MATCH(Ст_ящики_конус[чертеж],Втулки1[чертеж],0),12)</f>
        <v>130</v>
      </c>
      <c r="W8" s="1720">
        <v>335</v>
      </c>
      <c r="X8" s="1720">
        <v>232</v>
      </c>
      <c r="Y8" s="1720">
        <v>1340</v>
      </c>
      <c r="Z8" s="1720">
        <v>335</v>
      </c>
      <c r="AA8" s="1720">
        <v>320</v>
      </c>
      <c r="AB8" s="1720">
        <v>190</v>
      </c>
      <c r="AC8" s="1720">
        <v>90</v>
      </c>
      <c r="AD8" s="328" t="s">
        <v>2019</v>
      </c>
      <c r="AE8" s="1717">
        <v>14</v>
      </c>
      <c r="AF8" s="1760">
        <v>700</v>
      </c>
      <c r="AG8"/>
    </row>
    <row r="9" spans="1:33" ht="16.2" thickBot="1" x14ac:dyDescent="0.35">
      <c r="A9" s="328"/>
      <c r="B9" s="1178"/>
      <c r="C9" s="1143" t="s">
        <v>16</v>
      </c>
      <c r="D9" s="1172"/>
      <c r="E9" s="1143"/>
      <c r="F9" s="1143"/>
      <c r="G9" s="505">
        <f>IF(N9&lt;&gt;0,N9,IF(N8&lt;100,ROUNDUP(N8,1),ROUNDUP(N8,0)))</f>
        <v>342</v>
      </c>
      <c r="H9" s="634"/>
      <c r="I9" s="1143"/>
      <c r="J9" s="1143"/>
      <c r="K9" s="1186"/>
      <c r="M9" s="1478" t="s">
        <v>298</v>
      </c>
      <c r="N9" s="1595"/>
      <c r="O9" s="1202"/>
      <c r="P9" s="1720">
        <v>7</v>
      </c>
      <c r="Q9" s="328" t="s">
        <v>1183</v>
      </c>
      <c r="R9" s="1485">
        <f>INDEX(Втулки1[],MATCH(Ст_ящики_конус[чертеж],Втулки1[чертеж],0),7)</f>
        <v>350</v>
      </c>
      <c r="S9" s="1485">
        <f>INDEX(Втулки1[],MATCH(Ст_ящики_конус[чертеж],Втулки1[чертеж],0),7)+2*INDEX(Втулки1[],MATCH(Ст_ящики_конус[чертеж],Втулки1[чертеж],0),8)</f>
        <v>470</v>
      </c>
      <c r="T9" s="1485">
        <f>INDEX(Втулки1[],MATCH(Ст_ящики_конус[чертеж],Втулки1[чертеж],0),9)</f>
        <v>1260</v>
      </c>
      <c r="U9" s="1485">
        <f>(INDEX(Втулки1[],MATCH(Ст_ящики_конус[чертеж],Втулки1[чертеж],0),10)+(INDEX(Втулки1[],MATCH(Ст_ящики_конус[чертеж],Втулки1[чертеж],0),11)))/2</f>
        <v>595</v>
      </c>
      <c r="V9" s="1485">
        <f>INDEX(Втулки1[],MATCH(Ст_ящики_конус[чертеж],Втулки1[чертеж],0),12)</f>
        <v>180</v>
      </c>
      <c r="W9" s="1720">
        <v>360</v>
      </c>
      <c r="X9" s="1720">
        <v>250</v>
      </c>
      <c r="Y9" s="1720">
        <v>1300</v>
      </c>
      <c r="Z9" s="1720">
        <v>360</v>
      </c>
      <c r="AA9" s="1720">
        <v>375</v>
      </c>
      <c r="AB9" s="1720">
        <v>180</v>
      </c>
      <c r="AC9" s="1720">
        <v>150</v>
      </c>
      <c r="AD9" s="328" t="s">
        <v>2018</v>
      </c>
      <c r="AE9" s="1717">
        <v>14</v>
      </c>
      <c r="AF9" s="1760">
        <v>1000</v>
      </c>
      <c r="AG9"/>
    </row>
    <row r="10" spans="1:33" ht="16.2" thickBot="1" x14ac:dyDescent="0.35">
      <c r="A10" s="328"/>
      <c r="B10" s="1178"/>
      <c r="C10" s="1143" t="s">
        <v>18</v>
      </c>
      <c r="D10" s="1172"/>
      <c r="E10" s="1143"/>
      <c r="F10" s="1143"/>
      <c r="G10" s="1171">
        <f>ROUNDUP(N28,0)</f>
        <v>917</v>
      </c>
      <c r="H10" s="634"/>
      <c r="I10" s="1143"/>
      <c r="J10" s="1143" t="s">
        <v>19</v>
      </c>
      <c r="K10" s="1186">
        <f>ROUND(G9/G14,2)</f>
        <v>0.23</v>
      </c>
      <c r="M10" s="1686" t="s">
        <v>9</v>
      </c>
      <c r="N10" s="1687">
        <f>VLOOKUP($G$8,Марка_металла[],9,FALSE())</f>
        <v>9.3000000000000007</v>
      </c>
      <c r="O10" s="1204"/>
      <c r="P10" s="1720">
        <v>8</v>
      </c>
      <c r="Q10" s="328" t="s">
        <v>1184</v>
      </c>
      <c r="R10" s="1485">
        <f>INDEX(Втулки1[],MATCH(Ст_ящики_конус[чертеж],Втулки1[чертеж],0),7)</f>
        <v>400</v>
      </c>
      <c r="S10" s="1485">
        <f>INDEX(Втулки1[],MATCH(Ст_ящики_конус[чертеж],Втулки1[чертеж],0),7)+2*INDEX(Втулки1[],MATCH(Ст_ящики_конус[чертеж],Втулки1[чертеж],0),8)</f>
        <v>545</v>
      </c>
      <c r="T10" s="1485">
        <f>INDEX(Втулки1[],MATCH(Ст_ящики_конус[чертеж],Втулки1[чертеж],0),9)</f>
        <v>1550</v>
      </c>
      <c r="U10" s="1485">
        <f>(INDEX(Втулки1[],MATCH(Ст_ящики_конус[чертеж],Втулки1[чертеж],0),10)+(INDEX(Втулки1[],MATCH(Ст_ящики_конус[чертеж],Втулки1[чертеж],0),11)))/2</f>
        <v>655</v>
      </c>
      <c r="V10" s="1485">
        <f>INDEX(Втулки1[],MATCH(Ст_ящики_конус[чертеж],Втулки1[чертеж],0),12)</f>
        <v>180</v>
      </c>
      <c r="W10" s="1720">
        <v>420</v>
      </c>
      <c r="X10" s="1720">
        <v>320</v>
      </c>
      <c r="Y10" s="1720">
        <v>1550</v>
      </c>
      <c r="Z10" s="1720">
        <v>340</v>
      </c>
      <c r="AA10" s="1720">
        <v>310</v>
      </c>
      <c r="AB10" s="1720">
        <v>250</v>
      </c>
      <c r="AC10" s="1720">
        <v>150</v>
      </c>
      <c r="AD10" s="328" t="s">
        <v>2019</v>
      </c>
      <c r="AE10" s="1717">
        <v>14</v>
      </c>
      <c r="AF10" s="1760">
        <v>1000</v>
      </c>
      <c r="AG10"/>
    </row>
    <row r="11" spans="1:33" x14ac:dyDescent="0.3">
      <c r="A11" s="328"/>
      <c r="B11" s="1178"/>
      <c r="C11" s="1143" t="s">
        <v>20</v>
      </c>
      <c r="D11" s="1172"/>
      <c r="E11" s="1143"/>
      <c r="F11" s="1143"/>
      <c r="G11" s="1252">
        <f>ROUNDUP(N27,0)</f>
        <v>390</v>
      </c>
      <c r="H11" s="634"/>
      <c r="I11" s="1143"/>
      <c r="J11" s="1143"/>
      <c r="K11" s="1186"/>
      <c r="M11" s="1756" t="s">
        <v>1056</v>
      </c>
      <c r="N11" s="1750"/>
      <c r="P11" s="1720">
        <v>9</v>
      </c>
      <c r="Q11" s="328" t="s">
        <v>1185</v>
      </c>
      <c r="R11" s="1485">
        <f>INDEX(Втулки1[],MATCH(Ст_ящики_конус[чертеж],Втулки1[чертеж],0),7)</f>
        <v>395</v>
      </c>
      <c r="S11" s="1485">
        <f>INDEX(Втулки1[],MATCH(Ст_ящики_конус[чертеж],Втулки1[чертеж],0),7)+2*INDEX(Втулки1[],MATCH(Ст_ящики_конус[чертеж],Втулки1[чертеж],0),8)</f>
        <v>542</v>
      </c>
      <c r="T11" s="1485">
        <f>INDEX(Втулки1[],MATCH(Ст_ящики_конус[чертеж],Втулки1[чертеж],0),9)</f>
        <v>1550</v>
      </c>
      <c r="U11" s="1485">
        <f>(INDEX(Втулки1[],MATCH(Ст_ящики_конус[чертеж],Втулки1[чертеж],0),10)+(INDEX(Втулки1[],MATCH(Ст_ящики_конус[чертеж],Втулки1[чертеж],0),11)))/2</f>
        <v>647.5</v>
      </c>
      <c r="V11" s="1485">
        <f>INDEX(Втулки1[],MATCH(Ст_ящики_конус[чертеж],Втулки1[чертеж],0),12)</f>
        <v>220</v>
      </c>
      <c r="W11" s="1720">
        <v>420</v>
      </c>
      <c r="X11" s="1720">
        <v>315</v>
      </c>
      <c r="Y11" s="1720">
        <v>1540</v>
      </c>
      <c r="Z11" s="1720">
        <v>345</v>
      </c>
      <c r="AA11" s="1720">
        <v>315</v>
      </c>
      <c r="AB11" s="1720">
        <v>250</v>
      </c>
      <c r="AC11" s="1720">
        <v>150</v>
      </c>
      <c r="AD11" s="328" t="s">
        <v>2020</v>
      </c>
      <c r="AE11" s="1717">
        <v>14</v>
      </c>
      <c r="AF11" s="1760">
        <v>1000</v>
      </c>
      <c r="AG11"/>
    </row>
    <row r="12" spans="1:33" x14ac:dyDescent="0.3">
      <c r="A12" s="328"/>
      <c r="B12" s="1178"/>
      <c r="C12" s="1188" t="s">
        <v>310</v>
      </c>
      <c r="D12" s="1172"/>
      <c r="E12" s="1188"/>
      <c r="F12" s="1143"/>
      <c r="G12" s="505">
        <f>IF(N29&lt;100,ROUNDUP(N29,1),ROUNDUP(N29,0))</f>
        <v>134</v>
      </c>
      <c r="H12" s="634"/>
      <c r="I12" s="1143"/>
      <c r="J12" s="1143"/>
      <c r="K12" s="1186"/>
      <c r="M12" s="1738" t="s">
        <v>1203</v>
      </c>
      <c r="N12" s="1360">
        <v>10</v>
      </c>
      <c r="Q12" s="1348"/>
      <c r="R12" s="1348"/>
      <c r="S12" s="1348"/>
      <c r="T12" s="1348"/>
      <c r="U12" s="1348"/>
      <c r="V12" s="1348"/>
      <c r="W12" s="1348"/>
    </row>
    <row r="13" spans="1:33" x14ac:dyDescent="0.3">
      <c r="A13" s="328"/>
      <c r="B13" s="1178"/>
      <c r="C13" s="1143" t="s">
        <v>23</v>
      </c>
      <c r="D13" s="1172"/>
      <c r="E13" s="1143"/>
      <c r="F13" s="1143"/>
      <c r="G13" s="1259">
        <f>G10+G12+G11</f>
        <v>1441</v>
      </c>
      <c r="H13" s="634"/>
      <c r="I13" s="1143"/>
      <c r="J13" s="1143"/>
      <c r="K13" s="1183"/>
      <c r="M13" s="1738" t="s">
        <v>772</v>
      </c>
      <c r="N13" s="1594">
        <v>10</v>
      </c>
    </row>
    <row r="14" spans="1:33" ht="16.2" thickBot="1" x14ac:dyDescent="0.35">
      <c r="A14" s="328"/>
      <c r="B14" s="1178"/>
      <c r="C14" s="1143" t="s">
        <v>28</v>
      </c>
      <c r="D14" s="1172"/>
      <c r="E14" s="1143"/>
      <c r="F14" s="1143"/>
      <c r="G14" s="505">
        <f>ROUND(G13*1.04,0)</f>
        <v>1499</v>
      </c>
      <c r="H14" s="634"/>
      <c r="I14" s="1143"/>
      <c r="J14" s="1143"/>
      <c r="K14" s="1186"/>
      <c r="M14" s="1738" t="s">
        <v>1204</v>
      </c>
      <c r="N14" s="1753">
        <v>20</v>
      </c>
    </row>
    <row r="15" spans="1:33" ht="16.2" thickBot="1" x14ac:dyDescent="0.35">
      <c r="A15" s="328"/>
      <c r="B15" s="1180"/>
      <c r="C15" s="1181"/>
      <c r="D15" s="1172"/>
      <c r="E15" s="1181"/>
      <c r="F15" s="1181"/>
      <c r="G15" s="636"/>
      <c r="H15" s="1181"/>
      <c r="I15" s="1181"/>
      <c r="J15" s="1181"/>
      <c r="K15" s="1190"/>
      <c r="M15" s="1740" t="s">
        <v>1205</v>
      </c>
      <c r="N15" s="1754">
        <v>40</v>
      </c>
      <c r="Q15" s="1745" t="s">
        <v>203</v>
      </c>
      <c r="R15" s="1746"/>
      <c r="S15" s="1747" t="s">
        <v>138</v>
      </c>
      <c r="T15" s="1748"/>
      <c r="U15" s="1749" t="s">
        <v>204</v>
      </c>
    </row>
    <row r="16" spans="1:33" x14ac:dyDescent="0.3">
      <c r="B16" s="501"/>
      <c r="C16" s="495"/>
      <c r="D16" s="495" t="s">
        <v>816</v>
      </c>
      <c r="E16" s="495"/>
      <c r="F16" s="495"/>
      <c r="G16" s="495"/>
      <c r="H16" s="495"/>
      <c r="I16" s="495" t="str">
        <f>"Радиус скругления прибыли "&amp;ROUNDUP(E19/0.89,0)</f>
        <v>Радиус скругления прибыли 23</v>
      </c>
      <c r="J16" s="638"/>
      <c r="K16" s="639"/>
      <c r="M16" s="1718" t="s">
        <v>1898</v>
      </c>
      <c r="N16" s="1719"/>
      <c r="Q16" s="1744" t="s">
        <v>205</v>
      </c>
      <c r="R16" s="1348"/>
      <c r="S16" s="1348" t="s">
        <v>5</v>
      </c>
      <c r="T16" s="1348"/>
      <c r="U16" s="10" t="s">
        <v>78</v>
      </c>
    </row>
    <row r="17" spans="2:33" x14ac:dyDescent="0.3">
      <c r="B17" s="494"/>
      <c r="C17" s="1352"/>
      <c r="D17" s="516">
        <f>ROUNDUP(N25*0.985,0)</f>
        <v>178</v>
      </c>
      <c r="E17" s="516"/>
      <c r="F17" s="1352">
        <f>ROUND(N21*0.985,0)</f>
        <v>1527</v>
      </c>
      <c r="G17" s="1352"/>
      <c r="H17" s="1352"/>
      <c r="I17" s="1352"/>
      <c r="J17" s="517"/>
      <c r="K17" s="518"/>
      <c r="M17" s="898" t="s">
        <v>1041</v>
      </c>
      <c r="N17" s="151">
        <f>IF(N23=0,ROUNDUP((N3+2*N12)/0.985,0),VLOOKUP(N23,Ст_ящики_конус[],4,0))</f>
        <v>545</v>
      </c>
      <c r="O17" s="336"/>
      <c r="Q17" s="238">
        <v>70</v>
      </c>
      <c r="R17" s="1348"/>
      <c r="S17" s="1262">
        <v>55</v>
      </c>
      <c r="T17" s="1348"/>
      <c r="U17" s="151">
        <v>70</v>
      </c>
    </row>
    <row r="18" spans="2:33" x14ac:dyDescent="0.3">
      <c r="B18" s="494"/>
      <c r="C18" s="1352"/>
      <c r="D18" s="1352"/>
      <c r="E18" s="1352"/>
      <c r="F18" s="1726">
        <f>N7</f>
        <v>1428</v>
      </c>
      <c r="G18" s="1352"/>
      <c r="H18" s="1352"/>
      <c r="I18" s="1352"/>
      <c r="J18" s="1352"/>
      <c r="K18" s="518"/>
      <c r="M18" s="898" t="s">
        <v>882</v>
      </c>
      <c r="N18" s="151">
        <f>IF(N23=0,ROUNDUP((N4+2*N13)/0.994,0),VLOOKUP(N23,Ст_ящики_конус[],8,0))</f>
        <v>420</v>
      </c>
      <c r="O18" s="336"/>
      <c r="Q18" s="235" t="s">
        <v>206</v>
      </c>
      <c r="R18" s="1348"/>
      <c r="S18" s="1348" t="s">
        <v>631</v>
      </c>
      <c r="T18" s="1348"/>
      <c r="U18" s="10" t="s">
        <v>77</v>
      </c>
    </row>
    <row r="19" spans="2:33" x14ac:dyDescent="0.3">
      <c r="B19" s="494"/>
      <c r="C19" s="1352"/>
      <c r="D19" s="1352"/>
      <c r="E19" s="640">
        <f>ROUND((VLOOKUP(N23,Втулки1[],10,0)-(VLOOKUP(N23,Втулки1[],7,0)+2*VLOOKUP(N23,Втулки1[],8,0)))/2,0)</f>
        <v>20</v>
      </c>
      <c r="F19" s="1352"/>
      <c r="G19" s="1352"/>
      <c r="H19" s="1352"/>
      <c r="I19" s="1352"/>
      <c r="J19" s="1352"/>
      <c r="K19" s="647"/>
      <c r="M19" s="898" t="s">
        <v>1043</v>
      </c>
      <c r="N19" s="151">
        <f>IF(N23=0,ROUNDUP((N5+2*N12)/0.985,0),VLOOKUP(N23,Ст_ящики_конус[],3,0))</f>
        <v>400</v>
      </c>
      <c r="O19" s="336"/>
      <c r="Q19" s="238">
        <v>65</v>
      </c>
      <c r="R19" s="1348"/>
      <c r="S19" s="1262">
        <v>300</v>
      </c>
      <c r="T19" s="1348"/>
      <c r="U19" s="151">
        <v>14</v>
      </c>
    </row>
    <row r="20" spans="2:33" x14ac:dyDescent="0.3">
      <c r="B20" s="494"/>
      <c r="C20" s="1352"/>
      <c r="D20" s="1352"/>
      <c r="E20" s="1352"/>
      <c r="F20" s="1352"/>
      <c r="G20" s="1352"/>
      <c r="H20" s="1352"/>
      <c r="I20" s="1352"/>
      <c r="J20" s="1191"/>
      <c r="K20" s="647"/>
      <c r="M20" s="898" t="s">
        <v>883</v>
      </c>
      <c r="N20" s="151">
        <f>IF(N23=0,ROUNDUP((N6+2*N13)/0.985,0),VLOOKUP(N23,Ст_ящики_конус[],9,0))</f>
        <v>320</v>
      </c>
      <c r="O20" s="336"/>
      <c r="Q20" s="241" t="s">
        <v>5</v>
      </c>
      <c r="R20" s="1348"/>
      <c r="S20" s="1348" t="s">
        <v>1200</v>
      </c>
      <c r="T20" s="1348"/>
      <c r="U20" s="10"/>
    </row>
    <row r="21" spans="2:33" ht="16.2" thickBot="1" x14ac:dyDescent="0.35">
      <c r="B21" s="494"/>
      <c r="C21" s="1352"/>
      <c r="D21" s="1352"/>
      <c r="E21" s="1352"/>
      <c r="F21" s="1352"/>
      <c r="G21" s="1352"/>
      <c r="H21" s="1352"/>
      <c r="I21" s="1352"/>
      <c r="J21" s="503">
        <f>VLOOKUP($N$23,Ст_ящики_конус[],14,0)</f>
        <v>150</v>
      </c>
      <c r="K21" s="647"/>
      <c r="M21" s="1743" t="s">
        <v>5</v>
      </c>
      <c r="N21" s="995">
        <f>IF(N23=0,ROUNDUP((N7+2*N14+N15)/0.985,0),VLOOKUP(N23,Ст_ящики_конус[],5,0))</f>
        <v>1550</v>
      </c>
      <c r="O21" s="336"/>
      <c r="Q21" s="1714">
        <f>(F17+D17)*0.985</f>
        <v>1679.425</v>
      </c>
      <c r="R21" s="1348"/>
      <c r="S21" s="1348">
        <f>(Q17+Q19)/2</f>
        <v>67.5</v>
      </c>
      <c r="T21" s="1348"/>
      <c r="U21" s="10"/>
    </row>
    <row r="22" spans="2:33" ht="16.2" thickBot="1" x14ac:dyDescent="0.35">
      <c r="B22" s="494"/>
      <c r="C22" s="1352"/>
      <c r="D22" s="1352"/>
      <c r="E22" s="1352"/>
      <c r="F22" s="1352"/>
      <c r="G22" s="1352"/>
      <c r="H22" s="1352"/>
      <c r="I22" s="1352"/>
      <c r="J22" s="897"/>
      <c r="K22" s="647"/>
      <c r="M22" s="1878" t="s">
        <v>2023</v>
      </c>
      <c r="N22" s="1879"/>
      <c r="Q22" s="1715">
        <f>Q17*0.985*Q17*0.985*3.1415926*Q21*N10/4000000+Q19*0.985*Q19*0.985*3.1415926*Q21*N10/4000000</f>
        <v>108.60223686859754</v>
      </c>
      <c r="R22" s="804"/>
      <c r="S22" s="804">
        <f>(S17*S19*S21)*0.985*N10/1000000</f>
        <v>10.202506874999999</v>
      </c>
      <c r="T22" s="804"/>
      <c r="U22" s="1697">
        <f>U17*0.985*U19*0.985*Q21*N10/1000000</f>
        <v>14.850534979376251</v>
      </c>
      <c r="AG22" s="113"/>
    </row>
    <row r="23" spans="2:33" ht="16.2" thickBot="1" x14ac:dyDescent="0.35">
      <c r="B23" s="1146"/>
      <c r="C23" s="1694">
        <f>VLOOKUP($N$23,Ст_ящики_конус[],12,0)</f>
        <v>310</v>
      </c>
      <c r="D23" s="1352"/>
      <c r="E23" s="1692">
        <f>ROUNDUP(N18*0.994,0)</f>
        <v>418</v>
      </c>
      <c r="F23" s="1352"/>
      <c r="G23" s="1352"/>
      <c r="H23" s="1352"/>
      <c r="I23" s="1352"/>
      <c r="J23" s="1693">
        <f>ROUND(N20*0.994,0)</f>
        <v>318</v>
      </c>
      <c r="K23" s="1700">
        <f>ROUND(N19*0.985,0)</f>
        <v>394</v>
      </c>
      <c r="M23" s="1880" t="s">
        <v>2024</v>
      </c>
      <c r="N23" s="1881">
        <v>8</v>
      </c>
      <c r="Q23" s="19"/>
      <c r="R23" s="63"/>
      <c r="S23" s="63"/>
      <c r="T23" s="63" t="s">
        <v>1201</v>
      </c>
      <c r="U23" s="89">
        <f>Q22+S22+U22</f>
        <v>133.6552787229738</v>
      </c>
      <c r="V23" s="1651"/>
    </row>
    <row r="24" spans="2:33" x14ac:dyDescent="0.3">
      <c r="B24" s="494"/>
      <c r="C24" s="1701"/>
      <c r="D24" s="1352"/>
      <c r="E24" s="1725">
        <f>N4</f>
        <v>458</v>
      </c>
      <c r="F24" s="503"/>
      <c r="G24" s="1352"/>
      <c r="H24" s="1352"/>
      <c r="I24" s="1352"/>
      <c r="J24" s="1723">
        <f>N6</f>
        <v>340</v>
      </c>
      <c r="K24" s="1722">
        <f>N5</f>
        <v>376</v>
      </c>
      <c r="M24" s="1741" t="s">
        <v>1119</v>
      </c>
      <c r="N24" s="1742"/>
      <c r="Q24" s="1651"/>
      <c r="R24" s="1651"/>
      <c r="S24" s="1648"/>
      <c r="T24" s="1651"/>
      <c r="U24" s="1651"/>
      <c r="V24" s="1651"/>
    </row>
    <row r="25" spans="2:33" x14ac:dyDescent="0.3">
      <c r="B25" s="494"/>
      <c r="C25" s="1352"/>
      <c r="D25" s="1352"/>
      <c r="E25" s="1352"/>
      <c r="F25" s="1352"/>
      <c r="G25" s="1352"/>
      <c r="H25" s="1352"/>
      <c r="I25" s="1352"/>
      <c r="J25" s="1408"/>
      <c r="K25" s="647"/>
      <c r="M25" s="1260" t="s">
        <v>11</v>
      </c>
      <c r="N25" s="1739">
        <f>VLOOKUP(N23,Ст_ящики_конус[],7,0)</f>
        <v>180</v>
      </c>
    </row>
    <row r="26" spans="2:33" x14ac:dyDescent="0.3">
      <c r="B26" s="494"/>
      <c r="C26" s="1352"/>
      <c r="D26" s="1352"/>
      <c r="E26" s="1352"/>
      <c r="F26" s="1352"/>
      <c r="G26" s="1352"/>
      <c r="H26" s="1352"/>
      <c r="I26" s="1352"/>
      <c r="J26" s="1408"/>
      <c r="K26" s="647"/>
      <c r="M26" s="1260" t="s">
        <v>321</v>
      </c>
      <c r="N26" s="1739">
        <f>VLOOKUP(N23,Ст_ящики_конус[],6,0)</f>
        <v>655</v>
      </c>
    </row>
    <row r="27" spans="2:33" ht="16.2" thickBot="1" x14ac:dyDescent="0.35">
      <c r="B27" s="494"/>
      <c r="C27" s="1352"/>
      <c r="D27" s="1702"/>
      <c r="E27" s="1352"/>
      <c r="F27" s="1703"/>
      <c r="G27" s="499"/>
      <c r="H27" s="1352"/>
      <c r="I27" s="1352"/>
      <c r="J27" s="1408"/>
      <c r="K27" s="647"/>
      <c r="M27" s="1327" t="s">
        <v>20</v>
      </c>
      <c r="N27" s="1755">
        <f>((N26*N26-((C23+E23)/2)*((C23+E23)/2))*3.1415926*N25*N10)/4000000</f>
        <v>389.86343110773993</v>
      </c>
      <c r="R27" s="1721"/>
    </row>
    <row r="28" spans="2:33" ht="16.2" thickBot="1" x14ac:dyDescent="0.35">
      <c r="B28" s="494"/>
      <c r="C28" s="1352"/>
      <c r="D28" s="1702"/>
      <c r="E28" s="1352"/>
      <c r="F28" s="1703"/>
      <c r="G28" s="499"/>
      <c r="H28" s="1352"/>
      <c r="I28" s="1352"/>
      <c r="J28" s="1408"/>
      <c r="K28" s="647"/>
      <c r="M28" s="1757" t="s">
        <v>18</v>
      </c>
      <c r="N28" s="1759">
        <f>ROUNDUP((3.1415926*F17/3000000*((F29/2)*(F29/2)+(K23/2)*(F29/2)+(K23/2)*(K23/2))*N10)-(3.1415926*F17/3000000*((E23/2)*(E23/2)+(E23/2)*(J23/2)+(J23/2)*(J23/2))*N10),1)</f>
        <v>916.2</v>
      </c>
    </row>
    <row r="29" spans="2:33" ht="16.2" thickBot="1" x14ac:dyDescent="0.35">
      <c r="B29" s="494"/>
      <c r="C29" s="1352"/>
      <c r="D29" s="1352"/>
      <c r="E29" s="1352"/>
      <c r="F29" s="1691">
        <f>ROUNDUP(N17*0.985,0)</f>
        <v>537</v>
      </c>
      <c r="G29" s="503"/>
      <c r="H29" s="1352" t="s">
        <v>1197</v>
      </c>
      <c r="I29" s="1352"/>
      <c r="J29" s="1408"/>
      <c r="K29" s="647"/>
      <c r="M29" s="1758" t="s">
        <v>310</v>
      </c>
      <c r="N29" s="1759">
        <f>U23</f>
        <v>133.6552787229738</v>
      </c>
    </row>
    <row r="30" spans="2:33" x14ac:dyDescent="0.3">
      <c r="B30" s="494"/>
      <c r="C30" s="1352"/>
      <c r="D30" s="642" t="s">
        <v>1118</v>
      </c>
      <c r="E30" s="643">
        <v>10</v>
      </c>
      <c r="F30" s="1724">
        <f>N3</f>
        <v>500</v>
      </c>
      <c r="G30" s="1352"/>
      <c r="H30" s="1683" t="s">
        <v>1198</v>
      </c>
      <c r="J30" s="1408"/>
      <c r="K30" s="647"/>
    </row>
    <row r="31" spans="2:33" ht="16.2" thickBot="1" x14ac:dyDescent="0.35">
      <c r="B31" s="512"/>
      <c r="C31" s="513"/>
      <c r="D31" s="513"/>
      <c r="E31" s="513"/>
      <c r="F31" s="513"/>
      <c r="G31" s="513"/>
      <c r="H31" s="644"/>
      <c r="I31" s="513"/>
      <c r="J31" s="645"/>
      <c r="K31" s="646"/>
    </row>
    <row r="32" spans="2:33" x14ac:dyDescent="0.3">
      <c r="B32" s="501"/>
      <c r="C32" s="495" t="s">
        <v>43</v>
      </c>
      <c r="D32" s="495"/>
      <c r="E32" s="495"/>
      <c r="F32" s="637"/>
      <c r="G32" s="495"/>
      <c r="H32" s="495" t="s">
        <v>44</v>
      </c>
      <c r="I32" s="495"/>
      <c r="J32" s="651"/>
      <c r="K32" s="652"/>
    </row>
    <row r="33" spans="2:17" x14ac:dyDescent="0.3">
      <c r="B33" s="494"/>
      <c r="C33" s="336" t="s">
        <v>45</v>
      </c>
      <c r="D33" s="336"/>
      <c r="E33" s="336"/>
      <c r="F33" s="336" t="str">
        <f>VLOOKUP(G8,Данные!A3:I27,6,FALSE())</f>
        <v>25010.00173</v>
      </c>
      <c r="G33" s="336"/>
      <c r="H33" s="336" t="s">
        <v>1015</v>
      </c>
      <c r="I33" s="336"/>
      <c r="J33" s="336">
        <f>ROUNDUP((J23+E23)/2*(J23+E23)/2*3.1415926*F17*2.045/4000000+(C23+E23)/2*(C23+E23)/2*3.1415926*(D17+50)*2.045/4000000,0)</f>
        <v>381</v>
      </c>
      <c r="K33" s="1712" t="s">
        <v>352</v>
      </c>
    </row>
    <row r="34" spans="2:17" x14ac:dyDescent="0.3">
      <c r="B34" s="494"/>
      <c r="C34" s="336" t="s">
        <v>46</v>
      </c>
      <c r="D34" s="336"/>
      <c r="E34" s="336"/>
      <c r="F34" s="654" t="str">
        <f>IF(G13&gt;1900,Данные!G4,Данные!G3)</f>
        <v>25011.00007</v>
      </c>
      <c r="G34" s="336"/>
      <c r="H34" s="336" t="s">
        <v>47</v>
      </c>
      <c r="I34" s="336" t="s">
        <v>48</v>
      </c>
      <c r="J34" s="520"/>
      <c r="K34" s="519"/>
    </row>
    <row r="35" spans="2:17" x14ac:dyDescent="0.3">
      <c r="B35" s="494"/>
      <c r="C35" s="336" t="s">
        <v>737</v>
      </c>
      <c r="D35" s="336"/>
      <c r="E35" s="336"/>
      <c r="F35" s="1762" t="str">
        <f>Данные!B308</f>
        <v>1060-1080</v>
      </c>
      <c r="G35" s="336" t="s">
        <v>620</v>
      </c>
      <c r="H35" s="336" t="s">
        <v>49</v>
      </c>
      <c r="I35" s="336" t="s">
        <v>50</v>
      </c>
      <c r="J35" s="521"/>
      <c r="K35" s="518"/>
    </row>
    <row r="36" spans="2:17" x14ac:dyDescent="0.3">
      <c r="B36" s="494"/>
      <c r="C36" s="336" t="s">
        <v>84</v>
      </c>
      <c r="D36" s="336"/>
      <c r="E36" s="336"/>
      <c r="F36" s="1141" t="s">
        <v>52</v>
      </c>
      <c r="G36" s="336"/>
      <c r="H36" s="336" t="s">
        <v>53</v>
      </c>
      <c r="I36" s="336"/>
      <c r="J36" s="522"/>
      <c r="K36" s="518"/>
      <c r="M36" s="710"/>
      <c r="N36" s="710"/>
    </row>
    <row r="37" spans="2:17" x14ac:dyDescent="0.3">
      <c r="B37" s="494"/>
      <c r="C37" s="496" t="s">
        <v>47</v>
      </c>
      <c r="F37" s="496" t="s">
        <v>48</v>
      </c>
      <c r="G37" s="336"/>
      <c r="H37" s="336" t="s">
        <v>1019</v>
      </c>
      <c r="I37" s="336"/>
      <c r="J37" s="517"/>
      <c r="K37" s="518"/>
      <c r="M37" s="650"/>
      <c r="N37" s="650"/>
    </row>
    <row r="38" spans="2:17" x14ac:dyDescent="0.3">
      <c r="B38" s="494"/>
      <c r="C38" s="336" t="s">
        <v>49</v>
      </c>
      <c r="D38" s="336"/>
      <c r="E38" s="336"/>
      <c r="F38" s="1141" t="s">
        <v>50</v>
      </c>
      <c r="H38" s="496" t="s">
        <v>55</v>
      </c>
      <c r="K38" s="518"/>
      <c r="M38" s="509"/>
      <c r="N38" s="509"/>
    </row>
    <row r="39" spans="2:17" x14ac:dyDescent="0.3">
      <c r="B39" s="494"/>
      <c r="C39" s="336" t="s">
        <v>54</v>
      </c>
      <c r="D39" s="336"/>
      <c r="E39" s="336"/>
      <c r="F39" s="530">
        <v>1.4999999999999999E-2</v>
      </c>
      <c r="G39" s="500"/>
      <c r="H39" s="336" t="s">
        <v>54</v>
      </c>
      <c r="I39" s="336" t="s">
        <v>1018</v>
      </c>
      <c r="J39" s="336"/>
      <c r="K39" s="498"/>
      <c r="M39" s="509"/>
      <c r="N39" s="509"/>
    </row>
    <row r="40" spans="2:17" x14ac:dyDescent="0.3">
      <c r="B40" s="494"/>
      <c r="C40" s="336" t="s">
        <v>56</v>
      </c>
      <c r="D40" s="336"/>
      <c r="E40" s="336"/>
      <c r="F40" s="499" t="str">
        <f>IF(G10+G11&lt;1500,"242.04.462-1","242.04.462-2")</f>
        <v>242.04.462-1</v>
      </c>
      <c r="G40" s="1141"/>
      <c r="H40" s="336" t="s">
        <v>279</v>
      </c>
      <c r="I40" s="336">
        <v>4</v>
      </c>
      <c r="J40" s="336"/>
      <c r="K40" s="498"/>
      <c r="M40" s="509"/>
      <c r="N40" s="509"/>
    </row>
    <row r="41" spans="2:17" x14ac:dyDescent="0.3">
      <c r="B41" s="494"/>
      <c r="C41" s="336"/>
      <c r="D41" s="336"/>
      <c r="E41" s="336"/>
      <c r="F41" s="641"/>
      <c r="G41" s="503"/>
      <c r="H41" s="336"/>
      <c r="I41" s="336"/>
      <c r="J41" s="336"/>
      <c r="K41" s="498"/>
      <c r="M41" s="509"/>
      <c r="N41" s="509"/>
      <c r="Q41" s="1672"/>
    </row>
    <row r="42" spans="2:17" x14ac:dyDescent="0.3">
      <c r="B42" s="494"/>
      <c r="C42" s="336" t="s">
        <v>989</v>
      </c>
      <c r="D42" s="499">
        <f>VLOOKUP($N$23,Ст_ящики_конус[],17,0)</f>
        <v>1000</v>
      </c>
      <c r="E42" s="1253" t="s">
        <v>1037</v>
      </c>
      <c r="F42" s="1254" t="s">
        <v>1038</v>
      </c>
      <c r="G42" s="1255" t="s">
        <v>1039</v>
      </c>
      <c r="H42" s="336"/>
      <c r="I42" s="336"/>
      <c r="J42" s="336"/>
      <c r="K42" s="498"/>
      <c r="M42" s="509"/>
      <c r="N42" s="509"/>
      <c r="Q42" s="1672"/>
    </row>
    <row r="43" spans="2:17" x14ac:dyDescent="0.3">
      <c r="B43" s="494"/>
      <c r="C43" s="1167" t="s">
        <v>990</v>
      </c>
      <c r="D43" s="1167">
        <v>350</v>
      </c>
      <c r="E43" s="1256" t="s">
        <v>213</v>
      </c>
      <c r="F43" s="529">
        <f>_xlfn.CEILING.MATH((N21+N25)/350,1,0)</f>
        <v>5</v>
      </c>
      <c r="G43" s="1257" t="s">
        <v>1040</v>
      </c>
      <c r="H43" s="490"/>
      <c r="I43" s="336"/>
      <c r="J43" s="336"/>
      <c r="K43" s="498"/>
      <c r="M43" s="1140"/>
      <c r="N43" s="509"/>
      <c r="Q43" s="1672"/>
    </row>
    <row r="44" spans="2:17" ht="16.2" thickBot="1" x14ac:dyDescent="0.35">
      <c r="B44" s="512"/>
      <c r="C44" s="513"/>
      <c r="D44" s="513" t="s">
        <v>1017</v>
      </c>
      <c r="E44" s="513"/>
      <c r="F44" s="534"/>
      <c r="G44" s="534" t="s">
        <v>59</v>
      </c>
      <c r="H44" s="513"/>
      <c r="I44" s="513"/>
      <c r="J44" s="513"/>
      <c r="K44" s="535"/>
      <c r="M44" s="1139"/>
      <c r="N44" s="509"/>
      <c r="Q44" s="1672"/>
    </row>
    <row r="45" spans="2:17" ht="16.2" thickBot="1" x14ac:dyDescent="0.35">
      <c r="B45" s="1571" t="s">
        <v>60</v>
      </c>
      <c r="C45" s="1572"/>
      <c r="D45" s="1575"/>
      <c r="E45" s="510" t="s">
        <v>61</v>
      </c>
      <c r="F45" s="1169" t="s">
        <v>60</v>
      </c>
      <c r="G45" s="1571" t="s">
        <v>62</v>
      </c>
      <c r="H45" s="1575"/>
      <c r="I45" s="1571" t="s">
        <v>930</v>
      </c>
      <c r="J45" s="1572"/>
      <c r="K45" s="1575"/>
      <c r="M45" s="509"/>
      <c r="N45" s="633"/>
      <c r="Q45" s="1672"/>
    </row>
    <row r="46" spans="2:17" ht="16.2" thickBot="1" x14ac:dyDescent="0.35">
      <c r="B46" s="1573">
        <f ca="1">TODAY()</f>
        <v>45497</v>
      </c>
      <c r="C46" s="1574"/>
      <c r="D46" s="1586"/>
      <c r="E46" s="1520" t="s">
        <v>252</v>
      </c>
      <c r="F46" s="1520"/>
      <c r="G46" s="1571" t="s">
        <v>253</v>
      </c>
      <c r="H46" s="1575"/>
      <c r="I46" s="1571" t="s">
        <v>252</v>
      </c>
      <c r="J46" s="1572"/>
      <c r="K46" s="1575"/>
      <c r="M46" s="509"/>
      <c r="N46" s="509"/>
      <c r="Q46" s="1672"/>
    </row>
    <row r="47" spans="2:17" ht="16.2" thickBot="1" x14ac:dyDescent="0.35">
      <c r="B47" s="1571" t="s">
        <v>63</v>
      </c>
      <c r="C47" s="1572"/>
      <c r="D47" s="1575"/>
      <c r="E47" s="1520"/>
      <c r="F47" s="1148"/>
      <c r="G47" s="1117"/>
      <c r="H47" s="1119"/>
      <c r="I47" s="1117"/>
      <c r="J47" s="1118"/>
      <c r="K47" s="1119"/>
      <c r="M47" s="509"/>
      <c r="N47" s="509"/>
      <c r="Q47" s="1672"/>
    </row>
    <row r="48" spans="2:17" ht="16.2" thickBot="1" x14ac:dyDescent="0.35">
      <c r="B48" s="1587"/>
      <c r="C48" s="1588"/>
      <c r="D48" s="1588"/>
      <c r="E48" s="516"/>
      <c r="F48" s="516"/>
      <c r="G48" s="516"/>
      <c r="H48" s="516"/>
      <c r="I48" s="516"/>
      <c r="J48" s="516"/>
      <c r="K48" s="510"/>
      <c r="M48" s="509"/>
      <c r="N48" s="509"/>
      <c r="Q48" s="1672"/>
    </row>
    <row r="49" spans="2:17" x14ac:dyDescent="0.3">
      <c r="B49" s="1578" t="s">
        <v>3</v>
      </c>
      <c r="C49" s="1579"/>
      <c r="D49" s="1579"/>
      <c r="E49" s="536" t="s">
        <v>277</v>
      </c>
      <c r="F49" s="1589" t="s">
        <v>278</v>
      </c>
      <c r="G49" s="1578" t="s">
        <v>278</v>
      </c>
      <c r="H49" s="1585"/>
      <c r="I49" s="1521" t="s">
        <v>279</v>
      </c>
      <c r="J49" s="1578" t="s">
        <v>280</v>
      </c>
      <c r="K49" s="1583"/>
      <c r="Q49" s="1672"/>
    </row>
    <row r="50" spans="2:17" ht="16.2" thickBot="1" x14ac:dyDescent="0.35">
      <c r="B50" s="1580" t="s">
        <v>281</v>
      </c>
      <c r="C50" s="1581"/>
      <c r="D50" s="1581"/>
      <c r="E50" s="538" t="s">
        <v>282</v>
      </c>
      <c r="F50" s="1522" t="s">
        <v>283</v>
      </c>
      <c r="G50" s="1580" t="s">
        <v>284</v>
      </c>
      <c r="H50" s="1590"/>
      <c r="I50" s="1570"/>
      <c r="J50" s="1580" t="s">
        <v>285</v>
      </c>
      <c r="K50" s="1584"/>
      <c r="M50" s="336"/>
      <c r="N50" s="336"/>
      <c r="Q50" s="1672"/>
    </row>
    <row r="51" spans="2:17" ht="16.2" thickBot="1" x14ac:dyDescent="0.35">
      <c r="B51" s="1576" t="s">
        <v>351</v>
      </c>
      <c r="C51" s="1582"/>
      <c r="D51" s="1582"/>
      <c r="E51" s="539">
        <v>40</v>
      </c>
      <c r="F51" s="540">
        <v>1</v>
      </c>
      <c r="G51" s="1576">
        <v>20</v>
      </c>
      <c r="H51" s="1575"/>
      <c r="I51" s="1523">
        <v>3</v>
      </c>
      <c r="J51" s="1576">
        <f>ROUND(D42*700*(N21+N25)/1000000*2.045*2.3/1000,3)</f>
        <v>5.6959999999999997</v>
      </c>
      <c r="K51" s="1577"/>
      <c r="M51" s="336"/>
      <c r="N51" s="336"/>
      <c r="Q51" s="1672"/>
    </row>
    <row r="52" spans="2:17" ht="16.2" thickBot="1" x14ac:dyDescent="0.35">
      <c r="B52" s="1576" t="s">
        <v>44</v>
      </c>
      <c r="C52" s="1582"/>
      <c r="D52" s="1582"/>
      <c r="E52" s="541">
        <v>40</v>
      </c>
      <c r="F52" s="1524">
        <v>1</v>
      </c>
      <c r="G52" s="1576">
        <v>20</v>
      </c>
      <c r="H52" s="1575"/>
      <c r="I52" s="1523">
        <v>4</v>
      </c>
      <c r="J52" s="1576">
        <f>ROUND(J33/1000*3.5*2,3)</f>
        <v>2.6669999999999998</v>
      </c>
      <c r="K52" s="1577"/>
      <c r="M52" s="1170"/>
      <c r="N52" s="336"/>
      <c r="Q52" s="1672"/>
    </row>
    <row r="53" spans="2:17" x14ac:dyDescent="0.3">
      <c r="M53" s="1170"/>
      <c r="N53" s="336"/>
      <c r="Q53" s="1672"/>
    </row>
    <row r="54" spans="2:17" x14ac:dyDescent="0.3">
      <c r="M54" s="336"/>
      <c r="N54" s="336"/>
      <c r="Q54" s="1672"/>
    </row>
    <row r="55" spans="2:17" x14ac:dyDescent="0.3">
      <c r="D55" s="509"/>
      <c r="E55" s="509"/>
      <c r="F55" s="509"/>
      <c r="G55" s="509"/>
      <c r="H55" s="509"/>
      <c r="I55" s="509"/>
      <c r="J55" s="509"/>
      <c r="K55" s="509"/>
      <c r="M55" s="336"/>
      <c r="N55" s="336"/>
      <c r="Q55" s="1672"/>
    </row>
    <row r="56" spans="2:17" x14ac:dyDescent="0.3">
      <c r="D56" s="509"/>
      <c r="E56" s="142"/>
      <c r="F56" s="58"/>
      <c r="G56" s="58"/>
      <c r="H56" s="142"/>
      <c r="I56" s="142"/>
      <c r="J56" s="58"/>
      <c r="K56" s="509"/>
      <c r="Q56" s="1672"/>
    </row>
    <row r="57" spans="2:17" x14ac:dyDescent="0.3">
      <c r="B57"/>
      <c r="C57"/>
      <c r="D57"/>
      <c r="E57"/>
      <c r="F57" s="142"/>
      <c r="G57" s="142"/>
      <c r="H57" s="142"/>
      <c r="I57" s="142"/>
      <c r="J57" s="58"/>
      <c r="K57" s="509"/>
      <c r="Q57" s="1672"/>
    </row>
    <row r="58" spans="2:17" x14ac:dyDescent="0.3">
      <c r="B58"/>
      <c r="C58"/>
      <c r="D58"/>
      <c r="E58"/>
      <c r="F58" s="142"/>
      <c r="G58" s="142"/>
      <c r="H58" s="142"/>
      <c r="I58" s="142"/>
      <c r="J58" s="601"/>
      <c r="K58" s="509"/>
      <c r="Q58" s="1672"/>
    </row>
    <row r="59" spans="2:17" x14ac:dyDescent="0.3">
      <c r="B59"/>
      <c r="C59"/>
      <c r="D59"/>
      <c r="E59"/>
      <c r="F59" s="142"/>
      <c r="G59" s="142"/>
      <c r="H59" s="142"/>
      <c r="I59" s="142"/>
      <c r="J59" s="601"/>
      <c r="K59" s="509"/>
      <c r="Q59" s="1672"/>
    </row>
    <row r="60" spans="2:17" x14ac:dyDescent="0.3">
      <c r="B60"/>
      <c r="C60" s="1166"/>
      <c r="D60" s="1166"/>
      <c r="E60"/>
      <c r="F60" s="142"/>
      <c r="G60" s="142"/>
      <c r="H60" s="142"/>
      <c r="I60" s="142"/>
      <c r="J60" s="601"/>
      <c r="K60" s="509"/>
      <c r="Q60" s="1672"/>
    </row>
    <row r="61" spans="2:17" x14ac:dyDescent="0.3">
      <c r="D61" s="509"/>
      <c r="E61" s="142"/>
      <c r="F61" s="142"/>
      <c r="G61" s="142"/>
      <c r="H61" s="142"/>
      <c r="I61" s="142"/>
      <c r="J61" s="601"/>
      <c r="K61" s="509"/>
      <c r="Q61" s="1672"/>
    </row>
    <row r="62" spans="2:17" x14ac:dyDescent="0.3">
      <c r="D62" s="509"/>
      <c r="E62" s="142"/>
      <c r="F62" s="142"/>
      <c r="G62" s="142"/>
      <c r="H62" s="142"/>
      <c r="I62" s="142"/>
      <c r="J62" s="601"/>
      <c r="K62" s="509"/>
      <c r="Q62" s="1672"/>
    </row>
    <row r="63" spans="2:17" x14ac:dyDescent="0.3">
      <c r="D63" s="509"/>
      <c r="E63" s="142"/>
      <c r="F63" s="142"/>
      <c r="G63" s="142"/>
      <c r="H63" s="142"/>
      <c r="I63" s="900"/>
      <c r="J63" s="601"/>
      <c r="K63" s="509"/>
      <c r="Q63" s="1672"/>
    </row>
    <row r="64" spans="2:17" x14ac:dyDescent="0.3">
      <c r="D64" s="509"/>
      <c r="E64" s="142"/>
      <c r="F64" s="142"/>
      <c r="G64" s="142"/>
      <c r="H64" s="142"/>
      <c r="I64" s="142"/>
      <c r="J64" s="901"/>
      <c r="K64" s="509"/>
      <c r="Q64" s="1672"/>
    </row>
    <row r="65" spans="4:17" x14ac:dyDescent="0.3">
      <c r="D65" s="509"/>
      <c r="E65" s="142"/>
      <c r="F65" s="142"/>
      <c r="G65" s="142"/>
      <c r="H65" s="142"/>
      <c r="I65" s="142"/>
      <c r="J65" s="58"/>
      <c r="K65" s="509"/>
      <c r="Q65" s="1672"/>
    </row>
    <row r="66" spans="4:17" x14ac:dyDescent="0.3">
      <c r="D66" s="509"/>
      <c r="E66" s="142"/>
      <c r="F66" s="142"/>
      <c r="G66" s="142"/>
      <c r="H66" s="142"/>
      <c r="I66" s="142"/>
      <c r="J66" s="58"/>
      <c r="K66" s="509"/>
      <c r="Q66" s="1672"/>
    </row>
    <row r="67" spans="4:17" x14ac:dyDescent="0.3">
      <c r="D67" s="509"/>
      <c r="E67" s="509"/>
      <c r="F67" s="509"/>
      <c r="G67" s="509"/>
      <c r="H67" s="509"/>
      <c r="I67" s="509"/>
      <c r="J67" s="509"/>
      <c r="K67" s="509"/>
      <c r="Q67" s="1672"/>
    </row>
    <row r="68" spans="4:17" x14ac:dyDescent="0.3">
      <c r="D68" s="509"/>
      <c r="E68" s="509"/>
      <c r="F68" s="509"/>
      <c r="G68" s="509"/>
      <c r="H68" s="509"/>
      <c r="I68" s="509"/>
      <c r="J68" s="509"/>
      <c r="K68" s="509"/>
      <c r="Q68" s="1672"/>
    </row>
    <row r="69" spans="4:17" x14ac:dyDescent="0.3">
      <c r="D69" s="509"/>
      <c r="E69" s="509"/>
      <c r="F69" s="509"/>
      <c r="G69" s="509"/>
      <c r="H69" s="509"/>
      <c r="I69" s="509"/>
      <c r="J69" s="509"/>
      <c r="K69" s="509"/>
      <c r="Q69" s="1672"/>
    </row>
    <row r="70" spans="4:17" x14ac:dyDescent="0.3">
      <c r="D70" s="509"/>
      <c r="E70" s="509"/>
      <c r="F70" s="509"/>
      <c r="G70" s="509"/>
      <c r="H70" s="509"/>
      <c r="I70" s="509"/>
      <c r="J70" s="509"/>
      <c r="K70" s="509"/>
      <c r="Q70" s="1672"/>
    </row>
    <row r="71" spans="4:17" x14ac:dyDescent="0.3">
      <c r="Q71" s="1672"/>
    </row>
    <row r="72" spans="4:17" x14ac:dyDescent="0.3">
      <c r="Q72" s="1672"/>
    </row>
    <row r="73" spans="4:17" x14ac:dyDescent="0.3">
      <c r="Q73" s="1672"/>
    </row>
    <row r="74" spans="4:17" x14ac:dyDescent="0.3">
      <c r="Q74" s="1672"/>
    </row>
    <row r="75" spans="4:17" x14ac:dyDescent="0.3">
      <c r="Q75" s="1672"/>
    </row>
    <row r="76" spans="4:17" x14ac:dyDescent="0.3">
      <c r="Q76" s="1672"/>
    </row>
    <row r="77" spans="4:17" x14ac:dyDescent="0.3">
      <c r="Q77" s="1672"/>
    </row>
    <row r="78" spans="4:17" x14ac:dyDescent="0.3">
      <c r="Q78" s="1672"/>
    </row>
    <row r="79" spans="4:17" x14ac:dyDescent="0.3">
      <c r="Q79" s="1672"/>
    </row>
    <row r="80" spans="4:17" x14ac:dyDescent="0.3">
      <c r="Q80" s="1672"/>
    </row>
    <row r="81" spans="17:17" x14ac:dyDescent="0.3">
      <c r="Q81" s="1672"/>
    </row>
    <row r="82" spans="17:17" x14ac:dyDescent="0.3">
      <c r="Q82" s="1672"/>
    </row>
    <row r="83" spans="17:17" x14ac:dyDescent="0.3">
      <c r="Q83" s="1672"/>
    </row>
    <row r="84" spans="17:17" x14ac:dyDescent="0.3">
      <c r="Q84" s="1672"/>
    </row>
    <row r="85" spans="17:17" x14ac:dyDescent="0.3">
      <c r="Q85" s="1672"/>
    </row>
    <row r="86" spans="17:17" x14ac:dyDescent="0.3">
      <c r="Q86" s="1672"/>
    </row>
    <row r="87" spans="17:17" x14ac:dyDescent="0.3">
      <c r="Q87" s="1672"/>
    </row>
    <row r="88" spans="17:17" x14ac:dyDescent="0.3">
      <c r="Q88" s="1672"/>
    </row>
    <row r="89" spans="17:17" x14ac:dyDescent="0.3">
      <c r="Q89" s="1672"/>
    </row>
    <row r="90" spans="17:17" x14ac:dyDescent="0.3">
      <c r="Q90" s="1672"/>
    </row>
    <row r="91" spans="17:17" x14ac:dyDescent="0.3">
      <c r="Q91" s="1672"/>
    </row>
    <row r="92" spans="17:17" x14ac:dyDescent="0.3">
      <c r="Q92" s="1672"/>
    </row>
    <row r="93" spans="17:17" x14ac:dyDescent="0.3">
      <c r="Q93" s="1672"/>
    </row>
    <row r="94" spans="17:17" x14ac:dyDescent="0.3">
      <c r="Q94" s="1672"/>
    </row>
    <row r="95" spans="17:17" x14ac:dyDescent="0.3">
      <c r="Q95" s="1672"/>
    </row>
    <row r="96" spans="17:17" x14ac:dyDescent="0.3">
      <c r="Q96" s="1672"/>
    </row>
    <row r="97" spans="17:17" x14ac:dyDescent="0.3">
      <c r="Q97" s="1672"/>
    </row>
    <row r="98" spans="17:17" x14ac:dyDescent="0.3">
      <c r="Q98" s="1672"/>
    </row>
    <row r="99" spans="17:17" x14ac:dyDescent="0.3">
      <c r="Q99" s="1672"/>
    </row>
    <row r="100" spans="17:17" x14ac:dyDescent="0.3">
      <c r="Q100" s="1672"/>
    </row>
    <row r="101" spans="17:17" x14ac:dyDescent="0.3">
      <c r="Q101" s="1672"/>
    </row>
    <row r="102" spans="17:17" x14ac:dyDescent="0.3">
      <c r="Q102" s="1672"/>
    </row>
    <row r="103" spans="17:17" x14ac:dyDescent="0.3">
      <c r="Q103" s="1672"/>
    </row>
    <row r="104" spans="17:17" x14ac:dyDescent="0.3">
      <c r="Q104" s="1672"/>
    </row>
    <row r="105" spans="17:17" x14ac:dyDescent="0.3">
      <c r="Q105" s="1672"/>
    </row>
    <row r="106" spans="17:17" x14ac:dyDescent="0.3">
      <c r="Q106" s="1672"/>
    </row>
    <row r="107" spans="17:17" x14ac:dyDescent="0.3">
      <c r="Q107" s="1672"/>
    </row>
    <row r="108" spans="17:17" x14ac:dyDescent="0.3">
      <c r="Q108" s="1672"/>
    </row>
    <row r="109" spans="17:17" x14ac:dyDescent="0.3">
      <c r="Q109" s="1672"/>
    </row>
    <row r="110" spans="17:17" x14ac:dyDescent="0.3">
      <c r="Q110" s="1672"/>
    </row>
    <row r="111" spans="17:17" x14ac:dyDescent="0.3">
      <c r="Q111" s="1672"/>
    </row>
    <row r="112" spans="17:17" x14ac:dyDescent="0.3">
      <c r="Q112" s="1672"/>
    </row>
    <row r="113" spans="17:17" x14ac:dyDescent="0.3">
      <c r="Q113" s="1672"/>
    </row>
    <row r="114" spans="17:17" x14ac:dyDescent="0.3">
      <c r="Q114" s="1672"/>
    </row>
    <row r="115" spans="17:17" x14ac:dyDescent="0.3">
      <c r="Q115" s="1672"/>
    </row>
    <row r="116" spans="17:17" x14ac:dyDescent="0.3">
      <c r="Q116" s="1672"/>
    </row>
    <row r="117" spans="17:17" x14ac:dyDescent="0.3">
      <c r="Q117" s="1672"/>
    </row>
    <row r="118" spans="17:17" x14ac:dyDescent="0.3">
      <c r="Q118" s="1672"/>
    </row>
    <row r="119" spans="17:17" x14ac:dyDescent="0.3">
      <c r="Q119" s="1672"/>
    </row>
    <row r="120" spans="17:17" x14ac:dyDescent="0.3">
      <c r="Q120" s="1672"/>
    </row>
    <row r="121" spans="17:17" x14ac:dyDescent="0.3">
      <c r="Q121" s="1672"/>
    </row>
    <row r="122" spans="17:17" x14ac:dyDescent="0.3">
      <c r="Q122" s="1672"/>
    </row>
    <row r="123" spans="17:17" x14ac:dyDescent="0.3">
      <c r="Q123" s="1672"/>
    </row>
    <row r="124" spans="17:17" x14ac:dyDescent="0.3">
      <c r="Q124" s="1672"/>
    </row>
    <row r="125" spans="17:17" x14ac:dyDescent="0.3">
      <c r="Q125" s="1672"/>
    </row>
    <row r="126" spans="17:17" x14ac:dyDescent="0.3">
      <c r="Q126" s="1672"/>
    </row>
    <row r="127" spans="17:17" x14ac:dyDescent="0.3">
      <c r="Q127" s="1672"/>
    </row>
    <row r="128" spans="17:17" x14ac:dyDescent="0.3">
      <c r="Q128" s="1672"/>
    </row>
    <row r="129" spans="17:17" x14ac:dyDescent="0.3">
      <c r="Q129" s="1672"/>
    </row>
    <row r="130" spans="17:17" x14ac:dyDescent="0.3">
      <c r="Q130" s="1672"/>
    </row>
    <row r="131" spans="17:17" x14ac:dyDescent="0.3">
      <c r="Q131" s="1672"/>
    </row>
    <row r="132" spans="17:17" x14ac:dyDescent="0.3">
      <c r="Q132" s="1672"/>
    </row>
    <row r="133" spans="17:17" x14ac:dyDescent="0.3">
      <c r="Q133" s="1672"/>
    </row>
    <row r="134" spans="17:17" x14ac:dyDescent="0.3">
      <c r="Q134" s="1672"/>
    </row>
    <row r="135" spans="17:17" x14ac:dyDescent="0.3">
      <c r="Q135" s="1672"/>
    </row>
    <row r="136" spans="17:17" x14ac:dyDescent="0.3">
      <c r="Q136" s="1672"/>
    </row>
    <row r="137" spans="17:17" x14ac:dyDescent="0.3">
      <c r="Q137" s="1672"/>
    </row>
    <row r="138" spans="17:17" x14ac:dyDescent="0.3">
      <c r="Q138" s="1672"/>
    </row>
    <row r="139" spans="17:17" x14ac:dyDescent="0.3">
      <c r="Q139" s="1672"/>
    </row>
    <row r="140" spans="17:17" x14ac:dyDescent="0.3">
      <c r="Q140" s="1672"/>
    </row>
    <row r="141" spans="17:17" x14ac:dyDescent="0.3">
      <c r="Q141" s="1672"/>
    </row>
    <row r="142" spans="17:17" x14ac:dyDescent="0.3">
      <c r="Q142" s="1672"/>
    </row>
    <row r="143" spans="17:17" x14ac:dyDescent="0.3">
      <c r="Q143" s="1672"/>
    </row>
    <row r="144" spans="17:17" x14ac:dyDescent="0.3">
      <c r="Q144" s="1672"/>
    </row>
    <row r="145" spans="17:17" x14ac:dyDescent="0.3">
      <c r="Q145" s="1672"/>
    </row>
    <row r="146" spans="17:17" x14ac:dyDescent="0.3">
      <c r="Q146" s="1672"/>
    </row>
    <row r="147" spans="17:17" x14ac:dyDescent="0.3">
      <c r="Q147" s="1672"/>
    </row>
    <row r="148" spans="17:17" x14ac:dyDescent="0.3">
      <c r="Q148" s="1672"/>
    </row>
    <row r="149" spans="17:17" x14ac:dyDescent="0.3">
      <c r="Q149" s="1672"/>
    </row>
    <row r="150" spans="17:17" x14ac:dyDescent="0.3">
      <c r="Q150" s="1672"/>
    </row>
    <row r="151" spans="17:17" x14ac:dyDescent="0.3">
      <c r="Q151" s="1672"/>
    </row>
    <row r="152" spans="17:17" x14ac:dyDescent="0.3">
      <c r="Q152" s="1672"/>
    </row>
    <row r="153" spans="17:17" x14ac:dyDescent="0.3">
      <c r="Q153" s="1672"/>
    </row>
    <row r="154" spans="17:17" x14ac:dyDescent="0.3">
      <c r="Q154" s="1672"/>
    </row>
    <row r="155" spans="17:17" x14ac:dyDescent="0.3">
      <c r="Q155" s="1672"/>
    </row>
    <row r="156" spans="17:17" x14ac:dyDescent="0.3">
      <c r="Q156" s="1672"/>
    </row>
    <row r="157" spans="17:17" x14ac:dyDescent="0.3">
      <c r="Q157" s="1672"/>
    </row>
    <row r="158" spans="17:17" x14ac:dyDescent="0.3">
      <c r="Q158" s="1672"/>
    </row>
    <row r="159" spans="17:17" x14ac:dyDescent="0.3">
      <c r="Q159" s="1672"/>
    </row>
    <row r="160" spans="17:17" x14ac:dyDescent="0.3">
      <c r="Q160" s="1672"/>
    </row>
    <row r="161" spans="17:17" x14ac:dyDescent="0.3">
      <c r="Q161" s="1672"/>
    </row>
    <row r="162" spans="17:17" x14ac:dyDescent="0.3">
      <c r="Q162" s="1672"/>
    </row>
    <row r="163" spans="17:17" x14ac:dyDescent="0.3">
      <c r="Q163" s="1672"/>
    </row>
    <row r="164" spans="17:17" x14ac:dyDescent="0.3">
      <c r="Q164" s="1672"/>
    </row>
    <row r="165" spans="17:17" x14ac:dyDescent="0.3">
      <c r="Q165" s="1672"/>
    </row>
    <row r="166" spans="17:17" x14ac:dyDescent="0.3">
      <c r="Q166" s="1672"/>
    </row>
    <row r="167" spans="17:17" x14ac:dyDescent="0.3">
      <c r="Q167" s="1672"/>
    </row>
    <row r="168" spans="17:17" x14ac:dyDescent="0.3">
      <c r="Q168" s="1672"/>
    </row>
    <row r="169" spans="17:17" x14ac:dyDescent="0.3">
      <c r="Q169" s="1672"/>
    </row>
    <row r="170" spans="17:17" x14ac:dyDescent="0.3">
      <c r="Q170" s="1672"/>
    </row>
    <row r="171" spans="17:17" x14ac:dyDescent="0.3">
      <c r="Q171" s="1672"/>
    </row>
    <row r="172" spans="17:17" x14ac:dyDescent="0.3">
      <c r="Q172" s="1672"/>
    </row>
    <row r="173" spans="17:17" x14ac:dyDescent="0.3">
      <c r="Q173" s="1672"/>
    </row>
    <row r="174" spans="17:17" x14ac:dyDescent="0.3">
      <c r="Q174" s="1672"/>
    </row>
    <row r="175" spans="17:17" x14ac:dyDescent="0.3">
      <c r="Q175" s="1672"/>
    </row>
    <row r="176" spans="17:17" x14ac:dyDescent="0.3">
      <c r="Q176" s="1672"/>
    </row>
    <row r="177" spans="17:17" x14ac:dyDescent="0.3">
      <c r="Q177" s="1672"/>
    </row>
    <row r="178" spans="17:17" x14ac:dyDescent="0.3">
      <c r="Q178" s="1672"/>
    </row>
    <row r="179" spans="17:17" x14ac:dyDescent="0.3">
      <c r="Q179" s="1672"/>
    </row>
    <row r="180" spans="17:17" x14ac:dyDescent="0.3">
      <c r="Q180" s="1672"/>
    </row>
    <row r="181" spans="17:17" x14ac:dyDescent="0.3">
      <c r="Q181" s="1672"/>
    </row>
    <row r="182" spans="17:17" x14ac:dyDescent="0.3">
      <c r="Q182" s="1672"/>
    </row>
    <row r="183" spans="17:17" x14ac:dyDescent="0.3">
      <c r="Q183" s="1672"/>
    </row>
    <row r="184" spans="17:17" x14ac:dyDescent="0.3">
      <c r="Q184" s="1672"/>
    </row>
    <row r="185" spans="17:17" x14ac:dyDescent="0.3">
      <c r="Q185" s="1672"/>
    </row>
    <row r="186" spans="17:17" x14ac:dyDescent="0.3">
      <c r="Q186" s="1672"/>
    </row>
    <row r="187" spans="17:17" x14ac:dyDescent="0.3">
      <c r="Q187" s="1672"/>
    </row>
    <row r="188" spans="17:17" x14ac:dyDescent="0.3">
      <c r="Q188" s="1672"/>
    </row>
    <row r="189" spans="17:17" x14ac:dyDescent="0.3">
      <c r="Q189" s="1672"/>
    </row>
    <row r="190" spans="17:17" x14ac:dyDescent="0.3">
      <c r="Q190" s="1672"/>
    </row>
    <row r="191" spans="17:17" x14ac:dyDescent="0.3">
      <c r="Q191" s="1672"/>
    </row>
    <row r="192" spans="17:17" x14ac:dyDescent="0.3">
      <c r="Q192" s="1672"/>
    </row>
    <row r="193" spans="17:17" x14ac:dyDescent="0.3">
      <c r="Q193" s="1672"/>
    </row>
    <row r="194" spans="17:17" x14ac:dyDescent="0.3">
      <c r="Q194" s="1672"/>
    </row>
    <row r="195" spans="17:17" x14ac:dyDescent="0.3">
      <c r="Q195" s="1672"/>
    </row>
    <row r="196" spans="17:17" x14ac:dyDescent="0.3">
      <c r="Q196" s="1672"/>
    </row>
    <row r="197" spans="17:17" x14ac:dyDescent="0.3">
      <c r="Q197" s="1672"/>
    </row>
    <row r="198" spans="17:17" x14ac:dyDescent="0.3">
      <c r="Q198" s="1672"/>
    </row>
    <row r="199" spans="17:17" x14ac:dyDescent="0.3">
      <c r="Q199" s="1672"/>
    </row>
    <row r="200" spans="17:17" x14ac:dyDescent="0.3">
      <c r="Q200" s="1672"/>
    </row>
    <row r="201" spans="17:17" x14ac:dyDescent="0.3">
      <c r="Q201" s="1672"/>
    </row>
    <row r="202" spans="17:17" x14ac:dyDescent="0.3">
      <c r="Q202" s="1672"/>
    </row>
    <row r="203" spans="17:17" x14ac:dyDescent="0.3">
      <c r="Q203" s="1672"/>
    </row>
    <row r="204" spans="17:17" x14ac:dyDescent="0.3">
      <c r="Q204" s="1672"/>
    </row>
    <row r="205" spans="17:17" x14ac:dyDescent="0.3">
      <c r="Q205" s="1672"/>
    </row>
    <row r="206" spans="17:17" x14ac:dyDescent="0.3">
      <c r="Q206" s="1672"/>
    </row>
    <row r="207" spans="17:17" x14ac:dyDescent="0.3">
      <c r="Q207" s="1672"/>
    </row>
    <row r="208" spans="17:17" x14ac:dyDescent="0.3">
      <c r="Q208" s="1672"/>
    </row>
    <row r="209" spans="17:17" x14ac:dyDescent="0.3">
      <c r="Q209" s="1672"/>
    </row>
    <row r="210" spans="17:17" x14ac:dyDescent="0.3">
      <c r="Q210" s="1672"/>
    </row>
    <row r="211" spans="17:17" x14ac:dyDescent="0.3">
      <c r="Q211" s="1672"/>
    </row>
    <row r="212" spans="17:17" x14ac:dyDescent="0.3">
      <c r="Q212" s="1672"/>
    </row>
    <row r="213" spans="17:17" x14ac:dyDescent="0.3">
      <c r="Q213" s="1672"/>
    </row>
    <row r="214" spans="17:17" x14ac:dyDescent="0.3">
      <c r="Q214" s="1672"/>
    </row>
    <row r="215" spans="17:17" x14ac:dyDescent="0.3">
      <c r="Q215" s="1672"/>
    </row>
    <row r="216" spans="17:17" x14ac:dyDescent="0.3">
      <c r="Q216" s="1672"/>
    </row>
    <row r="217" spans="17:17" x14ac:dyDescent="0.3">
      <c r="Q217" s="1672"/>
    </row>
    <row r="218" spans="17:17" x14ac:dyDescent="0.3">
      <c r="Q218" s="1672"/>
    </row>
    <row r="219" spans="17:17" x14ac:dyDescent="0.3">
      <c r="Q219" s="1672"/>
    </row>
    <row r="220" spans="17:17" x14ac:dyDescent="0.3">
      <c r="Q220" s="1672"/>
    </row>
    <row r="221" spans="17:17" x14ac:dyDescent="0.3">
      <c r="Q221" s="1672"/>
    </row>
    <row r="222" spans="17:17" x14ac:dyDescent="0.3">
      <c r="Q222" s="1672"/>
    </row>
    <row r="223" spans="17:17" x14ac:dyDescent="0.3">
      <c r="Q223" s="1672"/>
    </row>
    <row r="224" spans="17:17" x14ac:dyDescent="0.3">
      <c r="Q224" s="1672"/>
    </row>
    <row r="225" spans="17:17" x14ac:dyDescent="0.3">
      <c r="Q225" s="1672"/>
    </row>
    <row r="226" spans="17:17" x14ac:dyDescent="0.3">
      <c r="Q226" s="1672"/>
    </row>
    <row r="227" spans="17:17" x14ac:dyDescent="0.3">
      <c r="Q227" s="1672"/>
    </row>
    <row r="228" spans="17:17" x14ac:dyDescent="0.3">
      <c r="Q228" s="1672"/>
    </row>
    <row r="229" spans="17:17" x14ac:dyDescent="0.3">
      <c r="Q229" s="1672"/>
    </row>
    <row r="230" spans="17:17" x14ac:dyDescent="0.3">
      <c r="Q230" s="1672"/>
    </row>
    <row r="231" spans="17:17" x14ac:dyDescent="0.3">
      <c r="Q231" s="1672"/>
    </row>
    <row r="232" spans="17:17" x14ac:dyDescent="0.3">
      <c r="Q232" s="1672"/>
    </row>
    <row r="233" spans="17:17" x14ac:dyDescent="0.3">
      <c r="Q233" s="1672"/>
    </row>
    <row r="234" spans="17:17" x14ac:dyDescent="0.3">
      <c r="Q234" s="1672"/>
    </row>
    <row r="235" spans="17:17" x14ac:dyDescent="0.3">
      <c r="Q235" s="1672"/>
    </row>
    <row r="236" spans="17:17" x14ac:dyDescent="0.3">
      <c r="Q236" s="1672"/>
    </row>
    <row r="237" spans="17:17" x14ac:dyDescent="0.3">
      <c r="Q237" s="1672"/>
    </row>
    <row r="238" spans="17:17" x14ac:dyDescent="0.3">
      <c r="Q238" s="1672"/>
    </row>
    <row r="239" spans="17:17" x14ac:dyDescent="0.3">
      <c r="Q239" s="1672"/>
    </row>
    <row r="240" spans="17:17" x14ac:dyDescent="0.3">
      <c r="Q240" s="1672"/>
    </row>
    <row r="241" spans="17:17" x14ac:dyDescent="0.3">
      <c r="Q241" s="1672"/>
    </row>
    <row r="242" spans="17:17" x14ac:dyDescent="0.3">
      <c r="Q242" s="1672"/>
    </row>
    <row r="243" spans="17:17" x14ac:dyDescent="0.3">
      <c r="Q243" s="1672"/>
    </row>
    <row r="244" spans="17:17" x14ac:dyDescent="0.3">
      <c r="Q244" s="1672"/>
    </row>
    <row r="245" spans="17:17" x14ac:dyDescent="0.3">
      <c r="Q245" s="1672"/>
    </row>
    <row r="246" spans="17:17" x14ac:dyDescent="0.3">
      <c r="Q246" s="1672"/>
    </row>
    <row r="247" spans="17:17" x14ac:dyDescent="0.3">
      <c r="Q247" s="1672"/>
    </row>
    <row r="248" spans="17:17" x14ac:dyDescent="0.3">
      <c r="Q248" s="1672"/>
    </row>
    <row r="249" spans="17:17" x14ac:dyDescent="0.3">
      <c r="Q249" s="1672"/>
    </row>
    <row r="250" spans="17:17" x14ac:dyDescent="0.3">
      <c r="Q250" s="1672"/>
    </row>
    <row r="251" spans="17:17" x14ac:dyDescent="0.3">
      <c r="Q251" s="1672"/>
    </row>
    <row r="252" spans="17:17" x14ac:dyDescent="0.3">
      <c r="Q252" s="1672"/>
    </row>
    <row r="253" spans="17:17" x14ac:dyDescent="0.3">
      <c r="Q253" s="1672"/>
    </row>
    <row r="254" spans="17:17" x14ac:dyDescent="0.3">
      <c r="Q254" s="1672"/>
    </row>
    <row r="255" spans="17:17" x14ac:dyDescent="0.3">
      <c r="Q255" s="1672"/>
    </row>
    <row r="256" spans="17:17" x14ac:dyDescent="0.3">
      <c r="Q256" s="1672"/>
    </row>
    <row r="257" spans="17:17" x14ac:dyDescent="0.3">
      <c r="Q257" s="1672"/>
    </row>
    <row r="258" spans="17:17" x14ac:dyDescent="0.3">
      <c r="Q258" s="1672"/>
    </row>
    <row r="259" spans="17:17" x14ac:dyDescent="0.3">
      <c r="Q259" s="1672"/>
    </row>
    <row r="260" spans="17:17" x14ac:dyDescent="0.3">
      <c r="Q260" s="1672"/>
    </row>
    <row r="261" spans="17:17" x14ac:dyDescent="0.3">
      <c r="Q261" s="1672"/>
    </row>
    <row r="262" spans="17:17" x14ac:dyDescent="0.3">
      <c r="Q262" s="1672"/>
    </row>
    <row r="263" spans="17:17" x14ac:dyDescent="0.3">
      <c r="Q263" s="1672"/>
    </row>
    <row r="264" spans="17:17" x14ac:dyDescent="0.3">
      <c r="Q264" s="1672"/>
    </row>
    <row r="265" spans="17:17" x14ac:dyDescent="0.3">
      <c r="Q265" s="1672"/>
    </row>
    <row r="266" spans="17:17" x14ac:dyDescent="0.3">
      <c r="Q266" s="1672"/>
    </row>
    <row r="267" spans="17:17" x14ac:dyDescent="0.3">
      <c r="Q267" s="1672"/>
    </row>
    <row r="268" spans="17:17" x14ac:dyDescent="0.3">
      <c r="Q268" s="1672"/>
    </row>
    <row r="269" spans="17:17" x14ac:dyDescent="0.3">
      <c r="Q269" s="1672"/>
    </row>
    <row r="270" spans="17:17" x14ac:dyDescent="0.3">
      <c r="Q270" s="1672"/>
    </row>
    <row r="271" spans="17:17" x14ac:dyDescent="0.3">
      <c r="Q271" s="1672"/>
    </row>
    <row r="272" spans="17:17" x14ac:dyDescent="0.3">
      <c r="Q272" s="1672"/>
    </row>
    <row r="273" spans="17:17" x14ac:dyDescent="0.3">
      <c r="Q273" s="1672"/>
    </row>
    <row r="274" spans="17:17" x14ac:dyDescent="0.3">
      <c r="Q274" s="1672"/>
    </row>
    <row r="275" spans="17:17" x14ac:dyDescent="0.3">
      <c r="Q275" s="1672"/>
    </row>
    <row r="276" spans="17:17" x14ac:dyDescent="0.3">
      <c r="Q276" s="1672"/>
    </row>
    <row r="277" spans="17:17" x14ac:dyDescent="0.3">
      <c r="Q277" s="1672"/>
    </row>
    <row r="278" spans="17:17" x14ac:dyDescent="0.3">
      <c r="Q278" s="1672"/>
    </row>
    <row r="279" spans="17:17" x14ac:dyDescent="0.3">
      <c r="Q279" s="1672"/>
    </row>
    <row r="280" spans="17:17" x14ac:dyDescent="0.3">
      <c r="Q280" s="1672"/>
    </row>
    <row r="281" spans="17:17" x14ac:dyDescent="0.3">
      <c r="Q281" s="1672"/>
    </row>
    <row r="282" spans="17:17" x14ac:dyDescent="0.3">
      <c r="Q282" s="1672"/>
    </row>
    <row r="283" spans="17:17" x14ac:dyDescent="0.3">
      <c r="Q283" s="1672"/>
    </row>
    <row r="284" spans="17:17" x14ac:dyDescent="0.3">
      <c r="Q284" s="1672"/>
    </row>
    <row r="285" spans="17:17" x14ac:dyDescent="0.3">
      <c r="Q285" s="1672"/>
    </row>
    <row r="286" spans="17:17" x14ac:dyDescent="0.3">
      <c r="Q286" s="1672"/>
    </row>
    <row r="287" spans="17:17" x14ac:dyDescent="0.3">
      <c r="Q287" s="1672"/>
    </row>
    <row r="288" spans="17:17" x14ac:dyDescent="0.3">
      <c r="Q288" s="1672"/>
    </row>
    <row r="289" spans="17:17" x14ac:dyDescent="0.3">
      <c r="Q289" s="1672"/>
    </row>
    <row r="290" spans="17:17" x14ac:dyDescent="0.3">
      <c r="Q290" s="1672"/>
    </row>
    <row r="291" spans="17:17" x14ac:dyDescent="0.3">
      <c r="Q291" s="1672"/>
    </row>
    <row r="292" spans="17:17" x14ac:dyDescent="0.3">
      <c r="Q292" s="1672"/>
    </row>
    <row r="293" spans="17:17" x14ac:dyDescent="0.3">
      <c r="Q293" s="1672"/>
    </row>
    <row r="294" spans="17:17" x14ac:dyDescent="0.3">
      <c r="Q294" s="1672"/>
    </row>
    <row r="295" spans="17:17" x14ac:dyDescent="0.3">
      <c r="Q295" s="1672"/>
    </row>
    <row r="296" spans="17:17" x14ac:dyDescent="0.3">
      <c r="Q296" s="1672"/>
    </row>
    <row r="297" spans="17:17" x14ac:dyDescent="0.3">
      <c r="Q297" s="1672"/>
    </row>
    <row r="298" spans="17:17" x14ac:dyDescent="0.3">
      <c r="Q298" s="1672"/>
    </row>
    <row r="299" spans="17:17" x14ac:dyDescent="0.3">
      <c r="Q299" s="1672"/>
    </row>
    <row r="300" spans="17:17" x14ac:dyDescent="0.3">
      <c r="Q300" s="1672"/>
    </row>
    <row r="301" spans="17:17" x14ac:dyDescent="0.3">
      <c r="Q301" s="1672"/>
    </row>
    <row r="302" spans="17:17" x14ac:dyDescent="0.3">
      <c r="Q302" s="1672"/>
    </row>
    <row r="303" spans="17:17" x14ac:dyDescent="0.3">
      <c r="Q303" s="1672"/>
    </row>
    <row r="304" spans="17:17" x14ac:dyDescent="0.3">
      <c r="Q304" s="1672"/>
    </row>
    <row r="305" spans="17:17" x14ac:dyDescent="0.3">
      <c r="Q305" s="1672"/>
    </row>
    <row r="306" spans="17:17" x14ac:dyDescent="0.3">
      <c r="Q306" s="1672"/>
    </row>
    <row r="307" spans="17:17" x14ac:dyDescent="0.3">
      <c r="Q307" s="1672"/>
    </row>
    <row r="308" spans="17:17" x14ac:dyDescent="0.3">
      <c r="Q308" s="1672"/>
    </row>
    <row r="309" spans="17:17" x14ac:dyDescent="0.3">
      <c r="Q309" s="1672"/>
    </row>
    <row r="310" spans="17:17" x14ac:dyDescent="0.3">
      <c r="Q310" s="1672"/>
    </row>
    <row r="311" spans="17:17" x14ac:dyDescent="0.3">
      <c r="Q311" s="1672"/>
    </row>
    <row r="312" spans="17:17" x14ac:dyDescent="0.3">
      <c r="Q312" s="1672"/>
    </row>
    <row r="313" spans="17:17" x14ac:dyDescent="0.3">
      <c r="Q313" s="1672"/>
    </row>
    <row r="314" spans="17:17" x14ac:dyDescent="0.3">
      <c r="Q314" s="1672"/>
    </row>
    <row r="315" spans="17:17" x14ac:dyDescent="0.3">
      <c r="Q315" s="1672"/>
    </row>
    <row r="316" spans="17:17" x14ac:dyDescent="0.3">
      <c r="Q316" s="1672"/>
    </row>
    <row r="317" spans="17:17" x14ac:dyDescent="0.3">
      <c r="Q317" s="1672"/>
    </row>
    <row r="318" spans="17:17" x14ac:dyDescent="0.3">
      <c r="Q318" s="1672"/>
    </row>
    <row r="319" spans="17:17" x14ac:dyDescent="0.3">
      <c r="Q319" s="1672"/>
    </row>
    <row r="320" spans="17:17" x14ac:dyDescent="0.3">
      <c r="Q320" s="1672"/>
    </row>
    <row r="321" spans="17:17" x14ac:dyDescent="0.3">
      <c r="Q321" s="1672"/>
    </row>
    <row r="322" spans="17:17" x14ac:dyDescent="0.3">
      <c r="Q322" s="1672"/>
    </row>
    <row r="323" spans="17:17" x14ac:dyDescent="0.3">
      <c r="Q323" s="1672"/>
    </row>
    <row r="324" spans="17:17" x14ac:dyDescent="0.3">
      <c r="Q324" s="1672"/>
    </row>
    <row r="325" spans="17:17" x14ac:dyDescent="0.3">
      <c r="Q325" s="1672"/>
    </row>
    <row r="326" spans="17:17" x14ac:dyDescent="0.3">
      <c r="Q326" s="1672"/>
    </row>
    <row r="327" spans="17:17" x14ac:dyDescent="0.3">
      <c r="Q327" s="1672"/>
    </row>
    <row r="328" spans="17:17" x14ac:dyDescent="0.3">
      <c r="Q328" s="1672"/>
    </row>
    <row r="329" spans="17:17" x14ac:dyDescent="0.3">
      <c r="Q329" s="1672"/>
    </row>
    <row r="330" spans="17:17" x14ac:dyDescent="0.3">
      <c r="Q330" s="1672"/>
    </row>
    <row r="331" spans="17:17" x14ac:dyDescent="0.3">
      <c r="Q331" s="1672"/>
    </row>
    <row r="332" spans="17:17" x14ac:dyDescent="0.3">
      <c r="Q332" s="1672"/>
    </row>
    <row r="333" spans="17:17" x14ac:dyDescent="0.3">
      <c r="Q333" s="1672"/>
    </row>
    <row r="334" spans="17:17" x14ac:dyDescent="0.3">
      <c r="Q334" s="1672"/>
    </row>
    <row r="335" spans="17:17" x14ac:dyDescent="0.3">
      <c r="Q335" s="1672"/>
    </row>
    <row r="336" spans="17:17" x14ac:dyDescent="0.3">
      <c r="Q336" s="1672"/>
    </row>
    <row r="337" spans="17:17" x14ac:dyDescent="0.3">
      <c r="Q337" s="1672"/>
    </row>
    <row r="338" spans="17:17" x14ac:dyDescent="0.3">
      <c r="Q338" s="1672"/>
    </row>
    <row r="339" spans="17:17" x14ac:dyDescent="0.3">
      <c r="Q339" s="1672"/>
    </row>
    <row r="340" spans="17:17" x14ac:dyDescent="0.3">
      <c r="Q340" s="1672"/>
    </row>
    <row r="341" spans="17:17" x14ac:dyDescent="0.3">
      <c r="Q341" s="1672"/>
    </row>
    <row r="342" spans="17:17" x14ac:dyDescent="0.3">
      <c r="Q342" s="1672"/>
    </row>
    <row r="343" spans="17:17" x14ac:dyDescent="0.3">
      <c r="Q343" s="1672"/>
    </row>
    <row r="344" spans="17:17" x14ac:dyDescent="0.3">
      <c r="Q344" s="1672"/>
    </row>
    <row r="345" spans="17:17" x14ac:dyDescent="0.3">
      <c r="Q345" s="1672"/>
    </row>
    <row r="346" spans="17:17" x14ac:dyDescent="0.3">
      <c r="Q346" s="1672"/>
    </row>
    <row r="347" spans="17:17" x14ac:dyDescent="0.3">
      <c r="Q347" s="1672"/>
    </row>
    <row r="348" spans="17:17" x14ac:dyDescent="0.3">
      <c r="Q348" s="1672"/>
    </row>
    <row r="349" spans="17:17" x14ac:dyDescent="0.3">
      <c r="Q349" s="1672"/>
    </row>
    <row r="350" spans="17:17" x14ac:dyDescent="0.3">
      <c r="Q350" s="1672"/>
    </row>
    <row r="351" spans="17:17" x14ac:dyDescent="0.3">
      <c r="Q351" s="1672"/>
    </row>
    <row r="352" spans="17:17" x14ac:dyDescent="0.3">
      <c r="Q352" s="1672"/>
    </row>
    <row r="353" spans="17:17" x14ac:dyDescent="0.3">
      <c r="Q353" s="1672"/>
    </row>
    <row r="354" spans="17:17" x14ac:dyDescent="0.3">
      <c r="Q354" s="1672"/>
    </row>
    <row r="355" spans="17:17" x14ac:dyDescent="0.3">
      <c r="Q355" s="1672"/>
    </row>
    <row r="356" spans="17:17" x14ac:dyDescent="0.3">
      <c r="Q356" s="1672"/>
    </row>
    <row r="357" spans="17:17" x14ac:dyDescent="0.3">
      <c r="Q357" s="1672"/>
    </row>
    <row r="358" spans="17:17" x14ac:dyDescent="0.3">
      <c r="Q358" s="1672"/>
    </row>
    <row r="359" spans="17:17" x14ac:dyDescent="0.3">
      <c r="Q359" s="1672"/>
    </row>
    <row r="360" spans="17:17" x14ac:dyDescent="0.3">
      <c r="Q360" s="1672"/>
    </row>
    <row r="361" spans="17:17" x14ac:dyDescent="0.3">
      <c r="Q361" s="1672"/>
    </row>
    <row r="362" spans="17:17" x14ac:dyDescent="0.3">
      <c r="Q362" s="1672"/>
    </row>
    <row r="363" spans="17:17" x14ac:dyDescent="0.3">
      <c r="Q363" s="1672"/>
    </row>
    <row r="364" spans="17:17" x14ac:dyDescent="0.3">
      <c r="Q364" s="1672"/>
    </row>
    <row r="365" spans="17:17" x14ac:dyDescent="0.3">
      <c r="Q365" s="1672"/>
    </row>
    <row r="366" spans="17:17" x14ac:dyDescent="0.3">
      <c r="Q366" s="1672"/>
    </row>
    <row r="367" spans="17:17" x14ac:dyDescent="0.3">
      <c r="Q367" s="1672"/>
    </row>
    <row r="368" spans="17:17" x14ac:dyDescent="0.3">
      <c r="Q368" s="1672"/>
    </row>
    <row r="369" spans="17:17" x14ac:dyDescent="0.3">
      <c r="Q369" s="1672"/>
    </row>
    <row r="370" spans="17:17" x14ac:dyDescent="0.3">
      <c r="Q370" s="1672"/>
    </row>
    <row r="371" spans="17:17" x14ac:dyDescent="0.3">
      <c r="Q371" s="1672"/>
    </row>
    <row r="372" spans="17:17" x14ac:dyDescent="0.3">
      <c r="Q372" s="1672"/>
    </row>
    <row r="373" spans="17:17" x14ac:dyDescent="0.3">
      <c r="Q373" s="1672"/>
    </row>
    <row r="374" spans="17:17" x14ac:dyDescent="0.3">
      <c r="Q374" s="1672"/>
    </row>
    <row r="375" spans="17:17" x14ac:dyDescent="0.3">
      <c r="Q375" s="1672"/>
    </row>
    <row r="376" spans="17:17" x14ac:dyDescent="0.3">
      <c r="Q376" s="1672"/>
    </row>
    <row r="377" spans="17:17" x14ac:dyDescent="0.3">
      <c r="Q377" s="1672"/>
    </row>
    <row r="378" spans="17:17" x14ac:dyDescent="0.3">
      <c r="Q378" s="1672"/>
    </row>
    <row r="379" spans="17:17" x14ac:dyDescent="0.3">
      <c r="Q379" s="1672"/>
    </row>
    <row r="380" spans="17:17" x14ac:dyDescent="0.3">
      <c r="Q380" s="1672"/>
    </row>
    <row r="381" spans="17:17" x14ac:dyDescent="0.3">
      <c r="Q381" s="1672"/>
    </row>
    <row r="382" spans="17:17" x14ac:dyDescent="0.3">
      <c r="Q382" s="1672"/>
    </row>
    <row r="383" spans="17:17" x14ac:dyDescent="0.3">
      <c r="Q383" s="1672"/>
    </row>
    <row r="384" spans="17:17" x14ac:dyDescent="0.3">
      <c r="Q384" s="1672"/>
    </row>
    <row r="385" spans="17:17" x14ac:dyDescent="0.3">
      <c r="Q385" s="1672"/>
    </row>
    <row r="386" spans="17:17" x14ac:dyDescent="0.3">
      <c r="Q386" s="1672"/>
    </row>
    <row r="387" spans="17:17" x14ac:dyDescent="0.3">
      <c r="Q387" s="1672"/>
    </row>
    <row r="388" spans="17:17" x14ac:dyDescent="0.3">
      <c r="Q388" s="1672"/>
    </row>
    <row r="389" spans="17:17" x14ac:dyDescent="0.3">
      <c r="Q389" s="1672"/>
    </row>
    <row r="390" spans="17:17" x14ac:dyDescent="0.3">
      <c r="Q390" s="1672"/>
    </row>
    <row r="391" spans="17:17" x14ac:dyDescent="0.3">
      <c r="Q391" s="1672"/>
    </row>
    <row r="392" spans="17:17" x14ac:dyDescent="0.3">
      <c r="Q392" s="1672"/>
    </row>
    <row r="393" spans="17:17" x14ac:dyDescent="0.3">
      <c r="Q393" s="1672"/>
    </row>
    <row r="394" spans="17:17" x14ac:dyDescent="0.3">
      <c r="Q394" s="1672"/>
    </row>
    <row r="395" spans="17:17" x14ac:dyDescent="0.3">
      <c r="Q395" s="1672"/>
    </row>
    <row r="396" spans="17:17" x14ac:dyDescent="0.3">
      <c r="Q396" s="1672"/>
    </row>
    <row r="397" spans="17:17" x14ac:dyDescent="0.3">
      <c r="Q397" s="1672"/>
    </row>
    <row r="398" spans="17:17" x14ac:dyDescent="0.3">
      <c r="Q398" s="1672"/>
    </row>
    <row r="399" spans="17:17" x14ac:dyDescent="0.3">
      <c r="Q399" s="1672"/>
    </row>
    <row r="400" spans="17:17" x14ac:dyDescent="0.3">
      <c r="Q400" s="1672"/>
    </row>
    <row r="401" spans="17:17" x14ac:dyDescent="0.3">
      <c r="Q401" s="1672"/>
    </row>
    <row r="402" spans="17:17" x14ac:dyDescent="0.3">
      <c r="Q402" s="1672"/>
    </row>
    <row r="403" spans="17:17" x14ac:dyDescent="0.3">
      <c r="Q403" s="1672"/>
    </row>
    <row r="404" spans="17:17" x14ac:dyDescent="0.3">
      <c r="Q404" s="1672"/>
    </row>
    <row r="405" spans="17:17" x14ac:dyDescent="0.3">
      <c r="Q405" s="1672"/>
    </row>
    <row r="406" spans="17:17" x14ac:dyDescent="0.3">
      <c r="Q406" s="1672"/>
    </row>
    <row r="407" spans="17:17" x14ac:dyDescent="0.3">
      <c r="Q407" s="1672"/>
    </row>
    <row r="408" spans="17:17" x14ac:dyDescent="0.3">
      <c r="Q408" s="1672"/>
    </row>
    <row r="409" spans="17:17" x14ac:dyDescent="0.3">
      <c r="Q409" s="1672"/>
    </row>
    <row r="410" spans="17:17" x14ac:dyDescent="0.3">
      <c r="Q410" s="1672"/>
    </row>
    <row r="411" spans="17:17" x14ac:dyDescent="0.3">
      <c r="Q411" s="1672"/>
    </row>
    <row r="412" spans="17:17" x14ac:dyDescent="0.3">
      <c r="Q412" s="1672"/>
    </row>
    <row r="413" spans="17:17" x14ac:dyDescent="0.3">
      <c r="Q413" s="1672"/>
    </row>
    <row r="414" spans="17:17" x14ac:dyDescent="0.3">
      <c r="Q414" s="1672"/>
    </row>
    <row r="415" spans="17:17" x14ac:dyDescent="0.3">
      <c r="Q415" s="1672"/>
    </row>
    <row r="416" spans="17:17" x14ac:dyDescent="0.3">
      <c r="Q416" s="1672"/>
    </row>
    <row r="417" spans="17:17" x14ac:dyDescent="0.3">
      <c r="Q417" s="1672"/>
    </row>
    <row r="418" spans="17:17" x14ac:dyDescent="0.3">
      <c r="Q418" s="1672"/>
    </row>
    <row r="419" spans="17:17" x14ac:dyDescent="0.3">
      <c r="Q419" s="1672"/>
    </row>
    <row r="420" spans="17:17" x14ac:dyDescent="0.3">
      <c r="Q420" s="1672"/>
    </row>
    <row r="421" spans="17:17" x14ac:dyDescent="0.3">
      <c r="Q421" s="1672"/>
    </row>
    <row r="422" spans="17:17" x14ac:dyDescent="0.3">
      <c r="Q422" s="1672"/>
    </row>
    <row r="423" spans="17:17" x14ac:dyDescent="0.3">
      <c r="Q423" s="1672"/>
    </row>
    <row r="424" spans="17:17" x14ac:dyDescent="0.3">
      <c r="Q424" s="1672"/>
    </row>
    <row r="425" spans="17:17" x14ac:dyDescent="0.3">
      <c r="Q425" s="1672"/>
    </row>
    <row r="426" spans="17:17" x14ac:dyDescent="0.3">
      <c r="Q426" s="1672"/>
    </row>
    <row r="427" spans="17:17" x14ac:dyDescent="0.3">
      <c r="Q427" s="1672"/>
    </row>
    <row r="428" spans="17:17" x14ac:dyDescent="0.3">
      <c r="Q428" s="1672"/>
    </row>
    <row r="429" spans="17:17" x14ac:dyDescent="0.3">
      <c r="Q429" s="1672"/>
    </row>
    <row r="430" spans="17:17" x14ac:dyDescent="0.3">
      <c r="Q430" s="1672"/>
    </row>
    <row r="431" spans="17:17" x14ac:dyDescent="0.3">
      <c r="Q431" s="1672"/>
    </row>
    <row r="432" spans="17:17" x14ac:dyDescent="0.3">
      <c r="Q432" s="1672"/>
    </row>
    <row r="433" spans="17:17" x14ac:dyDescent="0.3">
      <c r="Q433" s="1672"/>
    </row>
    <row r="434" spans="17:17" x14ac:dyDescent="0.3">
      <c r="Q434" s="1672"/>
    </row>
    <row r="435" spans="17:17" x14ac:dyDescent="0.3">
      <c r="Q435" s="1672"/>
    </row>
    <row r="436" spans="17:17" x14ac:dyDescent="0.3">
      <c r="Q436" s="1672"/>
    </row>
    <row r="437" spans="17:17" x14ac:dyDescent="0.3">
      <c r="Q437" s="1672"/>
    </row>
    <row r="438" spans="17:17" x14ac:dyDescent="0.3">
      <c r="Q438" s="1672"/>
    </row>
    <row r="439" spans="17:17" x14ac:dyDescent="0.3">
      <c r="Q439" s="1672"/>
    </row>
    <row r="440" spans="17:17" x14ac:dyDescent="0.3">
      <c r="Q440" s="1672"/>
    </row>
    <row r="441" spans="17:17" x14ac:dyDescent="0.3">
      <c r="Q441" s="1672"/>
    </row>
    <row r="442" spans="17:17" x14ac:dyDescent="0.3">
      <c r="Q442" s="1672"/>
    </row>
    <row r="443" spans="17:17" x14ac:dyDescent="0.3">
      <c r="Q443" s="1672"/>
    </row>
    <row r="444" spans="17:17" x14ac:dyDescent="0.3">
      <c r="Q444" s="1672"/>
    </row>
    <row r="445" spans="17:17" x14ac:dyDescent="0.3">
      <c r="Q445" s="1672"/>
    </row>
    <row r="446" spans="17:17" x14ac:dyDescent="0.3">
      <c r="Q446" s="1672"/>
    </row>
    <row r="447" spans="17:17" x14ac:dyDescent="0.3">
      <c r="Q447" s="1672"/>
    </row>
    <row r="448" spans="17:17" x14ac:dyDescent="0.3">
      <c r="Q448" s="1672"/>
    </row>
    <row r="449" spans="17:17" x14ac:dyDescent="0.3">
      <c r="Q449" s="1672"/>
    </row>
    <row r="450" spans="17:17" x14ac:dyDescent="0.3">
      <c r="Q450" s="1672"/>
    </row>
    <row r="451" spans="17:17" x14ac:dyDescent="0.3">
      <c r="Q451" s="1672"/>
    </row>
    <row r="452" spans="17:17" x14ac:dyDescent="0.3">
      <c r="Q452" s="1672"/>
    </row>
    <row r="453" spans="17:17" x14ac:dyDescent="0.3">
      <c r="Q453" s="1672"/>
    </row>
    <row r="454" spans="17:17" x14ac:dyDescent="0.3">
      <c r="Q454" s="1672"/>
    </row>
    <row r="455" spans="17:17" x14ac:dyDescent="0.3">
      <c r="Q455" s="1672"/>
    </row>
    <row r="456" spans="17:17" x14ac:dyDescent="0.3">
      <c r="Q456" s="1672"/>
    </row>
    <row r="457" spans="17:17" x14ac:dyDescent="0.3">
      <c r="Q457" s="1672"/>
    </row>
    <row r="458" spans="17:17" x14ac:dyDescent="0.3">
      <c r="Q458" s="1672"/>
    </row>
    <row r="459" spans="17:17" x14ac:dyDescent="0.3">
      <c r="Q459" s="1672"/>
    </row>
    <row r="460" spans="17:17" x14ac:dyDescent="0.3">
      <c r="Q460" s="1672"/>
    </row>
    <row r="461" spans="17:17" x14ac:dyDescent="0.3">
      <c r="Q461" s="1672"/>
    </row>
    <row r="462" spans="17:17" x14ac:dyDescent="0.3">
      <c r="Q462" s="1672"/>
    </row>
    <row r="463" spans="17:17" x14ac:dyDescent="0.3">
      <c r="Q463" s="1672"/>
    </row>
    <row r="464" spans="17:17" x14ac:dyDescent="0.3">
      <c r="Q464" s="1672"/>
    </row>
    <row r="465" spans="17:17" x14ac:dyDescent="0.3">
      <c r="Q465" s="1672"/>
    </row>
    <row r="466" spans="17:17" x14ac:dyDescent="0.3">
      <c r="Q466" s="1672"/>
    </row>
    <row r="467" spans="17:17" x14ac:dyDescent="0.3">
      <c r="Q467" s="1672"/>
    </row>
    <row r="468" spans="17:17" x14ac:dyDescent="0.3">
      <c r="Q468" s="1672"/>
    </row>
    <row r="469" spans="17:17" x14ac:dyDescent="0.3">
      <c r="Q469" s="1672"/>
    </row>
    <row r="470" spans="17:17" x14ac:dyDescent="0.3">
      <c r="Q470" s="1672"/>
    </row>
    <row r="471" spans="17:17" x14ac:dyDescent="0.3">
      <c r="Q471" s="1672"/>
    </row>
    <row r="472" spans="17:17" x14ac:dyDescent="0.3">
      <c r="Q472" s="1672"/>
    </row>
    <row r="473" spans="17:17" x14ac:dyDescent="0.3">
      <c r="Q473" s="1672"/>
    </row>
    <row r="474" spans="17:17" x14ac:dyDescent="0.3">
      <c r="Q474" s="1672"/>
    </row>
    <row r="475" spans="17:17" x14ac:dyDescent="0.3">
      <c r="Q475" s="1672"/>
    </row>
    <row r="476" spans="17:17" x14ac:dyDescent="0.3">
      <c r="Q476" s="1672"/>
    </row>
    <row r="477" spans="17:17" x14ac:dyDescent="0.3">
      <c r="Q477" s="1672"/>
    </row>
    <row r="478" spans="17:17" x14ac:dyDescent="0.3">
      <c r="Q478" s="1672"/>
    </row>
    <row r="479" spans="17:17" x14ac:dyDescent="0.3">
      <c r="Q479" s="1672"/>
    </row>
    <row r="480" spans="17:17" x14ac:dyDescent="0.3">
      <c r="Q480" s="1672"/>
    </row>
    <row r="481" spans="17:17" x14ac:dyDescent="0.3">
      <c r="Q481" s="1672"/>
    </row>
    <row r="482" spans="17:17" x14ac:dyDescent="0.3">
      <c r="Q482" s="1672"/>
    </row>
    <row r="483" spans="17:17" x14ac:dyDescent="0.3">
      <c r="Q483" s="1672"/>
    </row>
    <row r="484" spans="17:17" x14ac:dyDescent="0.3">
      <c r="Q484" s="1672"/>
    </row>
    <row r="485" spans="17:17" x14ac:dyDescent="0.3">
      <c r="Q485" s="1672"/>
    </row>
    <row r="486" spans="17:17" x14ac:dyDescent="0.3">
      <c r="Q486" s="1672"/>
    </row>
    <row r="487" spans="17:17" x14ac:dyDescent="0.3">
      <c r="Q487" s="1672"/>
    </row>
    <row r="488" spans="17:17" x14ac:dyDescent="0.3">
      <c r="Q488" s="1672"/>
    </row>
    <row r="489" spans="17:17" x14ac:dyDescent="0.3">
      <c r="Q489" s="1672"/>
    </row>
    <row r="490" spans="17:17" x14ac:dyDescent="0.3">
      <c r="Q490" s="1672"/>
    </row>
    <row r="491" spans="17:17" x14ac:dyDescent="0.3">
      <c r="Q491" s="1672"/>
    </row>
    <row r="492" spans="17:17" x14ac:dyDescent="0.3">
      <c r="Q492" s="1672"/>
    </row>
    <row r="493" spans="17:17" x14ac:dyDescent="0.3">
      <c r="Q493" s="1672"/>
    </row>
    <row r="494" spans="17:17" x14ac:dyDescent="0.3">
      <c r="Q494" s="1672"/>
    </row>
    <row r="495" spans="17:17" x14ac:dyDescent="0.3">
      <c r="Q495" s="1672"/>
    </row>
    <row r="496" spans="17:17" x14ac:dyDescent="0.3">
      <c r="Q496" s="1672"/>
    </row>
    <row r="497" spans="17:17" x14ac:dyDescent="0.3">
      <c r="Q497" s="1672"/>
    </row>
    <row r="498" spans="17:17" x14ac:dyDescent="0.3">
      <c r="Q498" s="1672"/>
    </row>
    <row r="499" spans="17:17" x14ac:dyDescent="0.3">
      <c r="Q499" s="1672"/>
    </row>
    <row r="500" spans="17:17" x14ac:dyDescent="0.3">
      <c r="Q500" s="1672"/>
    </row>
    <row r="501" spans="17:17" x14ac:dyDescent="0.3">
      <c r="Q501" s="1672"/>
    </row>
    <row r="502" spans="17:17" x14ac:dyDescent="0.3">
      <c r="Q502" s="1672"/>
    </row>
    <row r="503" spans="17:17" x14ac:dyDescent="0.3">
      <c r="Q503" s="1672"/>
    </row>
    <row r="504" spans="17:17" x14ac:dyDescent="0.3">
      <c r="Q504" s="1672"/>
    </row>
    <row r="505" spans="17:17" x14ac:dyDescent="0.3">
      <c r="Q505" s="1672"/>
    </row>
    <row r="506" spans="17:17" x14ac:dyDescent="0.3">
      <c r="Q506" s="1672"/>
    </row>
    <row r="507" spans="17:17" x14ac:dyDescent="0.3">
      <c r="Q507" s="1672"/>
    </row>
    <row r="508" spans="17:17" x14ac:dyDescent="0.3">
      <c r="Q508" s="1672"/>
    </row>
    <row r="509" spans="17:17" x14ac:dyDescent="0.3">
      <c r="Q509" s="1672"/>
    </row>
    <row r="510" spans="17:17" x14ac:dyDescent="0.3">
      <c r="Q510" s="1672"/>
    </row>
    <row r="511" spans="17:17" x14ac:dyDescent="0.3">
      <c r="Q511" s="1672"/>
    </row>
    <row r="512" spans="17:17" x14ac:dyDescent="0.3">
      <c r="Q512" s="1672"/>
    </row>
    <row r="513" spans="17:17" x14ac:dyDescent="0.3">
      <c r="Q513" s="1672"/>
    </row>
    <row r="514" spans="17:17" x14ac:dyDescent="0.3">
      <c r="Q514" s="1672"/>
    </row>
    <row r="515" spans="17:17" x14ac:dyDescent="0.3">
      <c r="Q515" s="1672"/>
    </row>
    <row r="516" spans="17:17" x14ac:dyDescent="0.3">
      <c r="Q516" s="1672"/>
    </row>
    <row r="517" spans="17:17" x14ac:dyDescent="0.3">
      <c r="Q517" s="1672"/>
    </row>
    <row r="518" spans="17:17" x14ac:dyDescent="0.3">
      <c r="Q518" s="1672"/>
    </row>
    <row r="519" spans="17:17" x14ac:dyDescent="0.3">
      <c r="Q519" s="1672"/>
    </row>
    <row r="520" spans="17:17" x14ac:dyDescent="0.3">
      <c r="Q520" s="1672"/>
    </row>
    <row r="521" spans="17:17" x14ac:dyDescent="0.3">
      <c r="Q521" s="1672"/>
    </row>
    <row r="522" spans="17:17" x14ac:dyDescent="0.3">
      <c r="Q522" s="1672"/>
    </row>
    <row r="523" spans="17:17" x14ac:dyDescent="0.3">
      <c r="Q523" s="1672"/>
    </row>
    <row r="524" spans="17:17" x14ac:dyDescent="0.3">
      <c r="Q524" s="1672"/>
    </row>
    <row r="525" spans="17:17" x14ac:dyDescent="0.3">
      <c r="Q525" s="1672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ЭтаКнига.calc_start">
                <anchor>
                  <from>
                    <xdr:col>12</xdr:col>
                    <xdr:colOff>53340</xdr:colOff>
                    <xdr:row>30</xdr:row>
                    <xdr:rowOff>53340</xdr:rowOff>
                  </from>
                  <to>
                    <xdr:col>12</xdr:col>
                    <xdr:colOff>1813560</xdr:colOff>
                    <xdr:row>33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topLeftCell="C1" zoomScale="70" zoomScaleNormal="70" workbookViewId="0">
      <selection activeCell="F8" sqref="F8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353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91"/>
      <c r="C2" s="492"/>
      <c r="D2" s="492"/>
      <c r="E2" s="492" t="s">
        <v>0</v>
      </c>
      <c r="F2" s="492"/>
      <c r="G2" s="492"/>
      <c r="H2" s="492"/>
      <c r="I2" s="492"/>
      <c r="J2" s="493" t="s">
        <v>878</v>
      </c>
      <c r="L2" s="1950" t="s">
        <v>76</v>
      </c>
      <c r="M2" s="1951"/>
      <c r="O2" s="783"/>
      <c r="P2" s="1918" t="s">
        <v>736</v>
      </c>
      <c r="Q2" s="1918"/>
      <c r="R2" s="1918"/>
      <c r="S2" s="1918"/>
      <c r="T2" s="1918"/>
      <c r="U2" s="784"/>
      <c r="V2" s="179"/>
      <c r="W2" s="58"/>
      <c r="X2" s="58"/>
    </row>
    <row r="3" spans="2:24" ht="15.6" x14ac:dyDescent="0.3">
      <c r="B3" s="501" t="s">
        <v>1</v>
      </c>
      <c r="C3" s="69"/>
      <c r="D3" s="495"/>
      <c r="E3" s="495"/>
      <c r="F3" s="1407"/>
      <c r="G3" s="495"/>
      <c r="H3" s="495"/>
      <c r="I3" s="1351" t="s">
        <v>371</v>
      </c>
      <c r="J3" s="497" t="str">
        <f>IF(M18=0,"",VLOOKUP(M18,Втулки1[],3,0))</f>
        <v/>
      </c>
      <c r="L3" s="1888" t="s">
        <v>245</v>
      </c>
      <c r="M3" s="1298">
        <v>690</v>
      </c>
      <c r="O3" s="825" t="s">
        <v>817</v>
      </c>
      <c r="P3" s="942">
        <v>1</v>
      </c>
      <c r="Q3" s="942">
        <v>2</v>
      </c>
      <c r="R3" s="942">
        <v>3</v>
      </c>
      <c r="S3" s="943">
        <v>4</v>
      </c>
      <c r="T3" s="781" t="s">
        <v>671</v>
      </c>
      <c r="U3" s="781"/>
      <c r="V3" s="1650"/>
      <c r="W3" s="58"/>
      <c r="X3" s="58"/>
    </row>
    <row r="4" spans="2:24" ht="16.2" thickBot="1" x14ac:dyDescent="0.35">
      <c r="B4" s="494" t="s">
        <v>2</v>
      </c>
      <c r="C4" s="57"/>
      <c r="D4" s="336"/>
      <c r="E4" s="336"/>
      <c r="F4" s="1408"/>
      <c r="G4" s="336"/>
      <c r="H4" s="336"/>
      <c r="I4" s="897" t="s">
        <v>606</v>
      </c>
      <c r="J4" s="866" t="str">
        <f ca="1">M20&amp;"/"&amp;M21&amp;"x"&amp;M23&amp;"/"&amp;M24</f>
        <v>742/650x142/830</v>
      </c>
      <c r="L4" s="117" t="s">
        <v>246</v>
      </c>
      <c r="M4" s="59">
        <v>600</v>
      </c>
      <c r="O4" s="779"/>
      <c r="P4" s="1348">
        <v>0</v>
      </c>
      <c r="Q4" s="1348">
        <v>0</v>
      </c>
      <c r="R4" s="1348">
        <v>280</v>
      </c>
      <c r="S4" s="10">
        <v>70</v>
      </c>
      <c r="T4" s="1394">
        <f>SUM(P4:S4)</f>
        <v>350</v>
      </c>
      <c r="U4" s="781"/>
      <c r="V4" s="1651"/>
      <c r="W4" s="58"/>
      <c r="X4" s="58"/>
    </row>
    <row r="5" spans="2:24" ht="16.2" thickBot="1" x14ac:dyDescent="0.35">
      <c r="B5" s="494" t="s">
        <v>3</v>
      </c>
      <c r="C5" s="57"/>
      <c r="D5" s="336"/>
      <c r="E5" s="336"/>
      <c r="F5" s="529"/>
      <c r="G5" s="336"/>
      <c r="H5" s="336"/>
      <c r="I5" s="336" t="s">
        <v>917</v>
      </c>
      <c r="J5" s="498"/>
      <c r="L5" s="599" t="s">
        <v>247</v>
      </c>
      <c r="M5" s="59">
        <v>550</v>
      </c>
      <c r="O5" s="779"/>
      <c r="P5" s="786">
        <f ca="1">P4/T4*T5</f>
        <v>0</v>
      </c>
      <c r="Q5" s="786">
        <f ca="1">Q4/T4*T5</f>
        <v>0</v>
      </c>
      <c r="R5" s="786">
        <f ca="1">R4/T4*T5</f>
        <v>721.6</v>
      </c>
      <c r="S5" s="826">
        <f ca="1">S4/T4*T5</f>
        <v>180.4</v>
      </c>
      <c r="T5" s="1395">
        <f ca="1">F10</f>
        <v>902</v>
      </c>
      <c r="U5" s="485" t="s">
        <v>838</v>
      </c>
      <c r="V5" s="1651"/>
      <c r="W5" s="58"/>
      <c r="X5" s="58"/>
    </row>
    <row r="6" spans="2:24" ht="16.2" thickBot="1" x14ac:dyDescent="0.35">
      <c r="B6" s="512" t="s">
        <v>7</v>
      </c>
      <c r="C6" s="63"/>
      <c r="D6" s="513"/>
      <c r="E6" s="513"/>
      <c r="F6" s="1295"/>
      <c r="G6" s="513"/>
      <c r="H6" s="513"/>
      <c r="I6" s="1354">
        <f ca="1">R20</f>
        <v>510</v>
      </c>
      <c r="J6" s="1353">
        <f ca="1">_xlfn.CEILING.MATH(G25+E21/0.985+C21/0.985,5)</f>
        <v>1205</v>
      </c>
      <c r="L6" s="117" t="s">
        <v>248</v>
      </c>
      <c r="M6" s="59">
        <v>40</v>
      </c>
      <c r="O6" s="779"/>
      <c r="P6" s="786">
        <f ca="1">P4/T4*T6</f>
        <v>0</v>
      </c>
      <c r="Q6" s="786">
        <f ca="1">Q4/T4*T6</f>
        <v>0</v>
      </c>
      <c r="R6" s="786">
        <f ca="1">R4/T4*T6</f>
        <v>1432.8000000000002</v>
      </c>
      <c r="S6" s="826">
        <f ca="1">S4/T4*T6</f>
        <v>358.20000000000005</v>
      </c>
      <c r="T6" s="1395">
        <f ca="1">F14</f>
        <v>1791</v>
      </c>
      <c r="U6" s="485" t="s">
        <v>837</v>
      </c>
      <c r="V6" s="1651"/>
      <c r="W6" s="58"/>
      <c r="X6" s="58"/>
    </row>
    <row r="7" spans="2:24" ht="16.2" thickBot="1" x14ac:dyDescent="0.35">
      <c r="B7" s="501"/>
      <c r="C7" s="69"/>
      <c r="D7" s="495"/>
      <c r="E7" s="495"/>
      <c r="F7" s="1409"/>
      <c r="G7" s="495"/>
      <c r="H7" s="495"/>
      <c r="I7" s="495"/>
      <c r="J7" s="502"/>
      <c r="L7" s="117" t="s">
        <v>249</v>
      </c>
      <c r="M7" s="59">
        <v>740</v>
      </c>
      <c r="O7" s="780"/>
      <c r="P7" s="787">
        <f ca="1">P4/T4*T7</f>
        <v>0</v>
      </c>
      <c r="Q7" s="787">
        <f ca="1">Q4/T4*T7</f>
        <v>0</v>
      </c>
      <c r="R7" s="787">
        <f ca="1">R4/T4*T7</f>
        <v>1490.4</v>
      </c>
      <c r="S7" s="827">
        <f ca="1">S4/T4*T7</f>
        <v>372.6</v>
      </c>
      <c r="T7" s="1393">
        <f ca="1">F16</f>
        <v>1863</v>
      </c>
      <c r="U7" s="485" t="s">
        <v>815</v>
      </c>
      <c r="V7" s="1651"/>
      <c r="W7" s="58"/>
      <c r="X7" s="58"/>
    </row>
    <row r="8" spans="2:24" ht="15.6" x14ac:dyDescent="0.3">
      <c r="B8" s="494" t="s">
        <v>13</v>
      </c>
      <c r="C8" s="57"/>
      <c r="D8" s="336"/>
      <c r="E8" s="336"/>
      <c r="F8" s="529" t="s">
        <v>29</v>
      </c>
      <c r="G8" s="336"/>
      <c r="H8" s="336"/>
      <c r="I8" s="336" t="s">
        <v>1016</v>
      </c>
      <c r="J8" s="504">
        <f ca="1">F9/F14</f>
        <v>0.16806253489670575</v>
      </c>
      <c r="L8" s="117" t="s">
        <v>16</v>
      </c>
      <c r="M8" s="151">
        <f>ROUNDUP(((M3*M3-M5*M5)*3.1415926*M6*M16+(M4*M4-M5*M5)*(M7-M6)*M16*3.1415926)/4000000,1)</f>
        <v>300.3</v>
      </c>
      <c r="O8" s="58"/>
      <c r="P8" s="1651"/>
      <c r="Q8" s="1651"/>
      <c r="R8" s="1648"/>
      <c r="S8" s="1651"/>
      <c r="T8" s="1651"/>
      <c r="U8" s="1651"/>
      <c r="V8" s="1651"/>
      <c r="W8" s="58"/>
      <c r="X8" s="58"/>
    </row>
    <row r="9" spans="2:24" ht="16.2" thickBot="1" x14ac:dyDescent="0.35">
      <c r="B9" s="494" t="s">
        <v>16</v>
      </c>
      <c r="C9" s="57"/>
      <c r="D9" s="336"/>
      <c r="E9" s="336"/>
      <c r="F9" s="505">
        <f>IF(M9&lt;&gt;0,M9,IF(M8&lt;100,ROUNDUP(M8,1),ROUNDUP(M8,0)))</f>
        <v>301</v>
      </c>
      <c r="G9" s="506"/>
      <c r="H9" s="336"/>
      <c r="I9" s="336"/>
      <c r="J9" s="504"/>
      <c r="L9" s="1889" t="s">
        <v>1140</v>
      </c>
      <c r="M9" s="68"/>
      <c r="O9" s="1940" t="s">
        <v>1165</v>
      </c>
      <c r="P9" s="1941"/>
      <c r="Q9" s="1942"/>
      <c r="R9" s="1685">
        <f t="array" aca="1" ref="R9" ca="1">MIN(IF(Втулки1[Диаметр]:Втулки1[Диаметр]&gt;=M20,Втулки1[Диаметр]))</f>
        <v>775</v>
      </c>
      <c r="S9" s="1651"/>
      <c r="T9" s="1651"/>
      <c r="U9" s="1651"/>
      <c r="V9" s="1651"/>
      <c r="W9" s="58"/>
      <c r="X9" s="58"/>
    </row>
    <row r="10" spans="2:24" ht="15.6" x14ac:dyDescent="0.3">
      <c r="B10" s="494" t="s">
        <v>18</v>
      </c>
      <c r="C10" s="57"/>
      <c r="D10" s="336"/>
      <c r="E10" s="336"/>
      <c r="F10" s="507">
        <f ca="1">M28</f>
        <v>902</v>
      </c>
      <c r="G10" s="1267"/>
      <c r="H10" s="336"/>
      <c r="I10" s="336" t="s">
        <v>19</v>
      </c>
      <c r="J10" s="504">
        <f ca="1">F9/F16</f>
        <v>0.16156736446591519</v>
      </c>
      <c r="L10" s="1952" t="s">
        <v>807</v>
      </c>
      <c r="M10" s="1953"/>
      <c r="O10" s="1849" t="s">
        <v>2027</v>
      </c>
      <c r="P10" s="1847" t="s">
        <v>673</v>
      </c>
      <c r="Q10" s="1847" t="s">
        <v>1206</v>
      </c>
      <c r="R10" s="1847" t="s">
        <v>248</v>
      </c>
      <c r="S10" s="1898" t="s">
        <v>1207</v>
      </c>
      <c r="T10" s="1898" t="s">
        <v>1208</v>
      </c>
      <c r="U10" s="1651"/>
      <c r="V10" s="1651"/>
      <c r="W10" s="58"/>
      <c r="X10" s="58"/>
    </row>
    <row r="11" spans="2:24" ht="15.6" x14ac:dyDescent="0.3">
      <c r="B11" s="494" t="s">
        <v>72</v>
      </c>
      <c r="C11" s="57"/>
      <c r="D11" s="336"/>
      <c r="E11" s="336"/>
      <c r="F11" s="505">
        <f ca="1">ROUNDUP(F10/F18,0)</f>
        <v>902</v>
      </c>
      <c r="G11" s="1267"/>
      <c r="H11" s="336"/>
      <c r="I11" s="336"/>
      <c r="J11" s="504"/>
      <c r="L11" s="1662" t="s">
        <v>1163</v>
      </c>
      <c r="M11" s="1663" t="str">
        <f ca="1">Данные!I335</f>
        <v xml:space="preserve">20 </v>
      </c>
      <c r="O11" s="1670">
        <f ca="1">IFERROR(INDEX(Втулки1[],MATCH($R$9,Втулки1[Диаметр],0)-4,1),"")</f>
        <v>71</v>
      </c>
      <c r="P11" s="1670" t="str">
        <f ca="1">IFERROR(INDEX(Втулки1[],MATCH($R$9,Втулки1[Диаметр],0)-4,3),"")</f>
        <v>4258.97.05</v>
      </c>
      <c r="Q11" s="1670">
        <f ca="1">IFERROR(INDEX(Втулки1[],MATCH($R$9,Втулки1[Диаметр],0)-4,4),"")</f>
        <v>0</v>
      </c>
      <c r="R11" s="1670">
        <f ca="1">IFERROR(INDEX(Втулки1[],MATCH($R$9,Втулки1[Диаметр],0)-4,6),"")</f>
        <v>0</v>
      </c>
      <c r="S11" s="1670">
        <f ca="1">IFERROR(INDEX(Втулки1[],MATCH($R$9,Втулки1[Диаметр],0)-4,7),"")</f>
        <v>740</v>
      </c>
      <c r="T11" s="1670">
        <f ca="1">IFERROR(INDEX(Втулки1[],MATCH($R$9,Втулки1[Диаметр],0)-4,9),"")</f>
        <v>250</v>
      </c>
      <c r="U11" s="1651"/>
      <c r="V11" s="1651"/>
      <c r="W11" s="58"/>
      <c r="X11" s="58"/>
    </row>
    <row r="12" spans="2:24" ht="15.6" x14ac:dyDescent="0.3">
      <c r="B12" s="1296" t="s">
        <v>20</v>
      </c>
      <c r="C12" s="57"/>
      <c r="D12" s="336"/>
      <c r="E12" s="336"/>
      <c r="F12" s="505">
        <f ca="1">M29</f>
        <v>820</v>
      </c>
      <c r="G12" s="1267"/>
      <c r="H12" s="336"/>
      <c r="I12" s="336"/>
      <c r="J12" s="504"/>
      <c r="L12" s="1664" t="s">
        <v>1162</v>
      </c>
      <c r="M12" s="1665" t="str">
        <f ca="1">Данные!E335</f>
        <v xml:space="preserve">20 </v>
      </c>
      <c r="O12" s="1670">
        <f ca="1">IFERROR(INDEX(Втулки1[],MATCH($R$9,Втулки1[Диаметр],0)-3,1),"")</f>
        <v>72</v>
      </c>
      <c r="P12" s="1670" t="str">
        <f ca="1">IFERROR(INDEX(Втулки1[],MATCH($R$9,Втулки1[Диаметр],0)-3,3),"")</f>
        <v>3536.06.00.002</v>
      </c>
      <c r="Q12" s="1670">
        <f ca="1">IFERROR(INDEX(Втулки1[],MATCH($R$9,Втулки1[Диаметр],0)-3,4),"")</f>
        <v>0</v>
      </c>
      <c r="R12" s="1670">
        <f ca="1">IFERROR(INDEX(Втулки1[],MATCH($R$9,Втулки1[Диаметр],0)-3,6),"")</f>
        <v>0</v>
      </c>
      <c r="S12" s="1670">
        <f ca="1">IFERROR(INDEX(Втулки1[],MATCH($R$9,Втулки1[Диаметр],0)-3,7),"")</f>
        <v>740</v>
      </c>
      <c r="T12" s="1670">
        <f ca="1">IFERROR(INDEX(Втулки1[],MATCH($R$9,Втулки1[Диаметр],0)-3,9),"")</f>
        <v>660</v>
      </c>
      <c r="U12" s="1651"/>
      <c r="V12" s="1651"/>
      <c r="W12" s="58"/>
      <c r="X12" s="58"/>
    </row>
    <row r="13" spans="2:24" ht="15.6" x14ac:dyDescent="0.3">
      <c r="B13" s="494" t="s">
        <v>310</v>
      </c>
      <c r="C13" s="57"/>
      <c r="D13" s="336"/>
      <c r="E13" s="336"/>
      <c r="F13" s="505">
        <f ca="1">ROUNDUP(M30,0)</f>
        <v>69</v>
      </c>
      <c r="G13" s="1267"/>
      <c r="H13" s="336"/>
      <c r="I13" s="336"/>
      <c r="J13" s="498"/>
      <c r="L13" s="1666" t="s">
        <v>1079</v>
      </c>
      <c r="M13" s="1663" t="str">
        <f ca="1">Данные!F335</f>
        <v xml:space="preserve"> 20 </v>
      </c>
      <c r="O13" s="1670">
        <f ca="1">IFERROR(INDEX(Втулки1[],MATCH($R$9,Втулки1[Диаметр],0)-2,1),"")</f>
        <v>73</v>
      </c>
      <c r="P13" s="1670">
        <f ca="1">IFERROR(INDEX(Втулки1[],MATCH($R$9,Втулки1[Диаметр],0)-2,3),"")</f>
        <v>0</v>
      </c>
      <c r="Q13" s="1670">
        <f ca="1">IFERROR(INDEX(Втулки1[],MATCH($R$9,Втулки1[Диаметр],0)-2,4),"")</f>
        <v>0</v>
      </c>
      <c r="R13" s="1670">
        <f ca="1">IFERROR(INDEX(Втулки1[],MATCH($R$9,Втулки1[Диаметр],0)-2,6),"")</f>
        <v>0</v>
      </c>
      <c r="S13" s="1670">
        <f ca="1">IFERROR(INDEX(Втулки1[],MATCH($R$9,Втулки1[Диаметр],0)-2,7),"")</f>
        <v>745</v>
      </c>
      <c r="T13" s="1670">
        <f ca="1">IFERROR(INDEX(Втулки1[],MATCH($R$9,Втулки1[Диаметр],0)-2,9),"")</f>
        <v>700</v>
      </c>
      <c r="U13" s="1651"/>
      <c r="V13" s="1651"/>
      <c r="W13" s="58"/>
      <c r="X13" s="58"/>
    </row>
    <row r="14" spans="2:24" ht="15.6" x14ac:dyDescent="0.3">
      <c r="B14" s="494" t="s">
        <v>23</v>
      </c>
      <c r="C14" s="57"/>
      <c r="D14" s="336"/>
      <c r="E14" s="336"/>
      <c r="F14" s="505">
        <f ca="1">F10+F12+F13</f>
        <v>1791</v>
      </c>
      <c r="G14" s="1267"/>
      <c r="H14" s="336"/>
      <c r="I14" s="336"/>
      <c r="J14" s="498"/>
      <c r="L14" s="1666" t="s">
        <v>1080</v>
      </c>
      <c r="M14" s="1663" t="str">
        <f ca="1">Данные!G335</f>
        <v xml:space="preserve"> 20</v>
      </c>
      <c r="N14" s="58"/>
      <c r="O14" s="1670">
        <f ca="1">IFERROR(INDEX(Втулки1[],MATCH($R$9,Втулки1[Диаметр],0)-1,1),"")</f>
        <v>74</v>
      </c>
      <c r="P14" s="1670" t="str">
        <f ca="1">IFERROR(INDEX(Втулки1[],MATCH($R$9,Втулки1[Диаметр],0)-1,3),"")</f>
        <v>1275.01.329-2</v>
      </c>
      <c r="Q14" s="1670">
        <f ca="1">IFERROR(INDEX(Втулки1[],MATCH($R$9,Втулки1[Диаметр],0)-1,4),"")</f>
        <v>0</v>
      </c>
      <c r="R14" s="1670">
        <f ca="1">IFERROR(INDEX(Втулки1[],MATCH($R$9,Втулки1[Диаметр],0)-1,6),"")</f>
        <v>0</v>
      </c>
      <c r="S14" s="1670">
        <f ca="1">IFERROR(INDEX(Втулки1[],MATCH($R$9,Втулки1[Диаметр],0)-1,7),"")</f>
        <v>745</v>
      </c>
      <c r="T14" s="1670">
        <f ca="1">IFERROR(INDEX(Втулки1[],MATCH($R$9,Втулки1[Диаметр],0)-1,9),"")</f>
        <v>1460</v>
      </c>
      <c r="U14" s="1651"/>
      <c r="V14" s="1651"/>
      <c r="W14" s="58"/>
      <c r="X14" s="58"/>
    </row>
    <row r="15" spans="2:24" ht="16.2" thickBot="1" x14ac:dyDescent="0.35">
      <c r="B15" s="494" t="s">
        <v>25</v>
      </c>
      <c r="C15" s="57"/>
      <c r="D15" s="336"/>
      <c r="E15" s="336"/>
      <c r="F15" s="505">
        <f ca="1">ROUNDUP(F14/F18,0)</f>
        <v>1791</v>
      </c>
      <c r="G15" s="1267"/>
      <c r="H15" s="336"/>
      <c r="I15" s="336"/>
      <c r="J15" s="510"/>
      <c r="L15" s="1667" t="s">
        <v>1021</v>
      </c>
      <c r="M15" s="1668">
        <f>IF(AND(M16&gt;=8.7,F8&lt;&gt;"БрО10Ф1"),40,37)</f>
        <v>37</v>
      </c>
      <c r="N15" s="58"/>
      <c r="O15" s="1781">
        <f ca="1">IFERROR(INDEX(Втулки1[],MATCH($R$9,Втулки1[Диаметр],0),1),"")</f>
        <v>75</v>
      </c>
      <c r="P15" s="1781" t="str">
        <f ca="1">IFERROR(INDEX(Втулки1[],MATCH($R$9,Втулки1[Диаметр],0),3),"")</f>
        <v xml:space="preserve"> 9633.01.11</v>
      </c>
      <c r="Q15" s="1781">
        <f ca="1">IFERROR(INDEX(Втулки1[],MATCH($R$9,Втулки1[Диаметр],0),4),"")</f>
        <v>775</v>
      </c>
      <c r="R15" s="1781">
        <f ca="1">IFERROR(INDEX(Втулки1[],MATCH($R$9,Втулки1[Диаметр],0),6),"")</f>
        <v>120</v>
      </c>
      <c r="S15" s="1781">
        <f ca="1">IFERROR(INDEX(Втулки1[],MATCH($R$9,Втулки1[Диаметр],0),7),"")</f>
        <v>750</v>
      </c>
      <c r="T15" s="1781">
        <f ca="1">IFERROR(INDEX(Втулки1[],MATCH($R$9,Втулки1[Диаметр],0),9),"")</f>
        <v>490</v>
      </c>
      <c r="U15" s="58"/>
      <c r="V15" s="58"/>
      <c r="W15" s="58"/>
      <c r="X15" s="58"/>
    </row>
    <row r="16" spans="2:24" ht="16.2" thickBot="1" x14ac:dyDescent="0.35">
      <c r="B16" s="494" t="s">
        <v>28</v>
      </c>
      <c r="C16" s="57"/>
      <c r="D16" s="336"/>
      <c r="E16" s="336"/>
      <c r="F16" s="505">
        <f ca="1">ROUND(F14*1.04,0)</f>
        <v>1863</v>
      </c>
      <c r="G16" s="1267"/>
      <c r="H16" s="336"/>
      <c r="I16" s="336"/>
      <c r="J16" s="510"/>
      <c r="L16" s="1890" t="s">
        <v>9</v>
      </c>
      <c r="M16" s="1891">
        <f>VLOOKUP(F8,Марка_металла[],9,FALSE())</f>
        <v>8.1</v>
      </c>
      <c r="N16" s="1321"/>
      <c r="O16" s="1670">
        <f ca="1">IFERROR(INDEX(Втулки1[],MATCH($R$9,Втулки1[Диаметр],0)+1,1),"")</f>
        <v>76</v>
      </c>
      <c r="P16" s="1670">
        <f ca="1">IFERROR(INDEX(Втулки1[],MATCH($R$9,Втулки1[Диаметр],0)+1,3),"")</f>
        <v>0</v>
      </c>
      <c r="Q16" s="1670">
        <f ca="1">IFERROR(INDEX(Втулки1[],MATCH($R$9,Втулки1[Диаметр],0)+1,4),"")</f>
        <v>0</v>
      </c>
      <c r="R16" s="1670">
        <f ca="1">IFERROR(INDEX(Втулки1[],MATCH($R$9,Втулки1[Диаметр],0)+1,6),"")</f>
        <v>0</v>
      </c>
      <c r="S16" s="1670">
        <f ca="1">IFERROR(INDEX(Втулки1[],MATCH($R$9,Втулки1[Диаметр],0)+1,7),"")</f>
        <v>765</v>
      </c>
      <c r="T16" s="1670">
        <f ca="1">IFERROR(INDEX(Втулки1[],MATCH($R$9,Втулки1[Диаметр],0)+1,9),"")</f>
        <v>170</v>
      </c>
      <c r="U16" s="179"/>
      <c r="V16" s="179"/>
      <c r="W16" s="179"/>
      <c r="X16" s="58"/>
    </row>
    <row r="17" spans="2:24" ht="16.2" thickBot="1" x14ac:dyDescent="0.35">
      <c r="B17" s="494" t="s">
        <v>30</v>
      </c>
      <c r="C17" s="57"/>
      <c r="D17" s="336"/>
      <c r="E17" s="336"/>
      <c r="F17" s="511">
        <f ca="1">ROUNDUP(F16/F18,0)</f>
        <v>1863</v>
      </c>
      <c r="G17" s="336"/>
      <c r="H17" s="336"/>
      <c r="I17" s="336"/>
      <c r="J17" s="510"/>
      <c r="L17" s="1892" t="s">
        <v>371</v>
      </c>
      <c r="M17" s="1893"/>
      <c r="N17" s="58"/>
      <c r="O17" s="1670">
        <f ca="1">IFERROR(INDEX(Втулки1[],MATCH($R$9,Втулки1[Диаметр],0)+2,1),"")</f>
        <v>77</v>
      </c>
      <c r="P17" s="1670" t="str">
        <f ca="1">IFERROR(INDEX(Втулки1[],MATCH($R$9,Втулки1[Диаметр],0)+2,3),"")</f>
        <v xml:space="preserve"> 9632.01.10</v>
      </c>
      <c r="Q17" s="1670">
        <f ca="1">IFERROR(INDEX(Втулки1[],MATCH($R$9,Втулки1[Диаметр],0)+2,4),"")</f>
        <v>0</v>
      </c>
      <c r="R17" s="1670">
        <f ca="1">IFERROR(INDEX(Втулки1[],MATCH($R$9,Втулки1[Диаметр],0)+2,6),"")</f>
        <v>0</v>
      </c>
      <c r="S17" s="1670">
        <f ca="1">IFERROR(INDEX(Втулки1[],MATCH($R$9,Втулки1[Диаметр],0)+2,7),"")</f>
        <v>770</v>
      </c>
      <c r="T17" s="1670">
        <f ca="1">IFERROR(INDEX(Втулки1[],MATCH($R$9,Втулки1[Диаметр],0)+2,9),"")</f>
        <v>190</v>
      </c>
      <c r="U17" s="1647"/>
      <c r="V17" s="1648"/>
      <c r="W17" s="1654"/>
      <c r="X17" s="58"/>
    </row>
    <row r="18" spans="2:24" ht="15.6" x14ac:dyDescent="0.3">
      <c r="B18" s="494" t="s">
        <v>32</v>
      </c>
      <c r="C18" s="57"/>
      <c r="D18" s="336"/>
      <c r="E18" s="336"/>
      <c r="F18" s="1258">
        <v>1</v>
      </c>
      <c r="G18" s="336"/>
      <c r="H18" s="336"/>
      <c r="I18" s="336"/>
      <c r="J18" s="510"/>
      <c r="L18" s="1884" t="s">
        <v>1465</v>
      </c>
      <c r="M18" s="1885"/>
      <c r="N18" s="58"/>
      <c r="O18" s="1670">
        <f ca="1">IFERROR(INDEX(Втулки1[],MATCH($R$9,Втулки1[Диаметр],0)+3,1),"")</f>
        <v>78</v>
      </c>
      <c r="P18" s="1670">
        <f ca="1">IFERROR(INDEX(Втулки1[],MATCH($R$9,Втулки1[Диаметр],0)+3,3),"")</f>
        <v>0</v>
      </c>
      <c r="Q18" s="1670">
        <f ca="1">IFERROR(INDEX(Втулки1[],MATCH($R$9,Втулки1[Диаметр],0)+3,4),"")</f>
        <v>810</v>
      </c>
      <c r="R18" s="1670">
        <f ca="1">IFERROR(INDEX(Втулки1[],MATCH($R$9,Втулки1[Диаметр],0)+3,6),"")</f>
        <v>180</v>
      </c>
      <c r="S18" s="1670">
        <f ca="1">IFERROR(INDEX(Втулки1[],MATCH($R$9,Втулки1[Диаметр],0)+3,7),"")</f>
        <v>770</v>
      </c>
      <c r="T18" s="1670">
        <f ca="1">IFERROR(INDEX(Втулки1[],MATCH($R$9,Втулки1[Диаметр],0)+3,9),"")</f>
        <v>550</v>
      </c>
      <c r="U18" s="1647"/>
      <c r="V18" s="1648"/>
      <c r="W18" s="1647"/>
      <c r="X18" s="58"/>
    </row>
    <row r="19" spans="2:24" ht="16.2" thickBot="1" x14ac:dyDescent="0.35">
      <c r="B19" s="512" t="s">
        <v>34</v>
      </c>
      <c r="C19" s="63"/>
      <c r="D19" s="513"/>
      <c r="E19" s="513"/>
      <c r="F19" s="514">
        <v>1</v>
      </c>
      <c r="G19" s="513"/>
      <c r="H19" s="513"/>
      <c r="I19" s="513"/>
      <c r="J19" s="515"/>
      <c r="L19" s="1886" t="s">
        <v>1941</v>
      </c>
      <c r="M19" s="1887"/>
      <c r="N19" s="58"/>
      <c r="O19" s="58"/>
      <c r="P19" s="1648"/>
      <c r="Q19" s="1656"/>
      <c r="R19" s="1648"/>
      <c r="S19" s="1647"/>
      <c r="T19" s="1648"/>
      <c r="U19" s="1647"/>
      <c r="V19" s="1648"/>
      <c r="W19" s="1647"/>
      <c r="X19" s="58"/>
    </row>
    <row r="20" spans="2:24" ht="15.6" x14ac:dyDescent="0.3">
      <c r="B20" s="494" t="s">
        <v>816</v>
      </c>
      <c r="C20" s="516" t="s">
        <v>209</v>
      </c>
      <c r="D20" s="336"/>
      <c r="E20" s="336" t="str">
        <f ca="1">"     Формовочный уклон "&amp;Данные!F32</f>
        <v xml:space="preserve">     Формовочный уклон 6</v>
      </c>
      <c r="F20" s="336"/>
      <c r="G20" s="336"/>
      <c r="H20" s="336" t="str">
        <f ca="1">"Радиус скугления прибыли "&amp;ROUND(D23/0.89,0)</f>
        <v>Радиус скугления прибыли 47</v>
      </c>
      <c r="I20" s="517"/>
      <c r="J20" s="518"/>
      <c r="L20" s="1882" t="s">
        <v>245</v>
      </c>
      <c r="M20" s="1883">
        <f ca="1">IF(M18=0,ROUNDUP((M3+M12*2)/0.985,0),VLOOKUP(M18,Втулки1[],4,0))</f>
        <v>742</v>
      </c>
      <c r="N20" s="58"/>
      <c r="P20" s="1940" t="s">
        <v>1174</v>
      </c>
      <c r="Q20" s="1942"/>
      <c r="R20" s="1895">
        <f t="array" aca="1" ref="R20" ca="1">MAX(IF(Ст_ящики[Диаметр]:Ст_ящики[Диаметр]&lt;=M22,Ст_ящики[Диаметр]))</f>
        <v>510</v>
      </c>
      <c r="S20" s="1648"/>
      <c r="T20" s="1648"/>
      <c r="U20" s="1647"/>
      <c r="V20" s="1648"/>
      <c r="W20" s="1647"/>
      <c r="X20" s="58"/>
    </row>
    <row r="21" spans="2:24" ht="15.6" x14ac:dyDescent="0.3">
      <c r="B21" s="494"/>
      <c r="C21" s="516">
        <f ca="1">ROUNDUP(M25*0.985,0)</f>
        <v>286</v>
      </c>
      <c r="D21" s="516"/>
      <c r="E21" s="1352">
        <f ca="1">ROUNDUP(M24*0.985,0)</f>
        <v>818</v>
      </c>
      <c r="F21" s="1352" t="str">
        <f ca="1">"( для модели  "&amp;M24&amp;" )"</f>
        <v>( для модели  830 )</v>
      </c>
      <c r="G21" s="1352"/>
      <c r="H21" s="1352"/>
      <c r="I21" s="517"/>
      <c r="J21" s="518"/>
      <c r="L21" s="118" t="s">
        <v>246</v>
      </c>
      <c r="M21" s="1355">
        <f ca="1">IF(M18=0,ROUNDUP((M4+M11*2)/0.985,0),VLOOKUP(M18,Втулки1[],7,0))</f>
        <v>650</v>
      </c>
      <c r="N21" s="58"/>
      <c r="O21" s="1897" t="s">
        <v>2027</v>
      </c>
      <c r="P21" s="1847" t="s">
        <v>673</v>
      </c>
      <c r="Q21" s="1847" t="s">
        <v>192</v>
      </c>
      <c r="R21" s="1847" t="s">
        <v>79</v>
      </c>
      <c r="S21" s="1896" t="s">
        <v>1176</v>
      </c>
      <c r="T21" s="1648"/>
      <c r="U21" s="1648"/>
      <c r="V21" s="1647"/>
      <c r="W21" s="1647"/>
      <c r="X21" s="58"/>
    </row>
    <row r="22" spans="2:24" ht="15.6" x14ac:dyDescent="0.3">
      <c r="B22" s="494"/>
      <c r="C22" s="1352"/>
      <c r="D22" s="1352"/>
      <c r="E22" s="1726" t="str">
        <f>"( "&amp;M7&amp;" )"</f>
        <v>( 740 )</v>
      </c>
      <c r="F22" s="1352"/>
      <c r="G22" s="1352"/>
      <c r="H22" s="1352"/>
      <c r="I22" s="517"/>
      <c r="J22" s="1183"/>
      <c r="L22" s="118" t="s">
        <v>247</v>
      </c>
      <c r="M22" s="1355">
        <f ca="1">IF(M19=0,ROUNDDOWN((M5-M14*2)/0.994,0),VLOOKUP(M19,Ст_ящики[],3,0))</f>
        <v>513</v>
      </c>
      <c r="N22" s="58"/>
      <c r="O22" s="1894">
        <f ca="1">IFERROR(INDEX(Ст_ящики[],MATCH($R$20,Ст_ящики[Диаметр],0)-4,1),"")</f>
        <v>31</v>
      </c>
      <c r="P22" s="1894" t="str">
        <f ca="1">IFERROR(INDEX(Ст_ящики[],MATCH($R$20,Ст_ящики[Диаметр],0)-4,2),"")</f>
        <v>3536.06.00.002</v>
      </c>
      <c r="Q22" s="1894">
        <f ca="1">IFERROR(INDEX(Ст_ящики[],MATCH($R$20,Ст_ящики[Диаметр],0)-4,3),"")</f>
        <v>470</v>
      </c>
      <c r="R22" s="1894">
        <f ca="1">IFERROR(INDEX(Ст_ящики[],MATCH($R$20,Ст_ящики[Диаметр],0)-4,4),"")</f>
        <v>1030</v>
      </c>
      <c r="S22" s="1899">
        <f ca="1">IFERROR(INDEX(Ст_ящики[],MATCH($R$20,Ст_ящики[Диаметр],0)-4,5),"")</f>
        <v>80</v>
      </c>
      <c r="T22" s="1648"/>
      <c r="U22" s="1648"/>
      <c r="V22" s="1647"/>
      <c r="W22" s="1647"/>
      <c r="X22" s="58"/>
    </row>
    <row r="23" spans="2:24" ht="15.6" x14ac:dyDescent="0.3">
      <c r="B23" s="494"/>
      <c r="C23" s="1352"/>
      <c r="D23" s="1684">
        <f ca="1">IF(M18=0,ROUNDUP(M27/2.7,0),(VLOOKUP(M18,Втулки1[],10,0)-(2*VLOOKUP(M18,Втулки1[],5,0)+VLOOKUP(M18,Втулки1[],4,0)))/2)</f>
        <v>42</v>
      </c>
      <c r="E23" s="1352"/>
      <c r="F23" s="1352"/>
      <c r="G23" s="1352"/>
      <c r="H23" s="1352"/>
      <c r="I23" s="496"/>
      <c r="J23" s="647"/>
      <c r="L23" s="118" t="s">
        <v>248</v>
      </c>
      <c r="M23" s="1355">
        <f ca="1">IF(M18=0,ROUNDUP((M6+M13+M12)/0.985+60,0),VLOOKUP(M18,Втулки1[],6,0))</f>
        <v>142</v>
      </c>
      <c r="N23" s="58"/>
      <c r="O23" s="1894">
        <f ca="1">IFERROR(INDEX(Ст_ящики[],MATCH($R$20,Ст_ящики[Диаметр],0)-3,1),"")</f>
        <v>32</v>
      </c>
      <c r="P23" s="1894" t="str">
        <f ca="1">IFERROR(INDEX(Ст_ящики[],MATCH($R$20,Ст_ящики[Диаметр],0)-3,2),"")</f>
        <v>1256.07.215/211</v>
      </c>
      <c r="Q23" s="1894">
        <f ca="1">IFERROR(INDEX(Ст_ящики[],MATCH($R$20,Ст_ящики[Диаметр],0)-3,3),"")</f>
        <v>480</v>
      </c>
      <c r="R23" s="1894">
        <f ca="1">IFERROR(INDEX(Ст_ящики[],MATCH($R$20,Ст_ящики[Диаметр],0)-3,4),"")</f>
        <v>900</v>
      </c>
      <c r="S23" s="1899">
        <f ca="1">IFERROR(INDEX(Ст_ящики[],MATCH($R$20,Ст_ящики[Диаметр],0)-3,5),"")</f>
        <v>80</v>
      </c>
      <c r="T23" s="1648"/>
      <c r="U23" s="1648"/>
      <c r="V23" s="1647"/>
      <c r="W23" s="1647"/>
      <c r="X23" s="58"/>
    </row>
    <row r="24" spans="2:24" ht="16.2" thickBot="1" x14ac:dyDescent="0.35">
      <c r="B24" s="494"/>
      <c r="C24" s="1352"/>
      <c r="D24" s="1352"/>
      <c r="E24" s="1352"/>
      <c r="F24" s="1352"/>
      <c r="G24" s="1352"/>
      <c r="H24" s="1352"/>
      <c r="I24" s="1191"/>
      <c r="J24" s="647"/>
      <c r="L24" s="1349" t="s">
        <v>249</v>
      </c>
      <c r="M24" s="1356">
        <f ca="1">IF(M18=0,ROUNDUP((M7+M11+M13+M15)/0.985,0),VLOOKUP(M18,Втулки1[],6,0)+VLOOKUP(M18,Втулки1[],9,0))</f>
        <v>830</v>
      </c>
      <c r="N24" s="58"/>
      <c r="O24" s="1894">
        <f ca="1">IFERROR(INDEX(Ст_ящики[],MATCH($R$20,Ст_ящики[Диаметр],0)-2,1),"")</f>
        <v>33</v>
      </c>
      <c r="P24" s="1894">
        <f ca="1">IFERROR(INDEX(Ст_ящики[],MATCH($R$20,Ст_ящики[Диаметр],0)-2,2),"")</f>
        <v>0</v>
      </c>
      <c r="Q24" s="1894">
        <f ca="1">IFERROR(INDEX(Ст_ящики[],MATCH($R$20,Ст_ящики[Диаметр],0)-2,3),"")</f>
        <v>485</v>
      </c>
      <c r="R24" s="1894">
        <f ca="1">IFERROR(INDEX(Ст_ящики[],MATCH($R$20,Ст_ящики[Диаметр],0)-2,4),"")</f>
        <v>1160</v>
      </c>
      <c r="S24" s="1899">
        <f ca="1">IFERROR(INDEX(Ст_ящики[],MATCH($R$20,Ст_ящики[Диаметр],0)-2,5),"")</f>
        <v>100</v>
      </c>
      <c r="T24" s="1652"/>
      <c r="U24" s="1648"/>
      <c r="V24" s="1647"/>
      <c r="W24" s="1647"/>
      <c r="X24" s="58"/>
    </row>
    <row r="25" spans="2:24" ht="15.6" x14ac:dyDescent="0.3">
      <c r="B25" s="494"/>
      <c r="C25" s="1352"/>
      <c r="D25" s="1352"/>
      <c r="E25" s="1352"/>
      <c r="F25" s="1352"/>
      <c r="G25" s="1352">
        <f ca="1">IF(M19=0,_xlfn.IFS(M21&lt;1000,80,M21&lt;1200,100,M21&gt;=1200,120),VLOOKUP(M19,Ст_ящики[],5,0))</f>
        <v>80</v>
      </c>
      <c r="H25" s="641"/>
      <c r="I25" s="1408"/>
      <c r="J25" s="647"/>
      <c r="L25" s="1350" t="s">
        <v>1233</v>
      </c>
      <c r="M25" s="1357">
        <f ca="1">Данные!B357</f>
        <v>290</v>
      </c>
      <c r="N25" s="58"/>
      <c r="O25" s="1894">
        <f ca="1">IFERROR(INDEX(Ст_ящики[],MATCH($R$20,Ст_ящики[Диаметр],0)-1,1),"")</f>
        <v>34</v>
      </c>
      <c r="P25" s="1894">
        <f ca="1">IFERROR(INDEX(Ст_ящики[],MATCH($R$20,Ст_ящики[Диаметр],0)-1,2),"")</f>
        <v>0</v>
      </c>
      <c r="Q25" s="1894">
        <f ca="1">IFERROR(INDEX(Ст_ящики[],MATCH($R$20,Ст_ящики[Диаметр],0)-1,3),"")</f>
        <v>500</v>
      </c>
      <c r="R25" s="1894">
        <f ca="1">IFERROR(INDEX(Ст_ящики[],MATCH($R$20,Ст_ящики[Диаметр],0)-1,4),"")</f>
        <v>830</v>
      </c>
      <c r="S25" s="1899">
        <f ca="1">IFERROR(INDEX(Ст_ящики[],MATCH($R$20,Ст_ящики[Диаметр],0)-1,5),"")</f>
        <v>80</v>
      </c>
      <c r="T25" s="1648"/>
      <c r="U25" s="1659"/>
      <c r="V25" s="1647"/>
      <c r="W25" s="1647"/>
      <c r="X25" s="58"/>
    </row>
    <row r="26" spans="2:24" ht="16.2" thickBot="1" x14ac:dyDescent="0.35">
      <c r="B26" s="494"/>
      <c r="C26" s="1352"/>
      <c r="D26" s="1352"/>
      <c r="E26" s="1352"/>
      <c r="F26" s="1352"/>
      <c r="G26" s="1352"/>
      <c r="H26" s="1352"/>
      <c r="I26" s="897"/>
      <c r="J26" s="647"/>
      <c r="L26" s="1294" t="s">
        <v>250</v>
      </c>
      <c r="M26" s="1358">
        <f ca="1">IF(M18=0,ROUNDUP(((M20+D23*2)+((M20+D23*2)+M25/10*2))/2,0),(VLOOKUP(M18,Втулки1[],10,0)+VLOOKUP(M18,Втулки1[],11,0))/2)</f>
        <v>855</v>
      </c>
      <c r="N26" s="58"/>
      <c r="O26" s="461">
        <f ca="1">IFERROR(INDEX(Ст_ящики[],MATCH($R$20,Ст_ящики[Диаметр],0),1),"")</f>
        <v>35</v>
      </c>
      <c r="P26" s="461" t="str">
        <f ca="1">IFERROR(INDEX(Ст_ящики[],MATCH($R$20,Ст_ящики[Диаметр],0),2),"")</f>
        <v>1249.01.117</v>
      </c>
      <c r="Q26" s="461">
        <f ca="1">IFERROR(INDEX(Ст_ящики[],MATCH($R$20,Ст_ящики[Диаметр],0),3),"")</f>
        <v>510</v>
      </c>
      <c r="R26" s="461">
        <f ca="1">IFERROR(INDEX(Ст_ящики[],MATCH($R$20,Ст_ящики[Диаметр],0),4),"")</f>
        <v>1290</v>
      </c>
      <c r="S26" s="1900">
        <f ca="1">IFERROR(INDEX(Ст_ящики[],MATCH($R$20,Ст_ящики[Диаметр],0),5),"")</f>
        <v>100</v>
      </c>
      <c r="T26" s="1652"/>
      <c r="U26" s="1648"/>
      <c r="V26" s="1652"/>
      <c r="W26" s="1647"/>
      <c r="X26" s="58"/>
    </row>
    <row r="27" spans="2:24" ht="16.2" thickBot="1" x14ac:dyDescent="0.35">
      <c r="B27" s="494"/>
      <c r="C27" s="1352"/>
      <c r="D27" s="1352"/>
      <c r="E27" s="1352"/>
      <c r="F27" s="1352"/>
      <c r="G27" s="1352"/>
      <c r="H27" s="1691">
        <f ca="1">ROUNDDOWN(M22*0.994,0)</f>
        <v>509</v>
      </c>
      <c r="I27" s="1691">
        <f ca="1">ROUNDUP(M21*0.985,0)</f>
        <v>641</v>
      </c>
      <c r="J27" s="1704">
        <f ca="1">ROUNDUP(M20*0.985,0)</f>
        <v>731</v>
      </c>
      <c r="L27" s="1294" t="s">
        <v>672</v>
      </c>
      <c r="M27" s="1359">
        <f ca="1">(J27-H27)/2</f>
        <v>111</v>
      </c>
      <c r="O27" s="1894">
        <f ca="1">IFERROR(INDEX(Ст_ящики[],MATCH($R$20,Ст_ящики[Диаметр],0)+1,1),"")</f>
        <v>36</v>
      </c>
      <c r="P27" s="1894" t="str">
        <f ca="1">IFERROR(INDEX(Ст_ящики[],MATCH($R$20,Ст_ящики[Диаметр],0)+1,2),"")</f>
        <v>11077.08.183</v>
      </c>
      <c r="Q27" s="1894">
        <f ca="1">IFERROR(INDEX(Ст_ящики[],MATCH($R$20,Ст_ящики[Диаметр],0)+1,3),"")</f>
        <v>520</v>
      </c>
      <c r="R27" s="1894">
        <f ca="1">IFERROR(INDEX(Ст_ящики[],MATCH($R$20,Ст_ящики[Диаметр],0)+1,4),"")</f>
        <v>860</v>
      </c>
      <c r="S27" s="1899">
        <f ca="1">IFERROR(INDEX(Ст_ящики[],MATCH($R$20,Ст_ящики[Диаметр],0)+1,5),"")</f>
        <v>80</v>
      </c>
      <c r="T27" s="1652"/>
      <c r="U27" s="1648"/>
      <c r="V27" s="1648"/>
      <c r="W27" s="1647"/>
      <c r="X27" s="58"/>
    </row>
    <row r="28" spans="2:24" ht="15.6" x14ac:dyDescent="0.3">
      <c r="B28" s="494"/>
      <c r="C28" s="1352"/>
      <c r="D28" s="499"/>
      <c r="E28" s="503"/>
      <c r="F28" s="1352"/>
      <c r="G28" s="1352"/>
      <c r="H28" s="1724" t="str">
        <f>"( "&amp;M5&amp;" )"</f>
        <v>( 550 )</v>
      </c>
      <c r="I28" s="1724" t="str">
        <f>"( "&amp;M4&amp;" )"</f>
        <v>( 600 )</v>
      </c>
      <c r="J28" s="1727" t="str">
        <f>"( "&amp;M3&amp;" )"</f>
        <v>( 690 )</v>
      </c>
      <c r="L28" s="1292" t="s">
        <v>18</v>
      </c>
      <c r="M28" s="1293">
        <f ca="1">ROUNDUP(((J27*J27-H27*H27)*3.1415926*D33*M16+(I27*I27-H27*H27)*(E21-D33)*M16*3.1415926)/4000000,0)</f>
        <v>902</v>
      </c>
      <c r="O28" s="1894">
        <f ca="1">IFERROR(INDEX(Ст_ящики[],MATCH($R$20,Ст_ящики[Диаметр],0)+2,1),"")</f>
        <v>37</v>
      </c>
      <c r="P28" s="1894" t="str">
        <f ca="1">IFERROR(INDEX(Ст_ящики[],MATCH($R$20,Ст_ящики[Диаметр],0)+2,2),"")</f>
        <v>1261.05.310</v>
      </c>
      <c r="Q28" s="1894">
        <f ca="1">IFERROR(INDEX(Ст_ящики[],MATCH($R$20,Ст_ящики[Диаметр],0)+2,3),"")</f>
        <v>530</v>
      </c>
      <c r="R28" s="1894">
        <f ca="1">IFERROR(INDEX(Ст_ящики[],MATCH($R$20,Ст_ящики[Диаметр],0)+2,4),"")</f>
        <v>580</v>
      </c>
      <c r="S28" s="1899">
        <f ca="1">IFERROR(INDEX(Ст_ящики[],MATCH($R$20,Ст_ящики[Диаметр],0)-4+2,5),"")</f>
        <v>100</v>
      </c>
      <c r="T28" s="1648"/>
      <c r="U28" s="1657"/>
      <c r="V28" s="1648"/>
      <c r="W28" s="1647"/>
      <c r="X28" s="58"/>
    </row>
    <row r="29" spans="2:24" ht="15.6" x14ac:dyDescent="0.3">
      <c r="B29" s="494"/>
      <c r="C29" s="1352"/>
      <c r="D29" s="496"/>
      <c r="E29" s="1352"/>
      <c r="F29" s="1352"/>
      <c r="G29" s="1352"/>
      <c r="H29" s="1352"/>
      <c r="I29" s="1408"/>
      <c r="J29" s="647"/>
      <c r="L29" s="120" t="s">
        <v>20</v>
      </c>
      <c r="M29" s="119">
        <f ca="1">ROUNDUP(((M26*0.985*M26*0.985-H27*H27)*3.1415926*C21*M16)/4000000,0)</f>
        <v>820</v>
      </c>
      <c r="O29" s="1894">
        <f ca="1">IFERROR(INDEX(Ст_ящики[],MATCH($R$20,Ст_ящики[Диаметр],0)+3,1),"")</f>
        <v>38</v>
      </c>
      <c r="P29" s="1894" t="str">
        <f ca="1">IFERROR(INDEX(Ст_ящики[],MATCH($R$20,Ст_ящики[Диаметр],0)+3,2),"")</f>
        <v>3431.01.021</v>
      </c>
      <c r="Q29" s="1894">
        <f ca="1">IFERROR(INDEX(Ст_ящики[],MATCH($R$20,Ст_ящики[Диаметр],0)+3,3),"")</f>
        <v>530</v>
      </c>
      <c r="R29" s="1894">
        <f ca="1">IFERROR(INDEX(Ст_ящики[],MATCH($R$20,Ст_ящики[Диаметр],0)+3,4),"")</f>
        <v>1110</v>
      </c>
      <c r="S29" s="1899">
        <f ca="1">IFERROR(INDEX(Ст_ящики[],MATCH($R$20,Ст_ящики[Диаметр],0)-4+3,5),"")</f>
        <v>80</v>
      </c>
      <c r="T29" s="1647"/>
      <c r="U29" s="1659"/>
      <c r="V29" s="1660"/>
      <c r="W29" s="1661"/>
      <c r="X29" s="58"/>
    </row>
    <row r="30" spans="2:24" ht="16.2" thickBot="1" x14ac:dyDescent="0.35">
      <c r="B30" s="494"/>
      <c r="C30" s="1352"/>
      <c r="D30" s="496"/>
      <c r="E30" s="496"/>
      <c r="F30" s="1352"/>
      <c r="G30" s="1352"/>
      <c r="H30" s="1352"/>
      <c r="I30" s="1408"/>
      <c r="J30" s="647"/>
      <c r="L30" s="121" t="s">
        <v>1078</v>
      </c>
      <c r="M30" s="122">
        <f ca="1">Данные!B258</f>
        <v>68.05</v>
      </c>
      <c r="P30" s="1689" t="str">
        <f t="array" aca="1" ref="P30" ca="1">IFERROR(INDEX(#REF!,MATCH($S$13,#REF!,0),5),"")</f>
        <v/>
      </c>
      <c r="Q30" s="1688"/>
      <c r="R30" s="1688"/>
      <c r="S30" s="58"/>
      <c r="T30" s="58"/>
      <c r="U30" s="58"/>
      <c r="V30" s="58"/>
      <c r="W30" s="58"/>
      <c r="X30" s="58"/>
    </row>
    <row r="31" spans="2:24" ht="15.6" x14ac:dyDescent="0.3">
      <c r="B31" s="494"/>
      <c r="C31" s="1702"/>
      <c r="D31" s="1352"/>
      <c r="E31" s="1703"/>
      <c r="F31" s="499"/>
      <c r="G31" s="1352"/>
      <c r="H31" s="1352"/>
      <c r="I31" s="1408"/>
      <c r="J31" s="647"/>
      <c r="P31" s="58"/>
      <c r="Q31" s="179"/>
      <c r="R31" s="1121"/>
      <c r="S31" s="179"/>
      <c r="T31" s="179"/>
      <c r="U31" s="179"/>
      <c r="V31" s="179"/>
      <c r="W31" s="179"/>
      <c r="X31" s="179"/>
    </row>
    <row r="32" spans="2:24" ht="15.6" x14ac:dyDescent="0.3">
      <c r="B32" s="494"/>
      <c r="C32" s="1352"/>
      <c r="D32" s="1352"/>
      <c r="E32" s="1408"/>
      <c r="F32" s="499"/>
      <c r="G32" s="529"/>
      <c r="H32" s="1352"/>
      <c r="I32" s="1408"/>
      <c r="J32" s="647"/>
      <c r="O32" s="58"/>
      <c r="P32" s="1650"/>
      <c r="Q32" s="1648"/>
      <c r="R32" s="1650"/>
      <c r="S32" s="1648"/>
      <c r="T32" s="1650"/>
      <c r="U32" s="1647"/>
      <c r="V32" s="1648"/>
      <c r="W32" s="1654"/>
      <c r="X32" s="1654"/>
    </row>
    <row r="33" spans="2:24" ht="15.6" x14ac:dyDescent="0.3">
      <c r="B33" s="494"/>
      <c r="C33" s="1352"/>
      <c r="D33" s="516">
        <f ca="1">M23</f>
        <v>142</v>
      </c>
      <c r="E33" s="1408"/>
      <c r="F33" s="499"/>
      <c r="G33" s="1352"/>
      <c r="H33" s="1352"/>
      <c r="I33" s="1408"/>
      <c r="J33" s="647"/>
      <c r="O33" s="58"/>
      <c r="P33" s="1652"/>
      <c r="Q33" s="1655"/>
      <c r="R33" s="1648"/>
      <c r="S33" s="1648"/>
      <c r="T33" s="1648"/>
      <c r="U33" s="1647"/>
      <c r="V33" s="1648"/>
      <c r="W33" s="1648"/>
      <c r="X33" s="179"/>
    </row>
    <row r="34" spans="2:24" ht="15.6" x14ac:dyDescent="0.3">
      <c r="B34" s="494"/>
      <c r="C34" s="1352"/>
      <c r="D34" s="516" t="str">
        <f ca="1">M23-60&amp;" + 60"</f>
        <v>82 + 60</v>
      </c>
      <c r="E34" s="1408"/>
      <c r="F34" s="499"/>
      <c r="G34" s="1352"/>
      <c r="H34" s="1352"/>
      <c r="I34" s="1408"/>
      <c r="J34" s="647"/>
      <c r="O34" s="58"/>
      <c r="P34" s="1648"/>
      <c r="Q34" s="1656"/>
      <c r="R34" s="1648"/>
      <c r="S34" s="1647"/>
      <c r="T34" s="1648"/>
      <c r="U34" s="1647"/>
      <c r="V34" s="1648"/>
      <c r="W34" s="1648"/>
      <c r="X34" s="179"/>
    </row>
    <row r="35" spans="2:24" ht="15.6" x14ac:dyDescent="0.3">
      <c r="B35" s="1365" t="s">
        <v>1082</v>
      </c>
      <c r="C35" s="1352"/>
      <c r="D35" s="1728" t="str">
        <f>"( "&amp;M6&amp;" )"</f>
        <v>( 40 )</v>
      </c>
      <c r="E35" s="897"/>
      <c r="F35" s="499"/>
      <c r="G35" s="1352"/>
      <c r="H35" s="1352"/>
      <c r="I35" s="1408"/>
      <c r="J35" s="647"/>
      <c r="O35" s="58"/>
      <c r="P35" s="1647"/>
      <c r="Q35" s="1655"/>
      <c r="R35" s="1648"/>
      <c r="S35" s="1648"/>
      <c r="T35" s="1648"/>
      <c r="U35" s="1647"/>
      <c r="V35" s="1648"/>
      <c r="W35" s="1648"/>
      <c r="X35" s="179"/>
    </row>
    <row r="36" spans="2:24" ht="16.2" thickBot="1" x14ac:dyDescent="0.35">
      <c r="B36" s="494"/>
      <c r="C36" s="1352"/>
      <c r="D36" s="1352"/>
      <c r="E36" s="1352" t="s">
        <v>42</v>
      </c>
      <c r="F36" s="1352"/>
      <c r="G36" s="1352"/>
      <c r="H36" s="1352"/>
      <c r="I36" s="1408"/>
      <c r="J36" s="647"/>
      <c r="O36" s="58"/>
      <c r="P36" s="1652"/>
      <c r="Q36" s="1655"/>
      <c r="R36" s="1648"/>
      <c r="S36" s="1650"/>
      <c r="T36" s="1648"/>
      <c r="U36" s="1648"/>
      <c r="V36" s="1647"/>
      <c r="W36" s="1648"/>
      <c r="X36" s="179"/>
    </row>
    <row r="37" spans="2:24" ht="15.6" x14ac:dyDescent="0.3">
      <c r="B37" s="501" t="s">
        <v>880</v>
      </c>
      <c r="C37" s="495"/>
      <c r="D37" s="495"/>
      <c r="E37" s="637"/>
      <c r="F37" s="495"/>
      <c r="G37" s="495" t="s">
        <v>881</v>
      </c>
      <c r="H37" s="495"/>
      <c r="I37" s="651"/>
      <c r="J37" s="652"/>
      <c r="O37" s="58"/>
      <c r="P37" s="1648"/>
      <c r="Q37" s="1656"/>
      <c r="R37" s="1648"/>
      <c r="S37" s="1648"/>
      <c r="T37" s="1648"/>
      <c r="U37" s="1648"/>
      <c r="V37" s="1647"/>
      <c r="W37" s="1649"/>
      <c r="X37" s="179"/>
    </row>
    <row r="38" spans="2:24" ht="15.6" customHeight="1" x14ac:dyDescent="0.3">
      <c r="B38" s="494" t="s">
        <v>45</v>
      </c>
      <c r="C38" s="336"/>
      <c r="D38" s="336"/>
      <c r="E38" s="336" t="str">
        <f>VLOOKUP(F8,Марка_металла[],6,FALSE())</f>
        <v>25010.00176</v>
      </c>
      <c r="F38" s="336"/>
      <c r="G38" s="336" t="s">
        <v>1075</v>
      </c>
      <c r="H38" s="336"/>
      <c r="I38" s="1352">
        <f ca="1">ROUNDUP(M22*M22*3.1415296*(G25+M24+M25)*2.045/4000000,0)</f>
        <v>508</v>
      </c>
      <c r="J38" s="519"/>
      <c r="O38" s="58"/>
      <c r="P38" s="1647"/>
      <c r="Q38" s="1657"/>
      <c r="R38" s="1648"/>
      <c r="S38" s="1650"/>
      <c r="T38" s="1648"/>
      <c r="U38" s="1648"/>
      <c r="V38" s="1647"/>
      <c r="W38" s="1647"/>
      <c r="X38" s="179"/>
    </row>
    <row r="39" spans="2:24" ht="15.6" customHeight="1" x14ac:dyDescent="0.3">
      <c r="B39" s="494" t="s">
        <v>46</v>
      </c>
      <c r="C39" s="336"/>
      <c r="D39" s="336"/>
      <c r="E39" s="336" t="str">
        <f ca="1">IF(F10&gt;1900,Данные!G4,Данные!G3)</f>
        <v>25011.00007</v>
      </c>
      <c r="F39" s="336"/>
      <c r="G39" s="336" t="s">
        <v>47</v>
      </c>
      <c r="H39" s="336" t="s">
        <v>48</v>
      </c>
      <c r="I39" s="520"/>
      <c r="J39" s="519"/>
      <c r="O39" s="58"/>
      <c r="P39" s="1647"/>
      <c r="Q39" s="1658"/>
      <c r="R39" s="1652"/>
      <c r="S39" s="1648"/>
      <c r="T39" s="1652"/>
      <c r="U39" s="1648"/>
      <c r="V39" s="1647"/>
      <c r="W39" s="1647"/>
      <c r="X39" s="179"/>
    </row>
    <row r="40" spans="2:24" ht="23.4" x14ac:dyDescent="0.45">
      <c r="B40" s="494" t="s">
        <v>737</v>
      </c>
      <c r="C40" s="336"/>
      <c r="D40" s="336"/>
      <c r="E40" s="1324" t="str">
        <f>VLOOKUP(F8,Марка_металла[],2,0)&amp;"   °C"</f>
        <v>1080-1100   °C</v>
      </c>
      <c r="F40" s="336"/>
      <c r="G40" s="336" t="s">
        <v>49</v>
      </c>
      <c r="H40" s="336" t="s">
        <v>50</v>
      </c>
      <c r="I40" s="521"/>
      <c r="J40" s="518"/>
      <c r="L40" s="1766"/>
      <c r="M40" s="1954"/>
      <c r="O40" s="58"/>
      <c r="P40" s="1647"/>
      <c r="Q40" s="1648"/>
      <c r="R40" s="1648"/>
      <c r="S40" s="1650"/>
      <c r="T40" s="1648"/>
      <c r="U40" s="1659"/>
      <c r="V40" s="1647"/>
      <c r="W40" s="1647"/>
      <c r="X40" s="179"/>
    </row>
    <row r="41" spans="2:24" ht="23.4" x14ac:dyDescent="0.45">
      <c r="B41" s="494" t="s">
        <v>51</v>
      </c>
      <c r="C41" s="336"/>
      <c r="D41" s="336"/>
      <c r="E41" s="1324">
        <v>25010.001680000001</v>
      </c>
      <c r="F41" s="336"/>
      <c r="G41" s="336" t="s">
        <v>53</v>
      </c>
      <c r="H41" s="336"/>
      <c r="I41" s="522"/>
      <c r="J41" s="518"/>
      <c r="L41" s="1766"/>
      <c r="M41" s="1954"/>
      <c r="O41" s="58"/>
      <c r="P41" s="1647"/>
      <c r="Q41" s="1647"/>
      <c r="R41" s="1652"/>
      <c r="S41" s="1648"/>
      <c r="T41" s="1652"/>
      <c r="U41" s="1648"/>
      <c r="V41" s="1652"/>
      <c r="W41" s="1647"/>
      <c r="X41" s="179"/>
    </row>
    <row r="42" spans="2:24" ht="15.6" x14ac:dyDescent="0.3">
      <c r="B42" s="494" t="s">
        <v>47</v>
      </c>
      <c r="C42" s="336"/>
      <c r="D42" s="336"/>
      <c r="E42" s="1348" t="s">
        <v>48</v>
      </c>
      <c r="F42" s="336"/>
      <c r="G42" s="336" t="s">
        <v>1077</v>
      </c>
      <c r="H42" s="336"/>
      <c r="I42" s="517"/>
      <c r="J42" s="518"/>
      <c r="O42" s="58"/>
      <c r="P42" s="1647"/>
      <c r="Q42" s="1647"/>
      <c r="R42" s="1648"/>
      <c r="S42" s="1650"/>
      <c r="T42" s="1652"/>
      <c r="U42" s="1648"/>
      <c r="V42" s="1648"/>
      <c r="W42" s="1647"/>
      <c r="X42" s="179"/>
    </row>
    <row r="43" spans="2:24" ht="15.6" x14ac:dyDescent="0.3">
      <c r="B43" s="494" t="s">
        <v>54</v>
      </c>
      <c r="C43" s="336"/>
      <c r="D43" s="336"/>
      <c r="E43" s="530" t="s">
        <v>1074</v>
      </c>
      <c r="F43" s="500"/>
      <c r="G43" s="336" t="s">
        <v>1076</v>
      </c>
      <c r="H43" s="336"/>
      <c r="I43" s="336"/>
      <c r="J43" s="498"/>
      <c r="O43" s="58"/>
      <c r="P43" s="1647"/>
      <c r="Q43" s="1647"/>
      <c r="R43" s="1647"/>
      <c r="S43" s="1657"/>
      <c r="T43" s="1648"/>
      <c r="U43" s="1657"/>
      <c r="V43" s="1648"/>
      <c r="W43" s="1647"/>
      <c r="X43" s="179"/>
    </row>
    <row r="44" spans="2:24" ht="15.6" x14ac:dyDescent="0.3">
      <c r="B44" s="4" t="s">
        <v>49</v>
      </c>
      <c r="C44" s="1348"/>
      <c r="D44" s="1348"/>
      <c r="E44" s="1324" t="s">
        <v>50</v>
      </c>
      <c r="F44" s="1324"/>
      <c r="G44" s="336" t="s">
        <v>57</v>
      </c>
      <c r="H44" s="336"/>
      <c r="I44" s="336"/>
      <c r="J44" s="498"/>
      <c r="O44" s="58"/>
      <c r="P44" s="1647"/>
      <c r="Q44" s="1647"/>
      <c r="R44" s="1647"/>
      <c r="S44" s="1660"/>
      <c r="T44" s="1647"/>
      <c r="U44" s="1659"/>
      <c r="V44" s="1660"/>
      <c r="W44" s="1661"/>
      <c r="X44" s="1661"/>
    </row>
    <row r="45" spans="2:24" ht="15.6" x14ac:dyDescent="0.3">
      <c r="B45" s="494" t="s">
        <v>56</v>
      </c>
      <c r="C45" s="336"/>
      <c r="D45" s="336"/>
      <c r="E45" s="503" t="str">
        <f ca="1">Данные!B257</f>
        <v>242.04.464-3</v>
      </c>
      <c r="F45" s="1324"/>
      <c r="G45" s="336"/>
      <c r="H45" s="336"/>
      <c r="I45" s="336"/>
      <c r="J45" s="498"/>
    </row>
    <row r="46" spans="2:24" ht="18" x14ac:dyDescent="0.35">
      <c r="B46" s="494" t="s">
        <v>989</v>
      </c>
      <c r="C46" s="336"/>
      <c r="D46" s="1109">
        <f ca="1">Данные!R248</f>
        <v>1000</v>
      </c>
      <c r="E46" s="1109" t="str">
        <f ca="1">" Х "&amp;Данные!S248</f>
        <v xml:space="preserve"> Х 1000</v>
      </c>
      <c r="F46" s="1110" t="str">
        <f ca="1">" Х "&amp;Данные!T248&amp;"  /  1 шт."</f>
        <v xml:space="preserve"> Х 200  /  1 шт.</v>
      </c>
      <c r="G46" s="1111"/>
      <c r="H46" s="336"/>
      <c r="I46" s="336"/>
      <c r="J46" s="498"/>
    </row>
    <row r="47" spans="2:24" ht="18" x14ac:dyDescent="0.35">
      <c r="B47" s="1919" t="s">
        <v>990</v>
      </c>
      <c r="C47" s="1920"/>
      <c r="D47" s="1109" t="str">
        <f ca="1">IF(Данные!S251&gt;0,Данные!R251&amp;" мм. "&amp;" / "&amp;Данные!S251&amp;" шт.")</f>
        <v>350 мм.  / 3 шт.</v>
      </c>
      <c r="E47" s="1109"/>
      <c r="F47" s="1110" t="str">
        <f ca="1">IF(Данные!S252&gt;0," / "&amp;Данные!R252&amp;" мм. / "&amp;Данные!S252&amp;" шт.","")</f>
        <v xml:space="preserve"> / 200 мм. / 1 шт.</v>
      </c>
      <c r="G47" s="1111"/>
      <c r="H47" s="336"/>
      <c r="I47" s="336"/>
      <c r="J47" s="498"/>
      <c r="P47" s="1136"/>
      <c r="Q47" s="1137"/>
      <c r="R47" s="1137"/>
      <c r="S47" s="1137"/>
      <c r="T47" s="1137"/>
      <c r="U47" s="1137"/>
      <c r="V47" s="1137"/>
    </row>
    <row r="48" spans="2:24" ht="15.6" x14ac:dyDescent="0.3">
      <c r="B48" s="494"/>
      <c r="C48" s="336"/>
      <c r="D48" s="336"/>
      <c r="E48" s="1324"/>
      <c r="F48" s="1324"/>
      <c r="G48" s="336"/>
      <c r="H48" s="336"/>
      <c r="I48" s="336"/>
      <c r="J48" s="498"/>
    </row>
    <row r="49" spans="2:13" ht="16.2" thickBot="1" x14ac:dyDescent="0.35">
      <c r="B49" s="512"/>
      <c r="C49" s="513" t="s">
        <v>58</v>
      </c>
      <c r="D49" s="513"/>
      <c r="E49" s="534"/>
      <c r="F49" s="534" t="s">
        <v>59</v>
      </c>
      <c r="G49" s="513"/>
      <c r="H49" s="513"/>
      <c r="I49" s="513"/>
      <c r="J49" s="535"/>
    </row>
    <row r="50" spans="2:13" ht="16.2" thickBot="1" x14ac:dyDescent="0.35">
      <c r="B50" s="1571" t="s">
        <v>60</v>
      </c>
      <c r="C50" s="1572"/>
      <c r="D50" s="1575"/>
      <c r="E50" s="1147" t="s">
        <v>61</v>
      </c>
      <c r="F50" s="1149" t="s">
        <v>60</v>
      </c>
      <c r="G50" s="1149" t="s">
        <v>62</v>
      </c>
      <c r="H50" s="1149" t="s">
        <v>60</v>
      </c>
      <c r="I50" s="1946" t="s">
        <v>930</v>
      </c>
      <c r="J50" s="1947"/>
    </row>
    <row r="51" spans="2:13" ht="16.2" thickBot="1" x14ac:dyDescent="0.35">
      <c r="B51" s="1573">
        <f ca="1">TODAY()</f>
        <v>45497</v>
      </c>
      <c r="C51" s="1574"/>
      <c r="D51" s="1586"/>
      <c r="E51" s="1609" t="s">
        <v>252</v>
      </c>
      <c r="F51" s="1148"/>
      <c r="G51" s="1608" t="s">
        <v>253</v>
      </c>
      <c r="H51" s="1148"/>
      <c r="I51" s="1946" t="s">
        <v>252</v>
      </c>
      <c r="J51" s="1947"/>
    </row>
    <row r="52" spans="2:13" s="42" customFormat="1" ht="16.2" thickBot="1" x14ac:dyDescent="0.35">
      <c r="B52" s="1571" t="s">
        <v>63</v>
      </c>
      <c r="C52" s="1572"/>
      <c r="D52" s="1575"/>
      <c r="E52" s="534"/>
      <c r="F52" s="513"/>
      <c r="G52" s="513"/>
      <c r="H52" s="513"/>
      <c r="I52" s="513"/>
      <c r="J52" s="535"/>
      <c r="L52"/>
      <c r="M52"/>
    </row>
    <row r="53" spans="2:13" ht="16.2" thickBot="1" x14ac:dyDescent="0.35">
      <c r="B53" s="1587"/>
      <c r="C53" s="1588"/>
      <c r="D53" s="1588"/>
      <c r="E53" s="336"/>
      <c r="F53" s="336"/>
      <c r="G53" s="336"/>
      <c r="H53" s="336"/>
      <c r="I53" s="336"/>
      <c r="J53" s="498"/>
    </row>
    <row r="54" spans="2:13" ht="15.6" x14ac:dyDescent="0.3">
      <c r="B54" s="1578" t="s">
        <v>3</v>
      </c>
      <c r="C54" s="1579"/>
      <c r="D54" s="1583"/>
      <c r="E54" s="536" t="s">
        <v>277</v>
      </c>
      <c r="F54" s="537" t="s">
        <v>278</v>
      </c>
      <c r="G54" s="536" t="s">
        <v>278</v>
      </c>
      <c r="H54" s="536" t="s">
        <v>279</v>
      </c>
      <c r="I54" s="1578" t="s">
        <v>280</v>
      </c>
      <c r="J54" s="1583"/>
    </row>
    <row r="55" spans="2:13" ht="16.2" thickBot="1" x14ac:dyDescent="0.35">
      <c r="B55" s="1580" t="s">
        <v>281</v>
      </c>
      <c r="C55" s="1581"/>
      <c r="D55" s="1584"/>
      <c r="E55" s="538" t="s">
        <v>1020</v>
      </c>
      <c r="F55" s="538" t="s">
        <v>283</v>
      </c>
      <c r="G55" s="538" t="s">
        <v>284</v>
      </c>
      <c r="H55" s="538"/>
      <c r="I55" s="1580" t="s">
        <v>285</v>
      </c>
      <c r="J55" s="1584"/>
      <c r="K55" s="61"/>
      <c r="L55" s="61"/>
      <c r="M55" s="42"/>
    </row>
    <row r="56" spans="2:13" ht="16.2" thickBot="1" x14ac:dyDescent="0.35">
      <c r="B56" s="1576" t="s">
        <v>351</v>
      </c>
      <c r="C56" s="1582"/>
      <c r="D56" s="1577"/>
      <c r="E56" s="539">
        <v>40</v>
      </c>
      <c r="F56" s="540">
        <v>1</v>
      </c>
      <c r="G56" s="539">
        <v>20</v>
      </c>
      <c r="H56" s="538">
        <v>3</v>
      </c>
      <c r="I56" s="1948">
        <f ca="1">ROUNDUP(Данные!R248*Данные!S248*Данные!R257/1000000*2.045*2.3/1000/F18,3)</f>
        <v>6.8210000000000006</v>
      </c>
      <c r="J56" s="1949"/>
      <c r="K56" s="61"/>
      <c r="L56" s="61"/>
    </row>
    <row r="57" spans="2:13" ht="16.2" thickBot="1" x14ac:dyDescent="0.35">
      <c r="B57" s="1576" t="s">
        <v>44</v>
      </c>
      <c r="C57" s="1582"/>
      <c r="D57" s="1577"/>
      <c r="E57" s="541">
        <v>40</v>
      </c>
      <c r="F57" s="542">
        <v>1</v>
      </c>
      <c r="G57" s="541">
        <v>20</v>
      </c>
      <c r="H57" s="538">
        <v>4</v>
      </c>
      <c r="I57" s="1948">
        <f ca="1">ROUND(I38/1000*3.5/F18,3)</f>
        <v>1.778</v>
      </c>
      <c r="J57" s="1949"/>
    </row>
    <row r="62" spans="2:13" x14ac:dyDescent="0.3">
      <c r="K62" s="42"/>
    </row>
    <row r="63" spans="2:13" x14ac:dyDescent="0.3">
      <c r="I63" s="42"/>
      <c r="J63" s="42"/>
      <c r="K63" s="42"/>
    </row>
    <row r="64" spans="2:13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0:Q20"/>
  </mergeCells>
  <hyperlinks>
    <hyperlink ref="O9" r:id="rId1" xr:uid="{62F82EA2-171B-4148-8CE1-F05939110E02}"/>
    <hyperlink ref="P20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ЭтаКнига.calc_start">
                <anchor>
                  <from>
                    <xdr:col>10</xdr:col>
                    <xdr:colOff>251460</xdr:colOff>
                    <xdr:row>30</xdr:row>
                    <xdr:rowOff>175260</xdr:rowOff>
                  </from>
                  <to>
                    <xdr:col>11</xdr:col>
                    <xdr:colOff>1706880</xdr:colOff>
                    <xdr:row>33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R35" sqref="R35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12" style="1404" customWidth="1"/>
    <col min="7" max="7" width="13.77734375" customWidth="1"/>
    <col min="8" max="8" width="12.109375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3.44140625" customWidth="1"/>
    <col min="14" max="14" width="14.21875" customWidth="1"/>
    <col min="15" max="15" width="3.88671875" customWidth="1"/>
    <col min="16" max="16" width="10.6640625" customWidth="1"/>
    <col min="17" max="17" width="3.77734375" style="113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442"/>
      <c r="C1" s="1442"/>
      <c r="D1" s="1442"/>
      <c r="E1" s="1442"/>
      <c r="F1" s="1442"/>
      <c r="G1" s="1442"/>
      <c r="H1" s="1442"/>
      <c r="I1" s="1442"/>
      <c r="J1" s="1442"/>
      <c r="K1" s="1442" t="s">
        <v>353</v>
      </c>
      <c r="M1" s="1955" t="s">
        <v>264</v>
      </c>
      <c r="N1" s="1956"/>
      <c r="O1" s="58"/>
      <c r="R1" s="1238"/>
      <c r="S1" s="1238"/>
      <c r="T1" s="1238"/>
      <c r="U1" s="1238"/>
      <c r="V1" s="1238"/>
      <c r="W1" s="1238"/>
      <c r="X1" s="1238"/>
      <c r="Y1" s="1238"/>
      <c r="Z1" s="1238"/>
    </row>
    <row r="2" spans="2:29" ht="16.2" thickBot="1" x14ac:dyDescent="0.35">
      <c r="B2" s="491"/>
      <c r="C2" s="492"/>
      <c r="D2" s="492"/>
      <c r="E2" s="1470" t="s">
        <v>0</v>
      </c>
      <c r="F2" s="1470"/>
      <c r="G2" s="492"/>
      <c r="H2" s="492"/>
      <c r="I2" s="492"/>
      <c r="J2" s="492"/>
      <c r="K2" s="493" t="s">
        <v>878</v>
      </c>
      <c r="L2" s="4"/>
      <c r="O2" s="58"/>
      <c r="R2" s="1238"/>
      <c r="S2" s="1238"/>
      <c r="T2" s="1238"/>
      <c r="U2" s="1238"/>
      <c r="V2" s="1238"/>
      <c r="W2" s="1238"/>
      <c r="X2" s="1238"/>
      <c r="Y2" s="1238"/>
      <c r="Z2" s="1238"/>
    </row>
    <row r="3" spans="2:29" ht="16.2" thickBot="1" x14ac:dyDescent="0.35">
      <c r="B3" s="1426" t="s">
        <v>1</v>
      </c>
      <c r="C3" s="861"/>
      <c r="D3" s="861"/>
      <c r="E3" s="861"/>
      <c r="F3" s="861"/>
      <c r="G3" s="1423" t="s">
        <v>1227</v>
      </c>
      <c r="H3" s="861"/>
      <c r="I3" s="1427"/>
      <c r="J3" s="1427"/>
      <c r="K3" s="1428"/>
      <c r="L3" s="270"/>
      <c r="M3" s="1496" t="s">
        <v>26</v>
      </c>
      <c r="N3" s="1497"/>
      <c r="O3" s="58"/>
      <c r="P3" s="270"/>
      <c r="Y3" s="1238"/>
      <c r="Z3" s="1238"/>
    </row>
    <row r="4" spans="2:29" ht="16.2" thickBot="1" x14ac:dyDescent="0.35">
      <c r="B4" s="1429" t="s">
        <v>2</v>
      </c>
      <c r="C4" s="862"/>
      <c r="D4" s="862"/>
      <c r="E4" s="862"/>
      <c r="F4" s="862"/>
      <c r="G4" s="1422" t="s">
        <v>1232</v>
      </c>
      <c r="H4" s="1430"/>
      <c r="I4" s="862"/>
      <c r="J4" s="862"/>
      <c r="K4" s="866"/>
      <c r="L4" s="57"/>
      <c r="M4" s="1494" t="s">
        <v>1099</v>
      </c>
      <c r="N4" s="1298">
        <v>202</v>
      </c>
      <c r="O4" s="58"/>
      <c r="P4" s="57"/>
      <c r="R4" s="783"/>
      <c r="S4" s="1227" t="s">
        <v>736</v>
      </c>
      <c r="T4" s="1227"/>
      <c r="U4" s="1227"/>
      <c r="V4" s="1227"/>
      <c r="W4" s="1227"/>
      <c r="X4" s="784"/>
      <c r="Y4" s="1238"/>
      <c r="Z4" s="1512" t="s">
        <v>1112</v>
      </c>
      <c r="AA4" s="1513"/>
      <c r="AB4" s="1513"/>
      <c r="AC4" s="56">
        <f>SQRT(AA5*AA5+AA6*AA6)</f>
        <v>209.30360723121808</v>
      </c>
    </row>
    <row r="5" spans="2:29" ht="15.6" x14ac:dyDescent="0.3">
      <c r="B5" s="1429" t="s">
        <v>3</v>
      </c>
      <c r="C5" s="862"/>
      <c r="D5" s="862"/>
      <c r="E5" s="862"/>
      <c r="F5" s="862"/>
      <c r="G5" s="1422" t="s">
        <v>4</v>
      </c>
      <c r="H5" s="1430"/>
      <c r="I5" s="862"/>
      <c r="J5" s="862"/>
      <c r="K5" s="866"/>
      <c r="L5" s="57"/>
      <c r="M5" s="1303" t="s">
        <v>247</v>
      </c>
      <c r="N5" s="59">
        <v>150</v>
      </c>
      <c r="O5" s="58"/>
      <c r="R5" s="825" t="s">
        <v>817</v>
      </c>
      <c r="S5" s="942">
        <v>1</v>
      </c>
      <c r="T5" s="942">
        <v>2</v>
      </c>
      <c r="U5" s="942">
        <v>3</v>
      </c>
      <c r="V5" s="943">
        <v>4</v>
      </c>
      <c r="W5" s="782" t="s">
        <v>671</v>
      </c>
      <c r="X5" s="781"/>
      <c r="Y5" s="1238"/>
      <c r="Z5" s="1514" t="s">
        <v>1113</v>
      </c>
      <c r="AA5" s="1511">
        <v>148</v>
      </c>
    </row>
    <row r="6" spans="2:29" ht="16.2" thickBot="1" x14ac:dyDescent="0.35">
      <c r="B6" s="1429" t="s">
        <v>7</v>
      </c>
      <c r="C6" s="862"/>
      <c r="D6" s="862"/>
      <c r="E6" s="862"/>
      <c r="F6" s="862"/>
      <c r="G6" s="1424">
        <v>1</v>
      </c>
      <c r="H6" s="1410"/>
      <c r="I6" s="862"/>
      <c r="J6" s="862"/>
      <c r="K6" s="866"/>
      <c r="L6" s="57"/>
      <c r="M6" s="1304" t="s">
        <v>1100</v>
      </c>
      <c r="N6" s="59">
        <v>150</v>
      </c>
      <c r="P6" s="57"/>
      <c r="R6" s="779"/>
      <c r="S6" s="1348">
        <v>0</v>
      </c>
      <c r="T6" s="1348">
        <v>0.69</v>
      </c>
      <c r="U6" s="1348">
        <v>0.57999999999999996</v>
      </c>
      <c r="V6" s="10">
        <v>2.4</v>
      </c>
      <c r="W6" s="484">
        <f>SUM(S6:V6)</f>
        <v>3.67</v>
      </c>
      <c r="X6" s="781"/>
      <c r="Y6" s="823"/>
      <c r="Z6" s="1515" t="s">
        <v>1114</v>
      </c>
      <c r="AA6" s="56">
        <v>148</v>
      </c>
    </row>
    <row r="7" spans="2:29" ht="16.2" thickBot="1" x14ac:dyDescent="0.35">
      <c r="B7" s="1431"/>
      <c r="C7" s="282"/>
      <c r="D7" s="282"/>
      <c r="E7" s="282"/>
      <c r="F7" s="282"/>
      <c r="G7" s="1425"/>
      <c r="H7" s="282"/>
      <c r="I7" s="282"/>
      <c r="J7" s="282"/>
      <c r="K7" s="869"/>
      <c r="L7" s="57"/>
      <c r="M7" s="1495" t="s">
        <v>1092</v>
      </c>
      <c r="N7" s="68">
        <v>2</v>
      </c>
      <c r="O7" s="57"/>
      <c r="P7" s="57"/>
      <c r="R7" s="779"/>
      <c r="S7" s="786">
        <f>S6/W6*W7</f>
        <v>0</v>
      </c>
      <c r="T7" s="786">
        <f>T6/W6*W7</f>
        <v>2.2937329700272477</v>
      </c>
      <c r="U7" s="786">
        <f>U6/W6*W7</f>
        <v>1.9280653950953677</v>
      </c>
      <c r="V7" s="826">
        <f>V6/W6*W7</f>
        <v>7.9782016348773839</v>
      </c>
      <c r="W7" s="1078">
        <v>12.2</v>
      </c>
      <c r="X7" s="485" t="s">
        <v>838</v>
      </c>
      <c r="Y7" s="823"/>
      <c r="Z7" s="823"/>
    </row>
    <row r="8" spans="2:29" ht="16.2" thickBot="1" x14ac:dyDescent="0.35">
      <c r="B8" s="1426" t="s">
        <v>13</v>
      </c>
      <c r="C8" s="861"/>
      <c r="D8" s="861"/>
      <c r="E8" s="861"/>
      <c r="F8" s="861"/>
      <c r="G8" s="1432" t="s">
        <v>35</v>
      </c>
      <c r="H8" s="861"/>
      <c r="I8" s="861"/>
      <c r="J8" s="861" t="s">
        <v>1016</v>
      </c>
      <c r="K8" s="1433">
        <f ca="1">G9/G11</f>
        <v>0.43556701030927836</v>
      </c>
      <c r="L8" s="987"/>
      <c r="M8" s="989" t="s">
        <v>1103</v>
      </c>
      <c r="N8" s="957">
        <f>(N4*N4-N5*N5)*N6*3.1415926*N10/4000000</f>
        <v>16.819835452991999</v>
      </c>
      <c r="O8" s="57"/>
      <c r="P8" s="1316" t="s">
        <v>79</v>
      </c>
      <c r="R8" s="779"/>
      <c r="S8" s="786">
        <f>S7/W7*W8</f>
        <v>0</v>
      </c>
      <c r="T8" s="786">
        <f>T7/W7*W8</f>
        <v>2.2937329700272477</v>
      </c>
      <c r="U8" s="786">
        <f>U7/W7*W8</f>
        <v>1.9280653950953677</v>
      </c>
      <c r="V8" s="826">
        <f>V7/W7*W8</f>
        <v>7.9782016348773839</v>
      </c>
      <c r="W8" s="1078">
        <v>12.2</v>
      </c>
      <c r="X8" s="485" t="s">
        <v>837</v>
      </c>
      <c r="Y8" s="823"/>
      <c r="Z8" s="823"/>
    </row>
    <row r="9" spans="2:29" ht="16.2" thickBot="1" x14ac:dyDescent="0.35">
      <c r="B9" s="1429" t="s">
        <v>16</v>
      </c>
      <c r="C9" s="862"/>
      <c r="D9" s="862"/>
      <c r="E9" s="862"/>
      <c r="F9" s="862"/>
      <c r="G9" s="1424">
        <f>IF(N9&lt;&gt;0,N9,IF(N8&lt;0.1,ROUNDUP(N8,3),IF(N8&lt;1,ROUNDUP(N8,2),IF(AND(N8&gt;=1,N8&lt;100),ROUNDUP(N8,1),ROUNDUP(N8,0)))))</f>
        <v>16.900000000000002</v>
      </c>
      <c r="H9" s="1410"/>
      <c r="I9" s="862"/>
      <c r="J9" s="862" t="s">
        <v>19</v>
      </c>
      <c r="K9" s="1434">
        <f ca="1">G9/G13</f>
        <v>0.41935483870967749</v>
      </c>
      <c r="L9" s="141"/>
      <c r="M9" s="292" t="s">
        <v>286</v>
      </c>
      <c r="N9" s="106"/>
      <c r="O9" s="113"/>
      <c r="P9" s="1320" t="s">
        <v>1061</v>
      </c>
      <c r="R9" s="780"/>
      <c r="S9" s="787">
        <f>S8/W8*W9</f>
        <v>0</v>
      </c>
      <c r="T9" s="787">
        <f>T8/W8*W9</f>
        <v>2.3877384196185285</v>
      </c>
      <c r="U9" s="787">
        <f>U8/W8*W9</f>
        <v>2.0070844686648499</v>
      </c>
      <c r="V9" s="827">
        <f>V8/W8*W9</f>
        <v>8.3051771117166204</v>
      </c>
      <c r="W9" s="1078">
        <v>12.7</v>
      </c>
      <c r="X9" s="485" t="s">
        <v>815</v>
      </c>
      <c r="Y9" s="1238"/>
      <c r="Z9" s="1238"/>
    </row>
    <row r="10" spans="2:29" ht="16.2" thickBot="1" x14ac:dyDescent="0.35">
      <c r="B10" s="1429" t="s">
        <v>18</v>
      </c>
      <c r="C10" s="862"/>
      <c r="D10" s="862"/>
      <c r="E10" s="862"/>
      <c r="F10" s="862"/>
      <c r="G10" s="1435">
        <f ca="1">IF(N23&gt;=100,ROUNDUP(N23,0),ROUNDUP(N23,1))</f>
        <v>77.5</v>
      </c>
      <c r="H10" s="1410"/>
      <c r="I10" s="862"/>
      <c r="J10" s="862"/>
      <c r="K10" s="1436"/>
      <c r="L10" s="388"/>
      <c r="M10" s="988" t="s">
        <v>9</v>
      </c>
      <c r="N10" s="133">
        <f>VLOOKUP(G8,Марка_металла[],9,FALSE)</f>
        <v>7.8</v>
      </c>
      <c r="P10" s="1317">
        <f>Данные!M263</f>
        <v>320</v>
      </c>
      <c r="R10" s="1238"/>
      <c r="S10" s="1238"/>
      <c r="T10" s="1238"/>
      <c r="U10" s="1238"/>
      <c r="V10" s="1238"/>
      <c r="W10" s="1238"/>
      <c r="X10" s="1238"/>
      <c r="Y10" s="1238"/>
      <c r="Z10" s="1238"/>
    </row>
    <row r="11" spans="2:29" ht="16.2" thickBot="1" x14ac:dyDescent="0.35">
      <c r="B11" s="1437" t="s">
        <v>292</v>
      </c>
      <c r="C11" s="862"/>
      <c r="D11" s="862"/>
      <c r="E11" s="862"/>
      <c r="F11" s="862"/>
      <c r="G11" s="1435">
        <f ca="1">IF(G10/G14&lt;1,ROUNDUP(G10/G14,2),ROUNDUP(G10/G14,1))</f>
        <v>38.800000000000004</v>
      </c>
      <c r="H11" s="1410"/>
      <c r="I11" s="862"/>
      <c r="J11" s="862"/>
      <c r="K11" s="1436"/>
      <c r="L11" s="388"/>
      <c r="M11" s="1498" t="s">
        <v>1056</v>
      </c>
      <c r="N11" s="1499"/>
      <c r="P11" s="1317">
        <f>Данные!M264</f>
        <v>315</v>
      </c>
      <c r="R11" s="1223" t="s">
        <v>750</v>
      </c>
      <c r="S11" s="1224"/>
      <c r="T11" s="885">
        <v>245</v>
      </c>
      <c r="U11" s="594" t="s">
        <v>751</v>
      </c>
      <c r="V11" s="1763">
        <f>T12/60+T11</f>
        <v>255.66666666666666</v>
      </c>
      <c r="W11" s="1238"/>
      <c r="X11" s="1238"/>
      <c r="Y11" s="1238"/>
      <c r="Z11" s="1238"/>
    </row>
    <row r="12" spans="2:29" ht="15.6" x14ac:dyDescent="0.3">
      <c r="B12" s="1429" t="s">
        <v>28</v>
      </c>
      <c r="C12" s="862"/>
      <c r="D12" s="862"/>
      <c r="E12" s="862"/>
      <c r="F12" s="862"/>
      <c r="G12" s="1435">
        <f ca="1">IF(G10&lt;96,ROUNDUP(G10*1.04,1),ROUNDUP(G10*1.04,0))</f>
        <v>80.599999999999994</v>
      </c>
      <c r="H12" s="1410"/>
      <c r="I12" s="862"/>
      <c r="J12" s="862"/>
      <c r="K12" s="1436"/>
      <c r="L12" s="388"/>
      <c r="M12" s="1299" t="s">
        <v>1104</v>
      </c>
      <c r="N12" s="1300">
        <f>Данные!L166</f>
        <v>5.5</v>
      </c>
      <c r="P12" s="1317">
        <f>Данные!M265</f>
        <v>400</v>
      </c>
      <c r="R12" s="1225" t="s">
        <v>742</v>
      </c>
      <c r="S12" s="1226"/>
      <c r="T12" s="595">
        <v>640</v>
      </c>
      <c r="U12" s="12"/>
      <c r="V12" s="13"/>
      <c r="W12" s="1238"/>
      <c r="X12" s="1238"/>
      <c r="Y12" s="1238"/>
      <c r="Z12" s="1238"/>
    </row>
    <row r="13" spans="2:29" ht="16.2" thickBot="1" x14ac:dyDescent="0.35">
      <c r="B13" s="1437" t="s">
        <v>293</v>
      </c>
      <c r="C13" s="862"/>
      <c r="D13" s="862"/>
      <c r="E13" s="862"/>
      <c r="F13" s="862"/>
      <c r="G13" s="1435">
        <f ca="1">IF(G12/G14&lt;1,ROUNDUP(G12/G14,2),ROUNDUP(G12/G14,1))</f>
        <v>40.299999999999997</v>
      </c>
      <c r="H13" s="1410"/>
      <c r="I13" s="862"/>
      <c r="J13" s="862"/>
      <c r="K13" s="1436"/>
      <c r="L13" s="388"/>
      <c r="M13" s="291" t="s">
        <v>1105</v>
      </c>
      <c r="N13" s="149">
        <f ca="1">Данные!M167</f>
        <v>12</v>
      </c>
      <c r="P13" s="1317">
        <f>Данные!M266</f>
        <v>255</v>
      </c>
      <c r="R13" s="1225" t="s">
        <v>302</v>
      </c>
      <c r="S13" s="1226"/>
      <c r="T13" s="595">
        <v>110</v>
      </c>
      <c r="U13" s="1323"/>
      <c r="V13" s="10"/>
      <c r="W13" s="1238"/>
      <c r="X13" s="1238"/>
      <c r="Y13" s="1238"/>
      <c r="Z13" s="1238"/>
    </row>
    <row r="14" spans="2:29" ht="16.2" thickBot="1" x14ac:dyDescent="0.35">
      <c r="B14" s="1431" t="s">
        <v>32</v>
      </c>
      <c r="C14" s="282"/>
      <c r="D14" s="282"/>
      <c r="E14" s="282"/>
      <c r="F14" s="282"/>
      <c r="G14" s="1425">
        <f>N7</f>
        <v>2</v>
      </c>
      <c r="H14" s="282"/>
      <c r="I14" s="282"/>
      <c r="J14" s="282"/>
      <c r="K14" s="1438"/>
      <c r="L14" s="388"/>
      <c r="M14" s="292" t="s">
        <v>1106</v>
      </c>
      <c r="N14" s="150">
        <f ca="1">IF(N22&lt;60,1,1.3)</f>
        <v>1</v>
      </c>
      <c r="P14" s="1317">
        <f>Данные!M267</f>
        <v>455</v>
      </c>
      <c r="R14" s="1225" t="s">
        <v>303</v>
      </c>
      <c r="S14" s="1226"/>
      <c r="T14" s="595">
        <v>640</v>
      </c>
      <c r="U14" s="767"/>
      <c r="V14" s="1066">
        <f>((V16*V16-V18*V18)*3.1415926*V19*V15+(V17*V17-V18*V18)*(V20-V19)*V15*3.1415926)/4000000</f>
        <v>15.535316778666999</v>
      </c>
      <c r="W14" s="1238"/>
      <c r="X14" s="1414"/>
      <c r="Y14" s="1238"/>
      <c r="Z14" s="1238"/>
    </row>
    <row r="15" spans="2:29" ht="16.2" thickBot="1" x14ac:dyDescent="0.35">
      <c r="B15" s="1426"/>
      <c r="C15" s="1439" t="s">
        <v>209</v>
      </c>
      <c r="D15" s="861"/>
      <c r="E15" s="861"/>
      <c r="F15" s="861"/>
      <c r="G15" s="861"/>
      <c r="H15" s="861"/>
      <c r="I15" s="861"/>
      <c r="J15" s="861"/>
      <c r="K15" s="1440"/>
      <c r="L15" s="57"/>
      <c r="M15" s="291" t="s">
        <v>336</v>
      </c>
      <c r="N15" s="149">
        <f ca="1">Данные!K169</f>
        <v>45</v>
      </c>
      <c r="P15" s="1317">
        <f>Данные!M268</f>
        <v>260</v>
      </c>
      <c r="R15" s="1228" t="s">
        <v>163</v>
      </c>
      <c r="S15" s="1229"/>
      <c r="T15" s="596">
        <v>1</v>
      </c>
      <c r="U15" s="604" t="s">
        <v>9</v>
      </c>
      <c r="V15" s="605">
        <v>8.5</v>
      </c>
      <c r="W15" s="1238"/>
      <c r="X15" s="1238"/>
      <c r="Y15" s="1238"/>
      <c r="Z15" s="1238"/>
    </row>
    <row r="16" spans="2:29" ht="16.2" thickBot="1" x14ac:dyDescent="0.35">
      <c r="B16" s="1479"/>
      <c r="C16" s="146"/>
      <c r="D16" s="146"/>
      <c r="E16" s="146"/>
      <c r="F16" s="146"/>
      <c r="G16" s="1480"/>
      <c r="H16" s="146"/>
      <c r="I16" s="146"/>
      <c r="J16" s="146"/>
      <c r="K16" s="1436"/>
      <c r="L16" s="388"/>
      <c r="M16" s="292" t="s">
        <v>1107</v>
      </c>
      <c r="N16" s="150">
        <f>Данные!M179</f>
        <v>8</v>
      </c>
      <c r="P16" s="1317" t="str">
        <f>Данные!M269</f>
        <v/>
      </c>
      <c r="R16" s="1230" t="s">
        <v>18</v>
      </c>
      <c r="S16" s="1231"/>
      <c r="T16" s="597">
        <f>((V11*V11-T13*T13)*3.1415926*T14*V15)/4000000</f>
        <v>227.58012349923376</v>
      </c>
      <c r="U16" s="1322" t="s">
        <v>833</v>
      </c>
      <c r="V16" s="769">
        <v>213</v>
      </c>
      <c r="W16" s="1238"/>
      <c r="X16" s="1238"/>
      <c r="Y16" s="1238"/>
      <c r="Z16" s="1238"/>
    </row>
    <row r="17" spans="2:26" ht="16.2" thickBot="1" x14ac:dyDescent="0.35">
      <c r="B17" s="1479"/>
      <c r="C17" s="146"/>
      <c r="D17" s="146"/>
      <c r="E17" s="146"/>
      <c r="F17" s="146"/>
      <c r="G17" s="1480"/>
      <c r="H17" s="146"/>
      <c r="I17" s="146"/>
      <c r="J17" s="146"/>
      <c r="K17" s="1436"/>
      <c r="L17" s="388"/>
      <c r="M17" s="1498" t="s">
        <v>294</v>
      </c>
      <c r="N17" s="1500"/>
      <c r="P17" s="1317" t="str">
        <f>Данные!M270</f>
        <v/>
      </c>
      <c r="R17" s="1232" t="s">
        <v>743</v>
      </c>
      <c r="S17" s="1233"/>
      <c r="T17" s="598">
        <f>T16/T15</f>
        <v>227.58012349923376</v>
      </c>
      <c r="U17" s="768" t="s">
        <v>834</v>
      </c>
      <c r="V17" s="655">
        <v>173</v>
      </c>
      <c r="W17" s="1238"/>
      <c r="X17" s="1238"/>
      <c r="Y17" s="1238"/>
      <c r="Z17" s="1238"/>
    </row>
    <row r="18" spans="2:26" ht="15.6" x14ac:dyDescent="0.3">
      <c r="B18" s="1479"/>
      <c r="C18" s="146"/>
      <c r="D18" s="146"/>
      <c r="E18" s="146"/>
      <c r="F18" s="146"/>
      <c r="G18" s="1480"/>
      <c r="H18" s="146"/>
      <c r="I18" s="146"/>
      <c r="J18" s="146"/>
      <c r="K18" s="866"/>
      <c r="L18" s="57"/>
      <c r="M18" s="1301" t="s">
        <v>1126</v>
      </c>
      <c r="N18" s="1302">
        <f ca="1">IF(G32&lt;60,N4+(N12*2),(G32+G31)/60+N29)</f>
        <v>213</v>
      </c>
      <c r="P18" s="1317" t="str">
        <f>Данные!M271</f>
        <v/>
      </c>
      <c r="R18" s="1232" t="s">
        <v>28</v>
      </c>
      <c r="S18" s="1233"/>
      <c r="T18" s="598">
        <f>T16*1.04</f>
        <v>236.68332843920311</v>
      </c>
      <c r="U18" s="745" t="s">
        <v>832</v>
      </c>
      <c r="V18" s="655">
        <v>137</v>
      </c>
      <c r="W18" s="1238"/>
      <c r="X18" s="1238"/>
      <c r="Y18" s="1238"/>
      <c r="Z18" s="1238"/>
    </row>
    <row r="19" spans="2:26" ht="15.6" x14ac:dyDescent="0.3">
      <c r="B19" s="1481"/>
      <c r="C19" s="1696">
        <f>ROUND(N29*0.99,0)</f>
        <v>215</v>
      </c>
      <c r="D19" s="146"/>
      <c r="E19" s="146"/>
      <c r="F19" s="146"/>
      <c r="G19" s="1480"/>
      <c r="H19" s="1695">
        <f ca="1">N19</f>
        <v>125</v>
      </c>
      <c r="I19" s="146"/>
      <c r="J19" s="146"/>
      <c r="K19" s="866"/>
      <c r="L19" s="57"/>
      <c r="M19" s="990" t="s">
        <v>1108</v>
      </c>
      <c r="N19" s="151">
        <f ca="1">_xlfn.FLOOR.MATH(N5-(Данные!M167*2),2.5)</f>
        <v>125</v>
      </c>
      <c r="P19" s="1317" t="str">
        <f>Данные!M272</f>
        <v/>
      </c>
      <c r="R19" s="1232" t="s">
        <v>744</v>
      </c>
      <c r="S19" s="1233"/>
      <c r="T19" s="598">
        <f>T17*1.04</f>
        <v>236.68332843920311</v>
      </c>
      <c r="U19" s="745" t="s">
        <v>248</v>
      </c>
      <c r="V19" s="655">
        <v>17</v>
      </c>
      <c r="W19" s="1238"/>
      <c r="X19" s="823"/>
      <c r="Y19" s="1238"/>
      <c r="Z19" s="1238"/>
    </row>
    <row r="20" spans="2:26" ht="16.2" thickBot="1" x14ac:dyDescent="0.35">
      <c r="B20" s="1479"/>
      <c r="C20" s="1729" t="str">
        <f>"( "&amp;N4&amp;" )"</f>
        <v>( 202 )</v>
      </c>
      <c r="D20" s="146"/>
      <c r="E20" s="146"/>
      <c r="F20" s="146"/>
      <c r="G20" s="1480"/>
      <c r="H20" s="1730" t="str">
        <f>"( "&amp;N5&amp;" )"</f>
        <v>( 150 )</v>
      </c>
      <c r="I20" s="1482"/>
      <c r="J20" s="146"/>
      <c r="K20" s="1441"/>
      <c r="L20" s="985"/>
      <c r="M20" s="990" t="s">
        <v>303</v>
      </c>
      <c r="N20" s="151">
        <f ca="1">IF(N7=1,MROUND((N6+N15),1),MROUND(((N6+N16)*N7+N15),1))</f>
        <v>361</v>
      </c>
      <c r="P20" s="1317" t="str">
        <f>Данные!M273</f>
        <v/>
      </c>
      <c r="R20" s="1232" t="s">
        <v>745</v>
      </c>
      <c r="S20" s="1233"/>
      <c r="T20" s="598">
        <f>V21/T17</f>
        <v>6.8547286819855002E-2</v>
      </c>
      <c r="U20" s="746" t="s">
        <v>249</v>
      </c>
      <c r="V20" s="656">
        <v>185</v>
      </c>
      <c r="W20" s="1238"/>
      <c r="X20" s="1238"/>
      <c r="Y20" s="1238"/>
      <c r="Z20" s="1238"/>
    </row>
    <row r="21" spans="2:26" ht="16.2" thickBot="1" x14ac:dyDescent="0.35">
      <c r="B21" s="1479"/>
      <c r="C21" s="1612"/>
      <c r="D21" s="146"/>
      <c r="E21" s="146"/>
      <c r="F21" s="146"/>
      <c r="G21" s="1480"/>
      <c r="H21" s="1483"/>
      <c r="I21" s="146"/>
      <c r="J21" s="146"/>
      <c r="K21" s="1436"/>
      <c r="L21" s="388"/>
      <c r="M21" s="991" t="s">
        <v>1109</v>
      </c>
      <c r="N21" s="1491"/>
      <c r="P21" s="1317" t="str">
        <f>Данные!M274</f>
        <v/>
      </c>
      <c r="R21" s="1234" t="s">
        <v>746</v>
      </c>
      <c r="S21" s="1235"/>
      <c r="T21" s="659">
        <f>V21/T19</f>
        <v>6.5910852711399043E-2</v>
      </c>
      <c r="U21" s="657" t="s">
        <v>16</v>
      </c>
      <c r="V21" s="1598">
        <f>IF(V14&gt;=100,ROUNDUP(V14,0),IF(V14&lt;1,ROUNDUP(V14,2),ROUNDUP(V14,1)))</f>
        <v>15.6</v>
      </c>
      <c r="W21" s="1238"/>
      <c r="X21" s="1238"/>
      <c r="Y21" s="1238"/>
      <c r="Z21" s="1238"/>
    </row>
    <row r="22" spans="2:26" ht="16.2" thickBot="1" x14ac:dyDescent="0.35">
      <c r="B22" s="1479"/>
      <c r="C22" s="146"/>
      <c r="D22" s="146"/>
      <c r="E22" s="146"/>
      <c r="F22" s="146"/>
      <c r="G22" s="1480"/>
      <c r="H22" s="146"/>
      <c r="I22" s="146"/>
      <c r="J22" s="146"/>
      <c r="K22" s="1436"/>
      <c r="L22" s="388"/>
      <c r="M22" s="1068" t="s">
        <v>900</v>
      </c>
      <c r="N22" s="1239">
        <f ca="1">(N29*0.99-N19)/2</f>
        <v>45.162499999999994</v>
      </c>
      <c r="P22" s="1317" t="str">
        <f>Данные!M275</f>
        <v/>
      </c>
      <c r="R22" s="1238"/>
      <c r="S22" s="1238"/>
      <c r="T22" s="1238"/>
      <c r="U22" s="1238"/>
      <c r="V22" s="1238"/>
      <c r="W22" s="1238"/>
      <c r="X22" s="1238"/>
      <c r="Y22" s="1238"/>
      <c r="Z22" s="1238"/>
    </row>
    <row r="23" spans="2:26" ht="16.2" thickBot="1" x14ac:dyDescent="0.35">
      <c r="B23" s="1479"/>
      <c r="C23" s="146"/>
      <c r="D23" s="146"/>
      <c r="E23" s="146"/>
      <c r="F23" s="146"/>
      <c r="G23" s="1480"/>
      <c r="H23" s="146"/>
      <c r="I23" s="146"/>
      <c r="J23" s="146"/>
      <c r="K23" s="1436"/>
      <c r="L23" s="388"/>
      <c r="M23" s="994" t="s">
        <v>18</v>
      </c>
      <c r="N23" s="1767">
        <f ca="1">ROUNDUP((N31*N31-N19*N19)*3.1415926*(N20+N21)*N10/4000000,1)</f>
        <v>77.5</v>
      </c>
      <c r="P23" s="1318" t="str">
        <f>Данные!M276</f>
        <v/>
      </c>
      <c r="R23" s="1915" t="s">
        <v>1062</v>
      </c>
      <c r="S23" s="1916"/>
      <c r="T23" s="1917"/>
      <c r="U23" s="1238"/>
      <c r="V23" s="544" t="s">
        <v>964</v>
      </c>
      <c r="W23" s="545"/>
      <c r="X23" s="546"/>
      <c r="Y23" s="1238"/>
      <c r="Z23" s="1238"/>
    </row>
    <row r="24" spans="2:26" ht="15.6" x14ac:dyDescent="0.3">
      <c r="B24" s="1479"/>
      <c r="C24" s="146"/>
      <c r="D24" s="146"/>
      <c r="E24" s="1484"/>
      <c r="F24" s="1389">
        <f ca="1">N20+N21</f>
        <v>361</v>
      </c>
      <c r="G24" s="146"/>
      <c r="H24" s="146"/>
      <c r="I24" s="146"/>
      <c r="J24" s="146"/>
      <c r="K24" s="1436"/>
      <c r="L24" s="388"/>
      <c r="M24" s="992" t="s">
        <v>301</v>
      </c>
      <c r="N24" s="147"/>
      <c r="P24" s="1321"/>
      <c r="R24" s="923" t="s">
        <v>911</v>
      </c>
      <c r="S24" s="924"/>
      <c r="T24" s="925">
        <v>25</v>
      </c>
      <c r="U24" s="1238"/>
      <c r="V24" s="547" t="s">
        <v>944</v>
      </c>
      <c r="W24" s="1348"/>
      <c r="X24" s="548"/>
      <c r="Y24" s="1238"/>
      <c r="Z24" s="1238"/>
    </row>
    <row r="25" spans="2:26" ht="16.2" thickBot="1" x14ac:dyDescent="0.35">
      <c r="B25" s="1479"/>
      <c r="C25" s="146"/>
      <c r="D25" s="146"/>
      <c r="E25" s="1485"/>
      <c r="F25" s="1730" t="str">
        <f>"( "&amp;N6&amp;" )"</f>
        <v>( 150 )</v>
      </c>
      <c r="G25" s="1486"/>
      <c r="H25" s="146"/>
      <c r="I25" s="146"/>
      <c r="J25" s="146"/>
      <c r="K25" s="1436"/>
      <c r="L25" s="388"/>
      <c r="M25" s="993" t="s">
        <v>1110</v>
      </c>
      <c r="N25" s="161">
        <f>ROUNDUP((N4+(N12*2))/0.99/2.5,0)*2.5</f>
        <v>217.5</v>
      </c>
      <c r="P25" s="1321"/>
      <c r="R25" s="19" t="s">
        <v>912</v>
      </c>
      <c r="S25" s="63"/>
      <c r="T25" s="899">
        <v>12</v>
      </c>
      <c r="U25" s="1238"/>
      <c r="V25" s="547" t="s">
        <v>945</v>
      </c>
      <c r="W25" s="1348"/>
      <c r="X25" s="548"/>
      <c r="Y25" s="1238"/>
      <c r="Z25" s="1238"/>
    </row>
    <row r="26" spans="2:26" ht="16.2" thickBot="1" x14ac:dyDescent="0.35">
      <c r="B26" s="1487"/>
      <c r="C26" s="1488"/>
      <c r="D26" s="1488"/>
      <c r="E26" s="1485"/>
      <c r="F26" s="1489"/>
      <c r="G26" s="1490"/>
      <c r="H26" s="1488"/>
      <c r="I26" s="1488"/>
      <c r="J26" s="1488"/>
      <c r="K26" s="1438"/>
      <c r="L26" s="388"/>
      <c r="M26" s="993" t="s">
        <v>344</v>
      </c>
      <c r="N26" s="162">
        <f ca="1">G33+G31</f>
        <v>407</v>
      </c>
      <c r="P26" s="1321"/>
      <c r="R26" s="912" t="s">
        <v>913</v>
      </c>
      <c r="S26" s="913"/>
      <c r="T26" s="914">
        <v>10</v>
      </c>
      <c r="U26" s="1238"/>
      <c r="V26" s="547" t="s">
        <v>946</v>
      </c>
      <c r="W26" s="1348"/>
      <c r="X26" s="548"/>
      <c r="Y26" s="1238"/>
      <c r="Z26" s="1238"/>
    </row>
    <row r="27" spans="2:26" ht="16.2" thickBot="1" x14ac:dyDescent="0.35">
      <c r="B27" s="491"/>
      <c r="C27" s="492"/>
      <c r="D27" s="492"/>
      <c r="E27" s="1443" t="s">
        <v>640</v>
      </c>
      <c r="F27" s="1444"/>
      <c r="G27" s="861"/>
      <c r="H27" s="492"/>
      <c r="I27" s="492"/>
      <c r="J27" s="492"/>
      <c r="K27" s="1445"/>
      <c r="L27" s="388"/>
      <c r="M27" s="1240" t="s">
        <v>1035</v>
      </c>
      <c r="N27" s="1241"/>
      <c r="P27" s="1321"/>
      <c r="R27" s="917" t="s">
        <v>915</v>
      </c>
      <c r="S27" s="918"/>
      <c r="T27" s="919">
        <f>T25</f>
        <v>12</v>
      </c>
      <c r="U27" s="1238"/>
      <c r="V27" s="547" t="s">
        <v>947</v>
      </c>
      <c r="W27" s="1348"/>
      <c r="X27" s="548"/>
      <c r="Y27" s="1238"/>
      <c r="Z27" s="1238"/>
    </row>
    <row r="28" spans="2:26" ht="16.2" thickBot="1" x14ac:dyDescent="0.35">
      <c r="B28" s="1960" t="s">
        <v>264</v>
      </c>
      <c r="C28" s="1961"/>
      <c r="D28" s="1962"/>
      <c r="E28" s="1960" t="s">
        <v>192</v>
      </c>
      <c r="F28" s="1962"/>
      <c r="G28" s="1446" t="s">
        <v>79</v>
      </c>
      <c r="H28" s="1960" t="s">
        <v>839</v>
      </c>
      <c r="I28" s="1961"/>
      <c r="J28" s="1962"/>
      <c r="K28" s="1447" t="s">
        <v>265</v>
      </c>
      <c r="L28" s="939"/>
      <c r="M28" s="1242" t="s">
        <v>1036</v>
      </c>
      <c r="N28" s="1243"/>
      <c r="P28" s="1321"/>
      <c r="R28" s="920" t="s">
        <v>819</v>
      </c>
      <c r="S28" s="921"/>
      <c r="T28" s="922">
        <v>20</v>
      </c>
      <c r="U28" s="1238"/>
      <c r="V28" s="587" t="s">
        <v>1153</v>
      </c>
      <c r="W28" s="588"/>
      <c r="X28" s="589"/>
      <c r="Y28" s="1238"/>
      <c r="Z28" s="1238"/>
    </row>
    <row r="29" spans="2:26" ht="16.2" thickBot="1" x14ac:dyDescent="0.35">
      <c r="B29" s="1448" t="s">
        <v>266</v>
      </c>
      <c r="C29" s="862"/>
      <c r="D29" s="862"/>
      <c r="E29" s="1975">
        <f>N29</f>
        <v>217.5</v>
      </c>
      <c r="F29" s="1976"/>
      <c r="G29" s="1449">
        <f ca="1">N30</f>
        <v>455</v>
      </c>
      <c r="H29" s="1963" t="str">
        <f>VLOOKUP(N29,Изложницы_без_бурта[],4,FALSE)</f>
        <v>72.11871 - 32</v>
      </c>
      <c r="I29" s="1964"/>
      <c r="J29" s="1965"/>
      <c r="K29" s="1450"/>
      <c r="L29" s="272"/>
      <c r="M29" s="1303" t="s">
        <v>1111</v>
      </c>
      <c r="N29" s="1305">
        <f>Данные!N307</f>
        <v>217.5</v>
      </c>
      <c r="P29" s="1321"/>
      <c r="R29" s="1516" t="s">
        <v>1115</v>
      </c>
      <c r="S29" s="1517"/>
      <c r="T29" s="919">
        <v>1</v>
      </c>
      <c r="U29" s="1238"/>
      <c r="V29" s="1238"/>
      <c r="W29" s="1238"/>
      <c r="X29" s="1238"/>
      <c r="Y29" s="1238"/>
      <c r="Z29" s="1238"/>
    </row>
    <row r="30" spans="2:26" ht="16.2" thickBot="1" x14ac:dyDescent="0.35">
      <c r="B30" s="1448" t="s">
        <v>1101</v>
      </c>
      <c r="C30" s="862"/>
      <c r="D30" s="862"/>
      <c r="E30" s="1977">
        <f ca="1">N19</f>
        <v>125</v>
      </c>
      <c r="F30" s="1978"/>
      <c r="G30" s="1449"/>
      <c r="H30" s="1966" t="str">
        <f ca="1">VLOOKUP(Данные!N26,Залив_кольца[],2)&amp;" - "&amp;RANDBETWEEN(1,15)</f>
        <v>72.11878 - 5</v>
      </c>
      <c r="I30" s="1967"/>
      <c r="J30" s="1968"/>
      <c r="K30" s="1451"/>
      <c r="L30" s="986"/>
      <c r="M30" s="1304" t="s">
        <v>742</v>
      </c>
      <c r="N30" s="1306">
        <f ca="1">Данные!N308</f>
        <v>455</v>
      </c>
      <c r="P30" s="1321"/>
      <c r="R30" s="1238"/>
      <c r="S30" s="1238"/>
      <c r="T30" s="937">
        <f>T24*T25+T26*T27+T28*T29</f>
        <v>440</v>
      </c>
      <c r="U30" s="1238"/>
      <c r="V30" s="1631" t="s">
        <v>1152</v>
      </c>
      <c r="W30" s="1632"/>
      <c r="X30" s="1238"/>
      <c r="Y30" s="1238"/>
      <c r="Z30" s="1238"/>
    </row>
    <row r="31" spans="2:26" ht="16.2" thickBot="1" x14ac:dyDescent="0.35">
      <c r="B31" s="1448" t="s">
        <v>267</v>
      </c>
      <c r="C31" s="862"/>
      <c r="D31" s="862"/>
      <c r="E31" s="1977">
        <f>E29</f>
        <v>217.5</v>
      </c>
      <c r="F31" s="1978"/>
      <c r="G31" s="1452">
        <v>40</v>
      </c>
      <c r="H31" s="1966" t="str">
        <f>VLOOKUP(E31,Инв_номер_токателя[],2)</f>
        <v>72.47214 - 2</v>
      </c>
      <c r="I31" s="1967"/>
      <c r="J31" s="1968"/>
      <c r="K31" s="1453"/>
      <c r="L31" s="272"/>
      <c r="M31" s="291" t="s">
        <v>492</v>
      </c>
      <c r="N31" s="797">
        <f ca="1">N30/60+N29</f>
        <v>225.08333333333334</v>
      </c>
      <c r="P31" s="1321"/>
      <c r="R31" s="1236" t="s">
        <v>943</v>
      </c>
      <c r="S31" s="1237"/>
      <c r="T31" s="998">
        <f>ROUNDUP(T30/0.985+G31,0)</f>
        <v>487</v>
      </c>
      <c r="U31" s="1238"/>
      <c r="V31" s="547" t="s">
        <v>1148</v>
      </c>
      <c r="W31" s="548"/>
      <c r="X31" s="1238"/>
      <c r="Y31" s="1238"/>
      <c r="Z31" s="1238"/>
    </row>
    <row r="32" spans="2:26" ht="16.2" thickBot="1" x14ac:dyDescent="0.35">
      <c r="B32" s="1448" t="s">
        <v>1102</v>
      </c>
      <c r="C32" s="862"/>
      <c r="D32" s="862"/>
      <c r="E32" s="1979"/>
      <c r="F32" s="1980"/>
      <c r="G32" s="1452">
        <f ca="1">G29+G30-G31-G33</f>
        <v>48</v>
      </c>
      <c r="H32" s="1454"/>
      <c r="I32" s="1455"/>
      <c r="J32" s="1456"/>
      <c r="K32" s="1457"/>
      <c r="L32" s="272"/>
      <c r="M32" s="291" t="s">
        <v>491</v>
      </c>
      <c r="N32" s="797">
        <f ca="1">N30/30+N29</f>
        <v>232.66666666666666</v>
      </c>
      <c r="P32" s="1321"/>
      <c r="R32" s="1238"/>
      <c r="S32" s="1238"/>
      <c r="T32" s="1238"/>
      <c r="U32" s="1238"/>
      <c r="V32" s="547" t="s">
        <v>1149</v>
      </c>
      <c r="W32" s="548">
        <v>100</v>
      </c>
      <c r="X32" s="1238"/>
      <c r="Y32" s="1238"/>
      <c r="Z32" s="1238"/>
    </row>
    <row r="33" spans="2:31" ht="15.6" x14ac:dyDescent="0.3">
      <c r="B33" s="1426"/>
      <c r="C33" s="1439" t="s">
        <v>268</v>
      </c>
      <c r="D33" s="861"/>
      <c r="E33" s="1458"/>
      <c r="F33" s="1458"/>
      <c r="G33" s="1459">
        <f ca="1">ROUNDUP(F24/0.985,0)</f>
        <v>367</v>
      </c>
      <c r="H33" s="862"/>
      <c r="I33" s="862"/>
      <c r="J33" s="862"/>
      <c r="K33" s="1440"/>
      <c r="L33" s="57"/>
      <c r="P33" s="113"/>
      <c r="R33" s="1238"/>
      <c r="S33" s="1238"/>
      <c r="T33" s="1238"/>
      <c r="U33" s="1238"/>
      <c r="V33" s="547" t="s">
        <v>1150</v>
      </c>
      <c r="W33" s="548">
        <v>120</v>
      </c>
      <c r="X33" s="1238"/>
      <c r="Y33" s="1238"/>
      <c r="Z33" s="1238"/>
    </row>
    <row r="34" spans="2:31" ht="16.2" customHeight="1" thickBot="1" x14ac:dyDescent="0.35">
      <c r="B34" s="1431"/>
      <c r="C34" s="282"/>
      <c r="D34" s="282"/>
      <c r="E34" s="282"/>
      <c r="F34" s="282"/>
      <c r="G34" s="282"/>
      <c r="H34" s="282"/>
      <c r="I34" s="282"/>
      <c r="J34" s="282"/>
      <c r="K34" s="869"/>
      <c r="L34" s="57"/>
      <c r="M34" s="290" t="s">
        <v>921</v>
      </c>
      <c r="N34" s="113"/>
      <c r="R34" s="58"/>
      <c r="S34" s="58"/>
      <c r="T34" s="58"/>
      <c r="U34" s="58"/>
      <c r="V34" s="1629" t="s">
        <v>1151</v>
      </c>
      <c r="W34" s="1630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60" t="str">
        <f>"Плавка по инструкции "&amp;VLOOKUP(G8,Данные!A3:I27,6,FALSE())</f>
        <v>Плавка по инструкции 25010.00176</v>
      </c>
      <c r="C35" s="861"/>
      <c r="D35" s="861"/>
      <c r="E35" s="861"/>
      <c r="F35" s="861"/>
      <c r="G35" s="1461"/>
      <c r="H35" s="861"/>
      <c r="I35" s="861"/>
      <c r="J35" s="861"/>
      <c r="K35" s="1462"/>
      <c r="L35" s="388"/>
      <c r="M35" s="1969">
        <f>VLOOKUP(N29,Изложницы_без_бурта[],5,FALSE)</f>
        <v>0</v>
      </c>
      <c r="N35" s="1970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63" t="s">
        <v>269</v>
      </c>
      <c r="C36" s="282"/>
      <c r="D36" s="282"/>
      <c r="E36" s="282"/>
      <c r="F36" s="282"/>
      <c r="G36" s="1464"/>
      <c r="H36" s="282"/>
      <c r="I36" s="282"/>
      <c r="J36" s="282"/>
      <c r="K36" s="1438"/>
      <c r="L36" s="388"/>
      <c r="M36" s="1971"/>
      <c r="N36" s="1972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60" t="s">
        <v>270</v>
      </c>
      <c r="C37" s="861"/>
      <c r="D37" s="861"/>
      <c r="E37" s="861"/>
      <c r="F37" s="861"/>
      <c r="G37" s="1465"/>
      <c r="H37" s="861"/>
      <c r="I37" s="861"/>
      <c r="J37" s="861"/>
      <c r="K37" s="1440"/>
      <c r="L37" s="57"/>
      <c r="M37" s="1971"/>
      <c r="N37" s="1972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448" t="s">
        <v>271</v>
      </c>
      <c r="C38" s="862"/>
      <c r="D38" s="862"/>
      <c r="E38" s="862"/>
      <c r="F38" s="862"/>
      <c r="G38" s="1410"/>
      <c r="H38" s="862"/>
      <c r="I38" s="862"/>
      <c r="J38" s="862"/>
      <c r="K38" s="866"/>
      <c r="L38" s="57"/>
      <c r="M38" s="1973"/>
      <c r="N38" s="1974"/>
      <c r="R38" s="58"/>
      <c r="S38" s="58"/>
      <c r="T38" s="78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448" t="s">
        <v>272</v>
      </c>
      <c r="C39" s="862"/>
      <c r="D39" s="862"/>
      <c r="E39" s="862"/>
      <c r="F39" s="862"/>
      <c r="G39" s="1410"/>
      <c r="H39" s="862"/>
      <c r="I39" s="862"/>
      <c r="J39" s="862"/>
      <c r="K39" s="866"/>
      <c r="L39" s="57"/>
      <c r="R39" s="58"/>
      <c r="S39" s="1310"/>
      <c r="T39" s="445"/>
      <c r="U39" s="445"/>
      <c r="V39" s="445"/>
      <c r="W39" s="445"/>
      <c r="X39" s="445"/>
      <c r="Y39" s="445"/>
      <c r="Z39" s="1310"/>
      <c r="AA39" s="445"/>
      <c r="AB39" s="445"/>
      <c r="AC39" s="1311"/>
      <c r="AD39" s="58"/>
      <c r="AE39" s="58"/>
    </row>
    <row r="40" spans="2:31" ht="16.2" thickBot="1" x14ac:dyDescent="0.35">
      <c r="B40" s="1431"/>
      <c r="C40" s="282"/>
      <c r="D40" s="282"/>
      <c r="E40" s="282"/>
      <c r="F40" s="282"/>
      <c r="G40" s="282"/>
      <c r="H40" s="282"/>
      <c r="I40" s="282"/>
      <c r="J40" s="282"/>
      <c r="K40" s="869"/>
      <c r="L40" s="57"/>
      <c r="R40" s="58"/>
      <c r="S40" s="1312"/>
      <c r="T40" s="445"/>
      <c r="U40" s="445"/>
      <c r="V40" s="445"/>
      <c r="W40" s="445"/>
      <c r="X40" s="445"/>
      <c r="Y40" s="445"/>
      <c r="Z40" s="1310"/>
      <c r="AA40" s="445"/>
      <c r="AB40" s="445"/>
      <c r="AC40" s="1311"/>
      <c r="AD40" s="1313"/>
      <c r="AE40" s="58"/>
    </row>
    <row r="41" spans="2:31" ht="16.2" thickBot="1" x14ac:dyDescent="0.35">
      <c r="B41" s="1960" t="s">
        <v>273</v>
      </c>
      <c r="C41" s="1961"/>
      <c r="D41" s="1962"/>
      <c r="E41" s="1466" t="s">
        <v>645</v>
      </c>
      <c r="F41" s="1467" t="s">
        <v>275</v>
      </c>
      <c r="G41" s="1467" t="s">
        <v>274</v>
      </c>
      <c r="H41" s="1466" t="s">
        <v>275</v>
      </c>
      <c r="I41" s="1960" t="s">
        <v>276</v>
      </c>
      <c r="J41" s="1962"/>
      <c r="K41" s="1466" t="s">
        <v>275</v>
      </c>
      <c r="L41" s="11"/>
      <c r="M41" s="287" t="s">
        <v>407</v>
      </c>
      <c r="N41" s="42"/>
      <c r="R41" s="58"/>
      <c r="S41" s="1309"/>
      <c r="T41" s="1309"/>
      <c r="U41" s="1309"/>
      <c r="V41" s="445"/>
      <c r="W41" s="445"/>
      <c r="X41" s="1308"/>
      <c r="Y41" s="1308"/>
      <c r="Z41" s="1314"/>
      <c r="AA41" s="1314"/>
      <c r="AB41" s="1307"/>
      <c r="AC41" s="445"/>
      <c r="AD41" s="445"/>
      <c r="AE41" s="58"/>
    </row>
    <row r="42" spans="2:31" ht="16.2" thickBot="1" x14ac:dyDescent="0.35">
      <c r="B42" s="1957">
        <f ca="1">TODAY()</f>
        <v>45497</v>
      </c>
      <c r="C42" s="1958"/>
      <c r="D42" s="1959"/>
      <c r="E42" s="1468" t="s">
        <v>252</v>
      </c>
      <c r="F42" s="1469"/>
      <c r="G42" s="1469" t="s">
        <v>253</v>
      </c>
      <c r="H42" s="1468"/>
      <c r="I42" s="1982"/>
      <c r="J42" s="1983"/>
      <c r="K42" s="1468"/>
      <c r="L42" s="57"/>
      <c r="R42" s="58"/>
      <c r="S42" s="1309"/>
      <c r="T42" s="1309"/>
      <c r="U42" s="1309"/>
      <c r="V42" s="1311"/>
      <c r="W42" s="1311"/>
      <c r="X42" s="1311"/>
      <c r="Y42" s="1311"/>
      <c r="Z42" s="1311"/>
      <c r="AA42" s="1311"/>
      <c r="AB42" s="1308"/>
      <c r="AC42" s="1308"/>
      <c r="AD42" s="1308"/>
      <c r="AE42" s="58"/>
    </row>
    <row r="43" spans="2:31" ht="16.2" thickBot="1" x14ac:dyDescent="0.35">
      <c r="B43" s="1960" t="s">
        <v>63</v>
      </c>
      <c r="C43" s="1961"/>
      <c r="D43" s="1962"/>
      <c r="E43" s="1468"/>
      <c r="F43" s="1469"/>
      <c r="G43" s="1469"/>
      <c r="H43" s="1468"/>
      <c r="I43" s="1982"/>
      <c r="J43" s="1983"/>
      <c r="K43" s="1468"/>
      <c r="L43" s="57"/>
      <c r="N43" s="42"/>
      <c r="R43" s="58"/>
      <c r="S43" s="1309"/>
      <c r="T43" s="1309"/>
      <c r="U43" s="1309"/>
      <c r="V43" s="1311"/>
      <c r="W43" s="1311"/>
      <c r="X43" s="1311"/>
      <c r="Y43" s="1311"/>
      <c r="Z43" s="1311"/>
      <c r="AA43" s="1311"/>
      <c r="AB43" s="1308"/>
      <c r="AC43" s="1311"/>
      <c r="AD43" s="1311"/>
      <c r="AE43" s="58"/>
    </row>
    <row r="44" spans="2:31" x14ac:dyDescent="0.3">
      <c r="N44" s="42"/>
      <c r="R44" s="58"/>
      <c r="S44" s="1309"/>
      <c r="T44" s="1309"/>
      <c r="U44" s="1309"/>
      <c r="V44" s="1311"/>
      <c r="W44" s="1311"/>
      <c r="X44" s="1311"/>
      <c r="Y44" s="1311"/>
      <c r="Z44" s="1311"/>
      <c r="AA44" s="1311"/>
      <c r="AB44" s="1308"/>
      <c r="AC44" s="1311"/>
      <c r="AD44" s="1311"/>
      <c r="AE44" s="58"/>
    </row>
    <row r="45" spans="2:31" x14ac:dyDescent="0.3">
      <c r="R45" s="58"/>
      <c r="S45" s="1309"/>
      <c r="T45" s="1309"/>
      <c r="U45" s="1309"/>
      <c r="V45" s="445"/>
      <c r="W45" s="445"/>
      <c r="X45" s="1308"/>
      <c r="Y45" s="1308"/>
      <c r="Z45" s="1315"/>
      <c r="AA45" s="1315"/>
      <c r="AB45" s="445"/>
      <c r="AC45" s="445"/>
      <c r="AD45" s="445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302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309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348"/>
      <c r="C49" s="1348"/>
      <c r="D49" s="1348"/>
      <c r="E49" s="1348"/>
      <c r="F49" s="1348"/>
      <c r="G49" s="1348"/>
      <c r="H49" s="1348"/>
      <c r="I49" s="1348"/>
      <c r="J49" s="1348"/>
      <c r="K49" s="1348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348"/>
      <c r="C50" s="1348"/>
      <c r="D50" s="1348"/>
      <c r="E50" s="270"/>
      <c r="F50" s="270"/>
      <c r="G50" s="1348"/>
      <c r="H50" s="1348"/>
      <c r="I50" s="1348"/>
      <c r="J50" s="1348"/>
      <c r="K50" s="1348"/>
      <c r="S50" s="1268"/>
      <c r="T50" s="1268"/>
      <c r="U50" s="1268"/>
      <c r="V50" s="1268"/>
      <c r="W50" s="1268"/>
      <c r="X50" s="1268"/>
      <c r="Y50" s="1268"/>
      <c r="Z50" s="1268"/>
      <c r="AA50" s="1268"/>
      <c r="AB50" s="1268"/>
      <c r="AC50" s="1268"/>
      <c r="AD50" s="1268"/>
    </row>
    <row r="51" spans="2:31" x14ac:dyDescent="0.3">
      <c r="B51" s="1348"/>
      <c r="C51" s="1348"/>
      <c r="D51" s="1348"/>
      <c r="E51" s="1348"/>
      <c r="F51" s="1348"/>
      <c r="G51" s="344"/>
      <c r="H51" s="1348"/>
      <c r="I51" s="270"/>
      <c r="J51" s="270"/>
      <c r="K51" s="270"/>
      <c r="S51" s="1268"/>
      <c r="T51" s="1268"/>
      <c r="U51" s="1268"/>
      <c r="V51" s="1268"/>
      <c r="W51" s="1268"/>
      <c r="X51" s="1268"/>
      <c r="Y51" s="1268"/>
      <c r="Z51" s="1268"/>
      <c r="AA51" s="1268"/>
      <c r="AB51" s="1268"/>
      <c r="AC51" s="1268"/>
      <c r="AD51" s="1268"/>
    </row>
    <row r="52" spans="2:31" x14ac:dyDescent="0.3">
      <c r="B52" s="1348"/>
      <c r="C52" s="1348"/>
      <c r="D52" s="1348"/>
      <c r="E52" s="1348"/>
      <c r="F52" s="1348"/>
      <c r="G52" s="1297"/>
      <c r="H52" s="58"/>
      <c r="I52" s="1348"/>
      <c r="J52" s="1348"/>
      <c r="K52" s="1348"/>
    </row>
    <row r="53" spans="2:31" x14ac:dyDescent="0.3">
      <c r="B53" s="1348"/>
      <c r="C53" s="1348"/>
      <c r="D53" s="1348"/>
      <c r="E53" s="1348"/>
      <c r="F53" s="1348"/>
      <c r="G53" s="486"/>
      <c r="H53" s="58"/>
      <c r="I53" s="1348"/>
      <c r="J53" s="1348"/>
      <c r="K53" s="1348"/>
      <c r="M53" s="42"/>
      <c r="N53" s="42"/>
    </row>
    <row r="54" spans="2:31" x14ac:dyDescent="0.3">
      <c r="B54" s="1348"/>
      <c r="C54" s="1348"/>
      <c r="D54" s="1348"/>
      <c r="E54" s="1348"/>
      <c r="F54" s="1348"/>
      <c r="G54" s="606"/>
      <c r="H54" s="17"/>
      <c r="I54" s="1348"/>
      <c r="J54" s="1348"/>
      <c r="K54" s="1348"/>
      <c r="M54" s="42"/>
      <c r="N54" s="42"/>
    </row>
    <row r="55" spans="2:31" x14ac:dyDescent="0.3">
      <c r="B55" s="1348"/>
      <c r="C55" s="1348"/>
      <c r="D55" s="1348"/>
      <c r="E55" s="1348"/>
      <c r="F55" s="1348"/>
      <c r="G55" s="136"/>
      <c r="H55" s="1348"/>
      <c r="I55" s="1348"/>
      <c r="J55" s="1348"/>
      <c r="K55" s="1348"/>
      <c r="M55" s="42"/>
      <c r="N55" s="42"/>
    </row>
    <row r="56" spans="2:31" x14ac:dyDescent="0.3">
      <c r="B56" s="1348"/>
      <c r="C56" s="1348"/>
      <c r="D56" s="1348"/>
      <c r="E56" s="1348"/>
      <c r="F56" s="1348"/>
      <c r="G56" s="136"/>
      <c r="H56" s="1348"/>
      <c r="I56" s="1348"/>
      <c r="J56" s="1348"/>
      <c r="K56" s="141"/>
      <c r="M56" s="42"/>
      <c r="N56" s="42"/>
    </row>
    <row r="57" spans="2:31" x14ac:dyDescent="0.3">
      <c r="B57" s="1348"/>
      <c r="C57" s="1348"/>
      <c r="D57" s="1348"/>
      <c r="E57" s="1348"/>
      <c r="F57" s="1348"/>
      <c r="G57" s="477"/>
      <c r="H57" s="17"/>
      <c r="I57" s="1348"/>
      <c r="J57" s="1348"/>
      <c r="K57" s="141"/>
      <c r="M57" s="42"/>
      <c r="N57" s="42"/>
    </row>
    <row r="58" spans="2:31" x14ac:dyDescent="0.3">
      <c r="B58" s="1348"/>
      <c r="C58" s="1348"/>
      <c r="D58" s="1348"/>
      <c r="E58" s="1348"/>
      <c r="F58" s="1348"/>
      <c r="G58" s="316"/>
      <c r="H58" s="17"/>
      <c r="I58" s="1348"/>
      <c r="J58" s="1348"/>
      <c r="K58" s="388"/>
      <c r="M58" s="42"/>
      <c r="N58" s="42"/>
      <c r="O58" s="823"/>
      <c r="P58" s="823"/>
    </row>
    <row r="59" spans="2:31" x14ac:dyDescent="0.3">
      <c r="B59" s="1348"/>
      <c r="C59" s="58"/>
      <c r="D59" s="1348"/>
      <c r="E59" s="1348"/>
      <c r="F59" s="1348"/>
      <c r="G59" s="316"/>
      <c r="H59" s="17"/>
      <c r="I59" s="1348"/>
      <c r="J59" s="1348"/>
      <c r="K59" s="388"/>
      <c r="M59" s="42"/>
      <c r="N59" s="823"/>
      <c r="O59" s="823"/>
      <c r="P59" s="823"/>
    </row>
    <row r="60" spans="2:31" x14ac:dyDescent="0.3">
      <c r="B60" s="1348"/>
      <c r="C60" s="1348"/>
      <c r="D60" s="1348"/>
      <c r="E60" s="1348"/>
      <c r="F60" s="1348"/>
      <c r="G60" s="316"/>
      <c r="H60" s="17"/>
      <c r="I60" s="1348"/>
      <c r="J60" s="1348"/>
      <c r="K60" s="388"/>
      <c r="M60" s="42"/>
      <c r="N60" s="823"/>
    </row>
    <row r="61" spans="2:31" x14ac:dyDescent="0.3">
      <c r="B61" s="1348"/>
      <c r="C61" s="58"/>
      <c r="D61" s="1348"/>
      <c r="E61" s="1348"/>
      <c r="F61" s="1348"/>
      <c r="G61" s="316"/>
      <c r="H61" s="17"/>
      <c r="I61" s="1348"/>
      <c r="J61" s="1348"/>
      <c r="K61" s="388"/>
      <c r="M61" s="42"/>
      <c r="N61" s="42"/>
    </row>
    <row r="62" spans="2:31" ht="15.6" x14ac:dyDescent="0.3">
      <c r="B62" s="1348"/>
      <c r="C62" s="1348"/>
      <c r="D62" s="1348"/>
      <c r="E62" s="1348"/>
      <c r="F62" s="1348"/>
      <c r="G62" s="136"/>
      <c r="H62" s="1410"/>
      <c r="I62" s="1348"/>
      <c r="J62" s="1348"/>
      <c r="K62" s="388"/>
      <c r="M62" s="42"/>
      <c r="N62" s="42"/>
    </row>
    <row r="63" spans="2:31" x14ac:dyDescent="0.3">
      <c r="B63" s="1348"/>
      <c r="C63" s="11"/>
      <c r="D63" s="1348"/>
      <c r="E63" s="1348"/>
      <c r="F63" s="1348"/>
      <c r="G63" s="1348"/>
      <c r="H63" s="1348"/>
      <c r="I63" s="1348"/>
      <c r="J63" s="1348"/>
      <c r="K63" s="1348"/>
      <c r="M63" s="42"/>
      <c r="N63" s="42"/>
    </row>
    <row r="64" spans="2:31" x14ac:dyDescent="0.3">
      <c r="B64" s="1348"/>
      <c r="C64" s="1348"/>
      <c r="D64" s="1348"/>
      <c r="E64" s="1348"/>
      <c r="F64" s="1348"/>
      <c r="G64" s="17"/>
      <c r="H64" s="1348"/>
      <c r="I64" s="1348"/>
      <c r="J64" s="1348"/>
      <c r="K64" s="388"/>
      <c r="M64" s="42"/>
      <c r="N64" s="42"/>
    </row>
    <row r="65" spans="2:14" x14ac:dyDescent="0.3">
      <c r="B65" s="1348"/>
      <c r="C65" s="1348"/>
      <c r="D65" s="1348"/>
      <c r="E65" s="1348"/>
      <c r="F65" s="1348"/>
      <c r="G65" s="17"/>
      <c r="H65" s="1348"/>
      <c r="I65" s="1348"/>
      <c r="J65" s="1348"/>
      <c r="K65" s="388"/>
      <c r="M65" s="42"/>
      <c r="N65" s="42"/>
    </row>
    <row r="66" spans="2:14" x14ac:dyDescent="0.3">
      <c r="B66" s="1348"/>
      <c r="C66" s="1348"/>
      <c r="D66" s="1348"/>
      <c r="E66" s="1348"/>
      <c r="F66" s="1348"/>
      <c r="G66" s="17"/>
      <c r="H66" s="1348"/>
      <c r="I66" s="1348"/>
      <c r="J66" s="1348"/>
      <c r="K66" s="1348"/>
      <c r="M66" s="42"/>
      <c r="N66" s="42"/>
    </row>
    <row r="67" spans="2:14" x14ac:dyDescent="0.3">
      <c r="B67" s="1411"/>
      <c r="C67" s="100"/>
      <c r="D67" s="1348"/>
      <c r="E67" s="1348"/>
      <c r="F67" s="1348"/>
      <c r="G67" s="17"/>
      <c r="H67" s="105"/>
      <c r="I67" s="1348"/>
      <c r="J67" s="1348"/>
      <c r="K67" s="1348"/>
      <c r="M67" s="42"/>
      <c r="N67" s="42"/>
    </row>
    <row r="68" spans="2:14" x14ac:dyDescent="0.3">
      <c r="B68" s="1348"/>
      <c r="C68" s="915"/>
      <c r="D68" s="1348"/>
      <c r="E68" s="1348"/>
      <c r="F68" s="1348"/>
      <c r="G68" s="17"/>
      <c r="H68" s="916"/>
      <c r="I68" s="293"/>
      <c r="J68" s="1348"/>
      <c r="K68" s="985"/>
      <c r="M68" s="42"/>
      <c r="N68" s="42"/>
    </row>
    <row r="69" spans="2:14" x14ac:dyDescent="0.3">
      <c r="B69" s="1348"/>
      <c r="C69" s="926"/>
      <c r="D69" s="1348"/>
      <c r="E69" s="1348"/>
      <c r="F69" s="1348"/>
      <c r="G69" s="17"/>
      <c r="H69" s="927"/>
      <c r="I69" s="1348"/>
      <c r="J69" s="1348"/>
      <c r="K69" s="388"/>
      <c r="M69" s="42"/>
      <c r="N69" s="42"/>
    </row>
    <row r="70" spans="2:14" x14ac:dyDescent="0.3">
      <c r="B70" s="1348"/>
      <c r="C70" s="1348"/>
      <c r="D70" s="1348"/>
      <c r="E70" s="1348"/>
      <c r="F70" s="1348"/>
      <c r="G70" s="17"/>
      <c r="H70" s="1348"/>
      <c r="I70" s="1348"/>
      <c r="J70" s="1348"/>
      <c r="K70" s="388"/>
      <c r="M70" s="42"/>
      <c r="N70" s="42"/>
    </row>
    <row r="71" spans="2:14" x14ac:dyDescent="0.3">
      <c r="B71" s="1348"/>
      <c r="C71" s="1348"/>
      <c r="D71" s="1348"/>
      <c r="E71" s="1348"/>
      <c r="F71" s="1348"/>
      <c r="G71" s="17"/>
      <c r="H71" s="1348"/>
      <c r="I71" s="1348"/>
      <c r="J71" s="1348"/>
      <c r="K71" s="388"/>
      <c r="M71" s="42"/>
      <c r="N71" s="42"/>
    </row>
    <row r="72" spans="2:14" x14ac:dyDescent="0.3">
      <c r="B72" s="1348"/>
      <c r="C72" s="1348"/>
      <c r="D72" s="1348"/>
      <c r="E72" s="99"/>
      <c r="F72" s="99"/>
      <c r="G72" s="1348"/>
      <c r="H72" s="1348"/>
      <c r="I72" s="1348"/>
      <c r="J72" s="1348"/>
      <c r="K72" s="388"/>
      <c r="M72" s="42"/>
      <c r="N72" s="42"/>
    </row>
    <row r="73" spans="2:14" x14ac:dyDescent="0.3">
      <c r="B73" s="1348"/>
      <c r="C73" s="1348"/>
      <c r="D73" s="1348"/>
      <c r="E73" s="916"/>
      <c r="F73" s="916"/>
      <c r="G73" s="796"/>
      <c r="H73" s="1348"/>
      <c r="I73" s="1348"/>
      <c r="J73" s="1348"/>
      <c r="K73" s="388"/>
      <c r="M73" s="42"/>
      <c r="N73" s="42"/>
    </row>
    <row r="74" spans="2:14" x14ac:dyDescent="0.3">
      <c r="B74" s="1348"/>
      <c r="C74" s="1348"/>
      <c r="D74" s="1348"/>
      <c r="E74" s="104"/>
      <c r="F74" s="104"/>
      <c r="G74" s="796"/>
      <c r="H74" s="1348"/>
      <c r="I74" s="1348"/>
      <c r="J74" s="1348"/>
      <c r="K74" s="388"/>
      <c r="M74" s="42"/>
      <c r="N74" s="42"/>
    </row>
    <row r="75" spans="2:14" x14ac:dyDescent="0.3">
      <c r="B75" s="1348"/>
      <c r="C75" s="1348"/>
      <c r="D75" s="1348"/>
      <c r="E75" s="14"/>
      <c r="F75" s="14"/>
      <c r="G75" s="1348"/>
      <c r="H75" s="1348"/>
      <c r="I75" s="1348"/>
      <c r="J75" s="1348"/>
      <c r="K75" s="388"/>
      <c r="M75" s="42"/>
      <c r="N75" s="42"/>
    </row>
    <row r="76" spans="2:14" x14ac:dyDescent="0.3">
      <c r="B76" s="11"/>
      <c r="C76" s="1348"/>
      <c r="D76" s="1348"/>
      <c r="E76" s="11"/>
      <c r="F76" s="11"/>
      <c r="G76" s="14"/>
      <c r="H76" s="11"/>
      <c r="I76" s="720"/>
      <c r="J76" s="720"/>
      <c r="K76" s="939"/>
      <c r="M76" s="42"/>
      <c r="N76" s="42"/>
    </row>
    <row r="77" spans="2:14" x14ac:dyDescent="0.3">
      <c r="B77" s="11"/>
      <c r="C77" s="1348"/>
      <c r="D77" s="1348"/>
      <c r="E77" s="16"/>
      <c r="F77" s="16"/>
      <c r="G77" s="16"/>
      <c r="H77" s="1412"/>
      <c r="I77" s="23"/>
      <c r="J77" s="1413"/>
      <c r="K77" s="272"/>
      <c r="M77" s="42"/>
      <c r="N77" s="42"/>
    </row>
    <row r="78" spans="2:14" x14ac:dyDescent="0.3">
      <c r="B78" s="11"/>
      <c r="C78" s="1348"/>
      <c r="D78" s="1348"/>
      <c r="E78" s="16"/>
      <c r="F78" s="16"/>
      <c r="G78" s="16"/>
      <c r="H78" s="1412"/>
      <c r="I78" s="23"/>
      <c r="J78" s="1413"/>
      <c r="K78" s="272"/>
      <c r="M78" s="42"/>
      <c r="N78" s="42"/>
    </row>
    <row r="79" spans="2:14" x14ac:dyDescent="0.3">
      <c r="B79" s="11"/>
      <c r="C79" s="1348"/>
      <c r="D79" s="1348"/>
      <c r="E79" s="16"/>
      <c r="F79" s="16"/>
      <c r="G79" s="16"/>
      <c r="H79" s="16"/>
      <c r="I79" s="23"/>
      <c r="J79" s="1413"/>
      <c r="K79" s="272"/>
      <c r="M79" s="42"/>
      <c r="N79" s="42"/>
    </row>
    <row r="80" spans="2:14" x14ac:dyDescent="0.3">
      <c r="B80" s="11"/>
      <c r="C80" s="1348"/>
      <c r="D80" s="1348"/>
      <c r="E80" s="16"/>
      <c r="F80" s="16"/>
      <c r="G80" s="16"/>
      <c r="H80" s="16"/>
      <c r="I80" s="23"/>
      <c r="J80" s="23"/>
      <c r="K80" s="272"/>
      <c r="M80" s="42"/>
      <c r="N80" s="42"/>
    </row>
    <row r="81" spans="2:18" x14ac:dyDescent="0.3">
      <c r="B81" s="1348"/>
      <c r="C81" s="11"/>
      <c r="D81" s="1348"/>
      <c r="E81" s="1348"/>
      <c r="F81" s="1348"/>
      <c r="G81" s="16"/>
      <c r="H81" s="1348"/>
      <c r="I81" s="1348"/>
      <c r="J81" s="1348"/>
      <c r="K81" s="1348"/>
      <c r="M81" s="42"/>
      <c r="N81" s="42"/>
    </row>
    <row r="82" spans="2:18" ht="15.6" x14ac:dyDescent="0.3">
      <c r="B82" s="75"/>
      <c r="C82" s="524"/>
      <c r="D82" s="1348"/>
      <c r="E82" s="1348"/>
      <c r="F82" s="1348"/>
      <c r="G82" s="1348"/>
      <c r="H82" s="1348"/>
      <c r="I82" s="1348"/>
      <c r="J82" s="1348"/>
      <c r="K82" s="1348"/>
      <c r="M82" s="42"/>
      <c r="N82" s="42"/>
    </row>
    <row r="83" spans="2:18" x14ac:dyDescent="0.3">
      <c r="B83" s="1348"/>
      <c r="C83" s="11"/>
      <c r="D83" s="1348"/>
      <c r="E83" s="1348"/>
      <c r="F83" s="1348"/>
      <c r="G83" s="17"/>
      <c r="H83" s="1348"/>
      <c r="I83" s="1348"/>
      <c r="J83" s="1348"/>
      <c r="K83" s="388"/>
      <c r="M83" s="42"/>
      <c r="N83" s="42"/>
    </row>
    <row r="84" spans="2:18" x14ac:dyDescent="0.3">
      <c r="B84" s="1348"/>
      <c r="C84" s="11"/>
      <c r="D84" s="1348"/>
      <c r="E84" s="1348"/>
      <c r="F84" s="1348"/>
      <c r="G84" s="17"/>
      <c r="H84" s="1348"/>
      <c r="I84" s="1348"/>
      <c r="J84" s="1348"/>
      <c r="K84" s="388"/>
      <c r="M84" s="42"/>
      <c r="N84" s="42"/>
    </row>
    <row r="85" spans="2:18" x14ac:dyDescent="0.3">
      <c r="B85" s="1348"/>
      <c r="C85" s="11"/>
      <c r="D85" s="1348"/>
      <c r="E85" s="1348"/>
      <c r="F85" s="1348"/>
      <c r="G85" s="134"/>
      <c r="H85" s="1348"/>
      <c r="I85" s="1348"/>
      <c r="J85" s="1348"/>
      <c r="K85" s="1348"/>
      <c r="M85" s="42"/>
      <c r="N85" s="42"/>
    </row>
    <row r="86" spans="2:18" x14ac:dyDescent="0.3">
      <c r="B86" s="1348"/>
      <c r="C86" s="11"/>
      <c r="D86" s="1348"/>
      <c r="E86" s="1348"/>
      <c r="F86" s="1348"/>
      <c r="G86" s="17"/>
      <c r="H86" s="1348"/>
      <c r="I86" s="1348"/>
      <c r="J86" s="1348"/>
      <c r="K86" s="1348"/>
      <c r="M86" s="42"/>
      <c r="N86" s="42"/>
    </row>
    <row r="87" spans="2:18" x14ac:dyDescent="0.3">
      <c r="B87" s="1348"/>
      <c r="C87" s="11"/>
      <c r="D87" s="1348"/>
      <c r="E87" s="1348"/>
      <c r="F87" s="1348"/>
      <c r="G87" s="17"/>
      <c r="H87" s="1348"/>
      <c r="I87" s="1348"/>
      <c r="J87" s="1348"/>
      <c r="K87" s="1348"/>
      <c r="M87" s="42"/>
      <c r="N87" s="42"/>
    </row>
    <row r="88" spans="2:18" x14ac:dyDescent="0.3">
      <c r="B88" s="1348"/>
      <c r="C88" s="1348"/>
      <c r="D88" s="1348"/>
      <c r="E88" s="1348"/>
      <c r="F88" s="1348"/>
      <c r="G88" s="1348"/>
      <c r="H88" s="1348"/>
      <c r="I88" s="1348"/>
      <c r="J88" s="1348"/>
      <c r="K88" s="1348"/>
      <c r="M88" s="42"/>
      <c r="N88" s="42"/>
    </row>
    <row r="89" spans="2:18" x14ac:dyDescent="0.3">
      <c r="B89" s="1348"/>
      <c r="C89" s="14"/>
      <c r="D89" s="1348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348"/>
      <c r="C90" s="1981"/>
      <c r="D90" s="1981"/>
      <c r="E90" s="17"/>
      <c r="F90" s="17"/>
      <c r="G90" s="17"/>
      <c r="H90" s="1348"/>
      <c r="I90" s="1348"/>
      <c r="J90" s="1348"/>
      <c r="K90" s="1348"/>
      <c r="M90" s="42"/>
      <c r="N90" s="42"/>
    </row>
    <row r="91" spans="2:18" x14ac:dyDescent="0.3">
      <c r="B91" s="1348"/>
      <c r="C91" s="11"/>
      <c r="D91" s="1348"/>
      <c r="E91" s="17"/>
      <c r="F91" s="17"/>
      <c r="G91" s="1348"/>
      <c r="H91" s="1348"/>
      <c r="I91" s="1348"/>
      <c r="J91" s="1348"/>
      <c r="K91" s="1348"/>
      <c r="M91" s="42"/>
      <c r="N91" s="42"/>
    </row>
    <row r="92" spans="2:18" s="42" customFormat="1" x14ac:dyDescent="0.3">
      <c r="F92" s="1404"/>
      <c r="O92"/>
      <c r="Q92" s="113"/>
      <c r="R92"/>
    </row>
    <row r="93" spans="2:18" x14ac:dyDescent="0.3">
      <c r="M93" s="42"/>
      <c r="N93" s="42"/>
      <c r="R93" s="42"/>
    </row>
    <row r="97" spans="12:15" x14ac:dyDescent="0.3">
      <c r="O97" s="113"/>
    </row>
    <row r="111" spans="12:15" x14ac:dyDescent="0.3">
      <c r="L111" s="57"/>
    </row>
    <row r="112" spans="12:15" x14ac:dyDescent="0.3">
      <c r="L112" s="270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41"/>
    </row>
    <row r="118" spans="12:12" x14ac:dyDescent="0.3">
      <c r="L118" s="141"/>
    </row>
    <row r="119" spans="12:12" x14ac:dyDescent="0.3">
      <c r="L119" s="388"/>
    </row>
    <row r="120" spans="12:12" x14ac:dyDescent="0.3">
      <c r="L120" s="388"/>
    </row>
    <row r="121" spans="12:12" x14ac:dyDescent="0.3">
      <c r="L121" s="388"/>
    </row>
    <row r="122" spans="12:12" x14ac:dyDescent="0.3">
      <c r="L122" s="388"/>
    </row>
    <row r="123" spans="12:12" x14ac:dyDescent="0.3">
      <c r="L123" s="388"/>
    </row>
    <row r="124" spans="12:12" x14ac:dyDescent="0.3">
      <c r="L124" s="57"/>
    </row>
    <row r="125" spans="12:12" x14ac:dyDescent="0.3">
      <c r="L125" s="388"/>
    </row>
    <row r="126" spans="12:12" x14ac:dyDescent="0.3">
      <c r="L126" s="388"/>
    </row>
    <row r="127" spans="12:12" x14ac:dyDescent="0.3">
      <c r="L127" s="57"/>
    </row>
    <row r="128" spans="12:12" x14ac:dyDescent="0.3">
      <c r="L128" s="57"/>
    </row>
    <row r="129" spans="12:12" x14ac:dyDescent="0.3">
      <c r="L129" s="985"/>
    </row>
    <row r="130" spans="12:12" x14ac:dyDescent="0.3">
      <c r="L130" s="388"/>
    </row>
    <row r="131" spans="12:12" x14ac:dyDescent="0.3">
      <c r="L131" s="388"/>
    </row>
    <row r="132" spans="12:12" x14ac:dyDescent="0.3">
      <c r="L132" s="388"/>
    </row>
    <row r="133" spans="12:12" x14ac:dyDescent="0.3">
      <c r="L133" s="388"/>
    </row>
    <row r="134" spans="12:12" x14ac:dyDescent="0.3">
      <c r="L134" s="388"/>
    </row>
    <row r="135" spans="12:12" x14ac:dyDescent="0.3">
      <c r="L135" s="388"/>
    </row>
    <row r="136" spans="12:12" x14ac:dyDescent="0.3">
      <c r="L136" s="388"/>
    </row>
    <row r="137" spans="12:12" x14ac:dyDescent="0.3">
      <c r="L137" s="939"/>
    </row>
    <row r="138" spans="12:12" x14ac:dyDescent="0.3">
      <c r="L138" s="272"/>
    </row>
    <row r="139" spans="12:12" x14ac:dyDescent="0.3">
      <c r="L139" s="272"/>
    </row>
    <row r="140" spans="12:12" x14ac:dyDescent="0.3">
      <c r="L140" s="272"/>
    </row>
    <row r="141" spans="12:12" x14ac:dyDescent="0.3">
      <c r="L141" s="272"/>
    </row>
    <row r="142" spans="12:12" x14ac:dyDescent="0.3">
      <c r="L142" s="57"/>
    </row>
    <row r="143" spans="12:12" x14ac:dyDescent="0.3">
      <c r="L143" s="57"/>
    </row>
    <row r="144" spans="12:12" x14ac:dyDescent="0.3">
      <c r="L144" s="388"/>
    </row>
    <row r="145" spans="12:12" x14ac:dyDescent="0.3">
      <c r="L145" s="388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20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</mergeCells>
  <conditionalFormatting sqref="N19">
    <cfRule type="cellIs" dxfId="9" priority="22" operator="lessThan">
      <formula>0</formula>
    </cfRule>
  </conditionalFormatting>
  <conditionalFormatting sqref="T27">
    <cfRule type="cellIs" dxfId="8" priority="21" operator="lessThan">
      <formula>$T$25</formula>
    </cfRule>
  </conditionalFormatting>
  <conditionalFormatting sqref="G29">
    <cfRule type="cellIs" dxfId="7" priority="11" operator="equal">
      <formula>0</formula>
    </cfRule>
  </conditionalFormatting>
  <conditionalFormatting sqref="N18">
    <cfRule type="cellIs" dxfId="6" priority="27" operator="lessThan">
      <formula>($N$29*0.99-1)</formula>
    </cfRule>
  </conditionalFormatting>
  <conditionalFormatting sqref="P10:P23">
    <cfRule type="cellIs" dxfId="5" priority="1" operator="lessThan">
      <formula>$N$26</formula>
    </cfRule>
    <cfRule type="cellIs" dxfId="4" priority="2" operator="between">
      <formula>$N$26-10</formula>
      <formula>$N$26+700</formula>
    </cfRule>
    <cfRule type="containsBlanks" dxfId="3" priority="28">
      <formula>LEN(TRIM(P10))=0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60960</xdr:colOff>
                    <xdr:row>32</xdr:row>
                    <xdr:rowOff>99060</xdr:rowOff>
                  </from>
                  <to>
                    <xdr:col>13</xdr:col>
                    <xdr:colOff>922020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Таблицы!$BS$77:$BS$259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A55"/>
  <sheetViews>
    <sheetView showGridLines="0" zoomScale="70" zoomScaleNormal="70" workbookViewId="0">
      <selection activeCell="O33" sqref="O3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3.5546875" customWidth="1"/>
    <col min="7" max="7" width="11.109375" customWidth="1"/>
    <col min="8" max="8" width="7.6640625" customWidth="1"/>
    <col min="9" max="9" width="8.554687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27" ht="15" thickBot="1" x14ac:dyDescent="0.35">
      <c r="J1" s="43" t="s">
        <v>353</v>
      </c>
    </row>
    <row r="2" spans="2:27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878</v>
      </c>
      <c r="K2" s="4"/>
      <c r="L2" s="2188" t="s">
        <v>1116</v>
      </c>
      <c r="M2" s="2189" t="s">
        <v>1117</v>
      </c>
      <c r="N2" s="1543"/>
    </row>
    <row r="3" spans="2:27" ht="15.6" x14ac:dyDescent="0.3">
      <c r="B3" s="12" t="s">
        <v>1</v>
      </c>
      <c r="C3" s="69"/>
      <c r="D3" s="69"/>
      <c r="E3" s="69"/>
      <c r="F3" s="471" t="s">
        <v>1143</v>
      </c>
      <c r="G3" s="1001"/>
      <c r="H3" s="79"/>
      <c r="I3" s="79"/>
      <c r="J3" s="80"/>
      <c r="K3" s="270"/>
      <c r="L3" s="2190" t="s">
        <v>245</v>
      </c>
      <c r="M3" s="2214">
        <v>250</v>
      </c>
    </row>
    <row r="4" spans="2:27" ht="15.6" x14ac:dyDescent="0.3">
      <c r="B4" s="4" t="s">
        <v>2</v>
      </c>
      <c r="C4" s="1348"/>
      <c r="D4" s="1348"/>
      <c r="E4" s="1348"/>
      <c r="F4" s="486" t="s">
        <v>1144</v>
      </c>
      <c r="G4" s="1002"/>
      <c r="H4" s="1348"/>
      <c r="I4" s="1348"/>
      <c r="J4" s="10"/>
      <c r="K4" s="57"/>
      <c r="L4" s="2190" t="s">
        <v>246</v>
      </c>
      <c r="M4" s="2214">
        <v>160</v>
      </c>
      <c r="N4" s="1542"/>
    </row>
    <row r="5" spans="2:27" ht="15.6" x14ac:dyDescent="0.3">
      <c r="B5" s="4" t="s">
        <v>3</v>
      </c>
      <c r="C5" s="1348"/>
      <c r="D5" s="1348"/>
      <c r="E5" s="1348"/>
      <c r="F5" s="486" t="s">
        <v>1145</v>
      </c>
      <c r="G5" s="1003"/>
      <c r="H5" s="1348"/>
      <c r="I5" s="1348"/>
      <c r="J5" s="10"/>
      <c r="K5" s="57"/>
      <c r="L5" s="2190" t="s">
        <v>247</v>
      </c>
      <c r="M5" s="2214">
        <v>150</v>
      </c>
      <c r="N5" s="1542"/>
    </row>
    <row r="6" spans="2:27" ht="15.6" x14ac:dyDescent="0.3">
      <c r="B6" s="4" t="s">
        <v>7</v>
      </c>
      <c r="C6" s="1348"/>
      <c r="D6" s="1348"/>
      <c r="E6" s="1348"/>
      <c r="F6" s="606">
        <v>2</v>
      </c>
      <c r="G6" s="1004"/>
      <c r="H6" s="1348"/>
      <c r="I6" s="1348"/>
      <c r="J6" s="10"/>
      <c r="K6" s="57"/>
      <c r="L6" s="2190" t="s">
        <v>248</v>
      </c>
      <c r="M6" s="2214">
        <v>45</v>
      </c>
      <c r="N6" s="1542"/>
    </row>
    <row r="7" spans="2:27" ht="16.2" thickBot="1" x14ac:dyDescent="0.35">
      <c r="B7" s="19"/>
      <c r="C7" s="63"/>
      <c r="D7" s="63"/>
      <c r="E7" s="63"/>
      <c r="F7" s="284"/>
      <c r="G7" s="63"/>
      <c r="H7" s="63"/>
      <c r="I7" s="63"/>
      <c r="J7" s="39"/>
      <c r="K7" s="57"/>
      <c r="L7" s="2190" t="s">
        <v>249</v>
      </c>
      <c r="M7" s="2214">
        <v>170</v>
      </c>
      <c r="N7" s="1542"/>
    </row>
    <row r="8" spans="2:27" ht="15.6" x14ac:dyDescent="0.3">
      <c r="B8" s="12" t="s">
        <v>13</v>
      </c>
      <c r="C8" s="69"/>
      <c r="D8" s="69"/>
      <c r="E8" s="69"/>
      <c r="F8" s="283" t="s">
        <v>12</v>
      </c>
      <c r="G8" s="69"/>
      <c r="H8" s="69"/>
      <c r="I8" s="283" t="s">
        <v>1016</v>
      </c>
      <c r="J8" s="148">
        <f>F9/F10</f>
        <v>0.46646341463414637</v>
      </c>
      <c r="K8" s="141"/>
      <c r="L8" s="2191" t="s">
        <v>9</v>
      </c>
      <c r="M8" s="2192">
        <f>VLOOKUP(F8,Марка_металла[],9,FALSE())</f>
        <v>8.8800000000000008</v>
      </c>
      <c r="N8" s="1542"/>
    </row>
    <row r="9" spans="2:27" ht="15.6" x14ac:dyDescent="0.3">
      <c r="B9" s="4" t="s">
        <v>16</v>
      </c>
      <c r="C9" s="1348"/>
      <c r="D9" s="1348"/>
      <c r="E9" s="1348"/>
      <c r="F9" s="316">
        <f>IF(M10=0,ROUNDUP(M9,1),M10)</f>
        <v>15.299999999999999</v>
      </c>
      <c r="G9" s="1348"/>
      <c r="H9" s="1348"/>
      <c r="I9" s="136" t="s">
        <v>19</v>
      </c>
      <c r="J9" s="15">
        <f>F9/F12</f>
        <v>0.44736842105263153</v>
      </c>
      <c r="K9" s="141"/>
      <c r="L9" s="2191" t="s">
        <v>328</v>
      </c>
      <c r="M9" s="2215">
        <f>((M4*M4-M5*M5)*3.1415926*M7*M8+(M3*M3-M4*M4)*M6*M8*3.14)/4000000</f>
        <v>15.250488246444002</v>
      </c>
    </row>
    <row r="10" spans="2:27" ht="16.2" thickBot="1" x14ac:dyDescent="0.35">
      <c r="B10" s="4" t="s">
        <v>18</v>
      </c>
      <c r="C10" s="1348"/>
      <c r="D10" s="1348"/>
      <c r="E10" s="1348"/>
      <c r="F10" s="115">
        <f>IF(M27=0,IF(M26&lt;100,ROUNDUP(M26,1),ROUNDUP(M26,0)),M27)</f>
        <v>32.799999999999997</v>
      </c>
      <c r="G10" s="1348"/>
      <c r="H10" s="1348"/>
      <c r="I10" s="1348"/>
      <c r="J10" s="18"/>
      <c r="K10" s="388"/>
      <c r="L10" s="2193" t="s">
        <v>286</v>
      </c>
      <c r="M10" s="2216"/>
      <c r="N10" s="911"/>
      <c r="AA10" t="s">
        <v>2034</v>
      </c>
    </row>
    <row r="11" spans="2:27" ht="16.2" thickBot="1" x14ac:dyDescent="0.35">
      <c r="B11" s="4" t="s">
        <v>292</v>
      </c>
      <c r="C11" s="1348"/>
      <c r="D11" s="1348"/>
      <c r="E11" s="1348"/>
      <c r="F11" s="115">
        <f>ROUND(F10/F14,1)</f>
        <v>32.799999999999997</v>
      </c>
      <c r="G11" s="1348"/>
      <c r="H11" s="1348"/>
      <c r="I11" s="1348"/>
      <c r="J11" s="18"/>
      <c r="K11" s="388"/>
      <c r="L11" s="2194" t="s">
        <v>807</v>
      </c>
      <c r="M11" s="2217"/>
    </row>
    <row r="12" spans="2:27" ht="15.6" x14ac:dyDescent="0.3">
      <c r="B12" s="4" t="s">
        <v>28</v>
      </c>
      <c r="C12" s="1348"/>
      <c r="D12" s="1348"/>
      <c r="E12" s="1348"/>
      <c r="F12" s="115">
        <f>IF(F10&lt;100,ROUNDUP(F10*1.04,1),ROUNDUP(F10*1.04,0))</f>
        <v>34.200000000000003</v>
      </c>
      <c r="G12" s="1348"/>
      <c r="H12" s="1348"/>
      <c r="I12" s="1348"/>
      <c r="J12" s="280"/>
      <c r="K12" s="17"/>
      <c r="L12" s="2195" t="s">
        <v>1167</v>
      </c>
      <c r="M12" s="2196">
        <f>Данные!Q143</f>
        <v>5.5</v>
      </c>
    </row>
    <row r="13" spans="2:27" ht="15.6" x14ac:dyDescent="0.3">
      <c r="B13" s="4" t="s">
        <v>293</v>
      </c>
      <c r="C13" s="1348"/>
      <c r="D13" s="1348"/>
      <c r="E13" s="1348"/>
      <c r="F13" s="136">
        <f>ROUND(F12/F14,1)</f>
        <v>34.200000000000003</v>
      </c>
      <c r="G13" s="1348"/>
      <c r="H13" s="1348"/>
      <c r="I13" s="1348"/>
      <c r="J13" s="18"/>
      <c r="K13" s="388"/>
      <c r="L13" s="2197" t="s">
        <v>1168</v>
      </c>
      <c r="M13" s="2198">
        <f>Данные!Q144</f>
        <v>4.5</v>
      </c>
    </row>
    <row r="14" spans="2:27" ht="16.2" thickBot="1" x14ac:dyDescent="0.35">
      <c r="B14" s="19" t="s">
        <v>32</v>
      </c>
      <c r="C14" s="63"/>
      <c r="D14" s="63"/>
      <c r="E14" s="63"/>
      <c r="F14" s="284">
        <v>1</v>
      </c>
      <c r="G14" s="63" t="s">
        <v>1146</v>
      </c>
      <c r="H14" s="63"/>
      <c r="I14" s="63"/>
      <c r="J14" s="1534"/>
      <c r="K14" s="388"/>
      <c r="L14" s="2191" t="s">
        <v>1209</v>
      </c>
      <c r="M14" s="2199">
        <f>Данные!S143</f>
        <v>13.5</v>
      </c>
      <c r="N14" s="142"/>
    </row>
    <row r="15" spans="2:27" ht="16.2" thickBot="1" x14ac:dyDescent="0.35">
      <c r="B15" s="12"/>
      <c r="C15" s="6" t="s">
        <v>209</v>
      </c>
      <c r="D15" s="69"/>
      <c r="E15" s="69"/>
      <c r="F15" s="69"/>
      <c r="G15" s="69"/>
      <c r="H15" s="69"/>
      <c r="I15" s="69"/>
      <c r="J15" s="13"/>
      <c r="K15" s="57"/>
      <c r="L15" s="2193" t="s">
        <v>1210</v>
      </c>
      <c r="M15" s="2200">
        <f>Данные!S144</f>
        <v>5</v>
      </c>
    </row>
    <row r="16" spans="2:27" ht="16.2" thickBot="1" x14ac:dyDescent="0.35">
      <c r="B16" s="4"/>
      <c r="C16" s="57"/>
      <c r="D16" s="57"/>
      <c r="F16" s="82">
        <f>F31*0.99</f>
        <v>59.4</v>
      </c>
      <c r="G16" s="57"/>
      <c r="H16" s="57"/>
      <c r="I16" s="57"/>
      <c r="J16" s="18"/>
      <c r="K16" s="388"/>
      <c r="L16" s="2201" t="s">
        <v>336</v>
      </c>
      <c r="M16" s="2202">
        <f>Данные!U145</f>
        <v>35</v>
      </c>
    </row>
    <row r="17" spans="2:24" ht="16.2" thickBot="1" x14ac:dyDescent="0.35">
      <c r="B17" s="4"/>
      <c r="C17" s="57"/>
      <c r="D17" s="57"/>
      <c r="F17" s="1731">
        <f>M6</f>
        <v>45</v>
      </c>
      <c r="G17" s="57"/>
      <c r="H17" s="57"/>
      <c r="I17" s="57"/>
      <c r="J17" s="18"/>
      <c r="K17" s="388"/>
      <c r="L17" s="2203" t="s">
        <v>2028</v>
      </c>
      <c r="M17" s="2218"/>
      <c r="Q17" s="1348"/>
    </row>
    <row r="18" spans="2:24" ht="16.2" thickBot="1" x14ac:dyDescent="0.35">
      <c r="B18" s="4"/>
      <c r="C18" s="57"/>
      <c r="D18" s="57"/>
      <c r="E18" s="136"/>
      <c r="F18" s="17"/>
      <c r="G18" s="57"/>
      <c r="H18" s="57"/>
      <c r="I18" s="57"/>
      <c r="J18" s="18"/>
      <c r="K18" s="388"/>
      <c r="L18" s="2210" t="s">
        <v>331</v>
      </c>
      <c r="M18" s="2219">
        <v>250</v>
      </c>
      <c r="N18" s="142"/>
      <c r="O18" s="996" t="s">
        <v>942</v>
      </c>
      <c r="P18" s="997"/>
      <c r="Q18" s="1614"/>
      <c r="R18" s="1566" t="s">
        <v>736</v>
      </c>
      <c r="S18" s="1567"/>
      <c r="T18" s="1567"/>
      <c r="U18" s="1567"/>
      <c r="V18" s="1567"/>
      <c r="W18" s="1567"/>
      <c r="X18" s="1568"/>
    </row>
    <row r="19" spans="2:24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88"/>
      <c r="L19" s="2211" t="s">
        <v>329</v>
      </c>
      <c r="M19" s="2220">
        <v>170</v>
      </c>
      <c r="N19" s="911"/>
      <c r="O19" s="599" t="s">
        <v>245</v>
      </c>
      <c r="P19" s="769"/>
      <c r="R19" s="779" t="s">
        <v>817</v>
      </c>
      <c r="S19" s="1569">
        <v>1</v>
      </c>
      <c r="T19" s="1569">
        <v>2</v>
      </c>
      <c r="U19" s="1569">
        <v>3</v>
      </c>
      <c r="V19" s="781">
        <v>4</v>
      </c>
      <c r="W19" s="782" t="s">
        <v>671</v>
      </c>
      <c r="X19" s="781"/>
    </row>
    <row r="20" spans="2:24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2212" t="s">
        <v>247</v>
      </c>
      <c r="M20" s="2221">
        <f>IF(M22&gt;=60,Данные!Y143,Данные!Y142)</f>
        <v>122.5</v>
      </c>
      <c r="N20" s="143"/>
      <c r="O20" s="599" t="s">
        <v>246</v>
      </c>
      <c r="P20" s="655"/>
      <c r="R20" s="779"/>
      <c r="S20" s="1348">
        <v>0</v>
      </c>
      <c r="T20" s="1348">
        <v>0</v>
      </c>
      <c r="U20" s="1348">
        <v>25.2</v>
      </c>
      <c r="V20" s="10">
        <v>27.5</v>
      </c>
      <c r="W20" s="484">
        <f>SUM(S20:V20)</f>
        <v>52.7</v>
      </c>
      <c r="X20" s="781"/>
    </row>
    <row r="21" spans="2:24" ht="16.2" thickBot="1" x14ac:dyDescent="0.35">
      <c r="B21" s="81"/>
      <c r="D21" s="1538">
        <f>ROUNDUP(E31*0.99,0)</f>
        <v>248</v>
      </c>
      <c r="E21" s="1546">
        <f>M20</f>
        <v>122.5</v>
      </c>
      <c r="F21" s="17"/>
      <c r="G21" s="57"/>
      <c r="H21" s="57"/>
      <c r="I21" s="1538">
        <f>ROUNDUP(E30*0.99,0)</f>
        <v>169</v>
      </c>
      <c r="J21" s="10"/>
      <c r="K21" s="57"/>
      <c r="L21" s="2211" t="s">
        <v>330</v>
      </c>
      <c r="M21" s="2222">
        <v>260</v>
      </c>
      <c r="O21" s="599" t="s">
        <v>247</v>
      </c>
      <c r="P21" s="655"/>
      <c r="R21" s="779"/>
      <c r="S21" s="786">
        <f>$S$20/$W$20*W21</f>
        <v>0</v>
      </c>
      <c r="T21" s="786">
        <f>$T$20/$W$20*W21</f>
        <v>0</v>
      </c>
      <c r="U21" s="786">
        <f>$U$20/$W$20*W21</f>
        <v>71.822390891840598</v>
      </c>
      <c r="V21" s="826">
        <f>$V$20/$W$20*W21</f>
        <v>78.37760910815939</v>
      </c>
      <c r="W21" s="785">
        <v>150.19999999999999</v>
      </c>
      <c r="X21" s="485" t="s">
        <v>838</v>
      </c>
    </row>
    <row r="22" spans="2:24" ht="16.2" thickBot="1" x14ac:dyDescent="0.35">
      <c r="B22" s="4"/>
      <c r="D22" s="1731">
        <f>M3</f>
        <v>250</v>
      </c>
      <c r="E22" s="1731">
        <f>M5</f>
        <v>150</v>
      </c>
      <c r="F22" s="17"/>
      <c r="G22" s="57"/>
      <c r="H22" s="57"/>
      <c r="I22" s="1731">
        <f>M4</f>
        <v>160</v>
      </c>
      <c r="J22" s="10"/>
      <c r="K22" s="57"/>
      <c r="L22" s="2210" t="s">
        <v>332</v>
      </c>
      <c r="M22" s="2219">
        <v>60</v>
      </c>
      <c r="N22" s="1544"/>
      <c r="O22" s="599" t="s">
        <v>248</v>
      </c>
      <c r="P22" s="655"/>
      <c r="R22" s="779"/>
      <c r="S22" s="786">
        <f>$S$20/$W$20*W22</f>
        <v>0</v>
      </c>
      <c r="T22" s="786">
        <f>$T$20/$W$20*W22</f>
        <v>0</v>
      </c>
      <c r="U22" s="786">
        <f>$U$20/$W$20*W22</f>
        <v>71.822390891840598</v>
      </c>
      <c r="V22" s="826">
        <f>$V$20/$W$20*W22</f>
        <v>78.37760910815939</v>
      </c>
      <c r="W22" s="785">
        <v>150.19999999999999</v>
      </c>
      <c r="X22" s="485" t="s">
        <v>837</v>
      </c>
    </row>
    <row r="23" spans="2:24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88"/>
      <c r="L23" s="2213" t="s">
        <v>249</v>
      </c>
      <c r="M23" s="2223">
        <f>IF(M24=0,M7+M16,M7+M16+M24)</f>
        <v>205</v>
      </c>
      <c r="N23" s="143"/>
      <c r="O23" s="599" t="s">
        <v>249</v>
      </c>
      <c r="P23" s="655"/>
      <c r="R23" s="780"/>
      <c r="S23" s="787">
        <f>$S$20/$W$20*W23</f>
        <v>0</v>
      </c>
      <c r="T23" s="787">
        <f>$T$20/$W$20*W23</f>
        <v>0</v>
      </c>
      <c r="U23" s="787">
        <f>$U$20/$W$20*W23</f>
        <v>74.691461100569256</v>
      </c>
      <c r="V23" s="827">
        <f>$V$20/$W$20*W23</f>
        <v>81.508538899430732</v>
      </c>
      <c r="W23" s="785">
        <v>156.19999999999999</v>
      </c>
      <c r="X23" s="485" t="s">
        <v>815</v>
      </c>
    </row>
    <row r="24" spans="2:24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88"/>
      <c r="L24" s="2204" t="s">
        <v>2035</v>
      </c>
      <c r="M24" s="2224"/>
      <c r="O24" s="600" t="s">
        <v>9</v>
      </c>
      <c r="P24" s="938"/>
    </row>
    <row r="25" spans="2:24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88"/>
      <c r="L25" s="2205" t="s">
        <v>1235</v>
      </c>
      <c r="M25" s="2225">
        <f>(M21-M22)/60+M19</f>
        <v>173.33333333333334</v>
      </c>
      <c r="O25" s="600" t="s">
        <v>328</v>
      </c>
      <c r="P25" s="658">
        <f>((P19*P19-P21*P21)*3.1415926*P22*P24+(P20*P20-P21*P21)*(P23-P22)*P24*3.1415926)/4000000</f>
        <v>0</v>
      </c>
    </row>
    <row r="26" spans="2:24" ht="16.2" thickBot="1" x14ac:dyDescent="0.35">
      <c r="B26" s="4"/>
      <c r="C26" s="57"/>
      <c r="D26" s="57"/>
      <c r="E26" s="57"/>
      <c r="F26" s="2187">
        <f>ROUNDUP(M23*0.985,0)</f>
        <v>202</v>
      </c>
      <c r="G26" s="57"/>
      <c r="H26" s="57"/>
      <c r="I26" s="57"/>
      <c r="J26" s="18"/>
      <c r="K26" s="388"/>
      <c r="L26" s="2206" t="s">
        <v>18</v>
      </c>
      <c r="M26" s="2207">
        <f>ROUNDUP(((D21*D21-E21*E21)*3.1415926*F16*M8/4000000+((I21*I21-E21*E21)*(F26-F16)*M8*3.1415926)/4000000),1)</f>
        <v>32.800000000000004</v>
      </c>
      <c r="O26" s="657"/>
      <c r="P26" s="936">
        <f>IF(P25&gt;=100,ROUNDUP(P25,0),ROUNDUP(P25,1))</f>
        <v>0</v>
      </c>
    </row>
    <row r="27" spans="2:24" ht="16.2" thickBot="1" x14ac:dyDescent="0.35">
      <c r="B27" s="19"/>
      <c r="C27" s="63"/>
      <c r="D27" s="63"/>
      <c r="E27" s="63"/>
      <c r="F27" s="1732">
        <f>M7</f>
        <v>170</v>
      </c>
      <c r="G27" s="63"/>
      <c r="H27" s="63"/>
      <c r="I27" s="63"/>
      <c r="J27" s="928"/>
      <c r="K27" s="388"/>
      <c r="L27" s="2208" t="s">
        <v>298</v>
      </c>
      <c r="M27" s="2209"/>
    </row>
    <row r="28" spans="2:24" ht="15" thickBot="1" x14ac:dyDescent="0.35">
      <c r="B28" s="1"/>
      <c r="C28" s="2"/>
      <c r="D28" s="2"/>
      <c r="E28" s="83" t="s">
        <v>640</v>
      </c>
      <c r="F28" s="2"/>
      <c r="G28" s="69"/>
      <c r="H28" s="69"/>
      <c r="I28" s="69"/>
      <c r="J28" s="166"/>
      <c r="K28" s="388"/>
      <c r="O28" s="42" t="s">
        <v>925</v>
      </c>
      <c r="S28" s="1986"/>
    </row>
    <row r="29" spans="2:24" ht="15" thickBot="1" x14ac:dyDescent="0.35">
      <c r="B29" s="84" t="s">
        <v>264</v>
      </c>
      <c r="C29" s="2"/>
      <c r="D29" s="2"/>
      <c r="E29" s="1539" t="s">
        <v>192</v>
      </c>
      <c r="F29" s="1219" t="s">
        <v>79</v>
      </c>
      <c r="G29" s="1615" t="s">
        <v>839</v>
      </c>
      <c r="H29" s="1616"/>
      <c r="I29" s="1617"/>
      <c r="J29" s="85" t="s">
        <v>265</v>
      </c>
      <c r="K29" s="939"/>
      <c r="O29" s="42"/>
      <c r="S29" s="1986"/>
    </row>
    <row r="30" spans="2:24" x14ac:dyDescent="0.3">
      <c r="B30" s="86" t="s">
        <v>266</v>
      </c>
      <c r="C30" s="57"/>
      <c r="D30" s="57"/>
      <c r="E30" s="1624">
        <f>M19</f>
        <v>170</v>
      </c>
      <c r="F30" s="1625">
        <f>M21</f>
        <v>260</v>
      </c>
      <c r="G30" s="1618" t="str">
        <f>VLOOKUP(E31,Изложницы_с_буртом[],6,FALSE)</f>
        <v>7245980-01</v>
      </c>
      <c r="H30" s="1619"/>
      <c r="I30" s="1620"/>
      <c r="J30" s="18"/>
      <c r="K30" s="388"/>
      <c r="O30" s="42"/>
    </row>
    <row r="31" spans="2:24" x14ac:dyDescent="0.3">
      <c r="B31" s="4"/>
      <c r="C31" s="57"/>
      <c r="D31" s="57"/>
      <c r="E31" s="1624">
        <f>M18</f>
        <v>250</v>
      </c>
      <c r="F31" s="1624">
        <f>M22</f>
        <v>60</v>
      </c>
      <c r="G31" s="1621"/>
      <c r="H31" s="1622"/>
      <c r="I31" s="1623"/>
      <c r="J31" s="18"/>
      <c r="K31" s="388"/>
      <c r="O31" s="42"/>
    </row>
    <row r="32" spans="2:24" x14ac:dyDescent="0.3">
      <c r="B32" s="86" t="s">
        <v>1101</v>
      </c>
      <c r="C32" s="57"/>
      <c r="D32" s="57"/>
      <c r="E32" s="1624">
        <f>M20</f>
        <v>122.5</v>
      </c>
      <c r="F32" s="1624"/>
      <c r="G32" s="1621" t="str">
        <f ca="1">VLOOKUP(Данные!O26,Данные!N3:O22,2,FALSE)&amp;" - "&amp;RANDBETWEEN(1,15)</f>
        <v>72.11878 - 9</v>
      </c>
      <c r="H32" s="1622"/>
      <c r="I32" s="1623"/>
      <c r="J32" s="18"/>
      <c r="K32" s="388"/>
      <c r="N32" s="1545"/>
      <c r="O32" s="42"/>
    </row>
    <row r="33" spans="2:15" x14ac:dyDescent="0.3">
      <c r="B33" s="86" t="s">
        <v>267</v>
      </c>
      <c r="C33" s="57"/>
      <c r="D33" s="57"/>
      <c r="E33" s="1624">
        <f>E30</f>
        <v>170</v>
      </c>
      <c r="F33" s="1624">
        <v>40</v>
      </c>
      <c r="G33" s="1621" t="str">
        <f>VLOOKUP(E33,Инв_номер_токателя[],2,FALSE)</f>
        <v>72.47213 - 2</v>
      </c>
      <c r="H33" s="1622"/>
      <c r="I33" s="1623"/>
      <c r="J33" s="18"/>
      <c r="K33" s="388"/>
      <c r="O33" s="42"/>
    </row>
    <row r="34" spans="2:15" x14ac:dyDescent="0.3">
      <c r="B34" s="86" t="s">
        <v>1102</v>
      </c>
      <c r="C34" s="57"/>
      <c r="D34" s="57"/>
      <c r="E34" s="1624"/>
      <c r="F34" s="1624">
        <f>F30-F36-F33</f>
        <v>14</v>
      </c>
      <c r="G34" s="4"/>
      <c r="H34" s="57"/>
      <c r="I34" s="10"/>
      <c r="J34" s="18"/>
      <c r="K34" s="388"/>
      <c r="L34" s="57"/>
      <c r="M34" s="42"/>
      <c r="O34" s="42"/>
    </row>
    <row r="35" spans="2:15" ht="15" thickBot="1" x14ac:dyDescent="0.35">
      <c r="B35" s="4"/>
      <c r="C35" s="57"/>
      <c r="D35" s="57"/>
      <c r="E35" s="1624"/>
      <c r="F35" s="1624"/>
      <c r="G35" s="4"/>
      <c r="H35" s="1348"/>
      <c r="I35" s="10"/>
      <c r="J35" s="18"/>
      <c r="K35" s="388"/>
      <c r="L35" s="57"/>
      <c r="M35" s="42"/>
      <c r="O35" s="42"/>
    </row>
    <row r="36" spans="2:15" x14ac:dyDescent="0.3">
      <c r="B36" s="1535" t="s">
        <v>268</v>
      </c>
      <c r="C36" s="69"/>
      <c r="D36" s="69"/>
      <c r="E36" s="1611"/>
      <c r="F36" s="1626">
        <f>CEILING(F26/0.985,1)</f>
        <v>206</v>
      </c>
      <c r="G36" s="69"/>
      <c r="H36" s="69"/>
      <c r="I36" s="69"/>
      <c r="J36" s="13"/>
      <c r="K36" s="57"/>
      <c r="L36" s="57"/>
      <c r="M36" s="42"/>
      <c r="O36" s="42"/>
    </row>
    <row r="37" spans="2:1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15" ht="15" thickBot="1" x14ac:dyDescent="0.35">
      <c r="B38" s="84" t="str">
        <f>"Плавка по инструкции "&amp;VLOOKUP(F8,Данные!A3:I27,6,FALSE)</f>
        <v>Плавка по инструкции 25010.00174</v>
      </c>
      <c r="C38" s="1529"/>
      <c r="D38" s="1529"/>
      <c r="E38" s="1529"/>
      <c r="F38" s="1536"/>
      <c r="G38" s="1529"/>
      <c r="H38" s="1529"/>
      <c r="I38" s="1529"/>
      <c r="J38" s="1528"/>
      <c r="K38" s="388"/>
      <c r="L38" s="57"/>
      <c r="M38" s="42"/>
      <c r="O38" s="42"/>
    </row>
    <row r="39" spans="2:15" ht="15" thickBot="1" x14ac:dyDescent="0.35">
      <c r="B39" s="1537" t="s">
        <v>269</v>
      </c>
      <c r="C39" s="63"/>
      <c r="D39" s="63"/>
      <c r="E39" s="63"/>
      <c r="F39" s="21"/>
      <c r="G39" s="63"/>
      <c r="H39" s="63"/>
      <c r="I39" s="63"/>
      <c r="J39" s="1534"/>
      <c r="K39" s="388"/>
      <c r="L39" s="57"/>
      <c r="M39" s="42"/>
      <c r="O39" s="42"/>
    </row>
    <row r="40" spans="2:15" x14ac:dyDescent="0.3">
      <c r="B40" s="1535" t="s">
        <v>270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15" x14ac:dyDescent="0.3">
      <c r="B41" s="86" t="s">
        <v>271</v>
      </c>
      <c r="C41" s="1348"/>
      <c r="D41" s="1348"/>
      <c r="E41" s="1348"/>
      <c r="F41" s="17"/>
      <c r="G41" s="1348"/>
      <c r="H41" s="1348"/>
      <c r="I41" s="1348"/>
      <c r="J41" s="10"/>
      <c r="K41" s="57"/>
      <c r="L41" s="57"/>
      <c r="M41" s="42"/>
      <c r="O41" s="42"/>
    </row>
    <row r="42" spans="2:15" x14ac:dyDescent="0.3">
      <c r="B42" s="86" t="s">
        <v>272</v>
      </c>
      <c r="C42" s="1348"/>
      <c r="D42" s="1348"/>
      <c r="E42" s="1348"/>
      <c r="F42" s="17"/>
      <c r="G42" s="1348"/>
      <c r="H42" s="1348"/>
      <c r="I42" s="1348"/>
      <c r="J42" s="10"/>
      <c r="K42" s="57"/>
      <c r="L42" s="42"/>
      <c r="M42" s="42"/>
      <c r="O42" s="42"/>
    </row>
    <row r="43" spans="2:1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15" ht="15" thickBot="1" x14ac:dyDescent="0.35">
      <c r="B44" s="1984" t="s">
        <v>273</v>
      </c>
      <c r="C44" s="1985"/>
      <c r="D44" s="1528" t="s">
        <v>645</v>
      </c>
      <c r="E44" s="1539" t="s">
        <v>275</v>
      </c>
      <c r="F44" s="1526" t="s">
        <v>274</v>
      </c>
      <c r="G44" s="1539" t="s">
        <v>275</v>
      </c>
      <c r="H44" s="1563" t="s">
        <v>276</v>
      </c>
      <c r="I44" s="1564"/>
      <c r="J44" s="1539" t="s">
        <v>275</v>
      </c>
      <c r="K44" s="11"/>
      <c r="L44" s="42"/>
      <c r="M44" s="42"/>
      <c r="O44" s="42"/>
    </row>
    <row r="45" spans="2:15" ht="15" thickBot="1" x14ac:dyDescent="0.35">
      <c r="B45" s="1987">
        <f ca="1">TODAY()</f>
        <v>45497</v>
      </c>
      <c r="C45" s="1988"/>
      <c r="D45" s="1525" t="s">
        <v>252</v>
      </c>
      <c r="E45" s="1539"/>
      <c r="F45" s="1526" t="s">
        <v>253</v>
      </c>
      <c r="G45" s="1555"/>
      <c r="H45" s="1565"/>
      <c r="I45" s="1562"/>
      <c r="J45" s="1555"/>
      <c r="K45" s="57"/>
      <c r="L45" s="42"/>
      <c r="M45" s="42"/>
      <c r="O45" s="42"/>
    </row>
    <row r="46" spans="2:15" ht="15" thickBot="1" x14ac:dyDescent="0.35">
      <c r="B46" s="1984" t="s">
        <v>63</v>
      </c>
      <c r="C46" s="1985"/>
      <c r="D46" s="78"/>
      <c r="E46" s="72"/>
      <c r="F46" s="2"/>
      <c r="G46" s="89"/>
      <c r="H46" s="1565"/>
      <c r="I46" s="1562"/>
      <c r="J46" s="89"/>
      <c r="K46" s="57"/>
      <c r="L46" s="42"/>
      <c r="M46" s="42"/>
      <c r="O46" s="42"/>
    </row>
    <row r="47" spans="2:15" x14ac:dyDescent="0.3">
      <c r="O47" s="42"/>
    </row>
    <row r="48" spans="2:15" x14ac:dyDescent="0.3">
      <c r="F48" s="1540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541"/>
      <c r="C52" s="1541"/>
      <c r="D52" s="1541"/>
      <c r="E52" s="1541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Enter_sentro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zoomScale="70" zoomScaleNormal="70" workbookViewId="0">
      <selection activeCell="Q21" sqref="Q21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</cols>
  <sheetData>
    <row r="1" spans="2:16" ht="6.6" customHeight="1" x14ac:dyDescent="0.3"/>
    <row r="2" spans="2:16" s="42" customFormat="1" ht="15" customHeight="1" thickBot="1" x14ac:dyDescent="0.35">
      <c r="J2" s="42" t="s">
        <v>933</v>
      </c>
      <c r="P2" s="42" t="s">
        <v>1165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878</v>
      </c>
      <c r="L3" s="138" t="s">
        <v>76</v>
      </c>
      <c r="M3" s="138"/>
      <c r="N3" s="476"/>
    </row>
    <row r="4" spans="2:16" ht="15.6" x14ac:dyDescent="0.3">
      <c r="B4" s="12" t="s">
        <v>1</v>
      </c>
      <c r="C4" s="57"/>
      <c r="D4" s="5"/>
      <c r="E4" s="5"/>
      <c r="F4" s="44" t="s">
        <v>1120</v>
      </c>
      <c r="G4" s="5"/>
      <c r="H4" s="57"/>
      <c r="I4" s="7" t="s">
        <v>65</v>
      </c>
      <c r="J4" s="108"/>
      <c r="L4" s="41" t="s">
        <v>77</v>
      </c>
      <c r="M4" s="49">
        <v>21</v>
      </c>
      <c r="N4" s="42"/>
    </row>
    <row r="5" spans="2:16" ht="15.6" x14ac:dyDescent="0.3">
      <c r="B5" s="4" t="s">
        <v>2</v>
      </c>
      <c r="C5" s="57"/>
      <c r="D5" s="53"/>
      <c r="E5" s="53"/>
      <c r="F5" s="632" t="s">
        <v>1123</v>
      </c>
      <c r="G5" s="631"/>
      <c r="H5" s="53"/>
      <c r="I5" s="53" t="str">
        <f ca="1">"("&amp;M17&amp;"x"&amp;M19&amp;"x"&amp;M21&amp;")"</f>
        <v>(31x213x162)</v>
      </c>
      <c r="J5" s="10"/>
      <c r="L5" s="41" t="s">
        <v>78</v>
      </c>
      <c r="M5" s="49">
        <v>200</v>
      </c>
      <c r="N5" s="42"/>
    </row>
    <row r="6" spans="2:16" ht="15.6" x14ac:dyDescent="0.3">
      <c r="B6" s="4" t="s">
        <v>3</v>
      </c>
      <c r="C6" s="57"/>
      <c r="D6" s="53"/>
      <c r="E6" s="53"/>
      <c r="F6" s="631" t="s">
        <v>1122</v>
      </c>
      <c r="G6" s="53"/>
      <c r="H6" s="53"/>
      <c r="I6" s="53"/>
      <c r="J6" s="10"/>
      <c r="L6" s="41" t="s">
        <v>79</v>
      </c>
      <c r="M6" s="49">
        <v>135</v>
      </c>
    </row>
    <row r="7" spans="2:16" ht="16.2" thickBot="1" x14ac:dyDescent="0.35">
      <c r="B7" s="19" t="s">
        <v>7</v>
      </c>
      <c r="C7" s="63"/>
      <c r="D7" s="20"/>
      <c r="E7" s="20"/>
      <c r="F7" s="757">
        <v>2</v>
      </c>
      <c r="G7" s="20"/>
      <c r="H7" s="20"/>
      <c r="I7" s="20"/>
      <c r="J7" s="39"/>
      <c r="L7" s="1271"/>
      <c r="M7" s="1272"/>
    </row>
    <row r="8" spans="2:16" ht="15.6" x14ac:dyDescent="0.3">
      <c r="B8" s="4" t="s">
        <v>13</v>
      </c>
      <c r="C8" s="53"/>
      <c r="D8" s="53"/>
      <c r="E8" s="53"/>
      <c r="F8" s="444" t="s">
        <v>12</v>
      </c>
      <c r="G8" s="53"/>
      <c r="H8" s="57"/>
      <c r="I8" s="53" t="s">
        <v>14</v>
      </c>
      <c r="J8" s="15">
        <f ca="1">F9/F11</f>
        <v>1.9903846153846152</v>
      </c>
      <c r="L8" s="41" t="s">
        <v>16</v>
      </c>
      <c r="M8" s="137">
        <f>M4*M6*M5*M10/1000000</f>
        <v>5.0349599999999999</v>
      </c>
    </row>
    <row r="9" spans="2:16" ht="15.6" x14ac:dyDescent="0.3">
      <c r="B9" s="4" t="s">
        <v>16</v>
      </c>
      <c r="C9" s="53"/>
      <c r="D9" s="53"/>
      <c r="E9" s="53"/>
      <c r="F9" s="115">
        <f>IF(M9&lt;&gt;0,M9,IF(M8&gt;=100,ROUNDUP(M8,0),ROUNDUP(M8,1)))</f>
        <v>20.7</v>
      </c>
      <c r="G9" s="53"/>
      <c r="H9" s="57"/>
      <c r="I9" s="53" t="s">
        <v>19</v>
      </c>
      <c r="J9" s="15">
        <f ca="1">F9/F15</f>
        <v>1.1629213483146066</v>
      </c>
      <c r="L9" s="110" t="s">
        <v>286</v>
      </c>
      <c r="M9" s="109">
        <v>20.7</v>
      </c>
    </row>
    <row r="10" spans="2:16" ht="15.6" x14ac:dyDescent="0.3">
      <c r="B10" s="4" t="s">
        <v>18</v>
      </c>
      <c r="C10" s="53"/>
      <c r="D10" s="53"/>
      <c r="E10" s="53"/>
      <c r="F10" s="115">
        <f ca="1">IF(M11&lt;100,ROUNDUP(M11,1),ROUNDUP(M11,0))</f>
        <v>10.4</v>
      </c>
      <c r="G10" s="53"/>
      <c r="H10" s="53"/>
      <c r="I10" s="53"/>
      <c r="J10" s="18"/>
      <c r="L10" s="139" t="s">
        <v>9</v>
      </c>
      <c r="M10" s="140">
        <f>VLOOKUP(F8,Марка_металла[],9,FALSE())</f>
        <v>8.8800000000000008</v>
      </c>
    </row>
    <row r="11" spans="2:16" ht="15.6" x14ac:dyDescent="0.3">
      <c r="B11" s="4" t="s">
        <v>72</v>
      </c>
      <c r="C11" s="53"/>
      <c r="D11" s="53"/>
      <c r="E11" s="53"/>
      <c r="F11" s="115">
        <f ca="1">F10/F16</f>
        <v>10.4</v>
      </c>
      <c r="G11" s="53"/>
      <c r="H11" s="53"/>
      <c r="I11" s="53"/>
      <c r="J11" s="18"/>
      <c r="L11" s="110" t="s">
        <v>18</v>
      </c>
      <c r="M11" s="110">
        <f ca="1">(M17+M18)/2*(M19+M20)/2*M10*M21/1000000</f>
        <v>10.385324280000001</v>
      </c>
    </row>
    <row r="12" spans="2:16" ht="15.6" x14ac:dyDescent="0.3">
      <c r="B12" s="4" t="s">
        <v>23</v>
      </c>
      <c r="C12" s="53"/>
      <c r="D12" s="53"/>
      <c r="E12" s="53"/>
      <c r="F12" s="115">
        <f ca="1">IF(M12&lt;100,ROUNDUP(M12,1),ROUNDUP(M12,0))</f>
        <v>17.100000000000001</v>
      </c>
      <c r="G12" s="53"/>
      <c r="H12" s="53"/>
      <c r="I12" s="53"/>
      <c r="J12" s="18"/>
      <c r="L12" s="110" t="s">
        <v>23</v>
      </c>
      <c r="M12" s="110">
        <f ca="1">F10+((M24+M25)/2*((M26+M27)/2)*M28*M10)/1000000</f>
        <v>17.0509424</v>
      </c>
    </row>
    <row r="13" spans="2:16" ht="15.6" x14ac:dyDescent="0.3">
      <c r="B13" s="4" t="s">
        <v>25</v>
      </c>
      <c r="C13" s="53"/>
      <c r="D13" s="53"/>
      <c r="E13" s="53"/>
      <c r="F13" s="115">
        <f ca="1">F12/F16</f>
        <v>17.100000000000001</v>
      </c>
      <c r="G13" s="53"/>
      <c r="H13" s="53"/>
      <c r="I13" s="53"/>
      <c r="J13" s="18"/>
      <c r="L13" s="1278" t="s">
        <v>1046</v>
      </c>
      <c r="M13" s="1279"/>
      <c r="N13" s="1263"/>
      <c r="O13" s="1263"/>
    </row>
    <row r="14" spans="2:16" ht="15.6" x14ac:dyDescent="0.3">
      <c r="B14" s="4" t="s">
        <v>28</v>
      </c>
      <c r="C14" s="53"/>
      <c r="D14" s="53"/>
      <c r="E14" s="53"/>
      <c r="F14" s="115">
        <f ca="1">IF(F12&lt;97,ROUNDUP(F12*1.04,1),ROUNDUP(F12*1.04,0))</f>
        <v>17.8</v>
      </c>
      <c r="G14" s="53"/>
      <c r="H14" s="53"/>
      <c r="I14" s="53"/>
      <c r="J14" s="18"/>
      <c r="L14" s="1269" t="s">
        <v>1047</v>
      </c>
      <c r="M14" s="1270">
        <f ca="1">VLOOKUP(TRUE,Данные!M134:O140,2,0)</f>
        <v>5</v>
      </c>
    </row>
    <row r="15" spans="2:16" ht="15.6" x14ac:dyDescent="0.3">
      <c r="B15" s="4" t="s">
        <v>30</v>
      </c>
      <c r="C15" s="53"/>
      <c r="D15" s="53"/>
      <c r="E15" s="53"/>
      <c r="F15" s="115">
        <f ca="1">F14/F16</f>
        <v>17.8</v>
      </c>
      <c r="G15" s="53"/>
      <c r="H15" s="53"/>
      <c r="I15" s="53"/>
      <c r="J15" s="18"/>
      <c r="L15" s="1269" t="s">
        <v>1048</v>
      </c>
      <c r="M15" s="1270">
        <f ca="1">IF(AND(M10&gt;=7.5,M10&lt;=8.5),10,VLOOKUP(TRUE,Данные!M134:O140,2,0))</f>
        <v>5</v>
      </c>
      <c r="N15" s="58"/>
    </row>
    <row r="16" spans="2:16" ht="15.6" x14ac:dyDescent="0.3">
      <c r="B16" s="4" t="s">
        <v>32</v>
      </c>
      <c r="C16" s="53"/>
      <c r="D16" s="53"/>
      <c r="E16" s="53"/>
      <c r="F16" s="136">
        <f>F18*F17</f>
        <v>1</v>
      </c>
      <c r="G16" s="53"/>
      <c r="H16" s="53"/>
      <c r="I16" s="53"/>
      <c r="J16" s="18"/>
      <c r="L16" s="138" t="s">
        <v>64</v>
      </c>
      <c r="M16" s="299" t="str">
        <f>IF(J4=0,"расчет","по модели")</f>
        <v>расчет</v>
      </c>
      <c r="N16" s="302"/>
    </row>
    <row r="17" spans="2:15" ht="15.6" x14ac:dyDescent="0.3">
      <c r="B17" s="4" t="s">
        <v>34</v>
      </c>
      <c r="C17" s="53"/>
      <c r="D17" s="53"/>
      <c r="E17" s="53"/>
      <c r="F17" s="136">
        <v>1</v>
      </c>
      <c r="G17" s="53"/>
      <c r="H17" s="53"/>
      <c r="I17" s="53"/>
      <c r="J17" s="18"/>
      <c r="L17" s="41" t="s">
        <v>66</v>
      </c>
      <c r="M17" s="300">
        <f ca="1">IF(J4=0,ROUND((M4+2*M15)/0.985,0),VLOOKUP(J$4,Планки2[],8,FALSE()))</f>
        <v>31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84">
        <v>1</v>
      </c>
      <c r="G18" s="20"/>
      <c r="H18" s="20"/>
      <c r="I18" s="20"/>
      <c r="J18" s="22"/>
      <c r="L18" s="46" t="s">
        <v>67</v>
      </c>
      <c r="M18" s="300">
        <f ca="1">IF(J4=0,M17+2*Данные!E38,VLOOKUP(J$4,Планки2[],9,FALSE()))</f>
        <v>36</v>
      </c>
      <c r="N18" s="58"/>
    </row>
    <row r="19" spans="2:15" ht="15.6" x14ac:dyDescent="0.3">
      <c r="B19" s="12"/>
      <c r="C19" s="5"/>
      <c r="D19" s="473" t="s">
        <v>1082</v>
      </c>
      <c r="E19" s="44"/>
      <c r="F19" s="1155" t="str">
        <f ca="1">"Формовочный уклон "&amp;Данные!E38</f>
        <v>Формовочный уклон 2,5</v>
      </c>
      <c r="G19" s="5"/>
      <c r="H19" s="5"/>
      <c r="I19" s="129"/>
      <c r="J19" s="130"/>
      <c r="L19" s="41" t="s">
        <v>68</v>
      </c>
      <c r="M19" s="300">
        <f ca="1">IF(J4=0,ROUND((M5+2*M14)/0.985,0),VLOOKUP(J$4,Планки2[],5,FALSE()))</f>
        <v>213</v>
      </c>
      <c r="N19" s="58"/>
    </row>
    <row r="20" spans="2:15" ht="15.6" x14ac:dyDescent="0.3">
      <c r="B20" s="1479"/>
      <c r="C20" s="146"/>
      <c r="D20" s="146"/>
      <c r="E20" s="146"/>
      <c r="F20" s="146"/>
      <c r="G20" s="146"/>
      <c r="H20" s="146"/>
      <c r="I20" s="906"/>
      <c r="J20" s="1705"/>
      <c r="L20" s="46" t="s">
        <v>69</v>
      </c>
      <c r="M20" s="300">
        <f ca="1">IF(J4=0,M19+2*Данные!E38,VLOOKUP(J$4,Планки2[],6,FALSE()))</f>
        <v>218</v>
      </c>
      <c r="N20" s="58"/>
    </row>
    <row r="21" spans="2:15" ht="15.6" x14ac:dyDescent="0.3">
      <c r="B21" s="1479"/>
      <c r="C21" s="146"/>
      <c r="D21" s="146"/>
      <c r="E21" s="146"/>
      <c r="F21" s="146"/>
      <c r="G21" s="146"/>
      <c r="H21" s="1480" t="str">
        <f>IF(Данные!B42=TRUE,"ХХ","")</f>
        <v/>
      </c>
      <c r="I21" s="906"/>
      <c r="J21" s="1705"/>
      <c r="L21" s="41" t="s">
        <v>70</v>
      </c>
      <c r="M21" s="300">
        <f ca="1">IFERROR(IF(J4=0,ROUND((M6+2*M14+15)/0.985,0),VLOOKUP(J$4,Планки2[],4,FALSE())),1150)</f>
        <v>162</v>
      </c>
      <c r="N21" s="58"/>
      <c r="O21" s="42"/>
    </row>
    <row r="22" spans="2:15" ht="15.6" x14ac:dyDescent="0.3">
      <c r="B22" s="1479"/>
      <c r="C22" s="146"/>
      <c r="D22" s="146"/>
      <c r="E22" s="146"/>
      <c r="F22" s="146"/>
      <c r="G22" s="146"/>
      <c r="H22" s="146" t="str">
        <f>IF(Данные!B42=TRUE,"ХХ","")</f>
        <v/>
      </c>
      <c r="I22" s="105">
        <f ca="1">ROUNDUP(M19*0.985,0)</f>
        <v>210</v>
      </c>
      <c r="J22" s="126"/>
      <c r="L22" s="1264"/>
      <c r="M22" s="1273"/>
      <c r="N22" s="1151"/>
    </row>
    <row r="23" spans="2:15" ht="15.6" x14ac:dyDescent="0.3">
      <c r="B23" s="1479"/>
      <c r="C23" s="146"/>
      <c r="D23" s="146"/>
      <c r="E23" s="146"/>
      <c r="F23" s="146"/>
      <c r="G23" s="146"/>
      <c r="H23" s="146" t="str">
        <f>IF(Данные!B42=TRUE,"ХХ","")</f>
        <v/>
      </c>
      <c r="I23" s="1733">
        <f>M5</f>
        <v>200</v>
      </c>
      <c r="J23" s="126"/>
      <c r="L23" s="1265" t="s">
        <v>71</v>
      </c>
      <c r="M23" s="1274"/>
      <c r="N23" s="1151"/>
    </row>
    <row r="24" spans="2:15" ht="15.6" x14ac:dyDescent="0.3">
      <c r="B24" s="1479"/>
      <c r="C24" s="146"/>
      <c r="D24" s="146"/>
      <c r="E24" s="146"/>
      <c r="F24" s="146"/>
      <c r="G24" s="146"/>
      <c r="H24" s="844" t="str">
        <f>IF(Данные!B42=TRUE,"ХХ","")</f>
        <v/>
      </c>
      <c r="I24" s="1706"/>
      <c r="J24" s="126"/>
      <c r="L24" s="41" t="s">
        <v>67</v>
      </c>
      <c r="M24" s="300">
        <f ca="1">IF(J4=0,M18,VLOOKUP(J$4,Планки2[],9,FALSE()))</f>
        <v>36</v>
      </c>
      <c r="N24" s="58"/>
    </row>
    <row r="25" spans="2:15" ht="15.6" x14ac:dyDescent="0.3">
      <c r="B25" s="1479"/>
      <c r="C25" s="146"/>
      <c r="D25" s="146"/>
      <c r="E25" s="146"/>
      <c r="F25" s="146"/>
      <c r="G25" s="146"/>
      <c r="H25" s="844" t="str">
        <f>IF(Данные!B42=TRUE,"ХХ","")</f>
        <v/>
      </c>
      <c r="I25" s="1706"/>
      <c r="J25" s="126"/>
      <c r="L25" s="41" t="s">
        <v>73</v>
      </c>
      <c r="M25" s="300">
        <f ca="1">IF(J4=0,M24+ROUND(M28/50*2,0),VLOOKUP(J$4,Планки2[],10,FALSE()))</f>
        <v>40</v>
      </c>
      <c r="N25" s="58"/>
    </row>
    <row r="26" spans="2:15" ht="15.6" x14ac:dyDescent="0.3">
      <c r="B26" s="1479"/>
      <c r="C26" s="146"/>
      <c r="D26" s="146"/>
      <c r="E26" s="146"/>
      <c r="F26" s="146"/>
      <c r="G26" s="146"/>
      <c r="H26" s="844" t="str">
        <f>IF(Данные!B42=TRUE,"ХХ","")</f>
        <v/>
      </c>
      <c r="I26" s="1706"/>
      <c r="J26" s="126"/>
      <c r="L26" s="41" t="s">
        <v>69</v>
      </c>
      <c r="M26" s="300">
        <f ca="1">IF(J4=0,M20,VLOOKUP(J$4,Планки2[],6,FALSE()))</f>
        <v>218</v>
      </c>
      <c r="N26" s="58"/>
    </row>
    <row r="27" spans="2:15" ht="15.6" x14ac:dyDescent="0.3">
      <c r="B27" s="1479"/>
      <c r="C27" s="146"/>
      <c r="D27" s="1011"/>
      <c r="E27" s="1707">
        <v>20</v>
      </c>
      <c r="F27" s="146"/>
      <c r="G27" s="146"/>
      <c r="H27" s="146"/>
      <c r="I27" s="1706"/>
      <c r="J27" s="126"/>
      <c r="L27" s="41" t="s">
        <v>74</v>
      </c>
      <c r="M27" s="300">
        <f ca="1">IF(J4=0,M26+ROUND(M28/100*2,0),VLOOKUP(J$4,Планки2[],7,FALSE()))</f>
        <v>220</v>
      </c>
      <c r="N27" s="58"/>
    </row>
    <row r="28" spans="2:15" ht="15.6" x14ac:dyDescent="0.3">
      <c r="B28" s="1479"/>
      <c r="C28" s="146"/>
      <c r="D28" s="146"/>
      <c r="E28" s="146"/>
      <c r="F28" s="146"/>
      <c r="G28" s="146"/>
      <c r="H28" s="146"/>
      <c r="I28" s="1706"/>
      <c r="J28" s="126"/>
      <c r="L28" s="41" t="s">
        <v>648</v>
      </c>
      <c r="M28" s="300">
        <f ca="1">Данные!L140</f>
        <v>90</v>
      </c>
      <c r="N28" s="58"/>
    </row>
    <row r="29" spans="2:15" ht="18" x14ac:dyDescent="0.35">
      <c r="B29" s="1479"/>
      <c r="C29" s="1708">
        <f ca="1">ROUNDUP(M28*0.985,0)</f>
        <v>89</v>
      </c>
      <c r="D29" s="146"/>
      <c r="E29" s="1709">
        <f ca="1">ROUNDUP(M21*0.985,0)</f>
        <v>160</v>
      </c>
      <c r="F29" s="146"/>
      <c r="G29" s="146"/>
      <c r="H29" s="146"/>
      <c r="I29" s="1706"/>
      <c r="J29" s="126"/>
      <c r="L29" s="1518" t="s">
        <v>619</v>
      </c>
      <c r="M29" s="1518"/>
      <c r="N29" s="1266"/>
    </row>
    <row r="30" spans="2:15" ht="15.6" x14ac:dyDescent="0.3">
      <c r="B30" s="1479"/>
      <c r="C30" s="146"/>
      <c r="D30" s="146"/>
      <c r="E30" s="1733">
        <f>M6</f>
        <v>135</v>
      </c>
      <c r="F30" s="1011"/>
      <c r="G30" s="146"/>
      <c r="H30" s="146"/>
      <c r="I30" s="1706"/>
      <c r="J30" s="126"/>
      <c r="L30" s="1277" t="s">
        <v>1045</v>
      </c>
    </row>
    <row r="31" spans="2:15" s="42" customFormat="1" x14ac:dyDescent="0.3">
      <c r="B31" s="1479"/>
      <c r="C31" s="146"/>
      <c r="D31" s="146"/>
      <c r="E31" s="125"/>
      <c r="F31" s="1011"/>
      <c r="G31" s="146"/>
      <c r="H31" s="146"/>
      <c r="I31" s="1706"/>
      <c r="J31" s="126"/>
      <c r="L31" s="1263"/>
      <c r="M31" s="1263"/>
      <c r="N31" s="1263"/>
      <c r="O31" s="1263"/>
    </row>
    <row r="32" spans="2:15" ht="15.6" x14ac:dyDescent="0.3">
      <c r="B32" s="1479"/>
      <c r="C32" s="146"/>
      <c r="D32" s="146"/>
      <c r="E32" s="146"/>
      <c r="F32" s="146"/>
      <c r="G32" s="146"/>
      <c r="H32" s="146"/>
      <c r="I32" s="1706"/>
      <c r="J32" s="126"/>
      <c r="L32" s="749" t="s">
        <v>312</v>
      </c>
      <c r="M32" s="747"/>
      <c r="N32" s="747"/>
      <c r="O32" s="747"/>
    </row>
    <row r="33" spans="2:17" ht="15" x14ac:dyDescent="0.3">
      <c r="B33" s="1479"/>
      <c r="C33" s="146"/>
      <c r="D33" s="146"/>
      <c r="E33" s="146"/>
      <c r="F33" s="146"/>
      <c r="G33" s="146"/>
      <c r="H33" s="146" t="str">
        <f>IF(Данные!B42=TRUE,"ХХ","")</f>
        <v/>
      </c>
      <c r="I33" s="105">
        <f ca="1">ROUNDUP(M17*0.985,0)</f>
        <v>31</v>
      </c>
      <c r="J33" s="1710"/>
      <c r="L33" s="750" t="s">
        <v>319</v>
      </c>
      <c r="M33" s="748"/>
      <c r="N33" s="748"/>
      <c r="O33" s="748"/>
    </row>
    <row r="34" spans="2:17" x14ac:dyDescent="0.3">
      <c r="B34" s="1479"/>
      <c r="C34" s="146"/>
      <c r="D34" s="146"/>
      <c r="E34" s="146"/>
      <c r="F34" s="146"/>
      <c r="G34" s="146"/>
      <c r="H34" s="146" t="str">
        <f>IF(Данные!B42=TRUE,"ХХ","")</f>
        <v/>
      </c>
      <c r="I34" s="1733">
        <f>M4</f>
        <v>21</v>
      </c>
      <c r="J34" s="126"/>
      <c r="L34" s="750"/>
      <c r="M34" s="748"/>
      <c r="N34" s="748"/>
      <c r="O34" s="748"/>
    </row>
    <row r="35" spans="2:17" ht="15" thickBot="1" x14ac:dyDescent="0.35">
      <c r="B35" s="1479"/>
      <c r="C35" s="146"/>
      <c r="D35" s="146"/>
      <c r="E35" s="146"/>
      <c r="F35" s="146"/>
      <c r="G35" s="146"/>
      <c r="H35" s="146" t="str">
        <f>IF(Данные!B42=TRUE,"ХХ","")</f>
        <v/>
      </c>
      <c r="I35" s="906"/>
      <c r="J35" s="1705"/>
    </row>
    <row r="36" spans="2:17" ht="16.2" thickBot="1" x14ac:dyDescent="0.35">
      <c r="B36" s="1479"/>
      <c r="C36" s="146"/>
      <c r="D36" s="146"/>
      <c r="E36" s="146"/>
      <c r="F36" s="146"/>
      <c r="G36" s="146"/>
      <c r="H36" s="844" t="str">
        <f>IF(Данные!B42=TRUE,"ХХ","")</f>
        <v/>
      </c>
      <c r="I36" s="906"/>
      <c r="J36" s="1705"/>
      <c r="L36" s="1153" t="s">
        <v>80</v>
      </c>
      <c r="M36" s="69"/>
      <c r="N36" s="69"/>
      <c r="O36" s="13"/>
    </row>
    <row r="37" spans="2:17" ht="16.2" thickBot="1" x14ac:dyDescent="0.35">
      <c r="B37" s="1479"/>
      <c r="C37" s="146"/>
      <c r="D37" s="1485"/>
      <c r="E37" s="146"/>
      <c r="F37" s="146"/>
      <c r="G37" s="146"/>
      <c r="H37" s="146"/>
      <c r="I37" s="906"/>
      <c r="J37" s="1705"/>
      <c r="L37" s="1152">
        <f>VLOOKUP(J4,Планки2[],11,FALSE())</f>
        <v>0</v>
      </c>
      <c r="M37" s="63"/>
      <c r="N37" s="63"/>
      <c r="O37" s="39"/>
    </row>
    <row r="38" spans="2:17" x14ac:dyDescent="0.3">
      <c r="B38" s="1479"/>
      <c r="C38" s="1711" t="s">
        <v>1083</v>
      </c>
      <c r="D38" s="146"/>
      <c r="E38" s="146"/>
      <c r="F38" s="146"/>
      <c r="G38" s="146"/>
      <c r="H38" s="146"/>
      <c r="I38" s="906"/>
      <c r="J38" s="1705"/>
      <c r="M38" s="42"/>
    </row>
    <row r="39" spans="2:17" s="42" customFormat="1" x14ac:dyDescent="0.3">
      <c r="B39" s="1479"/>
      <c r="C39" s="1711"/>
      <c r="D39" s="146"/>
      <c r="E39" s="146"/>
      <c r="F39" s="146"/>
      <c r="G39" s="146"/>
      <c r="H39" s="146"/>
      <c r="I39" s="906"/>
      <c r="J39" s="1705"/>
      <c r="L39"/>
      <c r="N39"/>
      <c r="O39" s="113"/>
    </row>
    <row r="40" spans="2:17" s="42" customFormat="1" ht="16.2" thickBot="1" x14ac:dyDescent="0.35">
      <c r="B40" s="19"/>
      <c r="C40"/>
      <c r="D40" s="474"/>
      <c r="E40" s="282"/>
      <c r="F40" s="107" t="str">
        <f>IF(Данные!$B$42=TRUE,"Кокилировать","")</f>
        <v/>
      </c>
      <c r="G40" s="63"/>
      <c r="H40" s="20"/>
      <c r="I40" s="20"/>
      <c r="J40" s="70"/>
      <c r="L40"/>
      <c r="M40"/>
      <c r="N40" s="476"/>
      <c r="O40" s="476"/>
      <c r="Q40" s="53"/>
    </row>
    <row r="41" spans="2:17" s="42" customFormat="1" x14ac:dyDescent="0.3">
      <c r="B41" s="1144" t="s">
        <v>251</v>
      </c>
      <c r="C41" s="69"/>
      <c r="D41" s="5"/>
      <c r="E41" s="5"/>
      <c r="F41" s="1100" t="s">
        <v>48</v>
      </c>
      <c r="G41" s="5"/>
      <c r="H41" s="5"/>
      <c r="I41" s="5"/>
      <c r="J41" s="13"/>
    </row>
    <row r="42" spans="2:17" x14ac:dyDescent="0.3">
      <c r="B42" s="400" t="s">
        <v>54</v>
      </c>
      <c r="C42" s="57"/>
      <c r="D42" s="53"/>
      <c r="E42" s="53"/>
      <c r="F42" s="1280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720"/>
    </row>
    <row r="43" spans="2:17" x14ac:dyDescent="0.3">
      <c r="B43" s="400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400" t="s">
        <v>741</v>
      </c>
      <c r="C44" s="57"/>
      <c r="D44" s="53"/>
      <c r="E44" s="53"/>
      <c r="F44" s="52" t="str">
        <f ca="1">Данные!C38</f>
        <v>1060-1080</v>
      </c>
      <c r="G44" s="17" t="s">
        <v>82</v>
      </c>
      <c r="H44" s="53"/>
      <c r="I44" s="53"/>
      <c r="J44" s="10"/>
    </row>
    <row r="45" spans="2:17" x14ac:dyDescent="0.3">
      <c r="B45" s="4" t="s">
        <v>372</v>
      </c>
      <c r="C45" s="57"/>
      <c r="D45" s="57"/>
      <c r="E45" s="57"/>
      <c r="F45" s="136" t="s">
        <v>373</v>
      </c>
      <c r="G45" s="53"/>
      <c r="H45" s="53"/>
      <c r="I45" s="57"/>
      <c r="J45" s="10"/>
    </row>
    <row r="46" spans="2:17" x14ac:dyDescent="0.3">
      <c r="B46" s="400" t="s">
        <v>45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400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400" t="s">
        <v>84</v>
      </c>
      <c r="C48" s="57"/>
      <c r="D48" s="53"/>
      <c r="E48" s="17"/>
      <c r="F48" s="136" t="s">
        <v>52</v>
      </c>
      <c r="G48" s="53"/>
      <c r="H48" s="53"/>
      <c r="I48" s="53"/>
      <c r="J48" s="10"/>
    </row>
    <row r="49" spans="2:16" x14ac:dyDescent="0.3">
      <c r="B49" s="4" t="s">
        <v>1049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88"/>
      <c r="F49" s="136"/>
      <c r="G49" s="53"/>
      <c r="H49" s="53"/>
      <c r="I49" s="53"/>
      <c r="J49" s="10"/>
    </row>
    <row r="50" spans="2:16" x14ac:dyDescent="0.3">
      <c r="B50" s="4" t="s">
        <v>1050</v>
      </c>
      <c r="D50" s="53"/>
      <c r="E50" s="53" t="str">
        <f ca="1">Данные!S172&amp;" мм. х "&amp;Данные!W175&amp;" шт."</f>
        <v>350 мм. х 1 шт.</v>
      </c>
      <c r="F50" s="136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1998" t="s">
        <v>60</v>
      </c>
      <c r="C52" s="2000"/>
      <c r="D52" s="1999"/>
      <c r="E52" s="1328" t="s">
        <v>61</v>
      </c>
      <c r="F52" s="1385" t="s">
        <v>60</v>
      </c>
      <c r="G52" s="2004" t="s">
        <v>62</v>
      </c>
      <c r="H52" s="2006"/>
      <c r="I52" s="1998" t="s">
        <v>930</v>
      </c>
      <c r="J52" s="1999"/>
    </row>
    <row r="53" spans="2:16" ht="15" thickBot="1" x14ac:dyDescent="0.35">
      <c r="B53" s="2001">
        <f ca="1">TODAY()</f>
        <v>45497</v>
      </c>
      <c r="C53" s="2002"/>
      <c r="D53" s="2003"/>
      <c r="E53" s="1528" t="s">
        <v>252</v>
      </c>
      <c r="F53" s="1527"/>
      <c r="G53" s="1998" t="s">
        <v>253</v>
      </c>
      <c r="H53" s="1999"/>
      <c r="I53" s="2004" t="s">
        <v>252</v>
      </c>
      <c r="J53" s="2006"/>
      <c r="O53" s="43"/>
    </row>
    <row r="54" spans="2:16" ht="15" thickBot="1" x14ac:dyDescent="0.35">
      <c r="B54" s="1998" t="s">
        <v>63</v>
      </c>
      <c r="C54" s="2000"/>
      <c r="D54" s="1999"/>
      <c r="E54" s="21"/>
      <c r="F54" s="20"/>
      <c r="G54" s="20"/>
      <c r="H54" s="20"/>
      <c r="I54" s="20"/>
      <c r="J54" s="39"/>
    </row>
    <row r="55" spans="2:16" ht="15" thickBot="1" x14ac:dyDescent="0.35">
      <c r="B55" s="2004"/>
      <c r="C55" s="2005"/>
      <c r="D55" s="2005"/>
      <c r="E55" s="57"/>
      <c r="F55" s="57"/>
      <c r="G55" s="57"/>
      <c r="H55" s="57"/>
      <c r="I55" s="57"/>
      <c r="J55" s="10"/>
    </row>
    <row r="56" spans="2:16" x14ac:dyDescent="0.3">
      <c r="B56" s="1992" t="s">
        <v>3</v>
      </c>
      <c r="C56" s="1993"/>
      <c r="D56" s="1994"/>
      <c r="E56" s="93" t="s">
        <v>277</v>
      </c>
      <c r="F56" s="94" t="s">
        <v>278</v>
      </c>
      <c r="G56" s="93" t="s">
        <v>278</v>
      </c>
      <c r="H56" s="93" t="s">
        <v>279</v>
      </c>
      <c r="I56" s="1992" t="s">
        <v>280</v>
      </c>
      <c r="J56" s="1994"/>
    </row>
    <row r="57" spans="2:16" ht="15" thickBot="1" x14ac:dyDescent="0.35">
      <c r="B57" s="1995" t="s">
        <v>281</v>
      </c>
      <c r="C57" s="1996"/>
      <c r="D57" s="1997"/>
      <c r="E57" s="97" t="s">
        <v>282</v>
      </c>
      <c r="F57" s="97" t="s">
        <v>283</v>
      </c>
      <c r="G57" s="97" t="s">
        <v>284</v>
      </c>
      <c r="H57" s="97"/>
      <c r="I57" s="1995" t="s">
        <v>285</v>
      </c>
      <c r="J57" s="1997"/>
      <c r="K57" s="392"/>
    </row>
    <row r="58" spans="2:16" ht="15" thickBot="1" x14ac:dyDescent="0.35">
      <c r="B58" s="1989" t="s">
        <v>351</v>
      </c>
      <c r="C58" s="1991"/>
      <c r="D58" s="1990"/>
      <c r="E58" s="158">
        <v>40</v>
      </c>
      <c r="F58" s="159">
        <v>1</v>
      </c>
      <c r="G58" s="158">
        <v>20</v>
      </c>
      <c r="H58" s="158">
        <v>3</v>
      </c>
      <c r="I58" s="1989">
        <f ca="1">ROUND(Данные!S171*Данные!T171*(Данные!S172*Данные!W175+Данные!U171)/1000000*2.045*2.3/1000/F16,3)</f>
        <v>1.268</v>
      </c>
      <c r="J58" s="1990"/>
      <c r="K58" s="391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O63" s="1246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1492"/>
      <c r="O65" s="58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</sheetData>
  <mergeCells count="14">
    <mergeCell ref="I52:J52"/>
    <mergeCell ref="B52:D52"/>
    <mergeCell ref="B53:D53"/>
    <mergeCell ref="B54:D54"/>
    <mergeCell ref="B55:D55"/>
    <mergeCell ref="G52:H52"/>
    <mergeCell ref="G53:H53"/>
    <mergeCell ref="I53:J53"/>
    <mergeCell ref="I58:J58"/>
    <mergeCell ref="B58:D58"/>
    <mergeCell ref="B56:D56"/>
    <mergeCell ref="B57:D57"/>
    <mergeCell ref="I56:J56"/>
    <mergeCell ref="I57:J57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12</xdr:col>
                    <xdr:colOff>53340</xdr:colOff>
                    <xdr:row>28</xdr:row>
                    <xdr:rowOff>213360</xdr:rowOff>
                  </from>
                  <to>
                    <xdr:col>12</xdr:col>
                    <xdr:colOff>617220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6" name="Check Box 16">
              <controlPr defaultSize="0" autoFill="0" autoLine="0" autoPict="0">
                <anchor moveWithCells="1">
                  <from>
                    <xdr:col>13</xdr:col>
                    <xdr:colOff>15240</xdr:colOff>
                    <xdr:row>19</xdr:row>
                    <xdr:rowOff>190500</xdr:rowOff>
                  </from>
                  <to>
                    <xdr:col>14</xdr:col>
                    <xdr:colOff>129540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Таблицы!$AC$2:$AC$130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zoomScale="70" zoomScaleNormal="70" zoomScaleSheetLayoutView="40" zoomScalePageLayoutView="70" workbookViewId="0">
      <selection activeCell="J3" sqref="J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935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878</v>
      </c>
      <c r="K2" s="57"/>
      <c r="L2" s="831" t="s">
        <v>630</v>
      </c>
      <c r="M2" s="832"/>
      <c r="O2" s="12"/>
      <c r="P2" s="2012"/>
      <c r="Q2" s="2012"/>
      <c r="R2" s="2012"/>
      <c r="S2" s="2013"/>
      <c r="T2" s="2010" t="s">
        <v>629</v>
      </c>
      <c r="U2" s="2010"/>
      <c r="V2" s="2010"/>
      <c r="W2" s="2011"/>
      <c r="X2" s="1298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86" t="s">
        <v>1057</v>
      </c>
      <c r="G3" s="69"/>
      <c r="H3" s="42"/>
      <c r="I3" s="312" t="s">
        <v>628</v>
      </c>
      <c r="J3" s="313">
        <v>28</v>
      </c>
      <c r="K3" s="314"/>
      <c r="L3" s="729" t="s">
        <v>610</v>
      </c>
      <c r="M3" s="730"/>
      <c r="O3" s="1374" t="s">
        <v>591</v>
      </c>
      <c r="P3" s="1375" t="s">
        <v>401</v>
      </c>
      <c r="Q3" s="1375" t="s">
        <v>593</v>
      </c>
      <c r="R3" s="1375" t="s">
        <v>592</v>
      </c>
      <c r="S3" s="1376" t="s">
        <v>595</v>
      </c>
      <c r="T3" s="1377" t="s">
        <v>872</v>
      </c>
      <c r="U3" s="1377" t="s">
        <v>1086</v>
      </c>
      <c r="V3" s="1377" t="s">
        <v>596</v>
      </c>
      <c r="W3" s="1378" t="s">
        <v>317</v>
      </c>
      <c r="X3" s="1378" t="s">
        <v>1085</v>
      </c>
      <c r="Z3" s="798"/>
      <c r="AA3" s="271"/>
      <c r="AB3" s="271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93"/>
      <c r="AT3" s="57"/>
      <c r="AU3" s="10"/>
    </row>
    <row r="4" spans="2:47" x14ac:dyDescent="0.3">
      <c r="B4" s="4"/>
      <c r="C4" s="57" t="s">
        <v>2</v>
      </c>
      <c r="D4" s="57"/>
      <c r="E4" s="57"/>
      <c r="F4" s="887" t="s">
        <v>1058</v>
      </c>
      <c r="G4" s="311"/>
      <c r="H4" s="58"/>
      <c r="I4" s="57"/>
      <c r="J4" s="10"/>
      <c r="K4" s="4"/>
      <c r="L4" s="722">
        <f>VLOOKUP(J3,Planka_kok[],3,FALSE())</f>
        <v>1000</v>
      </c>
      <c r="M4" s="723" t="s">
        <v>593</v>
      </c>
      <c r="N4" s="42"/>
      <c r="O4" s="1368">
        <v>11</v>
      </c>
      <c r="P4" s="337">
        <v>290</v>
      </c>
      <c r="Q4" s="337">
        <v>745</v>
      </c>
      <c r="R4" s="337">
        <v>60</v>
      </c>
      <c r="S4" s="340">
        <v>60</v>
      </c>
      <c r="T4" s="339">
        <v>290</v>
      </c>
      <c r="U4" s="339">
        <v>100</v>
      </c>
      <c r="V4" s="339">
        <v>60</v>
      </c>
      <c r="W4" s="1367">
        <v>110</v>
      </c>
      <c r="X4" s="1370"/>
      <c r="Z4" s="798"/>
      <c r="AA4" s="343"/>
      <c r="AB4" s="271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88" t="s">
        <v>968</v>
      </c>
      <c r="G5" s="311"/>
      <c r="H5" s="58"/>
      <c r="I5" s="57"/>
      <c r="J5" s="10"/>
      <c r="K5" s="4"/>
      <c r="L5" s="722">
        <f>VLOOKUP(J3,Planka_kok[],2,FALSE())</f>
        <v>280</v>
      </c>
      <c r="M5" s="723" t="s">
        <v>401</v>
      </c>
      <c r="N5" s="42"/>
      <c r="O5" s="1368">
        <v>3</v>
      </c>
      <c r="P5" s="337">
        <v>540</v>
      </c>
      <c r="Q5" s="337">
        <v>570</v>
      </c>
      <c r="R5" s="337">
        <v>40</v>
      </c>
      <c r="S5" s="340">
        <v>40</v>
      </c>
      <c r="T5" s="339">
        <v>550</v>
      </c>
      <c r="U5" s="339">
        <v>120</v>
      </c>
      <c r="V5" s="339">
        <v>40</v>
      </c>
      <c r="W5" s="1367">
        <v>75</v>
      </c>
      <c r="X5" s="1370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472" t="s">
        <v>8</v>
      </c>
      <c r="G6" s="272"/>
      <c r="H6" s="17"/>
      <c r="I6" s="57"/>
      <c r="J6" s="10"/>
      <c r="K6" s="4"/>
      <c r="L6" s="722">
        <f>VLOOKUP(J3,Planka_kok[],4,FALSE())</f>
        <v>60</v>
      </c>
      <c r="M6" s="723" t="s">
        <v>592</v>
      </c>
      <c r="N6" s="42"/>
      <c r="O6" s="1368">
        <v>22</v>
      </c>
      <c r="P6" s="337">
        <v>240</v>
      </c>
      <c r="Q6" s="337">
        <v>735</v>
      </c>
      <c r="R6" s="337">
        <v>40</v>
      </c>
      <c r="S6" s="340">
        <v>40</v>
      </c>
      <c r="T6" s="339"/>
      <c r="U6" s="342"/>
      <c r="V6" s="342"/>
      <c r="W6" s="1366"/>
      <c r="X6" s="1370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89"/>
      <c r="G7" s="63"/>
      <c r="H7" s="63"/>
      <c r="I7" s="63"/>
      <c r="J7" s="39"/>
      <c r="K7" s="57"/>
      <c r="L7" s="722">
        <f>VLOOKUP(J3,Planka_kok[],5,FALSE())</f>
        <v>60</v>
      </c>
      <c r="M7" s="723" t="s">
        <v>595</v>
      </c>
      <c r="N7" s="42"/>
      <c r="O7" s="1368">
        <v>27</v>
      </c>
      <c r="P7" s="337">
        <v>240</v>
      </c>
      <c r="Q7" s="337">
        <v>1050</v>
      </c>
      <c r="R7" s="337">
        <v>40</v>
      </c>
      <c r="S7" s="340">
        <v>40</v>
      </c>
      <c r="T7" s="339">
        <v>250</v>
      </c>
      <c r="U7" s="342">
        <v>80</v>
      </c>
      <c r="V7" s="342">
        <v>40</v>
      </c>
      <c r="W7" s="342">
        <v>40</v>
      </c>
      <c r="X7" s="1371" t="s">
        <v>208</v>
      </c>
      <c r="Z7" s="4"/>
      <c r="AA7" s="388">
        <v>60</v>
      </c>
      <c r="AB7" s="808"/>
      <c r="AC7" s="718">
        <v>2</v>
      </c>
      <c r="AD7" s="822"/>
      <c r="AE7" s="822"/>
      <c r="AF7" s="822"/>
      <c r="AG7" s="822"/>
      <c r="AH7" s="822"/>
      <c r="AI7" s="822"/>
      <c r="AJ7" s="822"/>
      <c r="AK7" s="822"/>
      <c r="AL7" s="822"/>
      <c r="AM7" s="822"/>
      <c r="AN7" s="719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82" t="s">
        <v>24</v>
      </c>
      <c r="G8" s="69"/>
      <c r="H8" s="69"/>
      <c r="I8" s="69"/>
      <c r="J8" s="13"/>
      <c r="K8" s="57"/>
      <c r="L8" s="724">
        <f>(L6+L7)/2</f>
        <v>60</v>
      </c>
      <c r="M8" s="723" t="s">
        <v>611</v>
      </c>
      <c r="N8" s="42"/>
      <c r="O8" s="1368">
        <v>28</v>
      </c>
      <c r="P8" s="337">
        <v>280</v>
      </c>
      <c r="Q8" s="337">
        <v>1000</v>
      </c>
      <c r="R8" s="337">
        <v>60</v>
      </c>
      <c r="S8" s="340">
        <v>60</v>
      </c>
      <c r="T8" s="339">
        <v>280</v>
      </c>
      <c r="U8" s="342">
        <v>100</v>
      </c>
      <c r="V8" s="342">
        <v>60</v>
      </c>
      <c r="W8" s="1366">
        <v>80</v>
      </c>
      <c r="X8" s="1370"/>
      <c r="Z8" s="4"/>
      <c r="AA8" s="57">
        <v>20</v>
      </c>
      <c r="AB8" s="4"/>
      <c r="AC8" s="799"/>
      <c r="AD8" s="57"/>
      <c r="AE8" s="799"/>
      <c r="AF8" s="58"/>
      <c r="AG8" s="799"/>
      <c r="AH8" s="799"/>
      <c r="AI8" s="799"/>
      <c r="AJ8" s="799"/>
      <c r="AK8" s="799"/>
      <c r="AL8" s="799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90">
        <f>IF(M23=0,IF(M24&lt;100,ROUNDUP(M24,1),ROUNDUP(M24,0)),M23)</f>
        <v>9.9</v>
      </c>
      <c r="G9" s="57"/>
      <c r="H9" s="17"/>
      <c r="I9" s="57" t="s">
        <v>14</v>
      </c>
      <c r="J9" s="15">
        <f>F9/F11</f>
        <v>0.31428571428571428</v>
      </c>
      <c r="K9" s="141"/>
      <c r="L9" s="466"/>
      <c r="M9" s="725"/>
      <c r="N9" s="42"/>
      <c r="O9" s="1368">
        <v>23</v>
      </c>
      <c r="P9" s="337">
        <v>370</v>
      </c>
      <c r="Q9" s="337">
        <f>1440-150</f>
        <v>1290</v>
      </c>
      <c r="R9" s="337">
        <v>70</v>
      </c>
      <c r="S9" s="340">
        <v>80</v>
      </c>
      <c r="T9" s="339">
        <v>370</v>
      </c>
      <c r="U9" s="342">
        <v>130</v>
      </c>
      <c r="V9" s="342">
        <v>80</v>
      </c>
      <c r="W9" s="342">
        <v>150</v>
      </c>
      <c r="X9" s="271" t="s">
        <v>208</v>
      </c>
      <c r="Z9" s="4"/>
      <c r="AA9" s="144">
        <v>120</v>
      </c>
      <c r="AB9" s="808"/>
      <c r="AC9" s="718">
        <v>2</v>
      </c>
      <c r="AD9" s="822"/>
      <c r="AE9" s="822"/>
      <c r="AF9" s="822"/>
      <c r="AG9" s="822"/>
      <c r="AH9" s="822"/>
      <c r="AI9" s="822"/>
      <c r="AJ9" s="822"/>
      <c r="AK9" s="822"/>
      <c r="AL9" s="822"/>
      <c r="AM9" s="822"/>
      <c r="AN9" s="719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90">
        <f>IF(M17&lt;100,ROUNDUP(M17,1),ROUNDUP(M17,0))</f>
        <v>126</v>
      </c>
      <c r="G10" s="57"/>
      <c r="H10" s="16"/>
      <c r="I10" s="57" t="s">
        <v>14</v>
      </c>
      <c r="J10" s="15">
        <f>F9/F15</f>
        <v>0.26902173913043476</v>
      </c>
      <c r="K10" s="141"/>
      <c r="L10" s="731" t="s">
        <v>71</v>
      </c>
      <c r="M10" s="732"/>
      <c r="N10" s="42"/>
      <c r="O10" s="1369">
        <v>21</v>
      </c>
      <c r="P10" s="338">
        <v>490</v>
      </c>
      <c r="Q10" s="338">
        <v>1320</v>
      </c>
      <c r="R10" s="338">
        <v>100</v>
      </c>
      <c r="S10" s="341">
        <v>103</v>
      </c>
      <c r="T10" s="339">
        <v>490</v>
      </c>
      <c r="U10" s="342">
        <v>120</v>
      </c>
      <c r="V10" s="342">
        <v>103</v>
      </c>
      <c r="W10" s="342">
        <v>150</v>
      </c>
      <c r="X10" s="1372"/>
      <c r="Z10" s="4"/>
      <c r="AA10" s="57">
        <v>40</v>
      </c>
      <c r="AB10" s="4"/>
      <c r="AC10" s="805"/>
      <c r="AD10" s="69"/>
      <c r="AE10" s="588"/>
      <c r="AF10" s="69"/>
      <c r="AG10" s="805"/>
      <c r="AH10" s="69"/>
      <c r="AI10" s="805"/>
      <c r="AJ10" s="69"/>
      <c r="AK10" s="805"/>
      <c r="AL10" s="69"/>
      <c r="AM10" s="805"/>
      <c r="AN10" s="69"/>
      <c r="AO10" s="588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90">
        <f>ROUNDUP(F10/F16,1)</f>
        <v>31.5</v>
      </c>
      <c r="G11" s="57"/>
      <c r="H11" s="16"/>
      <c r="I11" s="57"/>
      <c r="J11" s="10"/>
      <c r="K11" s="311"/>
      <c r="L11" s="1384">
        <f>VLOOKUP(J3,Planka_kok[],7,FALSE())</f>
        <v>100</v>
      </c>
      <c r="M11" s="723" t="s">
        <v>593</v>
      </c>
      <c r="N11" s="42"/>
      <c r="O11" s="1368" t="s">
        <v>627</v>
      </c>
      <c r="P11" s="337">
        <v>490</v>
      </c>
      <c r="Q11" s="337">
        <v>1320</v>
      </c>
      <c r="R11" s="337">
        <v>50</v>
      </c>
      <c r="S11" s="340">
        <v>51</v>
      </c>
      <c r="T11" s="339">
        <v>490</v>
      </c>
      <c r="U11" s="342">
        <v>120</v>
      </c>
      <c r="V11" s="342">
        <v>51</v>
      </c>
      <c r="W11" s="1366">
        <v>75</v>
      </c>
      <c r="X11" s="1373"/>
      <c r="Z11" s="4">
        <f>SUM(AA6:AA14)</f>
        <v>480</v>
      </c>
      <c r="AA11" s="388">
        <v>120</v>
      </c>
      <c r="AB11" s="806"/>
      <c r="AC11" s="824">
        <v>1</v>
      </c>
      <c r="AD11" s="800"/>
      <c r="AE11" s="824">
        <v>1</v>
      </c>
      <c r="AF11" s="800"/>
      <c r="AG11" s="824">
        <v>1</v>
      </c>
      <c r="AH11" s="800"/>
      <c r="AI11" s="824">
        <v>1</v>
      </c>
      <c r="AJ11" s="547"/>
      <c r="AK11" s="824">
        <v>1</v>
      </c>
      <c r="AL11" s="800"/>
      <c r="AM11" s="824">
        <v>1</v>
      </c>
      <c r="AN11" s="800"/>
      <c r="AO11" s="824">
        <v>1</v>
      </c>
      <c r="AP11" s="803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90">
        <f>IF(M18&lt;100,ROUNDUP(M18,1),ROUNDUP(M18,0))</f>
        <v>141</v>
      </c>
      <c r="G12" s="57"/>
      <c r="H12" s="16"/>
      <c r="I12" s="57"/>
      <c r="J12" s="18"/>
      <c r="K12" s="311"/>
      <c r="L12" s="1384">
        <f>VLOOKUP(J3,Planka_kok[],6,FALSE())</f>
        <v>280</v>
      </c>
      <c r="M12" s="723" t="s">
        <v>401</v>
      </c>
      <c r="N12" s="42"/>
      <c r="O12" s="1379">
        <v>30</v>
      </c>
      <c r="P12" s="1380">
        <v>510</v>
      </c>
      <c r="Q12" s="1380">
        <v>1300</v>
      </c>
      <c r="R12" s="1380">
        <v>45</v>
      </c>
      <c r="S12" s="1381">
        <v>50</v>
      </c>
      <c r="T12" s="1382">
        <v>510</v>
      </c>
      <c r="U12" s="1383">
        <v>160</v>
      </c>
      <c r="V12" s="1383">
        <v>50</v>
      </c>
      <c r="W12" s="1383">
        <v>75</v>
      </c>
      <c r="X12" s="343"/>
      <c r="Z12" s="4"/>
      <c r="AA12" s="57">
        <v>40</v>
      </c>
      <c r="AB12" s="4"/>
      <c r="AC12" s="804"/>
      <c r="AD12" s="57"/>
      <c r="AE12" s="804"/>
      <c r="AF12" s="57"/>
      <c r="AG12" s="804"/>
      <c r="AH12" s="57"/>
      <c r="AI12" s="804"/>
      <c r="AJ12" s="57"/>
      <c r="AK12" s="804"/>
      <c r="AL12" s="57"/>
      <c r="AM12" s="804"/>
      <c r="AN12" s="57"/>
      <c r="AO12" s="804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90">
        <f>ROUNDUP(F12/F16,1)</f>
        <v>35.300000000000004</v>
      </c>
      <c r="G13" s="57"/>
      <c r="H13" s="16"/>
      <c r="I13" s="57"/>
      <c r="J13" s="18"/>
      <c r="K13" s="311"/>
      <c r="L13" s="1384">
        <f>VLOOKUP(J3,Planka_kok[],8,FALSE())</f>
        <v>60</v>
      </c>
      <c r="M13" s="723" t="s">
        <v>612</v>
      </c>
      <c r="N13" s="42"/>
      <c r="O13" s="1379">
        <v>26</v>
      </c>
      <c r="P13" s="1380">
        <v>1300</v>
      </c>
      <c r="Q13" s="1380">
        <v>535</v>
      </c>
      <c r="R13" s="1380">
        <v>40</v>
      </c>
      <c r="S13" s="1381">
        <v>50</v>
      </c>
      <c r="T13" s="1382">
        <v>1300</v>
      </c>
      <c r="U13" s="1383">
        <v>60</v>
      </c>
      <c r="V13" s="1383">
        <v>50</v>
      </c>
      <c r="W13" s="1383">
        <v>75</v>
      </c>
      <c r="X13" s="58"/>
      <c r="Z13" s="4"/>
      <c r="AA13" s="388">
        <v>60</v>
      </c>
      <c r="AB13" s="806"/>
      <c r="AC13" s="824">
        <v>1</v>
      </c>
      <c r="AD13" s="800"/>
      <c r="AE13" s="824">
        <v>1</v>
      </c>
      <c r="AF13" s="800"/>
      <c r="AG13" s="824">
        <v>1</v>
      </c>
      <c r="AH13" s="800"/>
      <c r="AI13" s="824">
        <v>1</v>
      </c>
      <c r="AJ13" s="800"/>
      <c r="AK13" s="824">
        <v>1</v>
      </c>
      <c r="AL13" s="800"/>
      <c r="AM13" s="824">
        <v>1</v>
      </c>
      <c r="AN13" s="800"/>
      <c r="AO13" s="824">
        <v>1</v>
      </c>
      <c r="AP13" s="803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90">
        <f>IF(F12&lt;97,ROUNDUP(M18*1.04,1),ROUNDUP(M18*1.04,0))</f>
        <v>147</v>
      </c>
      <c r="G14" s="57"/>
      <c r="H14" s="16"/>
      <c r="I14" s="57"/>
      <c r="J14" s="18"/>
      <c r="K14" s="311"/>
      <c r="L14" s="1384">
        <f>VLOOKUP(J3,Planka_kok[],9,FALSE())</f>
        <v>80</v>
      </c>
      <c r="M14" s="723" t="s">
        <v>613</v>
      </c>
      <c r="N14" s="42"/>
      <c r="X14" s="58"/>
      <c r="Z14" s="4"/>
      <c r="AA14" s="57">
        <v>10</v>
      </c>
      <c r="AB14" s="19"/>
      <c r="AC14" s="809"/>
      <c r="AD14" s="63"/>
      <c r="AE14" s="807"/>
      <c r="AF14" s="63"/>
      <c r="AG14" s="807"/>
      <c r="AH14" s="63"/>
      <c r="AI14" s="807"/>
      <c r="AJ14" s="63"/>
      <c r="AK14" s="807"/>
      <c r="AL14" s="63"/>
      <c r="AM14" s="807"/>
      <c r="AN14" s="63"/>
      <c r="AO14" s="807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90">
        <f>ROUNDUP(F14/F16,1)</f>
        <v>36.800000000000004</v>
      </c>
      <c r="G15" s="57"/>
      <c r="H15" s="16"/>
      <c r="I15" s="57"/>
      <c r="J15" s="18"/>
      <c r="K15" s="311"/>
      <c r="L15" s="724">
        <f>(L13+L14)/2</f>
        <v>70</v>
      </c>
      <c r="M15" s="723" t="s">
        <v>614</v>
      </c>
      <c r="N15" s="42"/>
      <c r="X15" s="58"/>
      <c r="Z15" s="4"/>
      <c r="AA15" s="388"/>
      <c r="AB15" s="388">
        <v>10</v>
      </c>
      <c r="AC15" s="388">
        <v>20</v>
      </c>
      <c r="AD15" s="388">
        <v>20</v>
      </c>
      <c r="AE15" s="388">
        <v>20</v>
      </c>
      <c r="AF15" s="388">
        <v>20</v>
      </c>
      <c r="AG15" s="388">
        <v>20</v>
      </c>
      <c r="AH15" s="388">
        <v>20</v>
      </c>
      <c r="AI15" s="388">
        <v>20</v>
      </c>
      <c r="AJ15" s="388">
        <v>20</v>
      </c>
      <c r="AK15" s="388">
        <v>20</v>
      </c>
      <c r="AL15" s="388">
        <v>20</v>
      </c>
      <c r="AM15" s="388">
        <v>20</v>
      </c>
      <c r="AN15" s="388">
        <v>20</v>
      </c>
      <c r="AO15" s="388">
        <v>20</v>
      </c>
      <c r="AP15" s="388">
        <v>20</v>
      </c>
      <c r="AQ15" s="388"/>
      <c r="AR15" s="388"/>
      <c r="AS15" s="388"/>
      <c r="AT15" s="388"/>
      <c r="AU15" s="10"/>
    </row>
    <row r="16" spans="2:47" ht="15" thickBot="1" x14ac:dyDescent="0.35">
      <c r="B16" s="4"/>
      <c r="C16" s="57" t="s">
        <v>32</v>
      </c>
      <c r="D16" s="57"/>
      <c r="E16" s="57"/>
      <c r="F16" s="136">
        <f>F17*F18</f>
        <v>4</v>
      </c>
      <c r="G16" s="272"/>
      <c r="H16" s="73"/>
      <c r="I16" s="57"/>
      <c r="J16" s="18"/>
      <c r="K16" s="311"/>
      <c r="L16" s="466"/>
      <c r="M16" s="751">
        <f>VLOOKUP(F8,Marka_met_dlya_kok[],3,0)</f>
        <v>7.5</v>
      </c>
      <c r="N16" s="42"/>
      <c r="O16" s="783"/>
      <c r="P16" s="877"/>
      <c r="Q16" s="2226" t="s">
        <v>849</v>
      </c>
      <c r="R16" s="2226"/>
      <c r="S16" s="2226"/>
      <c r="T16" s="2226"/>
      <c r="U16" s="2226"/>
      <c r="V16" s="784"/>
      <c r="X16" s="58"/>
      <c r="Z16" s="4"/>
      <c r="AA16" s="388"/>
      <c r="AB16" s="388"/>
      <c r="AC16" s="388"/>
      <c r="AD16" s="388"/>
      <c r="AE16" s="388"/>
      <c r="AF16" s="388"/>
      <c r="AG16" s="388"/>
      <c r="AH16" s="388"/>
      <c r="AI16" s="388"/>
      <c r="AJ16" s="388"/>
      <c r="AK16" s="388"/>
      <c r="AL16" s="388"/>
      <c r="AM16" s="388"/>
      <c r="AN16" s="388"/>
      <c r="AO16" s="388"/>
      <c r="AP16" s="388"/>
      <c r="AQ16" s="388"/>
      <c r="AR16" s="388"/>
      <c r="AS16" s="388"/>
      <c r="AT16" s="388"/>
      <c r="AU16" s="10"/>
    </row>
    <row r="17" spans="2:47" ht="15" thickBot="1" x14ac:dyDescent="0.35">
      <c r="B17" s="4"/>
      <c r="C17" s="57" t="s">
        <v>34</v>
      </c>
      <c r="D17" s="57"/>
      <c r="E17" s="57"/>
      <c r="F17" s="488">
        <v>4</v>
      </c>
      <c r="G17" s="388"/>
      <c r="H17" s="73"/>
      <c r="I17" s="57"/>
      <c r="J17" s="18"/>
      <c r="K17" s="311"/>
      <c r="L17" s="752" t="s">
        <v>300</v>
      </c>
      <c r="M17" s="753">
        <f>IF(N26=TRUE,M28*L5*L8*M16/1000000,L4*L5*L8*M16/1000000)</f>
        <v>126</v>
      </c>
      <c r="N17" s="42"/>
      <c r="O17" s="828" t="s">
        <v>874</v>
      </c>
      <c r="P17" s="829">
        <v>1</v>
      </c>
      <c r="Q17" s="829">
        <v>2</v>
      </c>
      <c r="R17" s="829">
        <v>3</v>
      </c>
      <c r="S17" s="829">
        <v>4</v>
      </c>
      <c r="T17" s="485">
        <v>5</v>
      </c>
      <c r="U17" s="878" t="s">
        <v>671</v>
      </c>
      <c r="V17" s="485"/>
      <c r="X17" s="58"/>
      <c r="Z17" s="4"/>
      <c r="AA17" s="388"/>
      <c r="AB17" s="388"/>
      <c r="AC17" s="388"/>
      <c r="AD17" s="388"/>
      <c r="AE17" s="388"/>
      <c r="AF17" s="388"/>
      <c r="AG17" s="388"/>
      <c r="AH17" s="388"/>
      <c r="AI17" s="388">
        <f>SUM(AB15:AS15)</f>
        <v>290</v>
      </c>
      <c r="AJ17" s="388"/>
      <c r="AK17" s="388"/>
      <c r="AL17" s="388"/>
      <c r="AM17" s="388"/>
      <c r="AN17" s="388"/>
      <c r="AO17" s="388"/>
      <c r="AP17" s="388"/>
      <c r="AQ17" s="388"/>
      <c r="AR17" s="388"/>
      <c r="AS17" s="388"/>
      <c r="AT17" s="388"/>
      <c r="AU17" s="10"/>
    </row>
    <row r="18" spans="2:47" ht="15" thickBot="1" x14ac:dyDescent="0.35">
      <c r="B18" s="19"/>
      <c r="C18" s="63" t="s">
        <v>36</v>
      </c>
      <c r="D18" s="63"/>
      <c r="E18" s="63"/>
      <c r="F18" s="489">
        <v>1</v>
      </c>
      <c r="G18" s="875"/>
      <c r="H18" s="74"/>
      <c r="I18" s="63"/>
      <c r="J18" s="892"/>
      <c r="K18" s="311"/>
      <c r="L18" s="754" t="s">
        <v>835</v>
      </c>
      <c r="M18" s="755">
        <f>IF(N26=TRUE,M27*L5*L8*M16/1000000,(L4*L5*L8*M16+L11*L12*L15*M16)/1000000)</f>
        <v>140.69999999999999</v>
      </c>
      <c r="N18" s="42"/>
      <c r="O18" s="825" t="s">
        <v>817</v>
      </c>
      <c r="P18" s="880">
        <v>1</v>
      </c>
      <c r="Q18" s="881">
        <v>1</v>
      </c>
      <c r="R18" s="881">
        <v>2</v>
      </c>
      <c r="S18" s="881">
        <v>1</v>
      </c>
      <c r="T18" s="882">
        <v>1</v>
      </c>
      <c r="U18" s="1901"/>
      <c r="V18" s="1902"/>
      <c r="X18" s="58"/>
      <c r="Z18" s="4"/>
      <c r="AA18" s="388"/>
      <c r="AB18" s="388"/>
      <c r="AC18" s="388"/>
      <c r="AD18" s="388"/>
      <c r="AE18" s="388"/>
      <c r="AF18" s="388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10"/>
    </row>
    <row r="19" spans="2:47" ht="15" thickBot="1" x14ac:dyDescent="0.35">
      <c r="B19" s="12"/>
      <c r="E19" s="69"/>
      <c r="F19" s="69"/>
      <c r="G19" s="69"/>
      <c r="H19" s="69"/>
      <c r="J19" s="393"/>
      <c r="K19" s="24"/>
      <c r="L19" s="830" t="s">
        <v>76</v>
      </c>
      <c r="M19" s="790"/>
      <c r="N19" s="42"/>
      <c r="O19" s="779" t="s">
        <v>850</v>
      </c>
      <c r="P19" s="4">
        <v>1.5</v>
      </c>
      <c r="Q19" s="734">
        <v>1.5</v>
      </c>
      <c r="R19" s="734">
        <v>2.1</v>
      </c>
      <c r="S19" s="734">
        <v>1.9</v>
      </c>
      <c r="T19" s="68">
        <v>1.9</v>
      </c>
      <c r="U19" s="1903"/>
      <c r="V19" s="1904"/>
      <c r="X19" s="58"/>
      <c r="Z19" s="4"/>
      <c r="AA19" s="388" t="s">
        <v>843</v>
      </c>
      <c r="AB19" s="388" t="s">
        <v>358</v>
      </c>
      <c r="AC19" s="17" t="s">
        <v>841</v>
      </c>
      <c r="AD19" s="388"/>
      <c r="AE19" s="388"/>
      <c r="AF19" s="388"/>
      <c r="AG19" s="388"/>
      <c r="AH19" s="388"/>
      <c r="AI19" s="388"/>
      <c r="AJ19" s="388"/>
      <c r="AK19" s="388"/>
      <c r="AL19" s="388"/>
      <c r="AM19" s="388"/>
      <c r="AN19" s="388"/>
      <c r="AO19" s="388"/>
      <c r="AP19" s="388"/>
      <c r="AQ19" s="388"/>
      <c r="AR19" s="388"/>
      <c r="AS19" s="388"/>
      <c r="AT19" s="388"/>
      <c r="AU19" s="10"/>
    </row>
    <row r="20" spans="2:47" ht="15" thickBot="1" x14ac:dyDescent="0.35">
      <c r="B20" s="4"/>
      <c r="C20" s="1713"/>
      <c r="D20" s="42"/>
      <c r="E20" s="57"/>
      <c r="F20" s="57"/>
      <c r="G20" s="57"/>
      <c r="H20" s="57"/>
      <c r="I20" s="388" t="str">
        <f>IF(N26=TRUE,M28&amp;"  мм.","")</f>
        <v/>
      </c>
      <c r="J20" s="842"/>
      <c r="K20" s="23"/>
      <c r="L20" s="726" t="s">
        <v>78</v>
      </c>
      <c r="M20" s="350">
        <v>220</v>
      </c>
      <c r="N20" s="42"/>
      <c r="O20" s="828"/>
      <c r="P20" s="829">
        <f>P19*P18</f>
        <v>1.5</v>
      </c>
      <c r="Q20" s="829">
        <f>Q19*Q18</f>
        <v>1.5</v>
      </c>
      <c r="R20" s="829">
        <f>R19*R18</f>
        <v>4.2</v>
      </c>
      <c r="S20" s="829">
        <f>S19*S18</f>
        <v>1.9</v>
      </c>
      <c r="T20" s="485">
        <f>T19*T18</f>
        <v>1.9</v>
      </c>
      <c r="U20" s="879">
        <f>SUM(P20:T20)</f>
        <v>11</v>
      </c>
      <c r="V20" s="485"/>
      <c r="X20" s="58"/>
      <c r="Z20" s="4"/>
      <c r="AA20" s="388"/>
      <c r="AB20" s="388" t="s">
        <v>361</v>
      </c>
      <c r="AC20" s="17" t="s">
        <v>842</v>
      </c>
      <c r="AD20" s="388"/>
      <c r="AE20" s="388"/>
      <c r="AF20" s="388"/>
      <c r="AG20" s="388"/>
      <c r="AH20" s="388"/>
      <c r="AI20" s="388"/>
      <c r="AJ20" s="388"/>
      <c r="AK20" s="388"/>
      <c r="AL20" s="388"/>
      <c r="AM20" s="388"/>
      <c r="AN20" s="388"/>
      <c r="AO20" s="388"/>
      <c r="AP20" s="388"/>
      <c r="AQ20" s="388"/>
      <c r="AR20" s="388"/>
      <c r="AS20" s="388"/>
      <c r="AT20" s="388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42"/>
      <c r="K21" s="23"/>
      <c r="L21" s="727" t="s">
        <v>631</v>
      </c>
      <c r="M21" s="59">
        <v>200</v>
      </c>
      <c r="N21" s="42"/>
      <c r="O21" s="779"/>
      <c r="P21" s="786">
        <f>$P20/$U20*$U21/$P$18</f>
        <v>10.309090909090907</v>
      </c>
      <c r="Q21" s="786">
        <f>$Q20/$U20*$U21/$Q$18</f>
        <v>10.309090909090907</v>
      </c>
      <c r="R21" s="786">
        <f>$R$20/$U$20*$U21/$R$18</f>
        <v>14.432727272727272</v>
      </c>
      <c r="S21" s="786">
        <f>$S$20/$U$20*$U21/$S$18</f>
        <v>13.058181818181817</v>
      </c>
      <c r="T21" s="826">
        <f>$T$20/$U$20*$U21/$T$18</f>
        <v>13.058181818181817</v>
      </c>
      <c r="U21" s="883">
        <v>75.599999999999994</v>
      </c>
      <c r="V21" s="876" t="s">
        <v>838</v>
      </c>
      <c r="X21" s="58"/>
      <c r="Z21" s="4"/>
      <c r="AA21" s="17" t="s">
        <v>844</v>
      </c>
      <c r="AB21" s="388"/>
      <c r="AC21" s="388"/>
      <c r="AD21" s="388"/>
      <c r="AE21" s="388"/>
      <c r="AF21" s="388"/>
      <c r="AG21" s="388"/>
      <c r="AH21" s="388"/>
      <c r="AI21" s="388"/>
      <c r="AJ21" s="388"/>
      <c r="AK21" s="388"/>
      <c r="AL21" s="388"/>
      <c r="AM21" s="388"/>
      <c r="AN21" s="388"/>
      <c r="AO21" s="388"/>
      <c r="AP21" s="388"/>
      <c r="AQ21" s="388"/>
      <c r="AR21" s="388"/>
      <c r="AS21" s="388"/>
      <c r="AT21" s="388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28" t="s">
        <v>632</v>
      </c>
      <c r="M22" s="603">
        <v>30</v>
      </c>
      <c r="N22" s="42"/>
      <c r="O22" s="779"/>
      <c r="P22" s="786">
        <f>$P$20/$U$20*$U22/$P$18</f>
        <v>11.127272727272725</v>
      </c>
      <c r="Q22" s="786">
        <f>$Q$20/$U$20*$U22/$Q$18</f>
        <v>11.127272727272725</v>
      </c>
      <c r="R22" s="786">
        <f>$R$20/$U$20*$U22/$R$18</f>
        <v>15.578181818181818</v>
      </c>
      <c r="S22" s="786">
        <f>$S$20/$U$20*$U22/$S$18</f>
        <v>14.094545454545454</v>
      </c>
      <c r="T22" s="826">
        <f>$T$20/$U$20*$U22/$T$18</f>
        <v>14.094545454545454</v>
      </c>
      <c r="U22" s="883">
        <v>81.599999999999994</v>
      </c>
      <c r="V22" s="485" t="s">
        <v>837</v>
      </c>
      <c r="X22" s="58"/>
      <c r="Z22" s="4"/>
      <c r="AA22" s="17" t="s">
        <v>840</v>
      </c>
      <c r="AB22" s="388"/>
      <c r="AC22" s="388"/>
      <c r="AD22" s="388"/>
      <c r="AE22" s="388"/>
      <c r="AF22" s="388"/>
      <c r="AG22" s="388"/>
      <c r="AH22" s="388"/>
      <c r="AI22" s="388"/>
      <c r="AJ22" s="388"/>
      <c r="AK22" s="388"/>
      <c r="AL22" s="388"/>
      <c r="AM22" s="388"/>
      <c r="AN22" s="388"/>
      <c r="AO22" s="388"/>
      <c r="AP22" s="388"/>
      <c r="AQ22" s="388"/>
      <c r="AR22" s="388"/>
      <c r="AS22" s="388"/>
      <c r="AT22" s="388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91" t="s">
        <v>633</v>
      </c>
      <c r="M23" s="89"/>
      <c r="N23" s="42"/>
      <c r="O23" s="780"/>
      <c r="P23" s="787">
        <f>$P$20/$U$20*$U23/$P$18</f>
        <v>11.577272727272728</v>
      </c>
      <c r="Q23" s="787">
        <f>$Q$20/$U$20*$U23/$Q$18</f>
        <v>11.577272727272728</v>
      </c>
      <c r="R23" s="787">
        <f>$R$20/$U$20*$U23/$R$18</f>
        <v>16.208181818181821</v>
      </c>
      <c r="S23" s="787">
        <f>$S$20/$U$20*$U23/$S$18</f>
        <v>14.664545454545456</v>
      </c>
      <c r="T23" s="827">
        <f>$T$20/$U$20*$U23/$T$18</f>
        <v>14.664545454545456</v>
      </c>
      <c r="U23" s="785">
        <v>84.9</v>
      </c>
      <c r="V23" s="884" t="s">
        <v>815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5"/>
      <c r="L24" s="792"/>
      <c r="M24" s="733">
        <f>M20*M21*M22*M16/1000000</f>
        <v>9.9</v>
      </c>
      <c r="N24" s="42"/>
      <c r="R24" s="823"/>
      <c r="S24" s="823"/>
      <c r="T24" s="823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734">
        <f>M20</f>
        <v>220</v>
      </c>
      <c r="J25" s="318"/>
      <c r="K25" s="145"/>
      <c r="L25" s="42"/>
      <c r="M25" s="42"/>
      <c r="N25" s="42"/>
      <c r="P25" s="2017" t="s">
        <v>303</v>
      </c>
      <c r="Q25" s="2018"/>
      <c r="R25" s="2019"/>
      <c r="S25" s="2024">
        <f>R26*R27+R28*R27</f>
        <v>500</v>
      </c>
      <c r="T25" s="823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5"/>
      <c r="L26" s="737" t="s">
        <v>853</v>
      </c>
      <c r="M26" s="739"/>
      <c r="N26" s="738" t="b">
        <v>0</v>
      </c>
      <c r="P26" s="2020" t="s">
        <v>79</v>
      </c>
      <c r="Q26" s="2021"/>
      <c r="R26" s="894">
        <v>10</v>
      </c>
      <c r="S26" s="2025"/>
      <c r="T26" s="823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5"/>
      <c r="L27" s="466" t="s">
        <v>851</v>
      </c>
      <c r="M27" s="603">
        <v>735</v>
      </c>
      <c r="N27" s="10"/>
      <c r="P27" s="2022" t="s">
        <v>879</v>
      </c>
      <c r="Q27" s="2023"/>
      <c r="R27" s="895">
        <v>20</v>
      </c>
      <c r="S27" s="2025"/>
      <c r="Z27" s="798"/>
      <c r="AA27" s="271"/>
      <c r="AB27" s="343"/>
      <c r="AC27" s="144"/>
      <c r="AD27" s="144"/>
      <c r="AE27" s="144"/>
      <c r="AF27" s="144"/>
      <c r="AG27" s="388"/>
      <c r="AH27" s="388"/>
      <c r="AI27" s="388">
        <f>SUM(AB29:AT29)</f>
        <v>560</v>
      </c>
      <c r="AJ27" s="388"/>
      <c r="AK27" s="388"/>
      <c r="AL27" s="388"/>
      <c r="AM27" s="388"/>
      <c r="AN27" s="388"/>
      <c r="AO27" s="388"/>
      <c r="AP27" s="388"/>
      <c r="AQ27" s="388"/>
      <c r="AR27" s="388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5"/>
      <c r="L28" s="839" t="s">
        <v>852</v>
      </c>
      <c r="M28" s="840">
        <v>520</v>
      </c>
      <c r="N28" s="841"/>
      <c r="P28" s="2020" t="s">
        <v>808</v>
      </c>
      <c r="Q28" s="2021"/>
      <c r="R28" s="896">
        <v>15</v>
      </c>
      <c r="S28" s="2026"/>
      <c r="Z28" s="798"/>
      <c r="AA28" s="343"/>
      <c r="AB28" s="343"/>
      <c r="AC28" s="144"/>
      <c r="AD28" s="144"/>
      <c r="AE28" s="144"/>
      <c r="AF28" s="144"/>
      <c r="AG28" s="388"/>
      <c r="AH28" s="388"/>
      <c r="AI28" s="388"/>
      <c r="AJ28" s="388"/>
      <c r="AK28" s="388"/>
      <c r="AL28" s="388"/>
      <c r="AM28" s="388"/>
      <c r="AN28" s="388"/>
      <c r="AO28" s="388"/>
      <c r="AP28" s="388"/>
      <c r="AQ28" s="388"/>
      <c r="AR28" s="388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5"/>
      <c r="L29" s="42"/>
      <c r="M29" s="42"/>
      <c r="N29" s="42"/>
      <c r="O29" s="57"/>
      <c r="Z29" s="4"/>
      <c r="AA29" s="57"/>
      <c r="AB29" s="388">
        <v>10</v>
      </c>
      <c r="AC29" s="2009">
        <v>550</v>
      </c>
      <c r="AD29" s="2009"/>
      <c r="AE29" s="388"/>
      <c r="AF29" s="57"/>
      <c r="AG29" s="388"/>
      <c r="AH29" s="388"/>
      <c r="AI29" s="388"/>
      <c r="AJ29" s="388"/>
      <c r="AK29" s="388"/>
      <c r="AL29" s="388"/>
      <c r="AM29" s="388"/>
      <c r="AN29" s="388"/>
      <c r="AO29" s="388"/>
      <c r="AP29" s="388"/>
      <c r="AQ29" s="388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5"/>
      <c r="L30" s="58" t="s">
        <v>1147</v>
      </c>
      <c r="M30" s="42"/>
      <c r="Z30" s="4"/>
      <c r="AA30" s="57"/>
      <c r="AB30" s="793"/>
      <c r="AC30" s="789"/>
      <c r="AD30" s="789"/>
      <c r="AE30" s="794"/>
      <c r="AF30" s="794"/>
      <c r="AG30" s="794"/>
      <c r="AH30" s="794"/>
      <c r="AI30" s="794"/>
      <c r="AJ30" s="794"/>
      <c r="AK30" s="794"/>
      <c r="AL30" s="794"/>
      <c r="AM30" s="794"/>
      <c r="AN30" s="794"/>
      <c r="AO30" s="794"/>
      <c r="AP30" s="794"/>
      <c r="AQ30" s="794"/>
      <c r="AR30" s="795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5"/>
      <c r="L31" s="145"/>
      <c r="M31" s="57"/>
      <c r="Z31" s="4"/>
      <c r="AA31" s="57"/>
      <c r="AB31" s="812"/>
      <c r="AC31" s="2007"/>
      <c r="AD31" s="2008"/>
      <c r="AE31" s="811"/>
      <c r="AF31" s="144"/>
      <c r="AG31" s="144"/>
      <c r="AH31" s="144"/>
      <c r="AI31" s="144"/>
      <c r="AJ31" s="144"/>
      <c r="AK31" s="144"/>
      <c r="AL31" s="144"/>
      <c r="AM31" s="388"/>
      <c r="AN31" s="388"/>
      <c r="AO31" s="388"/>
      <c r="AP31" s="388"/>
      <c r="AQ31" s="388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5"/>
      <c r="L32" s="42"/>
      <c r="M32" s="42"/>
      <c r="Z32" s="4"/>
      <c r="AA32" s="57">
        <v>10</v>
      </c>
      <c r="AB32" s="813"/>
      <c r="AC32" s="814"/>
      <c r="AD32" s="815"/>
      <c r="AE32" s="816"/>
      <c r="AF32" s="388"/>
      <c r="AG32" s="816"/>
      <c r="AH32" s="388"/>
      <c r="AI32" s="816"/>
      <c r="AJ32" s="388"/>
      <c r="AK32" s="816"/>
      <c r="AL32" s="388"/>
      <c r="AM32" s="816"/>
      <c r="AN32" s="388"/>
      <c r="AO32" s="816"/>
      <c r="AP32" s="388"/>
      <c r="AQ32" s="816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734">
        <f>M21</f>
        <v>200</v>
      </c>
      <c r="F33" s="30"/>
      <c r="G33" s="34"/>
      <c r="H33" s="57"/>
      <c r="I33" s="28"/>
      <c r="J33" s="26"/>
      <c r="K33" s="145"/>
      <c r="L33" s="42"/>
      <c r="M33" s="42"/>
      <c r="Z33" s="4">
        <f>SUM(AA30:AA36)</f>
        <v>210</v>
      </c>
      <c r="AA33" s="57">
        <v>85</v>
      </c>
      <c r="AB33" s="812"/>
      <c r="AC33" s="817">
        <v>1</v>
      </c>
      <c r="AD33" s="801"/>
      <c r="AE33" s="817">
        <v>1</v>
      </c>
      <c r="AF33" s="801"/>
      <c r="AG33" s="818">
        <v>2</v>
      </c>
      <c r="AH33" s="801"/>
      <c r="AI33" s="818">
        <v>2</v>
      </c>
      <c r="AJ33" s="801"/>
      <c r="AK33" s="818">
        <v>2</v>
      </c>
      <c r="AL33" s="802"/>
      <c r="AM33" s="818">
        <v>2</v>
      </c>
      <c r="AN33" s="801"/>
      <c r="AO33" s="810">
        <v>3</v>
      </c>
      <c r="AP33" s="801"/>
      <c r="AQ33" s="810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5"/>
      <c r="L34" s="42"/>
      <c r="M34" s="42"/>
      <c r="Z34" s="4"/>
      <c r="AA34" s="57">
        <v>20</v>
      </c>
      <c r="AB34" s="813"/>
      <c r="AC34" s="814"/>
      <c r="AD34" s="388"/>
      <c r="AE34" s="814"/>
      <c r="AF34" s="388"/>
      <c r="AG34" s="814"/>
      <c r="AH34" s="388"/>
      <c r="AI34" s="814"/>
      <c r="AJ34" s="388"/>
      <c r="AK34" s="814"/>
      <c r="AL34" s="388"/>
      <c r="AM34" s="814"/>
      <c r="AN34" s="388"/>
      <c r="AO34" s="814"/>
      <c r="AP34" s="388"/>
      <c r="AQ34" s="814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5"/>
      <c r="L35" s="42"/>
      <c r="M35" s="42"/>
      <c r="P35" s="57"/>
      <c r="Z35" s="4"/>
      <c r="AA35" s="57">
        <v>85</v>
      </c>
      <c r="AB35" s="812"/>
      <c r="AC35" s="817">
        <v>1</v>
      </c>
      <c r="AD35" s="801"/>
      <c r="AE35" s="817">
        <v>1</v>
      </c>
      <c r="AF35" s="801"/>
      <c r="AG35" s="818">
        <v>2</v>
      </c>
      <c r="AH35" s="801"/>
      <c r="AI35" s="818">
        <v>2</v>
      </c>
      <c r="AJ35" s="801"/>
      <c r="AK35" s="818">
        <v>2</v>
      </c>
      <c r="AL35" s="801"/>
      <c r="AM35" s="818">
        <v>2</v>
      </c>
      <c r="AN35" s="801"/>
      <c r="AO35" s="810">
        <v>3</v>
      </c>
      <c r="AP35" s="801"/>
      <c r="AQ35" s="810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5"/>
      <c r="L36" s="42"/>
      <c r="M36" s="42"/>
      <c r="Z36" s="4"/>
      <c r="AA36" s="57">
        <v>10</v>
      </c>
      <c r="AB36" s="819"/>
      <c r="AC36" s="820"/>
      <c r="AD36" s="317"/>
      <c r="AE36" s="821"/>
      <c r="AF36" s="317"/>
      <c r="AG36" s="821"/>
      <c r="AH36" s="317"/>
      <c r="AI36" s="821"/>
      <c r="AJ36" s="317"/>
      <c r="AK36" s="821"/>
      <c r="AL36" s="317"/>
      <c r="AM36" s="821"/>
      <c r="AN36" s="317"/>
      <c r="AO36" s="821"/>
      <c r="AP36" s="317"/>
      <c r="AQ36" s="821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734">
        <f>M22</f>
        <v>30</v>
      </c>
      <c r="J37" s="26"/>
      <c r="K37" s="145"/>
      <c r="L37" s="42"/>
      <c r="M37" s="42"/>
      <c r="Z37" s="4"/>
      <c r="AA37" s="57"/>
      <c r="AB37" s="388">
        <v>10</v>
      </c>
      <c r="AC37" s="388">
        <v>300</v>
      </c>
      <c r="AD37" s="388">
        <v>20</v>
      </c>
      <c r="AE37" s="388">
        <v>300</v>
      </c>
      <c r="AF37" s="388">
        <v>20</v>
      </c>
      <c r="AG37" s="388">
        <v>190</v>
      </c>
      <c r="AH37" s="388">
        <v>20</v>
      </c>
      <c r="AI37" s="388">
        <v>130</v>
      </c>
      <c r="AJ37" s="388">
        <v>20</v>
      </c>
      <c r="AK37" s="388"/>
      <c r="AL37" s="388"/>
      <c r="AM37" s="388"/>
      <c r="AN37" s="388"/>
      <c r="AO37" s="388"/>
      <c r="AP37" s="388"/>
      <c r="AQ37" s="388"/>
      <c r="AR37" s="388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88"/>
      <c r="AC38" s="388"/>
      <c r="AD38" s="388"/>
      <c r="AE38" s="388"/>
      <c r="AF38" s="388"/>
      <c r="AG38" s="388"/>
      <c r="AH38" s="388"/>
      <c r="AI38" s="388"/>
      <c r="AJ38" s="388"/>
      <c r="AK38" s="388"/>
      <c r="AL38" s="388"/>
      <c r="AM38" s="388"/>
      <c r="AN38" s="388"/>
      <c r="AO38" s="388"/>
      <c r="AP38" s="388"/>
      <c r="AQ38" s="388"/>
      <c r="AR38" s="388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88"/>
      <c r="AC39" s="388"/>
      <c r="AD39" s="388"/>
      <c r="AE39" s="388"/>
      <c r="AF39" s="388"/>
      <c r="AG39" s="388"/>
      <c r="AH39" s="388"/>
      <c r="AI39" s="388">
        <f>SUM(AB37:AT37)</f>
        <v>1010</v>
      </c>
      <c r="AJ39" s="388"/>
      <c r="AK39" s="388"/>
      <c r="AL39" s="388"/>
      <c r="AM39" s="388"/>
      <c r="AN39" s="388"/>
      <c r="AO39" s="388"/>
      <c r="AP39" s="388"/>
      <c r="AQ39" s="388"/>
      <c r="AR39" s="388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88"/>
      <c r="AC40" s="388"/>
      <c r="AD40" s="388"/>
      <c r="AE40" s="388"/>
      <c r="AF40" s="388"/>
      <c r="AG40" s="388"/>
      <c r="AH40" s="388"/>
      <c r="AI40" s="388"/>
      <c r="AJ40" s="388"/>
      <c r="AK40" s="388"/>
      <c r="AL40" s="388"/>
      <c r="AM40" s="388"/>
      <c r="AN40" s="388"/>
      <c r="AO40" s="388"/>
      <c r="AP40" s="388"/>
      <c r="AQ40" s="388"/>
      <c r="AR40" s="388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88"/>
      <c r="AC41" s="388"/>
      <c r="AD41" s="388"/>
      <c r="AE41" s="388"/>
      <c r="AF41" s="388"/>
      <c r="AG41" s="388"/>
      <c r="AH41" s="388"/>
      <c r="AI41" s="388"/>
      <c r="AJ41" s="388"/>
      <c r="AK41" s="388"/>
      <c r="AL41" s="388"/>
      <c r="AM41" s="388"/>
      <c r="AN41" s="388"/>
      <c r="AO41" s="388"/>
      <c r="AP41" s="388"/>
      <c r="AQ41" s="388"/>
      <c r="AR41" s="388"/>
      <c r="AS41" s="57"/>
      <c r="AT41" s="57"/>
      <c r="AU41" s="10"/>
    </row>
    <row r="42" spans="2:47" x14ac:dyDescent="0.3">
      <c r="B42" s="4"/>
      <c r="C42" s="319" t="s">
        <v>54</v>
      </c>
      <c r="D42" s="319"/>
      <c r="E42" s="319"/>
      <c r="F42" s="320" t="s">
        <v>81</v>
      </c>
      <c r="G42" s="319"/>
      <c r="H42" s="319"/>
      <c r="I42" s="319"/>
      <c r="J42" s="10"/>
      <c r="K42" s="57"/>
      <c r="L42" s="42"/>
      <c r="M42" s="42"/>
      <c r="Z42" s="4"/>
      <c r="AA42" s="388" t="s">
        <v>843</v>
      </c>
      <c r="AB42" s="388" t="s">
        <v>358</v>
      </c>
      <c r="AC42" s="17" t="s">
        <v>845</v>
      </c>
      <c r="AD42" s="388"/>
      <c r="AE42" s="388"/>
      <c r="AF42" s="388"/>
      <c r="AG42" s="388"/>
      <c r="AH42" s="388"/>
      <c r="AI42" s="388"/>
      <c r="AJ42" s="388"/>
      <c r="AK42" s="388"/>
      <c r="AL42" s="388"/>
      <c r="AM42" s="388"/>
      <c r="AN42" s="388"/>
      <c r="AO42" s="388"/>
      <c r="AP42" s="388"/>
      <c r="AQ42" s="388"/>
      <c r="AR42" s="388"/>
      <c r="AS42" s="57"/>
      <c r="AT42" s="57"/>
      <c r="AU42" s="10"/>
    </row>
    <row r="43" spans="2:47" x14ac:dyDescent="0.3">
      <c r="B43" s="4"/>
      <c r="C43" s="319" t="s">
        <v>49</v>
      </c>
      <c r="D43" s="319"/>
      <c r="E43" s="319"/>
      <c r="F43" s="315" t="s">
        <v>50</v>
      </c>
      <c r="G43" s="319"/>
      <c r="H43" s="319"/>
      <c r="I43" s="319"/>
      <c r="J43" s="10"/>
      <c r="K43" s="57"/>
      <c r="L43" s="42"/>
      <c r="M43" s="42"/>
      <c r="Z43" s="4"/>
      <c r="AA43" s="388"/>
      <c r="AB43" s="388" t="s">
        <v>361</v>
      </c>
      <c r="AC43" s="17" t="s">
        <v>846</v>
      </c>
      <c r="AD43" s="388"/>
      <c r="AE43" s="388"/>
      <c r="AF43" s="388"/>
      <c r="AG43" s="388"/>
      <c r="AH43" s="388"/>
      <c r="AI43" s="388"/>
      <c r="AJ43" s="388"/>
      <c r="AK43" s="388"/>
      <c r="AL43" s="388"/>
      <c r="AM43" s="388"/>
      <c r="AN43" s="388"/>
      <c r="AO43" s="388"/>
      <c r="AP43" s="388"/>
      <c r="AQ43" s="388"/>
      <c r="AR43" s="388"/>
      <c r="AS43" s="57"/>
      <c r="AT43" s="57"/>
      <c r="AU43" s="10"/>
    </row>
    <row r="44" spans="2:47" x14ac:dyDescent="0.3">
      <c r="B44" s="4"/>
      <c r="C44" s="319" t="s">
        <v>741</v>
      </c>
      <c r="D44" s="319"/>
      <c r="E44" s="319"/>
      <c r="F44" s="315" t="str">
        <f>IF(L6&lt;50,VLOOKUP(F8,Данные!N32:Q45,4,FALSE),VLOOKUP(F8,Данные!N32:Q45,2,FALSE))</f>
        <v>1100-1120</v>
      </c>
      <c r="G44" s="319" t="s">
        <v>82</v>
      </c>
      <c r="H44" s="319"/>
      <c r="I44" s="319"/>
      <c r="J44" s="10"/>
      <c r="K44" s="57"/>
      <c r="L44" s="42"/>
      <c r="M44" s="42"/>
      <c r="Z44" s="4"/>
      <c r="AA44" s="57"/>
      <c r="AB44" s="388" t="s">
        <v>363</v>
      </c>
      <c r="AC44" s="57" t="s">
        <v>847</v>
      </c>
      <c r="AD44" s="57"/>
      <c r="AE44" s="57"/>
      <c r="AF44" s="57"/>
      <c r="AG44" s="388"/>
      <c r="AH44" s="388"/>
      <c r="AI44" s="388"/>
      <c r="AJ44" s="388"/>
      <c r="AK44" s="388"/>
      <c r="AL44" s="388"/>
      <c r="AM44" s="388"/>
      <c r="AN44" s="388"/>
      <c r="AO44" s="388"/>
      <c r="AP44" s="388"/>
      <c r="AQ44" s="388"/>
      <c r="AR44" s="388"/>
      <c r="AS44" s="57"/>
      <c r="AT44" s="57"/>
      <c r="AU44" s="10"/>
    </row>
    <row r="45" spans="2:47" x14ac:dyDescent="0.3">
      <c r="B45" s="4"/>
      <c r="C45" s="319" t="s">
        <v>45</v>
      </c>
      <c r="D45" s="319"/>
      <c r="E45" s="319"/>
      <c r="F45" s="315" t="str">
        <f>VLOOKUP(F8,Данные!A3:I27,6,FALSE())</f>
        <v>25010.00176</v>
      </c>
      <c r="G45" s="319"/>
      <c r="H45" s="319"/>
      <c r="I45" s="319"/>
      <c r="J45" s="10"/>
      <c r="K45" s="57"/>
      <c r="L45" s="42"/>
      <c r="M45" s="42"/>
      <c r="Z45" s="4"/>
      <c r="AA45" s="17" t="s">
        <v>844</v>
      </c>
      <c r="AB45" s="388"/>
      <c r="AC45" s="388"/>
      <c r="AD45" s="388"/>
      <c r="AE45" s="388"/>
      <c r="AF45" s="388"/>
      <c r="AG45" s="388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19" t="s">
        <v>46</v>
      </c>
      <c r="D46" s="319"/>
      <c r="E46" s="319"/>
      <c r="F46" s="315" t="s">
        <v>618</v>
      </c>
      <c r="G46" s="319"/>
      <c r="H46" s="319"/>
      <c r="I46" s="319"/>
      <c r="J46" s="10"/>
      <c r="K46" s="57"/>
      <c r="L46" s="42"/>
      <c r="M46" s="42"/>
      <c r="Z46" s="19"/>
      <c r="AA46" s="21" t="s">
        <v>848</v>
      </c>
      <c r="AB46" s="317"/>
      <c r="AC46" s="317"/>
      <c r="AD46" s="317"/>
      <c r="AE46" s="317"/>
      <c r="AF46" s="317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19" t="s">
        <v>58</v>
      </c>
      <c r="D47" s="319"/>
      <c r="E47" s="315"/>
      <c r="F47" s="315" t="s">
        <v>59</v>
      </c>
      <c r="G47" s="319"/>
      <c r="H47" s="319"/>
      <c r="I47" s="319"/>
      <c r="J47" s="10"/>
      <c r="K47" s="57"/>
      <c r="L47" s="42"/>
      <c r="M47" s="42"/>
    </row>
    <row r="48" spans="2:47" ht="15" thickBot="1" x14ac:dyDescent="0.35">
      <c r="B48" s="2004" t="s">
        <v>60</v>
      </c>
      <c r="C48" s="2005"/>
      <c r="D48" s="2006"/>
      <c r="E48" s="1533" t="s">
        <v>61</v>
      </c>
      <c r="F48" s="2027" t="s">
        <v>60</v>
      </c>
      <c r="G48" s="2028"/>
      <c r="H48" s="2004" t="s">
        <v>62</v>
      </c>
      <c r="I48" s="2005"/>
      <c r="J48" s="2006"/>
      <c r="K48" s="57"/>
      <c r="L48" s="42"/>
      <c r="M48" s="42"/>
    </row>
    <row r="49" spans="2:13" ht="15" thickBot="1" x14ac:dyDescent="0.35">
      <c r="B49" s="2014">
        <f ca="1">TODAY()</f>
        <v>45497</v>
      </c>
      <c r="C49" s="2015"/>
      <c r="D49" s="2016"/>
      <c r="E49" s="1528" t="s">
        <v>252</v>
      </c>
      <c r="F49" s="2004"/>
      <c r="G49" s="2006"/>
      <c r="H49" s="2004" t="s">
        <v>253</v>
      </c>
      <c r="I49" s="2005"/>
      <c r="J49" s="2006"/>
      <c r="K49" s="57"/>
      <c r="L49" s="42"/>
      <c r="M49" s="42"/>
    </row>
    <row r="50" spans="2:13" ht="15" thickBot="1" x14ac:dyDescent="0.35">
      <c r="B50" s="2004" t="s">
        <v>63</v>
      </c>
      <c r="C50" s="2005"/>
      <c r="D50" s="2006"/>
      <c r="E50" s="72"/>
      <c r="F50" s="63"/>
      <c r="G50" s="63"/>
      <c r="H50" s="2004"/>
      <c r="I50" s="2005"/>
      <c r="J50" s="2006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F76" sqref="F76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44"/>
      <c r="C2" s="545"/>
      <c r="D2" s="545"/>
      <c r="E2" s="545"/>
      <c r="F2" s="545"/>
      <c r="G2" s="545"/>
      <c r="H2" s="545"/>
      <c r="I2" s="545"/>
      <c r="J2" s="545"/>
      <c r="K2" s="545"/>
      <c r="L2" s="546"/>
      <c r="M2" s="42"/>
      <c r="N2" s="287" t="s">
        <v>734</v>
      </c>
    </row>
    <row r="3" spans="1:19" x14ac:dyDescent="0.3">
      <c r="A3" s="42"/>
      <c r="B3" s="547"/>
      <c r="C3" s="12"/>
      <c r="D3" s="69"/>
      <c r="E3" s="69"/>
      <c r="F3" s="69"/>
      <c r="G3" s="69"/>
      <c r="H3" s="69"/>
      <c r="I3" s="69"/>
      <c r="J3" s="69"/>
      <c r="K3" s="13"/>
      <c r="L3" s="548"/>
      <c r="M3" s="42"/>
      <c r="N3" s="592" t="s">
        <v>733</v>
      </c>
      <c r="S3" s="1501"/>
    </row>
    <row r="4" spans="1:19" ht="18" x14ac:dyDescent="0.35">
      <c r="A4" s="42"/>
      <c r="B4" s="547"/>
      <c r="C4" s="4"/>
      <c r="D4" s="2032" t="s">
        <v>640</v>
      </c>
      <c r="E4" s="2032"/>
      <c r="F4" s="2032"/>
      <c r="G4" s="2032"/>
      <c r="H4" s="2032"/>
      <c r="I4" s="2032"/>
      <c r="J4" s="2032"/>
      <c r="K4" s="10"/>
      <c r="L4" s="548"/>
      <c r="M4" s="42"/>
      <c r="N4" s="602" t="s">
        <v>264</v>
      </c>
      <c r="S4" s="1501"/>
    </row>
    <row r="5" spans="1:19" ht="15.6" x14ac:dyDescent="0.3">
      <c r="A5" s="42"/>
      <c r="B5" s="547"/>
      <c r="C5" s="549"/>
      <c r="D5" s="2033" t="s">
        <v>674</v>
      </c>
      <c r="E5" s="2033"/>
      <c r="F5" s="2033"/>
      <c r="G5" s="2033"/>
      <c r="H5" s="2033"/>
      <c r="I5" s="2033"/>
      <c r="J5" s="2033"/>
      <c r="K5" s="550"/>
      <c r="L5" s="548"/>
      <c r="M5" s="42"/>
      <c r="N5" s="770" t="s">
        <v>871</v>
      </c>
      <c r="S5" s="1501"/>
    </row>
    <row r="6" spans="1:19" ht="15.6" x14ac:dyDescent="0.3">
      <c r="A6" s="42"/>
      <c r="B6" s="547"/>
      <c r="C6" s="549"/>
      <c r="D6" s="2033" t="s">
        <v>675</v>
      </c>
      <c r="E6" s="2033"/>
      <c r="F6" s="2033"/>
      <c r="G6" s="2033"/>
      <c r="H6" s="2033"/>
      <c r="I6" s="2033"/>
      <c r="J6" s="2033"/>
      <c r="K6" s="550"/>
      <c r="L6" s="548"/>
      <c r="M6" s="42"/>
      <c r="N6" s="42"/>
      <c r="S6" s="1501"/>
    </row>
    <row r="7" spans="1:19" ht="15.6" x14ac:dyDescent="0.3">
      <c r="A7" s="42"/>
      <c r="B7" s="547"/>
      <c r="C7" s="549"/>
      <c r="D7" s="540"/>
      <c r="E7" s="540"/>
      <c r="F7" s="540"/>
      <c r="G7" s="540"/>
      <c r="H7" s="540"/>
      <c r="I7" s="540"/>
      <c r="J7" s="551"/>
      <c r="K7" s="550"/>
      <c r="L7" s="548"/>
      <c r="M7" s="42"/>
      <c r="N7" s="42"/>
      <c r="S7" s="1501"/>
    </row>
    <row r="8" spans="1:19" ht="15.6" x14ac:dyDescent="0.3">
      <c r="A8" s="42"/>
      <c r="B8" s="547"/>
      <c r="C8" s="549"/>
      <c r="D8" s="540"/>
      <c r="E8" s="540"/>
      <c r="F8" s="540"/>
      <c r="G8" s="540"/>
      <c r="H8" s="540"/>
      <c r="I8" s="540"/>
      <c r="J8" s="551"/>
      <c r="K8" s="550"/>
      <c r="L8" s="548"/>
      <c r="M8" s="42"/>
      <c r="N8" s="42"/>
      <c r="S8" s="1501"/>
    </row>
    <row r="9" spans="1:19" ht="15.6" x14ac:dyDescent="0.3">
      <c r="A9" s="42"/>
      <c r="B9" s="547"/>
      <c r="C9" s="549"/>
      <c r="D9" s="540"/>
      <c r="E9" s="540"/>
      <c r="F9" s="540"/>
      <c r="G9" s="540"/>
      <c r="H9" s="540"/>
      <c r="I9" s="540"/>
      <c r="J9" s="551"/>
      <c r="K9" s="550"/>
      <c r="L9" s="548"/>
      <c r="M9" s="42"/>
      <c r="N9" s="42"/>
      <c r="S9" s="1501"/>
    </row>
    <row r="10" spans="1:19" ht="15.6" x14ac:dyDescent="0.3">
      <c r="A10" s="42"/>
      <c r="B10" s="547"/>
      <c r="C10" s="549"/>
      <c r="D10" s="499"/>
      <c r="E10" s="499"/>
      <c r="F10" s="499"/>
      <c r="G10" s="499"/>
      <c r="H10" s="499"/>
      <c r="I10" s="499"/>
      <c r="J10" s="552"/>
      <c r="K10" s="550"/>
      <c r="L10" s="548"/>
      <c r="M10" s="42"/>
      <c r="N10" s="42"/>
      <c r="S10" s="1501"/>
    </row>
    <row r="11" spans="1:19" ht="15.6" x14ac:dyDescent="0.3">
      <c r="A11" s="42"/>
      <c r="B11" s="547"/>
      <c r="C11" s="553">
        <v>1</v>
      </c>
      <c r="D11" s="499" t="s">
        <v>676</v>
      </c>
      <c r="E11" s="859" t="s">
        <v>1225</v>
      </c>
      <c r="F11" s="499"/>
      <c r="G11" s="499"/>
      <c r="H11" s="499" t="s">
        <v>677</v>
      </c>
      <c r="I11" s="756" t="s">
        <v>1227</v>
      </c>
      <c r="J11" s="552"/>
      <c r="K11" s="550"/>
      <c r="L11" s="548"/>
      <c r="M11" s="42"/>
      <c r="N11" s="42"/>
      <c r="S11" s="1501"/>
    </row>
    <row r="12" spans="1:19" ht="15.6" x14ac:dyDescent="0.3">
      <c r="A12" s="42"/>
      <c r="B12" s="547"/>
      <c r="C12" s="553"/>
      <c r="D12" s="499"/>
      <c r="E12" s="524" t="s">
        <v>1226</v>
      </c>
      <c r="F12" s="499"/>
      <c r="G12" s="499"/>
      <c r="H12" s="499"/>
      <c r="I12" s="524"/>
      <c r="J12" s="552"/>
      <c r="K12" s="550"/>
      <c r="L12" s="548"/>
      <c r="M12" s="42"/>
      <c r="N12" s="42"/>
      <c r="S12" s="1501"/>
    </row>
    <row r="13" spans="1:19" ht="15.6" x14ac:dyDescent="0.3">
      <c r="A13" s="42"/>
      <c r="B13" s="547"/>
      <c r="C13" s="553"/>
      <c r="D13" s="499"/>
      <c r="F13" s="499"/>
      <c r="G13" s="499"/>
      <c r="H13" s="499" t="s">
        <v>678</v>
      </c>
      <c r="I13" s="554" t="s">
        <v>1228</v>
      </c>
      <c r="J13" s="552"/>
      <c r="K13" s="550"/>
      <c r="L13" s="548"/>
      <c r="M13" s="42"/>
      <c r="N13" s="42"/>
      <c r="S13" s="1501"/>
    </row>
    <row r="14" spans="1:19" ht="15.6" x14ac:dyDescent="0.3">
      <c r="A14" s="42"/>
      <c r="B14" s="547"/>
      <c r="C14" s="553"/>
      <c r="D14" s="499"/>
      <c r="E14" s="524"/>
      <c r="F14" s="499"/>
      <c r="G14" s="499"/>
      <c r="H14" s="499"/>
      <c r="I14" s="524"/>
      <c r="J14" s="552"/>
      <c r="K14" s="550"/>
      <c r="L14" s="548"/>
      <c r="M14" s="42"/>
      <c r="N14" s="42"/>
      <c r="S14" s="1501"/>
    </row>
    <row r="15" spans="1:19" ht="15.6" x14ac:dyDescent="0.3">
      <c r="A15" s="42"/>
      <c r="B15" s="547"/>
      <c r="C15" s="553">
        <v>2</v>
      </c>
      <c r="D15" s="499" t="s">
        <v>3</v>
      </c>
      <c r="E15" s="554" t="s">
        <v>1231</v>
      </c>
      <c r="F15" s="499"/>
      <c r="G15" s="499"/>
      <c r="H15" s="499" t="s">
        <v>679</v>
      </c>
      <c r="I15" s="499"/>
      <c r="J15" s="555" t="s">
        <v>1229</v>
      </c>
      <c r="K15" s="550" t="s">
        <v>680</v>
      </c>
      <c r="L15" s="548"/>
      <c r="M15" s="42"/>
      <c r="N15" s="42"/>
      <c r="S15" s="1501"/>
    </row>
    <row r="16" spans="1:19" ht="15.6" x14ac:dyDescent="0.3">
      <c r="A16" s="42"/>
      <c r="B16" s="547"/>
      <c r="C16" s="553"/>
      <c r="D16" s="499"/>
      <c r="E16" s="524"/>
      <c r="F16" s="499"/>
      <c r="G16" s="499"/>
      <c r="H16" s="499"/>
      <c r="I16" s="499"/>
      <c r="J16" s="552"/>
      <c r="K16" s="550"/>
      <c r="L16" s="548"/>
      <c r="M16" s="42"/>
      <c r="N16" s="42"/>
      <c r="S16" s="1501"/>
    </row>
    <row r="17" spans="1:19" ht="15.6" x14ac:dyDescent="0.3">
      <c r="A17" s="42"/>
      <c r="B17" s="547"/>
      <c r="C17" s="553">
        <v>3</v>
      </c>
      <c r="D17" s="499" t="s">
        <v>681</v>
      </c>
      <c r="E17" s="499"/>
      <c r="F17" s="529" t="s">
        <v>682</v>
      </c>
      <c r="G17" s="556">
        <v>870</v>
      </c>
      <c r="H17" s="499" t="s">
        <v>683</v>
      </c>
      <c r="I17" s="556">
        <v>710</v>
      </c>
      <c r="J17" s="557" t="s">
        <v>684</v>
      </c>
      <c r="K17" s="10"/>
      <c r="L17" s="548"/>
      <c r="M17" s="42"/>
      <c r="N17" s="42"/>
      <c r="S17" s="1501"/>
    </row>
    <row r="18" spans="1:19" ht="15.6" x14ac:dyDescent="0.3">
      <c r="A18" s="42"/>
      <c r="B18" s="547"/>
      <c r="C18" s="553"/>
      <c r="D18" s="499" t="s">
        <v>685</v>
      </c>
      <c r="E18" s="556">
        <v>25</v>
      </c>
      <c r="F18" s="499"/>
      <c r="G18" s="499"/>
      <c r="H18" s="499"/>
      <c r="I18" s="499"/>
      <c r="J18" s="552"/>
      <c r="K18" s="550"/>
      <c r="L18" s="548"/>
      <c r="M18" s="42"/>
      <c r="N18" s="42"/>
      <c r="S18" s="1501"/>
    </row>
    <row r="19" spans="1:19" ht="15.6" x14ac:dyDescent="0.3">
      <c r="A19" s="42"/>
      <c r="B19" s="547"/>
      <c r="C19" s="553"/>
      <c r="D19" s="499"/>
      <c r="E19" s="526"/>
      <c r="F19" s="42"/>
      <c r="G19" s="42"/>
      <c r="H19" s="558"/>
      <c r="I19" s="499"/>
      <c r="J19" s="552"/>
      <c r="K19" s="550"/>
      <c r="L19" s="548"/>
      <c r="M19" s="42"/>
      <c r="N19" s="42"/>
      <c r="S19" s="1501"/>
    </row>
    <row r="20" spans="1:19" ht="15.6" x14ac:dyDescent="0.3">
      <c r="A20" s="42"/>
      <c r="B20" s="547"/>
      <c r="C20" s="553">
        <v>4</v>
      </c>
      <c r="D20" s="499" t="s">
        <v>686</v>
      </c>
      <c r="E20" s="556">
        <v>300</v>
      </c>
      <c r="F20" s="499" t="s">
        <v>687</v>
      </c>
      <c r="G20" s="559">
        <v>13</v>
      </c>
      <c r="H20" s="499" t="s">
        <v>916</v>
      </c>
      <c r="I20" s="1291"/>
      <c r="J20" s="552"/>
      <c r="K20" s="550"/>
      <c r="L20" s="548"/>
      <c r="M20" s="42"/>
      <c r="N20" s="42"/>
      <c r="S20" s="1501"/>
    </row>
    <row r="21" spans="1:19" ht="15.6" x14ac:dyDescent="0.3">
      <c r="A21" s="42"/>
      <c r="B21" s="547"/>
      <c r="C21" s="553"/>
      <c r="D21" s="499"/>
      <c r="E21" s="499"/>
      <c r="F21" s="525"/>
      <c r="G21" s="499"/>
      <c r="H21" s="525"/>
      <c r="I21" s="503"/>
      <c r="J21" s="552"/>
      <c r="K21" s="550"/>
      <c r="L21" s="548"/>
      <c r="M21" s="42"/>
      <c r="N21" s="42"/>
      <c r="S21" s="1501"/>
    </row>
    <row r="22" spans="1:19" ht="15.6" x14ac:dyDescent="0.3">
      <c r="A22" s="42"/>
      <c r="B22" s="547"/>
      <c r="C22" s="553">
        <v>5</v>
      </c>
      <c r="D22" s="499" t="s">
        <v>688</v>
      </c>
      <c r="E22" s="526" t="s">
        <v>689</v>
      </c>
      <c r="F22" s="499" t="s">
        <v>690</v>
      </c>
      <c r="G22" s="540" t="s">
        <v>689</v>
      </c>
      <c r="H22" s="499" t="s">
        <v>687</v>
      </c>
      <c r="I22" s="499"/>
      <c r="J22" s="560" t="s">
        <v>689</v>
      </c>
      <c r="K22" s="550"/>
      <c r="L22" s="548"/>
      <c r="M22" s="42"/>
      <c r="N22" s="42"/>
      <c r="S22" s="1501"/>
    </row>
    <row r="23" spans="1:19" ht="15.6" x14ac:dyDescent="0.3">
      <c r="A23" s="42"/>
      <c r="B23" s="547"/>
      <c r="C23" s="553"/>
      <c r="D23" s="499"/>
      <c r="E23" s="526"/>
      <c r="F23" s="499"/>
      <c r="G23" s="540"/>
      <c r="H23" s="499"/>
      <c r="I23" s="499"/>
      <c r="J23" s="560"/>
      <c r="K23" s="550"/>
      <c r="L23" s="548"/>
      <c r="M23" s="42"/>
      <c r="N23" s="42"/>
      <c r="S23" s="1501"/>
    </row>
    <row r="24" spans="1:19" ht="15.6" x14ac:dyDescent="0.3">
      <c r="A24" s="42"/>
      <c r="B24" s="547"/>
      <c r="C24" s="553">
        <v>6</v>
      </c>
      <c r="D24" s="561" t="s">
        <v>691</v>
      </c>
      <c r="E24" s="561"/>
      <c r="F24" s="562">
        <f>I17</f>
        <v>710</v>
      </c>
      <c r="G24" s="499"/>
      <c r="H24" s="499"/>
      <c r="I24" s="499"/>
      <c r="J24" s="552"/>
      <c r="K24" s="550"/>
      <c r="L24" s="548"/>
      <c r="M24" s="42"/>
      <c r="N24" s="42"/>
      <c r="S24" s="1501"/>
    </row>
    <row r="25" spans="1:19" ht="15.6" x14ac:dyDescent="0.3">
      <c r="A25" s="42"/>
      <c r="B25" s="547"/>
      <c r="C25" s="553"/>
      <c r="D25" s="2034" t="s">
        <v>692</v>
      </c>
      <c r="E25" s="2035"/>
      <c r="F25" s="591">
        <v>1110</v>
      </c>
      <c r="G25" s="525"/>
      <c r="H25" s="499"/>
      <c r="I25" s="499"/>
      <c r="J25" s="552"/>
      <c r="K25" s="550"/>
      <c r="L25" s="548"/>
      <c r="M25" s="42"/>
      <c r="N25" s="42"/>
      <c r="S25" s="1501"/>
    </row>
    <row r="26" spans="1:19" ht="15.6" x14ac:dyDescent="0.3">
      <c r="A26" s="42"/>
      <c r="B26" s="547"/>
      <c r="C26" s="553"/>
      <c r="D26" s="2036" t="s">
        <v>693</v>
      </c>
      <c r="E26" s="2037"/>
      <c r="F26" s="562">
        <v>230</v>
      </c>
      <c r="G26" s="525"/>
      <c r="H26" s="499"/>
      <c r="I26" s="499"/>
      <c r="J26" s="552"/>
      <c r="K26" s="550"/>
      <c r="L26" s="548"/>
      <c r="M26" s="42"/>
      <c r="N26" s="42"/>
      <c r="S26" s="1501"/>
    </row>
    <row r="27" spans="1:19" ht="15.6" x14ac:dyDescent="0.3">
      <c r="A27" s="42"/>
      <c r="B27" s="547"/>
      <c r="C27" s="553"/>
      <c r="D27" s="2038" t="s">
        <v>1230</v>
      </c>
      <c r="E27" s="2039"/>
      <c r="F27" s="563">
        <v>0</v>
      </c>
      <c r="G27" s="564"/>
      <c r="H27" s="552"/>
      <c r="I27" s="552"/>
      <c r="J27" s="552"/>
      <c r="K27" s="550"/>
      <c r="L27" s="548"/>
      <c r="M27" s="42"/>
      <c r="N27" s="42"/>
      <c r="S27" s="1501"/>
    </row>
    <row r="28" spans="1:19" ht="15.6" x14ac:dyDescent="0.3">
      <c r="A28" s="42"/>
      <c r="B28" s="547"/>
      <c r="C28" s="553"/>
      <c r="D28" s="2038" t="s">
        <v>1098</v>
      </c>
      <c r="E28" s="2039"/>
      <c r="F28" s="563">
        <v>0</v>
      </c>
      <c r="G28" s="564"/>
      <c r="H28" s="552"/>
      <c r="I28" s="552"/>
      <c r="J28" s="552"/>
      <c r="K28" s="550"/>
      <c r="L28" s="548"/>
      <c r="M28" s="42"/>
      <c r="N28" s="42"/>
      <c r="S28" s="1501"/>
    </row>
    <row r="29" spans="1:19" ht="15.6" x14ac:dyDescent="0.3">
      <c r="A29" s="42"/>
      <c r="B29" s="547"/>
      <c r="C29" s="553"/>
      <c r="D29" s="142"/>
      <c r="E29" s="552"/>
      <c r="F29" s="560"/>
      <c r="G29" s="564"/>
      <c r="H29" s="565"/>
      <c r="I29" s="552"/>
      <c r="J29" s="552"/>
      <c r="K29" s="550"/>
      <c r="L29" s="548"/>
      <c r="M29" s="42"/>
      <c r="N29" s="42"/>
      <c r="S29" s="1501"/>
    </row>
    <row r="30" spans="1:19" ht="15.6" x14ac:dyDescent="0.3">
      <c r="A30" s="42"/>
      <c r="B30" s="547"/>
      <c r="C30" s="553">
        <v>7</v>
      </c>
      <c r="D30" s="566" t="s">
        <v>694</v>
      </c>
      <c r="E30" s="566"/>
      <c r="F30" s="566"/>
      <c r="G30" s="566"/>
      <c r="H30" s="566"/>
      <c r="I30" s="566"/>
      <c r="J30" s="566"/>
      <c r="K30" s="550"/>
      <c r="L30" s="548"/>
      <c r="M30" s="42"/>
      <c r="N30" s="42"/>
      <c r="S30" s="1501"/>
    </row>
    <row r="31" spans="1:19" ht="15.6" x14ac:dyDescent="0.3">
      <c r="A31" s="42"/>
      <c r="B31" s="547"/>
      <c r="C31" s="549"/>
      <c r="D31" s="112" t="s">
        <v>695</v>
      </c>
      <c r="E31" s="567">
        <f>F27*0.99</f>
        <v>0</v>
      </c>
      <c r="F31" s="568"/>
      <c r="G31" s="568"/>
      <c r="H31" s="568"/>
      <c r="I31" s="568"/>
      <c r="J31" s="568"/>
      <c r="K31" s="550"/>
      <c r="L31" s="548"/>
      <c r="M31" s="42"/>
      <c r="N31" s="42"/>
      <c r="S31" s="1501"/>
    </row>
    <row r="32" spans="1:19" ht="15.6" x14ac:dyDescent="0.3">
      <c r="A32" s="42"/>
      <c r="B32" s="547"/>
      <c r="C32" s="553"/>
      <c r="D32" s="569" t="s">
        <v>248</v>
      </c>
      <c r="E32" s="567">
        <f>F28*0.985</f>
        <v>0</v>
      </c>
      <c r="F32" s="568"/>
      <c r="G32" s="568"/>
      <c r="H32" s="568"/>
      <c r="I32" s="568"/>
      <c r="J32" s="568"/>
      <c r="K32" s="550"/>
      <c r="L32" s="548"/>
      <c r="M32" s="42"/>
      <c r="N32" s="42"/>
      <c r="S32" s="1501"/>
    </row>
    <row r="33" spans="1:19" ht="15.6" x14ac:dyDescent="0.3">
      <c r="A33" s="42"/>
      <c r="B33" s="547"/>
      <c r="C33" s="549"/>
      <c r="D33" s="112" t="s">
        <v>696</v>
      </c>
      <c r="E33" s="567">
        <f>G17*0.99</f>
        <v>861.3</v>
      </c>
      <c r="F33" s="552"/>
      <c r="G33" s="552"/>
      <c r="H33" s="552"/>
      <c r="I33" s="552"/>
      <c r="J33" s="552"/>
      <c r="K33" s="550"/>
      <c r="L33" s="548"/>
      <c r="M33" s="42"/>
      <c r="N33" s="42"/>
      <c r="S33" s="1501"/>
    </row>
    <row r="34" spans="1:19" ht="15.6" x14ac:dyDescent="0.3">
      <c r="A34" s="42"/>
      <c r="B34" s="547"/>
      <c r="C34" s="549"/>
      <c r="D34" s="112" t="s">
        <v>697</v>
      </c>
      <c r="E34" s="570">
        <v>625</v>
      </c>
      <c r="F34" s="552"/>
      <c r="G34" s="552"/>
      <c r="H34" s="560"/>
      <c r="I34" s="552"/>
      <c r="J34" s="552"/>
      <c r="K34" s="550"/>
      <c r="L34" s="548"/>
      <c r="M34" s="42"/>
      <c r="N34" s="42"/>
      <c r="S34" s="1501"/>
    </row>
    <row r="35" spans="1:19" ht="15.6" x14ac:dyDescent="0.3">
      <c r="A35" s="42"/>
      <c r="B35" s="547"/>
      <c r="C35" s="549"/>
      <c r="D35" s="112" t="s">
        <v>698</v>
      </c>
      <c r="E35" s="567">
        <f>E34*1.03</f>
        <v>643.75</v>
      </c>
      <c r="F35" s="552"/>
      <c r="G35" s="552"/>
      <c r="H35" s="560"/>
      <c r="I35" s="552"/>
      <c r="J35" s="552"/>
      <c r="K35" s="550"/>
      <c r="L35" s="548"/>
      <c r="M35" s="42"/>
      <c r="N35" s="42"/>
      <c r="S35" s="1501"/>
    </row>
    <row r="36" spans="1:19" ht="15.6" x14ac:dyDescent="0.3">
      <c r="A36" s="42"/>
      <c r="B36" s="547"/>
      <c r="C36" s="549"/>
      <c r="D36" s="112" t="s">
        <v>699</v>
      </c>
      <c r="E36" s="567">
        <f>(I17+F28)*0.985</f>
        <v>699.35</v>
      </c>
      <c r="F36" s="571"/>
      <c r="G36" s="552"/>
      <c r="H36" s="552"/>
      <c r="I36" s="552"/>
      <c r="J36" s="552"/>
      <c r="K36" s="550"/>
      <c r="L36" s="548"/>
      <c r="M36" s="42"/>
      <c r="N36" s="42"/>
      <c r="S36" s="1501"/>
    </row>
    <row r="37" spans="1:19" ht="15.6" x14ac:dyDescent="0.3">
      <c r="A37" s="42"/>
      <c r="B37" s="547"/>
      <c r="C37" s="549"/>
      <c r="D37" s="552"/>
      <c r="E37" s="572"/>
      <c r="F37" s="552"/>
      <c r="G37" s="552"/>
      <c r="H37" s="572"/>
      <c r="I37" s="552"/>
      <c r="J37" s="552"/>
      <c r="K37" s="550"/>
      <c r="L37" s="548"/>
      <c r="M37" s="42"/>
      <c r="N37" s="42"/>
      <c r="S37" s="1501"/>
    </row>
    <row r="38" spans="1:19" ht="15.6" x14ac:dyDescent="0.3">
      <c r="A38" s="42"/>
      <c r="B38" s="547"/>
      <c r="C38" s="553">
        <v>8</v>
      </c>
      <c r="D38" s="552" t="s">
        <v>700</v>
      </c>
      <c r="E38" s="552"/>
      <c r="F38" s="573">
        <f>3.1415926*(E33*E33-E34*E34)*E74*E36/4000000/J39+3.1415926*(E31*E31-E33*E33)*E74*E32/4000000/J39</f>
        <v>241.13745089965971</v>
      </c>
      <c r="G38" s="552" t="s">
        <v>701</v>
      </c>
      <c r="H38" s="552"/>
      <c r="I38" s="574">
        <f>F38</f>
        <v>241.13745089965971</v>
      </c>
      <c r="J38" s="552"/>
      <c r="K38" s="550"/>
      <c r="L38" s="548"/>
      <c r="M38" s="42"/>
      <c r="N38" s="42"/>
      <c r="S38" s="1501"/>
    </row>
    <row r="39" spans="1:19" ht="15.6" x14ac:dyDescent="0.3">
      <c r="A39" s="42"/>
      <c r="B39" s="547"/>
      <c r="C39" s="549"/>
      <c r="D39" s="42"/>
      <c r="E39" s="552" t="s">
        <v>702</v>
      </c>
      <c r="F39" s="575">
        <f>I38*1.04</f>
        <v>250.78294893564612</v>
      </c>
      <c r="G39" s="552" t="s">
        <v>703</v>
      </c>
      <c r="H39" s="552"/>
      <c r="I39" s="552"/>
      <c r="J39" s="556">
        <v>6</v>
      </c>
      <c r="K39" s="550"/>
      <c r="L39" s="548"/>
      <c r="M39" s="42"/>
      <c r="N39" s="42"/>
      <c r="S39" s="1501"/>
    </row>
    <row r="40" spans="1:19" ht="15.6" x14ac:dyDescent="0.3">
      <c r="A40" s="42"/>
      <c r="B40" s="547"/>
      <c r="C40" s="549"/>
      <c r="D40" s="552" t="s">
        <v>704</v>
      </c>
      <c r="E40" s="552"/>
      <c r="F40" s="575">
        <f>F39*J39</f>
        <v>1504.6976936138767</v>
      </c>
      <c r="G40" s="552"/>
      <c r="H40" s="552"/>
      <c r="I40" s="552"/>
      <c r="J40" s="560"/>
      <c r="K40" s="550"/>
      <c r="L40" s="548"/>
      <c r="M40" s="42"/>
      <c r="N40" s="42"/>
      <c r="S40" s="1501"/>
    </row>
    <row r="41" spans="1:19" ht="15.6" x14ac:dyDescent="0.3">
      <c r="A41" s="42"/>
      <c r="B41" s="547"/>
      <c r="C41" s="549"/>
      <c r="D41" s="552"/>
      <c r="E41" s="552"/>
      <c r="F41" s="575"/>
      <c r="G41" s="552"/>
      <c r="H41" s="552"/>
      <c r="I41" s="552"/>
      <c r="J41" s="560"/>
      <c r="K41" s="550"/>
      <c r="L41" s="548"/>
      <c r="M41" s="42"/>
      <c r="N41" s="42"/>
      <c r="S41" s="1501"/>
    </row>
    <row r="42" spans="1:19" ht="15.6" x14ac:dyDescent="0.3">
      <c r="A42" s="42"/>
      <c r="B42" s="547"/>
      <c r="C42" s="549"/>
      <c r="D42" s="2040" t="str">
        <f>IF(E34-E20&gt;20,D73&amp;E73&amp;F73,"")</f>
        <v>Металл в ковш сливать по показаниям тензодатчиков печи FS-30. Всего 1450 кг.</v>
      </c>
      <c r="E42" s="2040"/>
      <c r="F42" s="2040"/>
      <c r="G42" s="2040"/>
      <c r="H42" s="2040"/>
      <c r="I42" s="2040"/>
      <c r="J42" s="2040"/>
      <c r="K42" s="2041"/>
      <c r="L42" s="548"/>
      <c r="M42" s="42"/>
      <c r="N42" s="42"/>
      <c r="S42" s="1501"/>
    </row>
    <row r="43" spans="1:19" ht="15.6" x14ac:dyDescent="0.3">
      <c r="A43" s="42"/>
      <c r="B43" s="547"/>
      <c r="C43" s="549"/>
      <c r="D43" s="2040"/>
      <c r="E43" s="2040"/>
      <c r="F43" s="2040"/>
      <c r="G43" s="2040"/>
      <c r="H43" s="2040"/>
      <c r="I43" s="2040"/>
      <c r="J43" s="2040"/>
      <c r="K43" s="2041"/>
      <c r="L43" s="548"/>
      <c r="M43" s="42"/>
      <c r="N43" s="42"/>
      <c r="S43" s="1501"/>
    </row>
    <row r="44" spans="1:19" ht="21" x14ac:dyDescent="0.4">
      <c r="A44" s="42"/>
      <c r="B44" s="547"/>
      <c r="C44" s="549"/>
      <c r="D44" s="576"/>
      <c r="E44" s="576"/>
      <c r="F44" s="576"/>
      <c r="G44" s="576"/>
      <c r="H44" s="576"/>
      <c r="I44" s="576"/>
      <c r="J44" s="576"/>
      <c r="K44" s="550"/>
      <c r="L44" s="548"/>
      <c r="M44" s="42"/>
      <c r="N44" s="42"/>
      <c r="S44" s="1501"/>
    </row>
    <row r="45" spans="1:19" ht="15.6" x14ac:dyDescent="0.3">
      <c r="A45" s="42"/>
      <c r="B45" s="547"/>
      <c r="C45" s="553">
        <v>9</v>
      </c>
      <c r="D45" s="552" t="s">
        <v>705</v>
      </c>
      <c r="E45" s="552"/>
      <c r="F45" s="577" t="str">
        <f>VLOOKUP(E47,Данные!A3:F22,6,FALSE())&amp;", ТИ 25012.00014"</f>
        <v>25010.00176, ТИ 25012.00014</v>
      </c>
      <c r="G45" s="552"/>
      <c r="H45" s="552"/>
      <c r="I45" s="552"/>
      <c r="J45" s="552"/>
      <c r="K45" s="550"/>
      <c r="L45" s="548"/>
      <c r="M45" s="42"/>
      <c r="N45" s="42"/>
      <c r="S45" s="1501"/>
    </row>
    <row r="46" spans="1:19" ht="15.6" x14ac:dyDescent="0.3">
      <c r="A46" s="42"/>
      <c r="B46" s="547"/>
      <c r="C46" s="553"/>
      <c r="D46" s="552"/>
      <c r="E46" s="552"/>
      <c r="F46" s="552"/>
      <c r="G46" s="577"/>
      <c r="H46" s="552"/>
      <c r="I46" s="552"/>
      <c r="J46" s="552"/>
      <c r="K46" s="550"/>
      <c r="L46" s="548"/>
      <c r="M46" s="42"/>
      <c r="N46" s="42"/>
      <c r="S46" s="1501"/>
    </row>
    <row r="47" spans="1:19" ht="15.6" x14ac:dyDescent="0.3">
      <c r="A47" s="42"/>
      <c r="B47" s="547"/>
      <c r="C47" s="553">
        <v>10</v>
      </c>
      <c r="D47" s="552" t="s">
        <v>706</v>
      </c>
      <c r="E47" s="554" t="s">
        <v>24</v>
      </c>
      <c r="F47" s="552"/>
      <c r="G47" s="552"/>
      <c r="H47" s="552"/>
      <c r="I47" s="552"/>
      <c r="J47" s="552"/>
      <c r="K47" s="550"/>
      <c r="L47" s="548"/>
      <c r="M47" s="42"/>
      <c r="N47" s="42"/>
      <c r="S47" s="1501"/>
    </row>
    <row r="48" spans="1:19" ht="15.6" x14ac:dyDescent="0.3">
      <c r="A48" s="42"/>
      <c r="B48" s="547"/>
      <c r="C48" s="553"/>
      <c r="D48" s="552"/>
      <c r="E48" s="552"/>
      <c r="F48" s="577"/>
      <c r="G48" s="552"/>
      <c r="H48" s="552"/>
      <c r="I48" s="552"/>
      <c r="J48" s="552"/>
      <c r="K48" s="550"/>
      <c r="L48" s="548"/>
      <c r="M48" s="42"/>
      <c r="N48" s="42"/>
      <c r="S48" s="1501"/>
    </row>
    <row r="49" spans="1:19" ht="15.6" x14ac:dyDescent="0.3">
      <c r="A49" s="42"/>
      <c r="B49" s="547"/>
      <c r="C49" s="553">
        <v>11</v>
      </c>
      <c r="D49" s="2042" t="s">
        <v>707</v>
      </c>
      <c r="E49" s="2042"/>
      <c r="F49" s="2042"/>
      <c r="G49" s="2042"/>
      <c r="H49" s="2043"/>
      <c r="I49" s="2042"/>
      <c r="J49" s="2042"/>
      <c r="K49" s="550"/>
      <c r="L49" s="548"/>
      <c r="M49" s="42"/>
      <c r="N49" s="42"/>
      <c r="S49" s="1501"/>
    </row>
    <row r="50" spans="1:19" ht="15.6" x14ac:dyDescent="0.3">
      <c r="A50" s="42"/>
      <c r="B50" s="547"/>
      <c r="C50" s="4"/>
      <c r="D50" s="112" t="s">
        <v>708</v>
      </c>
      <c r="E50" s="112"/>
      <c r="F50" s="112"/>
      <c r="G50" s="593">
        <f>995*E72*POWER(G17, -0.3333)</f>
        <v>375.30453704308297</v>
      </c>
      <c r="H50" s="112" t="s">
        <v>709</v>
      </c>
      <c r="I50" s="56"/>
      <c r="J50" s="112"/>
      <c r="K50" s="579">
        <f>(E33-E34)/200*10</f>
        <v>11.814999999999998</v>
      </c>
      <c r="L50" s="548"/>
      <c r="M50" s="287">
        <v>3.6</v>
      </c>
      <c r="N50" s="42"/>
      <c r="S50" s="1501"/>
    </row>
    <row r="51" spans="1:19" ht="15.6" x14ac:dyDescent="0.3">
      <c r="A51" s="42"/>
      <c r="B51" s="547"/>
      <c r="C51" s="4"/>
      <c r="D51" s="112" t="s">
        <v>710</v>
      </c>
      <c r="E51" s="112"/>
      <c r="F51" s="112"/>
      <c r="G51" s="578">
        <f>G50*0.8</f>
        <v>300.2436296344664</v>
      </c>
      <c r="H51" s="112" t="s">
        <v>711</v>
      </c>
      <c r="I51" s="56"/>
      <c r="J51" s="112"/>
      <c r="K51" s="579">
        <f>K50*0.8</f>
        <v>9.4519999999999982</v>
      </c>
      <c r="L51" s="548"/>
      <c r="M51" s="42"/>
      <c r="N51" s="42"/>
      <c r="S51" s="1501"/>
    </row>
    <row r="52" spans="1:19" ht="21" x14ac:dyDescent="0.4">
      <c r="A52" s="42"/>
      <c r="B52" s="547"/>
      <c r="C52" s="4"/>
      <c r="D52" s="112" t="s">
        <v>712</v>
      </c>
      <c r="E52" s="112"/>
      <c r="F52" s="112"/>
      <c r="G52" s="580">
        <f>G50*F25/F26/39.25</f>
        <v>46.146556202472674</v>
      </c>
      <c r="H52" s="2044" t="s">
        <v>713</v>
      </c>
      <c r="I52" s="2044"/>
      <c r="J52" s="2044"/>
      <c r="K52" s="2045">
        <v>4</v>
      </c>
      <c r="L52" s="548"/>
      <c r="M52" s="42"/>
      <c r="N52" s="42"/>
    </row>
    <row r="53" spans="1:19" ht="21" x14ac:dyDescent="0.4">
      <c r="A53" s="42"/>
      <c r="B53" s="547"/>
      <c r="C53" s="4"/>
      <c r="D53" s="112" t="s">
        <v>714</v>
      </c>
      <c r="E53" s="112"/>
      <c r="F53" s="112"/>
      <c r="G53" s="580">
        <f>G52*0.8</f>
        <v>36.917244961978142</v>
      </c>
      <c r="H53" s="2044"/>
      <c r="I53" s="2044"/>
      <c r="J53" s="2044"/>
      <c r="K53" s="2046"/>
      <c r="L53" s="548"/>
      <c r="M53" s="42"/>
      <c r="N53" s="42"/>
    </row>
    <row r="54" spans="1:19" x14ac:dyDescent="0.3">
      <c r="A54" s="42"/>
      <c r="B54" s="547"/>
      <c r="C54" s="4"/>
      <c r="D54" s="2029" t="s">
        <v>715</v>
      </c>
      <c r="E54" s="2030"/>
      <c r="F54" s="2031"/>
      <c r="G54" s="581">
        <f>ROUND(SQRT(E71)/50,0)*50</f>
        <v>950</v>
      </c>
      <c r="H54" s="57"/>
      <c r="I54" s="57"/>
      <c r="J54" s="57"/>
      <c r="K54" s="10"/>
      <c r="L54" s="548"/>
      <c r="M54" s="42"/>
      <c r="N54" s="42"/>
    </row>
    <row r="55" spans="1:19" x14ac:dyDescent="0.3">
      <c r="A55" s="42"/>
      <c r="B55" s="547"/>
      <c r="C55" s="4"/>
      <c r="D55" s="57"/>
      <c r="E55" s="57"/>
      <c r="F55" s="57"/>
      <c r="G55" s="57"/>
      <c r="H55" s="57"/>
      <c r="I55" s="57"/>
      <c r="J55" s="57"/>
      <c r="K55" s="10"/>
      <c r="L55" s="548"/>
      <c r="M55" s="42"/>
      <c r="N55" s="42"/>
    </row>
    <row r="56" spans="1:19" ht="15.6" x14ac:dyDescent="0.3">
      <c r="A56" s="42"/>
      <c r="B56" s="547"/>
      <c r="C56" s="553">
        <v>12</v>
      </c>
      <c r="D56" s="552" t="s">
        <v>716</v>
      </c>
      <c r="E56" s="552"/>
      <c r="F56" s="552"/>
      <c r="G56" s="552"/>
      <c r="H56" s="552"/>
      <c r="I56" s="57"/>
      <c r="J56" s="57"/>
      <c r="K56" s="10"/>
      <c r="L56" s="548"/>
      <c r="M56" s="42"/>
      <c r="N56" s="42"/>
    </row>
    <row r="57" spans="1:19" ht="15.6" x14ac:dyDescent="0.3">
      <c r="A57" s="42"/>
      <c r="B57" s="547"/>
      <c r="C57" s="549"/>
      <c r="D57" s="552" t="s">
        <v>717</v>
      </c>
      <c r="E57" s="552"/>
      <c r="F57" s="552"/>
      <c r="G57" s="552"/>
      <c r="H57" s="552"/>
      <c r="I57" s="57"/>
      <c r="J57" s="57"/>
      <c r="K57" s="10"/>
      <c r="L57" s="548"/>
      <c r="M57" s="42"/>
      <c r="N57" s="42"/>
    </row>
    <row r="58" spans="1:19" ht="15.6" x14ac:dyDescent="0.3">
      <c r="A58" s="42"/>
      <c r="B58" s="547"/>
      <c r="C58" s="549"/>
      <c r="D58" s="552" t="s">
        <v>718</v>
      </c>
      <c r="E58" s="552"/>
      <c r="F58" s="552"/>
      <c r="G58" s="552"/>
      <c r="H58" s="552"/>
      <c r="I58" s="57"/>
      <c r="J58" s="57"/>
      <c r="K58" s="10"/>
      <c r="L58" s="548"/>
      <c r="M58" s="42"/>
      <c r="N58" s="42"/>
    </row>
    <row r="59" spans="1:19" ht="15.6" x14ac:dyDescent="0.3">
      <c r="A59" s="42"/>
      <c r="B59" s="547"/>
      <c r="C59" s="549"/>
      <c r="D59" s="552"/>
      <c r="E59" s="552"/>
      <c r="F59" s="552"/>
      <c r="G59" s="552"/>
      <c r="H59" s="552"/>
      <c r="I59" s="57"/>
      <c r="J59" s="57"/>
      <c r="K59" s="10"/>
      <c r="L59" s="548"/>
      <c r="M59" s="42"/>
      <c r="N59" s="42"/>
    </row>
    <row r="60" spans="1:19" ht="15.6" x14ac:dyDescent="0.3">
      <c r="A60" s="42"/>
      <c r="B60" s="547"/>
      <c r="C60" s="549"/>
      <c r="D60" s="552"/>
      <c r="E60" s="552"/>
      <c r="F60" s="552"/>
      <c r="G60" s="552"/>
      <c r="H60" s="552"/>
      <c r="I60" s="57"/>
      <c r="J60" s="57"/>
      <c r="K60" s="10"/>
      <c r="L60" s="548"/>
      <c r="M60" s="42"/>
      <c r="N60" s="42"/>
    </row>
    <row r="61" spans="1:19" x14ac:dyDescent="0.3">
      <c r="A61" s="42"/>
      <c r="B61" s="547"/>
      <c r="C61" s="4"/>
      <c r="D61" s="57"/>
      <c r="E61" s="57"/>
      <c r="F61" s="57"/>
      <c r="G61" s="57"/>
      <c r="H61" s="57"/>
      <c r="I61" s="57"/>
      <c r="J61" s="57"/>
      <c r="K61" s="10"/>
      <c r="L61" s="548"/>
      <c r="M61" s="42"/>
      <c r="N61" s="42"/>
    </row>
    <row r="62" spans="1:19" x14ac:dyDescent="0.3">
      <c r="A62" s="42"/>
      <c r="B62" s="547"/>
      <c r="C62" s="4"/>
      <c r="D62" s="57"/>
      <c r="E62" s="57"/>
      <c r="F62" s="57"/>
      <c r="G62" s="57"/>
      <c r="H62" s="57"/>
      <c r="I62" s="57"/>
      <c r="J62" s="57"/>
      <c r="K62" s="10"/>
      <c r="L62" s="548"/>
      <c r="M62" s="42"/>
      <c r="N62" s="42"/>
    </row>
    <row r="63" spans="1:19" x14ac:dyDescent="0.3">
      <c r="A63" s="42"/>
      <c r="B63" s="547"/>
      <c r="C63" s="4"/>
      <c r="D63" s="57"/>
      <c r="E63" s="57"/>
      <c r="F63" s="57"/>
      <c r="G63" s="57"/>
      <c r="H63" s="57"/>
      <c r="I63" s="57"/>
      <c r="J63" s="57"/>
      <c r="K63" s="10"/>
      <c r="L63" s="548"/>
      <c r="M63" s="42"/>
      <c r="N63" s="42"/>
    </row>
    <row r="64" spans="1:19" ht="15.6" x14ac:dyDescent="0.3">
      <c r="A64" s="42"/>
      <c r="B64" s="547"/>
      <c r="C64" s="4"/>
      <c r="D64" s="57"/>
      <c r="E64" s="112"/>
      <c r="F64" s="112" t="s">
        <v>719</v>
      </c>
      <c r="G64" s="2051" t="s">
        <v>720</v>
      </c>
      <c r="H64" s="2051"/>
      <c r="I64" s="2052" t="s">
        <v>63</v>
      </c>
      <c r="J64" s="2053"/>
      <c r="K64" s="582" t="s">
        <v>60</v>
      </c>
      <c r="L64" s="548"/>
      <c r="M64" s="42"/>
      <c r="N64" s="42"/>
    </row>
    <row r="65" spans="1:14" ht="15.6" x14ac:dyDescent="0.3">
      <c r="A65" s="42"/>
      <c r="B65" s="547"/>
      <c r="C65" s="4"/>
      <c r="D65" s="57"/>
      <c r="E65" s="112" t="s">
        <v>721</v>
      </c>
      <c r="F65" s="112" t="s">
        <v>722</v>
      </c>
      <c r="G65" s="2054" t="s">
        <v>723</v>
      </c>
      <c r="H65" s="2054"/>
      <c r="I65" s="2052"/>
      <c r="J65" s="2053"/>
      <c r="K65" s="583">
        <f ca="1">TODAY()</f>
        <v>45497</v>
      </c>
      <c r="L65" s="548"/>
      <c r="M65" s="42"/>
      <c r="N65" s="42"/>
    </row>
    <row r="66" spans="1:14" ht="15.6" x14ac:dyDescent="0.3">
      <c r="A66" s="42"/>
      <c r="B66" s="547"/>
      <c r="C66" s="4"/>
      <c r="D66" s="57"/>
      <c r="E66" s="112" t="s">
        <v>724</v>
      </c>
      <c r="F66" s="112"/>
      <c r="G66" s="2054"/>
      <c r="H66" s="2054"/>
      <c r="I66" s="2052"/>
      <c r="J66" s="2053"/>
      <c r="K66" s="584"/>
      <c r="L66" s="548"/>
      <c r="M66" s="42"/>
      <c r="N66" s="42"/>
    </row>
    <row r="67" spans="1:14" ht="16.2" thickBot="1" x14ac:dyDescent="0.35">
      <c r="A67" s="42"/>
      <c r="B67" s="547"/>
      <c r="C67" s="19"/>
      <c r="D67" s="63"/>
      <c r="E67" s="585" t="s">
        <v>725</v>
      </c>
      <c r="F67" s="585" t="s">
        <v>726</v>
      </c>
      <c r="G67" s="2047" t="s">
        <v>727</v>
      </c>
      <c r="H67" s="2048"/>
      <c r="I67" s="2049"/>
      <c r="J67" s="2050"/>
      <c r="K67" s="586"/>
      <c r="L67" s="548"/>
      <c r="M67" s="42"/>
      <c r="N67" s="42"/>
    </row>
    <row r="68" spans="1:14" x14ac:dyDescent="0.3">
      <c r="A68" s="42"/>
      <c r="B68" s="587"/>
      <c r="C68" s="588"/>
      <c r="D68" s="588"/>
      <c r="E68" s="588"/>
      <c r="F68" s="588"/>
      <c r="G68" s="588"/>
      <c r="H68" s="588"/>
      <c r="I68" s="588"/>
      <c r="J68" s="588"/>
      <c r="K68" s="588"/>
      <c r="L68" s="589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735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728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729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730</v>
      </c>
      <c r="E73" s="590">
        <f>ROUNDUP(F38*J39/50,0)*50</f>
        <v>1450</v>
      </c>
      <c r="F73" s="42" t="s">
        <v>731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732</v>
      </c>
      <c r="E74">
        <f>VLOOKUP(E47,Марка_металла[],9,FALSE())</f>
        <v>7.5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X66"/>
  <sheetViews>
    <sheetView showGridLines="0" zoomScale="70" zoomScaleNormal="70" workbookViewId="0">
      <selection activeCell="F7" sqref="F7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2" width="12.6640625" style="1610" customWidth="1"/>
    <col min="17" max="17" width="10.33203125" customWidth="1"/>
    <col min="18" max="18" width="11.44140625" customWidth="1"/>
    <col min="19" max="19" width="6.77734375" customWidth="1"/>
    <col min="20" max="20" width="8.44140625" customWidth="1"/>
    <col min="22" max="22" width="16" customWidth="1"/>
    <col min="28" max="28" width="13" customWidth="1"/>
    <col min="31" max="31" width="12.33203125" customWidth="1"/>
    <col min="32" max="32" width="15.44140625" customWidth="1"/>
    <col min="38" max="38" width="11.109375" customWidth="1"/>
    <col min="44" max="44" width="3.77734375" customWidth="1"/>
    <col min="47" max="47" width="16" customWidth="1"/>
    <col min="48" max="48" width="13.5546875" customWidth="1"/>
    <col min="52" max="52" width="10.109375" customWidth="1"/>
    <col min="57" max="57" width="10.77734375" customWidth="1"/>
    <col min="58" max="58" width="10.109375" customWidth="1"/>
    <col min="84" max="84" width="3" customWidth="1"/>
    <col min="87" max="87" width="12.21875" customWidth="1"/>
    <col min="88" max="88" width="10.21875" customWidth="1"/>
    <col min="93" max="93" width="8.88671875" style="1627"/>
    <col min="94" max="94" width="5.77734375" customWidth="1"/>
    <col min="97" max="97" width="12.21875" customWidth="1"/>
    <col min="98" max="98" width="10.88671875" customWidth="1"/>
    <col min="100" max="100" width="7.109375" customWidth="1"/>
  </cols>
  <sheetData>
    <row r="1" spans="2:102" ht="15" thickBot="1" x14ac:dyDescent="0.35">
      <c r="AH1" s="42"/>
      <c r="AI1" s="42"/>
      <c r="AJ1" s="42"/>
      <c r="AK1" s="42"/>
      <c r="AL1" s="42"/>
      <c r="AM1" s="42"/>
      <c r="AN1" s="42"/>
      <c r="AO1" s="42"/>
      <c r="AP1" s="42"/>
      <c r="AQ1" s="42"/>
    </row>
    <row r="2" spans="2:102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878</v>
      </c>
      <c r="K2" s="53"/>
      <c r="L2" s="53"/>
      <c r="N2" s="1"/>
      <c r="O2" s="2"/>
      <c r="P2" s="2"/>
      <c r="Q2" s="40" t="s">
        <v>0</v>
      </c>
      <c r="R2" s="2"/>
      <c r="S2" s="2"/>
      <c r="T2" s="2"/>
      <c r="U2" s="2"/>
      <c r="V2" s="278" t="s">
        <v>878</v>
      </c>
      <c r="X2" s="1"/>
      <c r="Y2" s="2"/>
      <c r="Z2" s="2"/>
      <c r="AA2" s="40" t="s">
        <v>0</v>
      </c>
      <c r="AB2" s="2"/>
      <c r="AC2" s="2"/>
      <c r="AD2" s="2"/>
      <c r="AE2" s="2"/>
      <c r="AF2" s="278" t="s">
        <v>878</v>
      </c>
      <c r="AG2" s="42"/>
      <c r="AH2" s="1"/>
      <c r="AI2" s="2"/>
      <c r="AJ2" s="2"/>
      <c r="AK2" s="40" t="s">
        <v>0</v>
      </c>
      <c r="AL2" s="2"/>
      <c r="AM2" s="2"/>
      <c r="AN2" s="2"/>
      <c r="AO2" s="2"/>
      <c r="AP2" s="3" t="s">
        <v>878</v>
      </c>
      <c r="AQ2" s="42"/>
      <c r="AR2" s="1"/>
      <c r="AS2" s="2"/>
      <c r="AT2" s="2"/>
      <c r="AU2" s="40" t="s">
        <v>0</v>
      </c>
      <c r="AV2" s="2"/>
      <c r="AW2" s="2"/>
      <c r="AX2" s="2"/>
      <c r="AY2" s="2"/>
      <c r="AZ2" s="3" t="s">
        <v>878</v>
      </c>
      <c r="BA2" s="42"/>
      <c r="BB2" s="1"/>
      <c r="BC2" s="2"/>
      <c r="BD2" s="2"/>
      <c r="BE2" s="40" t="s">
        <v>0</v>
      </c>
      <c r="BF2" s="2"/>
      <c r="BG2" s="2"/>
      <c r="BH2" s="2"/>
      <c r="BI2" s="2"/>
      <c r="BJ2" s="3" t="s">
        <v>878</v>
      </c>
      <c r="BK2" s="42"/>
    </row>
    <row r="3" spans="2:102" ht="15" thickBot="1" x14ac:dyDescent="0.35">
      <c r="B3" s="12" t="s">
        <v>1</v>
      </c>
      <c r="C3" s="57"/>
      <c r="D3" s="5"/>
      <c r="E3" s="5"/>
      <c r="F3" s="44" t="s">
        <v>885</v>
      </c>
      <c r="G3" s="5"/>
      <c r="H3" s="57"/>
      <c r="I3" s="42" t="s">
        <v>309</v>
      </c>
      <c r="J3" s="108"/>
      <c r="K3" s="947"/>
      <c r="L3" s="947"/>
      <c r="N3" s="12" t="s">
        <v>1</v>
      </c>
      <c r="O3" s="57"/>
      <c r="P3" s="5"/>
      <c r="Q3" s="5"/>
      <c r="R3" s="44" t="s">
        <v>356</v>
      </c>
      <c r="S3" s="5"/>
      <c r="T3" s="57"/>
      <c r="U3" s="42"/>
      <c r="V3" s="108"/>
      <c r="X3" s="12" t="s">
        <v>1</v>
      </c>
      <c r="Y3" s="57"/>
      <c r="Z3" s="5"/>
      <c r="AA3" s="5"/>
      <c r="AB3" s="44" t="s">
        <v>621</v>
      </c>
      <c r="AC3" s="5"/>
      <c r="AD3" s="57"/>
      <c r="AE3" s="42"/>
      <c r="AF3" s="108"/>
      <c r="AG3" s="42"/>
      <c r="AH3" s="12" t="s">
        <v>1</v>
      </c>
      <c r="AI3" s="57"/>
      <c r="AJ3" s="5"/>
      <c r="AK3" s="5"/>
      <c r="AL3" s="44" t="s">
        <v>625</v>
      </c>
      <c r="AM3" s="5"/>
      <c r="AN3" s="57"/>
      <c r="AO3" s="42" t="s">
        <v>309</v>
      </c>
      <c r="AP3" s="108"/>
      <c r="AQ3" s="42"/>
      <c r="AR3" s="12" t="s">
        <v>1</v>
      </c>
      <c r="AS3" s="57"/>
      <c r="AT3" s="5"/>
      <c r="AU3" s="5"/>
      <c r="AV3" s="44" t="s">
        <v>656</v>
      </c>
      <c r="AW3" s="5"/>
      <c r="AX3" s="57"/>
      <c r="AY3" s="42" t="s">
        <v>309</v>
      </c>
      <c r="AZ3" s="108"/>
      <c r="BA3" s="42"/>
      <c r="BB3" s="12" t="s">
        <v>1</v>
      </c>
      <c r="BC3" s="57"/>
      <c r="BD3" s="5"/>
      <c r="BE3" s="5"/>
      <c r="BF3" s="44" t="s">
        <v>867</v>
      </c>
      <c r="BG3" s="5"/>
      <c r="BH3" s="57"/>
      <c r="BI3" s="42" t="s">
        <v>309</v>
      </c>
      <c r="BJ3" s="108" t="s">
        <v>866</v>
      </c>
      <c r="BK3" s="42"/>
      <c r="BL3" s="1"/>
      <c r="BM3" s="2"/>
      <c r="BN3" s="2"/>
      <c r="BO3" s="40" t="s">
        <v>0</v>
      </c>
      <c r="BP3" s="2"/>
      <c r="BQ3" s="2"/>
      <c r="BR3" s="2"/>
      <c r="BS3" s="2"/>
      <c r="BT3" s="3" t="s">
        <v>878</v>
      </c>
      <c r="BV3" s="1"/>
      <c r="BW3" s="2"/>
      <c r="BX3" s="2"/>
      <c r="BY3" s="40" t="s">
        <v>0</v>
      </c>
      <c r="BZ3" s="2"/>
      <c r="CA3" s="2"/>
      <c r="CB3" s="2"/>
      <c r="CC3" s="2"/>
      <c r="CD3" s="3" t="s">
        <v>878</v>
      </c>
      <c r="CF3" s="1"/>
      <c r="CG3" s="2"/>
      <c r="CH3" s="2"/>
      <c r="CI3" s="40" t="s">
        <v>0</v>
      </c>
      <c r="CJ3" s="2"/>
      <c r="CK3" s="2"/>
      <c r="CL3" s="2"/>
      <c r="CM3" s="2"/>
      <c r="CN3" s="1084" t="s">
        <v>878</v>
      </c>
      <c r="CO3" s="631"/>
      <c r="CP3" s="1"/>
      <c r="CQ3" s="2"/>
      <c r="CR3" s="2"/>
      <c r="CS3" s="40" t="s">
        <v>0</v>
      </c>
      <c r="CT3" s="2"/>
      <c r="CU3" s="2"/>
      <c r="CV3" s="2"/>
      <c r="CW3" s="2"/>
      <c r="CX3" s="1287" t="s">
        <v>878</v>
      </c>
    </row>
    <row r="4" spans="2:102" x14ac:dyDescent="0.3">
      <c r="B4" s="4" t="s">
        <v>2</v>
      </c>
      <c r="C4" s="57"/>
      <c r="D4" s="53"/>
      <c r="E4" s="53"/>
      <c r="F4" s="42" t="s">
        <v>884</v>
      </c>
      <c r="G4" s="53"/>
      <c r="H4" s="53"/>
      <c r="I4" s="45" t="s">
        <v>884</v>
      </c>
      <c r="J4" s="10"/>
      <c r="K4" s="1348"/>
      <c r="L4" s="1348"/>
      <c r="N4" s="4" t="s">
        <v>2</v>
      </c>
      <c r="O4" s="57"/>
      <c r="P4" s="53"/>
      <c r="Q4" s="53"/>
      <c r="R4" s="42" t="s">
        <v>364</v>
      </c>
      <c r="S4" s="53"/>
      <c r="T4" s="53"/>
      <c r="U4" s="45"/>
      <c r="V4" s="10"/>
      <c r="X4" s="4" t="s">
        <v>2</v>
      </c>
      <c r="Y4" s="57"/>
      <c r="Z4" s="53"/>
      <c r="AA4" s="53"/>
      <c r="AB4" s="328" t="s">
        <v>622</v>
      </c>
      <c r="AC4" s="53"/>
      <c r="AD4" s="53"/>
      <c r="AE4" s="45"/>
      <c r="AF4" s="10"/>
      <c r="AG4" s="42"/>
      <c r="AH4" s="4" t="s">
        <v>2</v>
      </c>
      <c r="AI4" s="57"/>
      <c r="AJ4" s="53"/>
      <c r="AK4" s="53"/>
      <c r="AL4" s="42" t="s">
        <v>626</v>
      </c>
      <c r="AM4" s="53"/>
      <c r="AN4" s="53"/>
      <c r="AO4" s="45" t="s">
        <v>626</v>
      </c>
      <c r="AP4" s="10"/>
      <c r="AQ4" s="42"/>
      <c r="AR4" s="4" t="s">
        <v>2</v>
      </c>
      <c r="AS4" s="57"/>
      <c r="AT4" s="53"/>
      <c r="AU4" s="53"/>
      <c r="AV4" s="42" t="s">
        <v>327</v>
      </c>
      <c r="AW4" s="53"/>
      <c r="AX4" s="53"/>
      <c r="AY4" s="45" t="s">
        <v>327</v>
      </c>
      <c r="AZ4" s="10"/>
      <c r="BA4" s="42"/>
      <c r="BB4" s="4" t="s">
        <v>2</v>
      </c>
      <c r="BC4" s="57"/>
      <c r="BD4" s="53"/>
      <c r="BE4" s="53"/>
      <c r="BF4" s="42" t="s">
        <v>862</v>
      </c>
      <c r="BG4" s="53"/>
      <c r="BH4" s="53"/>
      <c r="BI4" s="45"/>
      <c r="BJ4" s="10"/>
      <c r="BK4" s="42"/>
      <c r="BL4" s="12" t="s">
        <v>1</v>
      </c>
      <c r="BM4" s="57"/>
      <c r="BN4" s="5"/>
      <c r="BO4" s="5"/>
      <c r="BP4" s="44" t="s">
        <v>307</v>
      </c>
      <c r="BQ4" s="5"/>
      <c r="BR4" s="57"/>
      <c r="BS4" t="s">
        <v>309</v>
      </c>
      <c r="BT4" s="108"/>
      <c r="BV4" s="12" t="s">
        <v>1</v>
      </c>
      <c r="BW4" s="57"/>
      <c r="BX4" s="5"/>
      <c r="BY4" s="5"/>
      <c r="BZ4" s="44" t="s">
        <v>325</v>
      </c>
      <c r="CA4" s="5"/>
      <c r="CB4" s="57"/>
      <c r="CC4" s="42" t="s">
        <v>309</v>
      </c>
      <c r="CD4" s="108"/>
      <c r="CF4" s="12" t="s">
        <v>1</v>
      </c>
      <c r="CG4" s="57"/>
      <c r="CH4" s="5"/>
      <c r="CI4" s="5"/>
      <c r="CJ4" s="1100" t="s">
        <v>971</v>
      </c>
      <c r="CK4" s="5"/>
      <c r="CL4" s="57"/>
      <c r="CM4" s="42"/>
      <c r="CN4" s="108"/>
      <c r="CO4" s="947"/>
      <c r="CP4" s="12" t="s">
        <v>1</v>
      </c>
      <c r="CQ4" s="57"/>
      <c r="CR4" s="5"/>
      <c r="CS4" s="5"/>
      <c r="CT4" s="1100"/>
      <c r="CU4" s="5"/>
      <c r="CV4" s="57"/>
      <c r="CW4" s="1288"/>
      <c r="CX4" s="108"/>
    </row>
    <row r="5" spans="2:102" x14ac:dyDescent="0.3">
      <c r="B5" s="4" t="s">
        <v>3</v>
      </c>
      <c r="C5" s="57"/>
      <c r="D5" s="53"/>
      <c r="E5" s="53"/>
      <c r="F5" s="14" t="s">
        <v>291</v>
      </c>
      <c r="G5" s="53"/>
      <c r="H5" s="53"/>
      <c r="I5" s="53"/>
      <c r="J5" s="10"/>
      <c r="K5" s="1348"/>
      <c r="L5" s="1348"/>
      <c r="N5" s="4" t="s">
        <v>3</v>
      </c>
      <c r="O5" s="57"/>
      <c r="P5" s="53"/>
      <c r="Q5" s="53"/>
      <c r="R5" s="14" t="s">
        <v>357</v>
      </c>
      <c r="S5" s="53"/>
      <c r="T5" s="53"/>
      <c r="U5" s="53"/>
      <c r="V5" s="10"/>
      <c r="X5" s="4" t="s">
        <v>3</v>
      </c>
      <c r="Y5" s="57"/>
      <c r="Z5" s="53"/>
      <c r="AA5" s="53"/>
      <c r="AB5" s="14" t="s">
        <v>623</v>
      </c>
      <c r="AC5" s="53"/>
      <c r="AD5" s="53"/>
      <c r="AE5" s="53"/>
      <c r="AF5" s="10"/>
      <c r="AG5" s="42"/>
      <c r="AH5" s="4" t="s">
        <v>3</v>
      </c>
      <c r="AI5" s="57"/>
      <c r="AJ5" s="53"/>
      <c r="AK5" s="53"/>
      <c r="AL5" s="14" t="s">
        <v>291</v>
      </c>
      <c r="AM5" s="53"/>
      <c r="AN5" s="53"/>
      <c r="AO5" s="53"/>
      <c r="AP5" s="10"/>
      <c r="AQ5" s="42"/>
      <c r="AR5" s="4" t="s">
        <v>3</v>
      </c>
      <c r="AS5" s="57"/>
      <c r="AT5" s="53"/>
      <c r="AU5" s="53"/>
      <c r="AV5" s="14" t="s">
        <v>291</v>
      </c>
      <c r="AW5" s="53"/>
      <c r="AX5" s="53"/>
      <c r="AY5" s="53"/>
      <c r="AZ5" s="10"/>
      <c r="BA5" s="42"/>
      <c r="BB5" s="4" t="s">
        <v>3</v>
      </c>
      <c r="BC5" s="57"/>
      <c r="BD5" s="53"/>
      <c r="BE5" s="53"/>
      <c r="BF5" s="14" t="s">
        <v>4</v>
      </c>
      <c r="BG5" s="53"/>
      <c r="BH5" s="53"/>
      <c r="BI5" s="53"/>
      <c r="BJ5" s="10"/>
      <c r="BK5" s="42"/>
      <c r="BL5" s="4" t="s">
        <v>2</v>
      </c>
      <c r="BM5" s="57"/>
      <c r="BN5" s="53"/>
      <c r="BO5" s="53"/>
      <c r="BP5" t="s">
        <v>308</v>
      </c>
      <c r="BQ5" s="53"/>
      <c r="BR5" s="53"/>
      <c r="BS5" s="45" t="s">
        <v>306</v>
      </c>
      <c r="BT5" s="10"/>
      <c r="BV5" s="4" t="s">
        <v>2</v>
      </c>
      <c r="BW5" s="57"/>
      <c r="BX5" s="53"/>
      <c r="BY5" s="53"/>
      <c r="BZ5" s="42" t="s">
        <v>326</v>
      </c>
      <c r="CA5" s="53"/>
      <c r="CB5" s="53"/>
      <c r="CC5" s="45" t="s">
        <v>327</v>
      </c>
      <c r="CD5" s="10"/>
      <c r="CF5" s="4" t="s">
        <v>2</v>
      </c>
      <c r="CG5" s="57"/>
      <c r="CH5" s="53"/>
      <c r="CI5" s="53"/>
      <c r="CJ5" s="322">
        <v>1472464</v>
      </c>
      <c r="CK5" s="53"/>
      <c r="CL5" s="53"/>
      <c r="CM5" s="45"/>
      <c r="CN5" s="10"/>
      <c r="CO5" s="1348"/>
      <c r="CP5" s="4" t="s">
        <v>2</v>
      </c>
      <c r="CQ5" s="57"/>
      <c r="CR5" s="53"/>
      <c r="CS5" s="53"/>
      <c r="CT5" s="322" t="s">
        <v>1091</v>
      </c>
      <c r="CU5" s="53"/>
      <c r="CV5" s="53"/>
      <c r="CW5" s="45"/>
      <c r="CX5" s="10"/>
    </row>
    <row r="6" spans="2:102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348"/>
      <c r="L6" s="1348"/>
      <c r="N6" s="19" t="s">
        <v>7</v>
      </c>
      <c r="O6" s="63"/>
      <c r="P6" s="20"/>
      <c r="Q6" s="20"/>
      <c r="R6" s="21">
        <v>3</v>
      </c>
      <c r="S6" s="20"/>
      <c r="T6" s="20"/>
      <c r="U6" s="20"/>
      <c r="V6" s="39"/>
      <c r="X6" s="19" t="s">
        <v>7</v>
      </c>
      <c r="Y6" s="63"/>
      <c r="Z6" s="20"/>
      <c r="AA6" s="20"/>
      <c r="AB6" s="21">
        <v>20</v>
      </c>
      <c r="AC6" s="20"/>
      <c r="AD6" s="20"/>
      <c r="AE6" s="20"/>
      <c r="AF6" s="39"/>
      <c r="AG6" s="42"/>
      <c r="AH6" s="19" t="s">
        <v>7</v>
      </c>
      <c r="AI6" s="63"/>
      <c r="AJ6" s="20"/>
      <c r="AK6" s="20"/>
      <c r="AL6" s="21">
        <v>3</v>
      </c>
      <c r="AM6" s="20"/>
      <c r="AN6" s="20"/>
      <c r="AO6" s="20"/>
      <c r="AP6" s="39"/>
      <c r="AQ6" s="42"/>
      <c r="AR6" s="19" t="s">
        <v>7</v>
      </c>
      <c r="AS6" s="63"/>
      <c r="AT6" s="20"/>
      <c r="AU6" s="20"/>
      <c r="AV6" s="21">
        <v>1</v>
      </c>
      <c r="AW6" s="20"/>
      <c r="AX6" s="20"/>
      <c r="AY6" s="20"/>
      <c r="AZ6" s="39"/>
      <c r="BA6" s="42"/>
      <c r="BB6" s="19" t="s">
        <v>7</v>
      </c>
      <c r="BC6" s="63"/>
      <c r="BD6" s="20"/>
      <c r="BE6" s="20"/>
      <c r="BF6" s="21">
        <v>1</v>
      </c>
      <c r="BG6" s="20"/>
      <c r="BH6" s="20"/>
      <c r="BI6" s="20"/>
      <c r="BJ6" s="39"/>
      <c r="BK6" s="42"/>
      <c r="BL6" s="4" t="s">
        <v>3</v>
      </c>
      <c r="BM6" s="57"/>
      <c r="BN6" s="53"/>
      <c r="BO6" s="53"/>
      <c r="BP6" s="14" t="s">
        <v>305</v>
      </c>
      <c r="BQ6" s="53"/>
      <c r="BR6" s="53"/>
      <c r="BS6" s="53"/>
      <c r="BT6" s="10"/>
      <c r="BV6" s="4" t="s">
        <v>3</v>
      </c>
      <c r="BW6" s="57"/>
      <c r="BX6" s="53"/>
      <c r="BY6" s="53"/>
      <c r="BZ6" s="14" t="s">
        <v>291</v>
      </c>
      <c r="CA6" s="53"/>
      <c r="CB6" s="53"/>
      <c r="CC6" s="53"/>
      <c r="CD6" s="10"/>
      <c r="CF6" s="4" t="s">
        <v>3</v>
      </c>
      <c r="CG6" s="57"/>
      <c r="CH6" s="53"/>
      <c r="CI6" s="53"/>
      <c r="CJ6" s="52" t="s">
        <v>972</v>
      </c>
      <c r="CK6" s="53"/>
      <c r="CL6" s="53"/>
      <c r="CM6" s="53"/>
      <c r="CN6" s="10"/>
      <c r="CO6" s="1348"/>
      <c r="CP6" s="4" t="s">
        <v>3</v>
      </c>
      <c r="CQ6" s="57"/>
      <c r="CR6" s="53"/>
      <c r="CS6" s="53"/>
      <c r="CT6" s="52" t="s">
        <v>1087</v>
      </c>
      <c r="CU6" s="53"/>
      <c r="CV6" s="53"/>
      <c r="CW6" s="53"/>
      <c r="CX6" s="10"/>
    </row>
    <row r="7" spans="2:102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41"/>
      <c r="L7" s="141"/>
      <c r="N7" s="4" t="s">
        <v>13</v>
      </c>
      <c r="O7" s="53"/>
      <c r="P7" s="53"/>
      <c r="Q7" s="53"/>
      <c r="R7" s="47" t="s">
        <v>12</v>
      </c>
      <c r="S7" s="53"/>
      <c r="T7" s="57"/>
      <c r="U7" s="53" t="s">
        <v>14</v>
      </c>
      <c r="V7" s="15">
        <f>R8/R9</f>
        <v>0.72967032967032963</v>
      </c>
      <c r="X7" s="4" t="s">
        <v>13</v>
      </c>
      <c r="Y7" s="53"/>
      <c r="Z7" s="53"/>
      <c r="AA7" s="53"/>
      <c r="AB7" s="47" t="s">
        <v>624</v>
      </c>
      <c r="AC7" s="53"/>
      <c r="AD7" s="57"/>
      <c r="AE7" s="53" t="s">
        <v>14</v>
      </c>
      <c r="AF7" s="15">
        <f>AB8/AB9</f>
        <v>0.90625</v>
      </c>
      <c r="AG7" s="42"/>
      <c r="AH7" s="4" t="s">
        <v>13</v>
      </c>
      <c r="AI7" s="53"/>
      <c r="AJ7" s="53"/>
      <c r="AK7" s="53"/>
      <c r="AL7" s="47" t="s">
        <v>6</v>
      </c>
      <c r="AM7" s="53"/>
      <c r="AN7" s="57"/>
      <c r="AO7" s="53" t="s">
        <v>14</v>
      </c>
      <c r="AP7" s="15">
        <f>AL8/AL9</f>
        <v>0.27647058823529413</v>
      </c>
      <c r="AQ7" s="42"/>
      <c r="AR7" s="4" t="s">
        <v>13</v>
      </c>
      <c r="AS7" s="53"/>
      <c r="AT7" s="53"/>
      <c r="AU7" s="53"/>
      <c r="AV7" s="444" t="s">
        <v>6</v>
      </c>
      <c r="AW7" s="53"/>
      <c r="AX7" s="57"/>
      <c r="AY7" s="53" t="s">
        <v>14</v>
      </c>
      <c r="AZ7" s="15">
        <f>AV8/AV9</f>
        <v>0.43333333333333335</v>
      </c>
      <c r="BA7" s="42"/>
      <c r="BB7" s="12" t="s">
        <v>13</v>
      </c>
      <c r="BC7" s="5"/>
      <c r="BD7" s="5"/>
      <c r="BE7" s="5"/>
      <c r="BF7" s="856" t="s">
        <v>24</v>
      </c>
      <c r="BG7" s="5"/>
      <c r="BH7" s="69"/>
      <c r="BI7" s="5" t="s">
        <v>14</v>
      </c>
      <c r="BJ7" s="148">
        <f>BF8/BF9</f>
        <v>0.53366058906030855</v>
      </c>
      <c r="BK7" s="42"/>
      <c r="BL7" s="19" t="s">
        <v>7</v>
      </c>
      <c r="BM7" s="63"/>
      <c r="BN7" s="20"/>
      <c r="BO7" s="20"/>
      <c r="BP7" s="21">
        <v>4</v>
      </c>
      <c r="BQ7" s="20"/>
      <c r="BR7" s="20"/>
      <c r="BS7" s="20"/>
      <c r="BT7" s="39"/>
      <c r="BV7" s="19" t="s">
        <v>7</v>
      </c>
      <c r="BW7" s="63"/>
      <c r="BX7" s="20"/>
      <c r="BY7" s="20"/>
      <c r="BZ7" s="21">
        <v>1</v>
      </c>
      <c r="CA7" s="20"/>
      <c r="CB7" s="20"/>
      <c r="CC7" s="20"/>
      <c r="CD7" s="39"/>
      <c r="CF7" s="19" t="s">
        <v>7</v>
      </c>
      <c r="CG7" s="63"/>
      <c r="CH7" s="20"/>
      <c r="CI7" s="20"/>
      <c r="CJ7" s="284">
        <v>12</v>
      </c>
      <c r="CK7" s="20"/>
      <c r="CL7" s="20"/>
      <c r="CM7" s="20"/>
      <c r="CN7" s="39"/>
      <c r="CO7" s="1348"/>
      <c r="CP7" s="19" t="s">
        <v>7</v>
      </c>
      <c r="CQ7" s="63"/>
      <c r="CR7" s="20"/>
      <c r="CS7" s="20"/>
      <c r="CT7" s="284">
        <v>1</v>
      </c>
      <c r="CU7" s="20"/>
      <c r="CV7" s="20"/>
      <c r="CW7" s="20"/>
      <c r="CX7" s="39"/>
    </row>
    <row r="8" spans="2:102" x14ac:dyDescent="0.3">
      <c r="B8" s="4" t="s">
        <v>16</v>
      </c>
      <c r="C8" s="53"/>
      <c r="D8" s="53"/>
      <c r="E8" s="53"/>
      <c r="F8" s="115">
        <v>1232</v>
      </c>
      <c r="G8" s="53"/>
      <c r="H8" s="57"/>
      <c r="I8" s="53" t="s">
        <v>19</v>
      </c>
      <c r="J8" s="15">
        <f>F8/F13</f>
        <v>0.38024691358024693</v>
      </c>
      <c r="K8" s="141"/>
      <c r="L8" s="141"/>
      <c r="N8" s="4" t="s">
        <v>16</v>
      </c>
      <c r="O8" s="53"/>
      <c r="P8" s="53"/>
      <c r="Q8" s="53"/>
      <c r="R8" s="115">
        <v>332</v>
      </c>
      <c r="S8" s="53"/>
      <c r="T8" s="57"/>
      <c r="U8" s="53" t="s">
        <v>19</v>
      </c>
      <c r="V8" s="15">
        <f>R8/R13</f>
        <v>0.38425925925925924</v>
      </c>
      <c r="X8" s="4" t="s">
        <v>16</v>
      </c>
      <c r="Y8" s="53"/>
      <c r="Z8" s="53"/>
      <c r="AA8" s="53"/>
      <c r="AB8" s="115">
        <v>145</v>
      </c>
      <c r="AC8" s="53"/>
      <c r="AD8" s="57"/>
      <c r="AE8" s="53" t="s">
        <v>19</v>
      </c>
      <c r="AF8" s="15">
        <f>AB8/AB11</f>
        <v>0.86826347305389218</v>
      </c>
      <c r="AG8" s="42"/>
      <c r="AH8" s="4" t="s">
        <v>16</v>
      </c>
      <c r="AI8" s="53"/>
      <c r="AJ8" s="53"/>
      <c r="AK8" s="53"/>
      <c r="AL8" s="115">
        <v>235</v>
      </c>
      <c r="AM8" s="53"/>
      <c r="AN8" s="57"/>
      <c r="AO8" s="53" t="s">
        <v>19</v>
      </c>
      <c r="AP8" s="15">
        <f>AL8/AL13</f>
        <v>0.23906408952187183</v>
      </c>
      <c r="AQ8" s="42"/>
      <c r="AR8" s="4" t="s">
        <v>16</v>
      </c>
      <c r="AS8" s="53"/>
      <c r="AT8" s="53"/>
      <c r="AU8" s="53"/>
      <c r="AV8" s="115">
        <v>260</v>
      </c>
      <c r="AW8" s="53"/>
      <c r="AX8" s="57"/>
      <c r="AY8" s="53" t="s">
        <v>19</v>
      </c>
      <c r="AZ8" s="15">
        <f>AV8/AV13</f>
        <v>0.35961272475795297</v>
      </c>
      <c r="BA8" s="42"/>
      <c r="BB8" s="4" t="s">
        <v>16</v>
      </c>
      <c r="BC8" s="53"/>
      <c r="BD8" s="53"/>
      <c r="BE8" s="53"/>
      <c r="BF8" s="115">
        <v>761</v>
      </c>
      <c r="BG8" s="53"/>
      <c r="BH8" s="57"/>
      <c r="BI8" s="53" t="s">
        <v>19</v>
      </c>
      <c r="BJ8" s="15">
        <f>BF8/BF13</f>
        <v>0.41928374655647382</v>
      </c>
      <c r="BK8" s="42"/>
      <c r="BL8" s="4" t="s">
        <v>13</v>
      </c>
      <c r="BM8" s="53"/>
      <c r="BN8" s="53"/>
      <c r="BO8" s="53"/>
      <c r="BP8" s="47" t="s">
        <v>6</v>
      </c>
      <c r="BQ8" s="53"/>
      <c r="BR8" s="57"/>
      <c r="BS8" s="53" t="s">
        <v>14</v>
      </c>
      <c r="BT8" s="15">
        <f>BP9/BP10</f>
        <v>0.4</v>
      </c>
      <c r="BV8" s="4" t="s">
        <v>13</v>
      </c>
      <c r="BW8" s="53"/>
      <c r="BX8" s="53"/>
      <c r="BY8" s="53"/>
      <c r="BZ8" s="47" t="s">
        <v>24</v>
      </c>
      <c r="CA8" s="53"/>
      <c r="CB8" s="57"/>
      <c r="CC8" s="53" t="s">
        <v>14</v>
      </c>
      <c r="CD8" s="15">
        <f>BZ9/BZ10</f>
        <v>0.32786885245901637</v>
      </c>
      <c r="CF8" s="4" t="s">
        <v>13</v>
      </c>
      <c r="CG8" s="53"/>
      <c r="CH8" s="53"/>
      <c r="CI8" s="53"/>
      <c r="CJ8" s="444" t="s">
        <v>38</v>
      </c>
      <c r="CK8" s="53"/>
      <c r="CL8" s="57"/>
      <c r="CM8" s="53" t="s">
        <v>14</v>
      </c>
      <c r="CN8" s="15">
        <f>CJ9/CJ10</f>
        <v>0.67017543859649131</v>
      </c>
      <c r="CO8" s="141"/>
      <c r="CP8" s="4" t="s">
        <v>13</v>
      </c>
      <c r="CQ8" s="53"/>
      <c r="CR8" s="53"/>
      <c r="CS8" s="53"/>
      <c r="CT8" s="444" t="s">
        <v>38</v>
      </c>
      <c r="CU8" s="53"/>
      <c r="CV8" s="57"/>
      <c r="CW8" s="53" t="s">
        <v>14</v>
      </c>
      <c r="CX8" s="15">
        <f>CT9/CT10</f>
        <v>0.7614840989399293</v>
      </c>
    </row>
    <row r="9" spans="2:102" x14ac:dyDescent="0.3">
      <c r="B9" s="4" t="s">
        <v>18</v>
      </c>
      <c r="C9" s="53"/>
      <c r="D9" s="53"/>
      <c r="E9" s="53"/>
      <c r="F9" s="115">
        <v>2935</v>
      </c>
      <c r="G9" s="9" t="s">
        <v>311</v>
      </c>
      <c r="H9" s="53"/>
      <c r="I9" s="53"/>
      <c r="J9" s="18"/>
      <c r="K9" s="388"/>
      <c r="L9" s="388"/>
      <c r="N9" s="4" t="s">
        <v>18</v>
      </c>
      <c r="O9" s="53"/>
      <c r="P9" s="53"/>
      <c r="Q9" s="53"/>
      <c r="R9" s="115">
        <v>455</v>
      </c>
      <c r="S9" s="9"/>
      <c r="T9" s="53"/>
      <c r="U9" s="53"/>
      <c r="V9" s="18"/>
      <c r="X9" s="4" t="s">
        <v>18</v>
      </c>
      <c r="Y9" s="53"/>
      <c r="Z9" s="53"/>
      <c r="AA9" s="53"/>
      <c r="AB9" s="115">
        <v>160</v>
      </c>
      <c r="AC9" s="9"/>
      <c r="AD9" s="53"/>
      <c r="AE9" s="53"/>
      <c r="AF9" s="18"/>
      <c r="AG9" s="42"/>
      <c r="AH9" s="4" t="s">
        <v>18</v>
      </c>
      <c r="AI9" s="53"/>
      <c r="AJ9" s="53"/>
      <c r="AK9" s="53"/>
      <c r="AL9" s="115">
        <v>850</v>
      </c>
      <c r="AM9" s="9" t="s">
        <v>311</v>
      </c>
      <c r="AN9" s="53"/>
      <c r="AO9" s="53"/>
      <c r="AP9" s="18"/>
      <c r="AQ9" s="42"/>
      <c r="AR9" s="4" t="s">
        <v>18</v>
      </c>
      <c r="AS9" s="53"/>
      <c r="AT9" s="53"/>
      <c r="AU9" s="53"/>
      <c r="AV9" s="115">
        <v>600</v>
      </c>
      <c r="AW9" s="9" t="s">
        <v>311</v>
      </c>
      <c r="AX9" s="53"/>
      <c r="AY9" s="53"/>
      <c r="AZ9" s="18"/>
      <c r="BA9" s="42"/>
      <c r="BB9" s="4" t="s">
        <v>18</v>
      </c>
      <c r="BC9" s="53"/>
      <c r="BD9" s="53"/>
      <c r="BE9" s="53"/>
      <c r="BF9" s="115">
        <v>1426</v>
      </c>
      <c r="BG9" s="9"/>
      <c r="BH9" s="53"/>
      <c r="BI9" s="53"/>
      <c r="BJ9" s="18"/>
      <c r="BK9" s="42"/>
      <c r="BL9" s="4" t="s">
        <v>16</v>
      </c>
      <c r="BM9" s="53"/>
      <c r="BN9" s="53"/>
      <c r="BO9" s="53"/>
      <c r="BP9" s="115">
        <v>82</v>
      </c>
      <c r="BQ9" s="53"/>
      <c r="BR9" s="57"/>
      <c r="BS9" s="53" t="s">
        <v>19</v>
      </c>
      <c r="BT9" s="15">
        <f>BP9/BP14</f>
        <v>0.3203125</v>
      </c>
      <c r="BV9" s="4" t="s">
        <v>16</v>
      </c>
      <c r="BW9" s="53"/>
      <c r="BX9" s="53"/>
      <c r="BY9" s="53"/>
      <c r="BZ9" s="115">
        <v>200</v>
      </c>
      <c r="CA9" s="53"/>
      <c r="CB9" s="57"/>
      <c r="CC9" s="53" t="s">
        <v>19</v>
      </c>
      <c r="CD9" s="15">
        <f>BZ9/BZ14</f>
        <v>0.28050490883590462</v>
      </c>
      <c r="CF9" s="4" t="s">
        <v>16</v>
      </c>
      <c r="CG9" s="53"/>
      <c r="CH9" s="53"/>
      <c r="CI9" s="53"/>
      <c r="CJ9" s="115">
        <v>76.400000000000006</v>
      </c>
      <c r="CK9" s="53"/>
      <c r="CL9" s="57"/>
      <c r="CM9" s="53" t="s">
        <v>19</v>
      </c>
      <c r="CN9" s="15">
        <f>CJ9/CJ12</f>
        <v>0.60157480314960632</v>
      </c>
      <c r="CO9" s="141"/>
      <c r="CP9" s="4" t="s">
        <v>16</v>
      </c>
      <c r="CQ9" s="53"/>
      <c r="CR9" s="53"/>
      <c r="CS9" s="53"/>
      <c r="CT9" s="115">
        <v>862</v>
      </c>
      <c r="CU9" s="53"/>
      <c r="CV9" s="57"/>
      <c r="CW9" s="53" t="s">
        <v>19</v>
      </c>
      <c r="CX9" s="15">
        <f>CT9/CT12</f>
        <v>0.73174872665534807</v>
      </c>
    </row>
    <row r="10" spans="2:102" s="42" customFormat="1" x14ac:dyDescent="0.3">
      <c r="B10" s="4" t="s">
        <v>20</v>
      </c>
      <c r="C10" s="53"/>
      <c r="D10" s="53"/>
      <c r="E10" s="53"/>
      <c r="F10" s="115">
        <v>920</v>
      </c>
      <c r="G10" s="53"/>
      <c r="H10" s="53"/>
      <c r="I10" s="53"/>
      <c r="J10" s="18"/>
      <c r="K10" s="388"/>
      <c r="L10" s="388"/>
      <c r="N10" s="4" t="s">
        <v>20</v>
      </c>
      <c r="O10" s="53"/>
      <c r="P10" s="53"/>
      <c r="Q10" s="53"/>
      <c r="R10" s="115">
        <v>294</v>
      </c>
      <c r="S10" s="53"/>
      <c r="T10" s="53"/>
      <c r="U10" s="53"/>
      <c r="V10" s="18"/>
      <c r="X10" s="4" t="s">
        <v>23</v>
      </c>
      <c r="Y10" s="53"/>
      <c r="Z10" s="53"/>
      <c r="AA10" s="53"/>
      <c r="AB10" s="115">
        <v>160</v>
      </c>
      <c r="AC10" s="53"/>
      <c r="AD10" s="53"/>
      <c r="AE10" s="53"/>
      <c r="AF10" s="18"/>
      <c r="AH10" s="4" t="s">
        <v>20</v>
      </c>
      <c r="AI10" s="53"/>
      <c r="AJ10" s="53"/>
      <c r="AK10" s="53"/>
      <c r="AL10" s="115">
        <v>510</v>
      </c>
      <c r="AM10" s="53"/>
      <c r="AN10" s="53"/>
      <c r="AO10" s="53"/>
      <c r="AP10" s="18"/>
      <c r="AR10" s="4" t="s">
        <v>20</v>
      </c>
      <c r="AS10" s="53"/>
      <c r="AT10" s="53"/>
      <c r="AU10" s="53"/>
      <c r="AV10" s="115">
        <v>140</v>
      </c>
      <c r="AW10" s="53"/>
      <c r="AX10" s="53"/>
      <c r="AY10" s="53"/>
      <c r="AZ10" s="18"/>
      <c r="BB10" s="4" t="s">
        <v>20</v>
      </c>
      <c r="BC10" s="53"/>
      <c r="BD10" s="53"/>
      <c r="BE10" s="53"/>
      <c r="BF10" s="115">
        <v>245</v>
      </c>
      <c r="BG10" s="53"/>
      <c r="BH10" s="53"/>
      <c r="BI10" s="53"/>
      <c r="BJ10" s="18"/>
      <c r="BL10" s="4" t="s">
        <v>18</v>
      </c>
      <c r="BM10" s="53"/>
      <c r="BN10" s="53"/>
      <c r="BO10" s="53"/>
      <c r="BP10" s="115">
        <v>205</v>
      </c>
      <c r="BQ10" s="9" t="s">
        <v>311</v>
      </c>
      <c r="BR10" s="53"/>
      <c r="BS10" s="53"/>
      <c r="BT10" s="18"/>
      <c r="BU10"/>
      <c r="BV10" s="4" t="s">
        <v>18</v>
      </c>
      <c r="BW10" s="53"/>
      <c r="BX10" s="53"/>
      <c r="BY10" s="53"/>
      <c r="BZ10" s="115">
        <v>610</v>
      </c>
      <c r="CA10" s="9" t="s">
        <v>311</v>
      </c>
      <c r="CB10" s="53"/>
      <c r="CC10" s="53"/>
      <c r="CD10" s="18"/>
      <c r="CE10"/>
      <c r="CF10" s="4" t="s">
        <v>18</v>
      </c>
      <c r="CG10" s="53"/>
      <c r="CH10" s="53"/>
      <c r="CI10" s="53"/>
      <c r="CJ10" s="115">
        <v>114</v>
      </c>
      <c r="CK10" s="9"/>
      <c r="CL10" s="53"/>
      <c r="CM10" s="53"/>
      <c r="CN10" s="18"/>
      <c r="CO10" s="388"/>
      <c r="CP10" s="4" t="s">
        <v>18</v>
      </c>
      <c r="CQ10" s="53"/>
      <c r="CR10" s="53"/>
      <c r="CS10" s="53"/>
      <c r="CT10" s="115">
        <v>1132</v>
      </c>
      <c r="CU10" s="9"/>
      <c r="CV10" s="53"/>
      <c r="CW10" s="53"/>
      <c r="CX10" s="18"/>
    </row>
    <row r="11" spans="2:102" s="42" customFormat="1" ht="15" thickBot="1" x14ac:dyDescent="0.35">
      <c r="B11" s="4" t="s">
        <v>310</v>
      </c>
      <c r="C11" s="53"/>
      <c r="D11" s="53"/>
      <c r="E11" s="53"/>
      <c r="F11" s="115">
        <v>180</v>
      </c>
      <c r="G11" s="53"/>
      <c r="H11" s="53"/>
      <c r="I11" s="53"/>
      <c r="J11" s="18"/>
      <c r="K11" s="388"/>
      <c r="L11" s="388"/>
      <c r="N11" s="4" t="s">
        <v>310</v>
      </c>
      <c r="O11" s="53"/>
      <c r="P11" s="53"/>
      <c r="Q11" s="53"/>
      <c r="R11" s="115">
        <v>81</v>
      </c>
      <c r="S11" s="53"/>
      <c r="T11" s="53"/>
      <c r="U11" s="53"/>
      <c r="V11" s="18"/>
      <c r="X11" s="19" t="s">
        <v>28</v>
      </c>
      <c r="Y11" s="20"/>
      <c r="Z11" s="20"/>
      <c r="AA11" s="20"/>
      <c r="AB11" s="116">
        <f>ROUNDUP(AB10*1.04,0)</f>
        <v>167</v>
      </c>
      <c r="AC11" s="20"/>
      <c r="AD11" s="20"/>
      <c r="AE11" s="20"/>
      <c r="AF11" s="22"/>
      <c r="AH11" s="4" t="s">
        <v>310</v>
      </c>
      <c r="AI11" s="53"/>
      <c r="AJ11" s="53"/>
      <c r="AK11" s="53"/>
      <c r="AL11" s="115">
        <v>95</v>
      </c>
      <c r="AM11" s="53"/>
      <c r="AN11" s="53"/>
      <c r="AO11" s="53"/>
      <c r="AP11" s="18"/>
      <c r="AR11" s="4" t="s">
        <v>310</v>
      </c>
      <c r="AS11" s="53"/>
      <c r="AT11" s="53"/>
      <c r="AU11" s="53"/>
      <c r="AV11" s="115">
        <v>95</v>
      </c>
      <c r="AW11" s="53"/>
      <c r="AX11" s="53"/>
      <c r="AY11" s="53"/>
      <c r="AZ11" s="18"/>
      <c r="BB11" s="4" t="s">
        <v>310</v>
      </c>
      <c r="BC11" s="53"/>
      <c r="BD11" s="53"/>
      <c r="BE11" s="53"/>
      <c r="BF11" s="115">
        <v>74</v>
      </c>
      <c r="BG11" s="53"/>
      <c r="BH11" s="53"/>
      <c r="BI11" s="53"/>
      <c r="BJ11" s="18"/>
      <c r="BL11" s="4" t="s">
        <v>20</v>
      </c>
      <c r="BM11" s="53"/>
      <c r="BN11" s="53"/>
      <c r="BO11" s="53"/>
      <c r="BP11" s="115">
        <v>31</v>
      </c>
      <c r="BQ11" s="53"/>
      <c r="BR11" s="53"/>
      <c r="BS11" s="53"/>
      <c r="BT11" s="18"/>
      <c r="BV11" s="4" t="s">
        <v>20</v>
      </c>
      <c r="BW11" s="53"/>
      <c r="BX11" s="53"/>
      <c r="BY11" s="53"/>
      <c r="BZ11" s="115">
        <v>172</v>
      </c>
      <c r="CA11" s="53"/>
      <c r="CB11" s="53"/>
      <c r="CC11" s="53"/>
      <c r="CD11" s="18"/>
      <c r="CF11" s="4" t="s">
        <v>23</v>
      </c>
      <c r="CG11" s="53"/>
      <c r="CH11" s="53"/>
      <c r="CI11" s="53"/>
      <c r="CJ11" s="115">
        <v>122</v>
      </c>
      <c r="CK11" s="53"/>
      <c r="CL11" s="53"/>
      <c r="CM11" s="53"/>
      <c r="CN11" s="18"/>
      <c r="CO11" s="388"/>
      <c r="CP11" s="4" t="s">
        <v>23</v>
      </c>
      <c r="CQ11" s="53"/>
      <c r="CR11" s="53"/>
      <c r="CS11" s="53"/>
      <c r="CT11" s="115">
        <v>1132</v>
      </c>
      <c r="CU11" s="53"/>
      <c r="CV11" s="53"/>
      <c r="CW11" s="53"/>
      <c r="CX11" s="18"/>
    </row>
    <row r="12" spans="2:102" ht="15" thickBot="1" x14ac:dyDescent="0.35">
      <c r="B12" s="4" t="s">
        <v>23</v>
      </c>
      <c r="C12" s="53"/>
      <c r="D12" s="53"/>
      <c r="E12" s="53"/>
      <c r="F12" s="115">
        <f>F9+F11</f>
        <v>3115</v>
      </c>
      <c r="G12" s="53"/>
      <c r="H12" s="53" t="s">
        <v>893</v>
      </c>
      <c r="I12" s="53"/>
      <c r="J12" s="18"/>
      <c r="K12" s="388"/>
      <c r="L12" s="388"/>
      <c r="N12" s="4" t="s">
        <v>23</v>
      </c>
      <c r="O12" s="53"/>
      <c r="P12" s="53"/>
      <c r="Q12" s="53"/>
      <c r="R12" s="115">
        <v>830</v>
      </c>
      <c r="S12" s="53"/>
      <c r="T12" s="53"/>
      <c r="U12" s="53"/>
      <c r="V12" s="18"/>
      <c r="X12" s="12"/>
      <c r="Y12" s="5"/>
      <c r="Z12" s="127"/>
      <c r="AA12" s="44"/>
      <c r="AB12" s="128"/>
      <c r="AC12" s="5"/>
      <c r="AD12" s="5"/>
      <c r="AE12" s="129"/>
      <c r="AF12" s="130"/>
      <c r="AG12" s="42"/>
      <c r="AH12" s="4" t="s">
        <v>23</v>
      </c>
      <c r="AI12" s="53"/>
      <c r="AJ12" s="53"/>
      <c r="AK12" s="53"/>
      <c r="AL12" s="115">
        <f>AL9+AL11</f>
        <v>945</v>
      </c>
      <c r="AM12" s="53"/>
      <c r="AN12" s="53"/>
      <c r="AO12" s="53"/>
      <c r="AP12" s="18"/>
      <c r="AQ12" s="42"/>
      <c r="AR12" s="4" t="s">
        <v>23</v>
      </c>
      <c r="AS12" s="53"/>
      <c r="AT12" s="53"/>
      <c r="AU12" s="53"/>
      <c r="AV12" s="115">
        <f>AV9+AV11</f>
        <v>695</v>
      </c>
      <c r="AW12" s="53"/>
      <c r="AX12" s="53"/>
      <c r="AY12" s="53"/>
      <c r="AZ12" s="18"/>
      <c r="BA12" s="42"/>
      <c r="BB12" s="4" t="s">
        <v>23</v>
      </c>
      <c r="BC12" s="53"/>
      <c r="BD12" s="53"/>
      <c r="BE12" s="53"/>
      <c r="BF12" s="115">
        <f>BF9+BF11+BF10</f>
        <v>1745</v>
      </c>
      <c r="BG12" s="53"/>
      <c r="BH12" s="53"/>
      <c r="BI12" s="53"/>
      <c r="BJ12" s="18"/>
      <c r="BK12" s="42"/>
      <c r="BL12" s="4" t="s">
        <v>310</v>
      </c>
      <c r="BM12" s="53"/>
      <c r="BN12" s="53"/>
      <c r="BO12" s="53"/>
      <c r="BP12" s="115">
        <v>10</v>
      </c>
      <c r="BQ12" s="53"/>
      <c r="BR12" s="53"/>
      <c r="BS12" s="53"/>
      <c r="BT12" s="18"/>
      <c r="BU12" s="42"/>
      <c r="BV12" s="4" t="s">
        <v>310</v>
      </c>
      <c r="BW12" s="53"/>
      <c r="BX12" s="53"/>
      <c r="BY12" s="53"/>
      <c r="BZ12" s="115">
        <v>75</v>
      </c>
      <c r="CA12" s="53"/>
      <c r="CB12" s="53"/>
      <c r="CC12" s="53"/>
      <c r="CD12" s="18"/>
      <c r="CE12" s="42"/>
      <c r="CF12" s="19" t="s">
        <v>28</v>
      </c>
      <c r="CG12" s="20"/>
      <c r="CH12" s="20"/>
      <c r="CI12" s="20"/>
      <c r="CJ12" s="116">
        <f>ROUNDUP(CJ11*1.04,0)</f>
        <v>127</v>
      </c>
      <c r="CK12" s="20"/>
      <c r="CL12" s="20"/>
      <c r="CM12" s="20"/>
      <c r="CN12" s="1085"/>
      <c r="CO12" s="388"/>
      <c r="CP12" s="19" t="s">
        <v>28</v>
      </c>
      <c r="CQ12" s="20"/>
      <c r="CR12" s="20"/>
      <c r="CS12" s="20"/>
      <c r="CT12" s="116">
        <f>ROUNDUP(CT11*1.04,0)</f>
        <v>1178</v>
      </c>
      <c r="CU12" s="20"/>
      <c r="CV12" s="20"/>
      <c r="CW12" s="20"/>
      <c r="CX12" s="1290"/>
    </row>
    <row r="13" spans="2:102" ht="15" thickBot="1" x14ac:dyDescent="0.35">
      <c r="B13" s="19" t="s">
        <v>28</v>
      </c>
      <c r="C13" s="20"/>
      <c r="D13" s="20"/>
      <c r="E13" s="20"/>
      <c r="F13" s="116">
        <f>ROUNDUP(F12*1.04,0)</f>
        <v>3240</v>
      </c>
      <c r="G13" s="20"/>
      <c r="H13" s="20"/>
      <c r="I13" s="20"/>
      <c r="J13" s="22"/>
      <c r="K13" s="388"/>
      <c r="L13" s="388"/>
      <c r="N13" s="19" t="s">
        <v>28</v>
      </c>
      <c r="O13" s="20"/>
      <c r="P13" s="20"/>
      <c r="Q13" s="20"/>
      <c r="R13" s="116">
        <f>ROUNDUP(R12*1.04,0)</f>
        <v>864</v>
      </c>
      <c r="S13" s="20"/>
      <c r="T13" s="20"/>
      <c r="U13" s="20"/>
      <c r="V13" s="22"/>
      <c r="X13" s="4"/>
      <c r="Y13" s="53"/>
      <c r="Z13" s="53"/>
      <c r="AA13" s="53"/>
      <c r="AB13" s="53"/>
      <c r="AC13" s="51"/>
      <c r="AD13" s="277"/>
      <c r="AE13" s="23"/>
      <c r="AF13" s="24"/>
      <c r="AG13" s="42"/>
      <c r="AH13" s="19" t="s">
        <v>28</v>
      </c>
      <c r="AI13" s="20"/>
      <c r="AJ13" s="20"/>
      <c r="AK13" s="20"/>
      <c r="AL13" s="116">
        <f>ROUNDUP(AL12*1.04,0)</f>
        <v>983</v>
      </c>
      <c r="AM13" s="20"/>
      <c r="AN13" s="20"/>
      <c r="AO13" s="20"/>
      <c r="AP13" s="22"/>
      <c r="AQ13" s="42"/>
      <c r="AR13" s="19" t="s">
        <v>28</v>
      </c>
      <c r="AS13" s="20"/>
      <c r="AT13" s="20"/>
      <c r="AU13" s="20"/>
      <c r="AV13" s="116">
        <f>ROUNDUP(AV12*1.04,0)</f>
        <v>723</v>
      </c>
      <c r="AW13" s="20"/>
      <c r="AX13" s="20"/>
      <c r="AY13" s="20"/>
      <c r="AZ13" s="22"/>
      <c r="BA13" s="42"/>
      <c r="BB13" s="19" t="s">
        <v>28</v>
      </c>
      <c r="BC13" s="20"/>
      <c r="BD13" s="20"/>
      <c r="BE13" s="20"/>
      <c r="BF13" s="116">
        <f>ROUNDUP(BF12*1.04,0)</f>
        <v>1815</v>
      </c>
      <c r="BG13" s="20"/>
      <c r="BH13" s="20"/>
      <c r="BI13" s="20"/>
      <c r="BJ13" s="22"/>
      <c r="BK13" s="42"/>
      <c r="BL13" s="4" t="s">
        <v>23</v>
      </c>
      <c r="BM13" s="53"/>
      <c r="BN13" s="53"/>
      <c r="BO13" s="53"/>
      <c r="BP13" s="115">
        <f>SUM(BP10:BP12)</f>
        <v>246</v>
      </c>
      <c r="BQ13" s="53"/>
      <c r="BR13" s="53"/>
      <c r="BS13" s="53"/>
      <c r="BT13" s="18"/>
      <c r="BV13" s="4" t="s">
        <v>23</v>
      </c>
      <c r="BW13" s="53"/>
      <c r="BX13" s="53"/>
      <c r="BY13" s="53"/>
      <c r="BZ13" s="115">
        <f>BZ10+BZ12</f>
        <v>685</v>
      </c>
      <c r="CA13" s="53"/>
      <c r="CB13" s="53"/>
      <c r="CC13" s="53"/>
      <c r="CD13" s="18"/>
      <c r="CF13" s="1086"/>
      <c r="CG13" s="1087"/>
      <c r="CH13" s="1087"/>
      <c r="CI13" s="1088"/>
      <c r="CJ13" s="1089"/>
      <c r="CK13" s="1087"/>
      <c r="CL13" s="1087"/>
      <c r="CM13" s="129"/>
      <c r="CN13" s="130"/>
      <c r="CO13" s="23"/>
      <c r="CP13" s="1086"/>
      <c r="CQ13" s="1087"/>
      <c r="CR13" s="1087"/>
      <c r="CS13" s="1088"/>
      <c r="CT13" s="1089"/>
      <c r="CU13" s="1087"/>
      <c r="CV13" s="1087"/>
      <c r="CW13" s="129"/>
      <c r="CX13" s="130"/>
    </row>
    <row r="14" spans="2:102" ht="15" thickBot="1" x14ac:dyDescent="0.35">
      <c r="B14" s="12"/>
      <c r="C14" s="5"/>
      <c r="D14" s="127"/>
      <c r="E14" s="44"/>
      <c r="F14" s="128"/>
      <c r="G14" s="5"/>
      <c r="H14" s="5"/>
      <c r="I14" s="129"/>
      <c r="J14" s="130"/>
      <c r="K14" s="23"/>
      <c r="L14" s="23"/>
      <c r="N14" s="12"/>
      <c r="O14" s="5"/>
      <c r="P14" s="127"/>
      <c r="Q14" s="44"/>
      <c r="R14" s="128"/>
      <c r="S14" s="5"/>
      <c r="T14" s="5"/>
      <c r="U14" s="129"/>
      <c r="V14" s="130"/>
      <c r="X14" s="4"/>
      <c r="Y14" s="53"/>
      <c r="Z14" s="53"/>
      <c r="AA14" s="53"/>
      <c r="AB14" s="53"/>
      <c r="AC14" s="53"/>
      <c r="AD14" s="45"/>
      <c r="AE14" s="23"/>
      <c r="AF14" s="24"/>
      <c r="AG14" s="42"/>
      <c r="AH14" s="4"/>
      <c r="AI14" s="53"/>
      <c r="AJ14" s="103"/>
      <c r="AK14" s="45"/>
      <c r="AL14" s="35"/>
      <c r="AM14" s="53"/>
      <c r="AN14" s="53"/>
      <c r="AO14" s="23"/>
      <c r="AP14" s="24"/>
      <c r="AQ14" s="42"/>
      <c r="AR14" s="4"/>
      <c r="AS14" s="53"/>
      <c r="AT14" s="103"/>
      <c r="AU14" s="45"/>
      <c r="AV14" s="35"/>
      <c r="AW14" s="53"/>
      <c r="AX14" s="53"/>
      <c r="AY14" s="23"/>
      <c r="AZ14" s="24"/>
      <c r="BA14" s="42"/>
      <c r="BB14" s="4"/>
      <c r="BC14" s="53"/>
      <c r="BD14" s="103"/>
      <c r="BE14" s="45"/>
      <c r="BF14" s="35"/>
      <c r="BG14" s="53"/>
      <c r="BH14" s="53"/>
      <c r="BI14" s="23"/>
      <c r="BJ14" s="24"/>
      <c r="BK14" s="42"/>
      <c r="BL14" s="19" t="s">
        <v>28</v>
      </c>
      <c r="BM14" s="20"/>
      <c r="BN14" s="20"/>
      <c r="BO14" s="20"/>
      <c r="BP14" s="116">
        <f>ROUNDUP(BP13*1.04,0)</f>
        <v>256</v>
      </c>
      <c r="BQ14" s="20"/>
      <c r="BR14" s="20"/>
      <c r="BS14" s="20"/>
      <c r="BT14" s="22"/>
      <c r="BV14" s="19" t="s">
        <v>28</v>
      </c>
      <c r="BW14" s="20"/>
      <c r="BX14" s="20"/>
      <c r="BY14" s="20"/>
      <c r="BZ14" s="116">
        <f>ROUNDUP(BZ13*1.04,0)</f>
        <v>713</v>
      </c>
      <c r="CA14" s="20"/>
      <c r="CB14" s="20"/>
      <c r="CC14" s="20"/>
      <c r="CD14" s="22"/>
      <c r="CF14" s="903"/>
      <c r="CG14" s="904"/>
      <c r="CH14" s="904"/>
      <c r="CI14" s="1093"/>
      <c r="CJ14" s="904"/>
      <c r="CK14" s="50"/>
      <c r="CL14" s="1090"/>
      <c r="CM14" s="23"/>
      <c r="CN14" s="24"/>
      <c r="CO14" s="23"/>
      <c r="CP14" s="903"/>
      <c r="CQ14" s="904"/>
      <c r="CR14" s="904"/>
      <c r="CS14" s="1093"/>
      <c r="CT14" s="904"/>
      <c r="CU14" s="50"/>
      <c r="CV14" s="1090"/>
      <c r="CW14" s="23"/>
      <c r="CX14" s="24"/>
    </row>
    <row r="15" spans="2:102" x14ac:dyDescent="0.3">
      <c r="B15" s="903"/>
      <c r="C15" s="904"/>
      <c r="D15" s="904"/>
      <c r="E15" s="904"/>
      <c r="F15" s="904" t="s">
        <v>888</v>
      </c>
      <c r="G15" s="904"/>
      <c r="H15" s="904"/>
      <c r="I15" s="23"/>
      <c r="J15" s="24"/>
      <c r="K15" s="23"/>
      <c r="L15" s="23"/>
      <c r="N15" s="4"/>
      <c r="O15" s="53"/>
      <c r="P15" s="53"/>
      <c r="Q15" s="53"/>
      <c r="R15" s="53"/>
      <c r="S15" s="51" t="s">
        <v>358</v>
      </c>
      <c r="T15" s="277" t="s">
        <v>359</v>
      </c>
      <c r="U15" s="23"/>
      <c r="V15" s="24"/>
      <c r="X15" s="4"/>
      <c r="Y15" s="53"/>
      <c r="Z15" s="53"/>
      <c r="AA15" s="53"/>
      <c r="AB15" s="53"/>
      <c r="AC15" s="53"/>
      <c r="AD15" s="53"/>
      <c r="AE15" s="27"/>
      <c r="AF15" s="26"/>
      <c r="AG15" s="42"/>
      <c r="AH15" s="4"/>
      <c r="AI15" s="53"/>
      <c r="AJ15" s="53"/>
      <c r="AK15" s="53"/>
      <c r="AL15" s="53"/>
      <c r="AM15" s="53"/>
      <c r="AN15" s="53"/>
      <c r="AO15" s="23"/>
      <c r="AP15" s="24"/>
      <c r="AQ15" s="42"/>
      <c r="AR15" s="4"/>
      <c r="AS15" s="53"/>
      <c r="AT15" s="53"/>
      <c r="AU15" s="53"/>
      <c r="AV15" s="53"/>
      <c r="AW15" s="53"/>
      <c r="AX15" s="53"/>
      <c r="AY15" s="23"/>
      <c r="AZ15" s="24"/>
      <c r="BA15" s="42"/>
      <c r="BB15" s="4"/>
      <c r="BC15" s="53"/>
      <c r="BD15" s="53"/>
      <c r="BE15" s="846" t="s">
        <v>861</v>
      </c>
      <c r="BF15" s="53"/>
      <c r="BG15" s="53"/>
      <c r="BH15" s="53"/>
      <c r="BI15" s="23"/>
      <c r="BJ15" s="24"/>
      <c r="BK15" s="42"/>
      <c r="BL15" s="4"/>
      <c r="BM15" s="53"/>
      <c r="BN15" s="103"/>
      <c r="BO15" s="45"/>
      <c r="BP15" s="35"/>
      <c r="BQ15" s="53"/>
      <c r="BR15" s="53"/>
      <c r="BS15" s="23"/>
      <c r="BT15" s="24"/>
      <c r="BV15" s="4"/>
      <c r="BW15" s="53"/>
      <c r="BX15" s="103"/>
      <c r="BY15" s="45"/>
      <c r="BZ15" s="35"/>
      <c r="CA15" s="53"/>
      <c r="CB15" s="53"/>
      <c r="CC15" s="23"/>
      <c r="CD15" s="24"/>
      <c r="CF15" s="903"/>
      <c r="CG15" s="904"/>
      <c r="CH15" s="904"/>
      <c r="CI15" s="904"/>
      <c r="CJ15" s="904"/>
      <c r="CK15" s="904"/>
      <c r="CL15" s="905"/>
      <c r="CM15" s="23"/>
      <c r="CN15" s="24"/>
      <c r="CO15" s="23"/>
      <c r="CP15" s="903"/>
      <c r="CQ15" s="904"/>
      <c r="CR15" s="904"/>
      <c r="CS15" s="904"/>
      <c r="CT15" s="904"/>
      <c r="CU15" s="904"/>
      <c r="CV15" s="905"/>
      <c r="CW15" s="1388">
        <v>100</v>
      </c>
      <c r="CX15" s="24"/>
    </row>
    <row r="16" spans="2:102" x14ac:dyDescent="0.3">
      <c r="B16" s="903"/>
      <c r="C16" s="904"/>
      <c r="D16" s="904"/>
      <c r="E16" s="904"/>
      <c r="F16" s="904"/>
      <c r="G16" s="904"/>
      <c r="H16" s="905" t="str">
        <f>IF(Данные!V42=TRUE,"ХХ","")</f>
        <v/>
      </c>
      <c r="I16" s="23"/>
      <c r="J16" s="24"/>
      <c r="K16" s="23"/>
      <c r="L16" s="23"/>
      <c r="N16" s="4"/>
      <c r="O16" s="53"/>
      <c r="P16" s="53"/>
      <c r="Q16" s="53"/>
      <c r="R16" s="53"/>
      <c r="S16" s="53"/>
      <c r="T16" s="45" t="s">
        <v>360</v>
      </c>
      <c r="U16" s="23"/>
      <c r="V16" s="24"/>
      <c r="X16" s="4"/>
      <c r="Y16" s="53"/>
      <c r="Z16" s="53"/>
      <c r="AA16" s="53"/>
      <c r="AB16" s="53"/>
      <c r="AC16" s="57"/>
      <c r="AD16" s="57"/>
      <c r="AE16" s="57"/>
      <c r="AF16" s="10"/>
      <c r="AG16" s="42"/>
      <c r="AH16" s="4"/>
      <c r="AI16" s="53"/>
      <c r="AJ16" s="53"/>
      <c r="AK16" s="53"/>
      <c r="AL16" s="53"/>
      <c r="AM16" s="53"/>
      <c r="AN16" s="45" t="str">
        <f>IF(Данные!AM40=TRUE,"ХХ","")</f>
        <v/>
      </c>
      <c r="AO16" s="23"/>
      <c r="AP16" s="24"/>
      <c r="AQ16" s="42"/>
      <c r="AR16" s="4"/>
      <c r="AS16" s="53"/>
      <c r="AT16" s="53"/>
      <c r="AU16" s="53"/>
      <c r="AV16" s="53"/>
      <c r="AW16" s="53"/>
      <c r="AX16" s="45" t="str">
        <f>IF(Данные!AW42=TRUE,"ХХ","")</f>
        <v/>
      </c>
      <c r="AY16" s="23"/>
      <c r="AZ16" s="24"/>
      <c r="BA16" s="42"/>
      <c r="BB16" s="4"/>
      <c r="BC16" s="53"/>
      <c r="BD16" s="53"/>
      <c r="BE16" s="53"/>
      <c r="BF16" s="53"/>
      <c r="BG16" s="53"/>
      <c r="BH16" s="45" t="str">
        <f>IF(Данные!BF42=TRUE,"ХХ","")</f>
        <v/>
      </c>
      <c r="BI16" s="23"/>
      <c r="BJ16" s="24"/>
      <c r="BK16" s="42"/>
      <c r="BL16" s="4"/>
      <c r="BM16" s="53"/>
      <c r="BN16" s="53"/>
      <c r="BO16" s="53"/>
      <c r="BP16" s="53"/>
      <c r="BQ16" s="53"/>
      <c r="BR16" s="53"/>
      <c r="BS16" s="23"/>
      <c r="BT16" s="24"/>
      <c r="BV16" s="4"/>
      <c r="BW16" s="53"/>
      <c r="BX16" s="53"/>
      <c r="BY16" s="53"/>
      <c r="BZ16" s="53"/>
      <c r="CA16" s="53"/>
      <c r="CB16" s="53"/>
      <c r="CC16" s="23"/>
      <c r="CD16" s="24"/>
      <c r="CF16" s="903"/>
      <c r="CG16" s="904"/>
      <c r="CH16" s="904"/>
      <c r="CI16" s="1091"/>
      <c r="CJ16" s="904"/>
      <c r="CK16" s="904"/>
      <c r="CL16" s="904"/>
      <c r="CM16" s="28"/>
      <c r="CN16" s="26"/>
      <c r="CO16" s="145"/>
      <c r="CP16" s="903"/>
      <c r="CQ16" s="904"/>
      <c r="CR16" s="904"/>
      <c r="CS16" s="1091"/>
      <c r="CT16" s="904"/>
      <c r="CU16" s="904"/>
      <c r="CV16" s="904"/>
      <c r="CW16" s="1389"/>
      <c r="CX16" s="26"/>
    </row>
    <row r="17" spans="2:102" x14ac:dyDescent="0.3">
      <c r="B17" s="903"/>
      <c r="C17" s="904"/>
      <c r="D17" s="904"/>
      <c r="E17" s="904"/>
      <c r="F17" s="906" t="s">
        <v>887</v>
      </c>
      <c r="G17" s="904"/>
      <c r="H17" s="904" t="str">
        <f>IF(Данные!V42=TRUE,"ХХ","")</f>
        <v/>
      </c>
      <c r="I17" s="28"/>
      <c r="J17" s="26"/>
      <c r="K17" s="145"/>
      <c r="L17" s="145"/>
      <c r="N17" s="4"/>
      <c r="O17" s="53"/>
      <c r="P17" s="53"/>
      <c r="Q17" s="53"/>
      <c r="R17" s="53"/>
      <c r="S17" s="53"/>
      <c r="T17" s="53" t="s">
        <v>362</v>
      </c>
      <c r="U17" s="27"/>
      <c r="V17" s="26"/>
      <c r="X17" s="4"/>
      <c r="Y17" s="53"/>
      <c r="Z17" s="53"/>
      <c r="AA17" s="53"/>
      <c r="AB17" s="53"/>
      <c r="AC17" s="51"/>
      <c r="AD17" s="53"/>
      <c r="AE17" s="25"/>
      <c r="AF17" s="26"/>
      <c r="AG17" s="42"/>
      <c r="AH17" s="4"/>
      <c r="AI17" s="53"/>
      <c r="AJ17" s="53"/>
      <c r="AK17" s="53"/>
      <c r="AL17" s="53"/>
      <c r="AM17" s="53"/>
      <c r="AN17" s="53" t="str">
        <f>IF(Данные!AM40=TRUE,"ХХ","")</f>
        <v/>
      </c>
      <c r="AO17" s="27"/>
      <c r="AP17" s="26"/>
      <c r="AQ17" s="42"/>
      <c r="AR17" s="4"/>
      <c r="AS17" s="53"/>
      <c r="AT17" s="53"/>
      <c r="AU17" s="53"/>
      <c r="AV17" s="53"/>
      <c r="AW17" s="53"/>
      <c r="AX17" s="53" t="str">
        <f>IF(Данные!AW42=TRUE,"ХХ","")</f>
        <v/>
      </c>
      <c r="AY17" s="27"/>
      <c r="AZ17" s="26"/>
      <c r="BA17" s="42"/>
      <c r="BB17" s="4"/>
      <c r="BC17" s="53"/>
      <c r="BD17" s="53"/>
      <c r="BE17" s="53"/>
      <c r="BF17" s="53"/>
      <c r="BG17" s="53"/>
      <c r="BH17" s="53" t="str">
        <f>IF(Данные!BF42=TRUE,"ХХ","")</f>
        <v/>
      </c>
      <c r="BI17" s="27"/>
      <c r="BJ17" s="26"/>
      <c r="BK17" s="42"/>
      <c r="BL17" s="4"/>
      <c r="BM17" s="53"/>
      <c r="BN17" s="53"/>
      <c r="BO17" s="53"/>
      <c r="BP17" s="53"/>
      <c r="BQ17" s="53"/>
      <c r="BR17" s="45" t="str">
        <f>IF(Данные!B42=TRUE,"ХХ","")</f>
        <v/>
      </c>
      <c r="BS17" s="23"/>
      <c r="BT17" s="24"/>
      <c r="BV17" s="4"/>
      <c r="BW17" s="53"/>
      <c r="BX17" s="53"/>
      <c r="BY17" s="53"/>
      <c r="BZ17" s="53"/>
      <c r="CA17" s="53"/>
      <c r="CB17" s="45" t="str">
        <f>IF(Данные!L42=TRUE,"ХХ","")</f>
        <v/>
      </c>
      <c r="CC17" s="23"/>
      <c r="CD17" s="24"/>
      <c r="CF17" s="903"/>
      <c r="CG17" s="904"/>
      <c r="CH17" s="904"/>
      <c r="CJ17" s="909"/>
      <c r="CK17" s="23"/>
      <c r="CL17" s="23"/>
      <c r="CM17" s="23"/>
      <c r="CN17" s="24"/>
      <c r="CO17" s="23"/>
      <c r="CP17" s="903"/>
      <c r="CQ17" s="904"/>
      <c r="CR17" s="904"/>
      <c r="CS17" s="1288"/>
      <c r="CT17" s="909"/>
      <c r="CU17" s="23"/>
      <c r="CV17" s="23"/>
      <c r="CW17" s="1388"/>
      <c r="CX17" s="24"/>
    </row>
    <row r="18" spans="2:102" x14ac:dyDescent="0.3">
      <c r="B18" s="903"/>
      <c r="C18" s="904"/>
      <c r="D18" s="904"/>
      <c r="E18" s="904"/>
      <c r="F18" s="904"/>
      <c r="G18" s="904"/>
      <c r="H18" s="904" t="str">
        <f>IF(Данные!V42=TRUE,"ХХ","")</f>
        <v/>
      </c>
      <c r="I18" s="28"/>
      <c r="J18" s="26"/>
      <c r="K18" s="145"/>
      <c r="L18" s="145"/>
      <c r="N18" s="4"/>
      <c r="O18" s="53"/>
      <c r="P18" s="53"/>
      <c r="Q18" s="53"/>
      <c r="R18" s="53"/>
      <c r="S18" s="57"/>
      <c r="T18" s="57"/>
      <c r="U18" s="57"/>
      <c r="V18" s="10"/>
      <c r="X18" s="4"/>
      <c r="Y18" s="53"/>
      <c r="Z18" s="53"/>
      <c r="AA18" s="53"/>
      <c r="AB18" s="53"/>
      <c r="AC18" s="53"/>
      <c r="AD18" s="101"/>
      <c r="AE18" s="28"/>
      <c r="AF18" s="26"/>
      <c r="AG18" s="42"/>
      <c r="AH18" s="4"/>
      <c r="AI18" s="53"/>
      <c r="AJ18" s="53"/>
      <c r="AK18" s="53"/>
      <c r="AL18" s="53"/>
      <c r="AM18" s="53"/>
      <c r="AN18" s="53" t="str">
        <f>IF(Данные!AM40=TRUE,"ХХ","")</f>
        <v/>
      </c>
      <c r="AO18" s="25"/>
      <c r="AP18" s="26"/>
      <c r="AQ18" s="42"/>
      <c r="AR18" s="4"/>
      <c r="AS18" s="53"/>
      <c r="AT18" s="53"/>
      <c r="AU18" s="53"/>
      <c r="AV18" s="53"/>
      <c r="AW18" s="53"/>
      <c r="AX18" s="53" t="str">
        <f>IF(Данные!AW42=TRUE,"ХХ","")</f>
        <v/>
      </c>
      <c r="AY18" s="25"/>
      <c r="AZ18" s="26"/>
      <c r="BA18" s="42"/>
      <c r="BB18" s="4"/>
      <c r="BC18" s="53"/>
      <c r="BD18" s="53"/>
      <c r="BE18" s="53"/>
      <c r="BF18" s="53"/>
      <c r="BG18" s="53"/>
      <c r="BH18" s="53" t="str">
        <f>IF(Данные!BF42=TRUE,"ХХ","")</f>
        <v/>
      </c>
      <c r="BI18" s="25"/>
      <c r="BJ18" s="26"/>
      <c r="BK18" s="42"/>
      <c r="BL18" s="4"/>
      <c r="BM18" s="53"/>
      <c r="BN18" s="53"/>
      <c r="BO18" s="53"/>
      <c r="BP18" s="53"/>
      <c r="BQ18" s="53"/>
      <c r="BR18" s="53" t="str">
        <f>IF(Данные!B42=TRUE,"ХХ","")</f>
        <v/>
      </c>
      <c r="BS18" s="27"/>
      <c r="BT18" s="26"/>
      <c r="BV18" s="4"/>
      <c r="BW18" s="53"/>
      <c r="BX18" s="53"/>
      <c r="BY18" s="53"/>
      <c r="BZ18" s="53"/>
      <c r="CA18" s="53"/>
      <c r="CB18" s="53" t="str">
        <f>IF(Данные!L42=TRUE,"ХХ","")</f>
        <v/>
      </c>
      <c r="CC18" s="27"/>
      <c r="CD18" s="26"/>
      <c r="CF18" s="903"/>
      <c r="CG18" s="904"/>
      <c r="CH18" s="904"/>
      <c r="CI18" s="1091"/>
      <c r="CJ18" s="904"/>
      <c r="CK18" s="50"/>
      <c r="CL18" s="904"/>
      <c r="CM18" s="28"/>
      <c r="CN18" s="26"/>
      <c r="CO18" s="145"/>
      <c r="CP18" s="903"/>
      <c r="CQ18" s="904"/>
      <c r="CR18" s="904"/>
      <c r="CS18" s="1091"/>
      <c r="CT18" s="904"/>
      <c r="CU18" s="50"/>
      <c r="CV18" s="904"/>
      <c r="CW18" s="1389"/>
      <c r="CX18" s="26"/>
    </row>
    <row r="19" spans="2:102" ht="15.6" x14ac:dyDescent="0.3">
      <c r="B19" s="903"/>
      <c r="C19" s="904"/>
      <c r="D19" s="904"/>
      <c r="E19" s="904"/>
      <c r="F19" s="904"/>
      <c r="G19" s="904"/>
      <c r="H19" s="907" t="str">
        <f>IF(Данные!V42=TRUE,"ХХ","")</f>
        <v/>
      </c>
      <c r="I19" s="28"/>
      <c r="J19" s="26"/>
      <c r="K19" s="145"/>
      <c r="L19" s="145"/>
      <c r="N19" s="4"/>
      <c r="O19" s="53"/>
      <c r="P19" s="53"/>
      <c r="Q19" s="53"/>
      <c r="R19" s="53"/>
      <c r="S19" s="51" t="s">
        <v>361</v>
      </c>
      <c r="T19" s="53" t="s">
        <v>367</v>
      </c>
      <c r="U19" s="25"/>
      <c r="V19" s="26"/>
      <c r="X19" s="4"/>
      <c r="Y19" s="53"/>
      <c r="Z19" s="53"/>
      <c r="AA19" s="53"/>
      <c r="AB19" s="53"/>
      <c r="AC19" s="53"/>
      <c r="AD19" s="101"/>
      <c r="AE19" s="28"/>
      <c r="AF19" s="26"/>
      <c r="AG19" s="42"/>
      <c r="AH19" s="4"/>
      <c r="AI19" s="53"/>
      <c r="AJ19" s="53"/>
      <c r="AK19" s="53"/>
      <c r="AL19" s="53"/>
      <c r="AM19" s="53"/>
      <c r="AN19" s="101" t="str">
        <f>IF(Данные!AM40=TRUE,"ХХ","")</f>
        <v/>
      </c>
      <c r="AO19" s="28"/>
      <c r="AP19" s="26"/>
      <c r="AQ19" s="42"/>
      <c r="AR19" s="4"/>
      <c r="AS19" s="53"/>
      <c r="AT19" s="53"/>
      <c r="AU19" s="53"/>
      <c r="AV19" s="53"/>
      <c r="AW19" s="53"/>
      <c r="AX19" s="101" t="str">
        <f>IF(Данные!AW42=TRUE,"ХХ","")</f>
        <v/>
      </c>
      <c r="AY19" s="28"/>
      <c r="AZ19" s="26"/>
      <c r="BA19" s="42"/>
      <c r="BB19" s="4"/>
      <c r="BC19" s="847"/>
      <c r="BD19" s="53"/>
      <c r="BE19" s="53"/>
      <c r="BF19" s="53"/>
      <c r="BG19" s="53"/>
      <c r="BH19" s="101" t="str">
        <f>IF(Данные!BF42=TRUE,"ХХ","")</f>
        <v/>
      </c>
      <c r="BI19" s="28"/>
      <c r="BJ19" s="26"/>
      <c r="BK19" s="42"/>
      <c r="BL19" s="4"/>
      <c r="BM19" s="53"/>
      <c r="BN19" s="53"/>
      <c r="BO19" s="53"/>
      <c r="BP19" s="53"/>
      <c r="BQ19" s="53"/>
      <c r="BR19" s="53" t="str">
        <f>IF(Данные!B42=TRUE,"ХХ","")</f>
        <v/>
      </c>
      <c r="BS19" s="25"/>
      <c r="BT19" s="26"/>
      <c r="BV19" s="4"/>
      <c r="BW19" s="53"/>
      <c r="BX19" s="53"/>
      <c r="BY19" s="53"/>
      <c r="BZ19" s="53"/>
      <c r="CA19" s="53"/>
      <c r="CB19" s="53" t="str">
        <f>IF(Данные!L42=TRUE,"ХХ","")</f>
        <v/>
      </c>
      <c r="CC19" s="25"/>
      <c r="CD19" s="26"/>
      <c r="CF19" s="903"/>
      <c r="CG19" s="904"/>
      <c r="CH19" s="904"/>
      <c r="CJ19" s="909"/>
      <c r="CK19" s="904"/>
      <c r="CL19" s="907"/>
      <c r="CM19" s="28"/>
      <c r="CN19" s="26"/>
      <c r="CO19" s="145"/>
      <c r="CP19" s="903"/>
      <c r="CQ19" s="904"/>
      <c r="CR19" s="904"/>
      <c r="CS19" s="77">
        <v>660</v>
      </c>
      <c r="CT19" s="909"/>
      <c r="CU19" s="904"/>
      <c r="CV19" s="907"/>
      <c r="CW19" s="1389"/>
      <c r="CX19" s="26"/>
    </row>
    <row r="20" spans="2:102" x14ac:dyDescent="0.3">
      <c r="B20" s="903"/>
      <c r="C20" s="904"/>
      <c r="D20" s="904"/>
      <c r="E20" s="904"/>
      <c r="F20" s="904"/>
      <c r="G20" s="904"/>
      <c r="H20" s="907" t="str">
        <f>IF(Данные!V42=TRUE,"ХХ","")</f>
        <v/>
      </c>
      <c r="I20" s="28"/>
      <c r="J20" s="26"/>
      <c r="K20" s="145"/>
      <c r="L20" s="145"/>
      <c r="N20" s="4"/>
      <c r="O20" s="53"/>
      <c r="P20" s="53"/>
      <c r="Q20" s="53"/>
      <c r="R20" s="53"/>
      <c r="S20" s="53"/>
      <c r="T20" s="101" t="s">
        <v>368</v>
      </c>
      <c r="U20" s="28"/>
      <c r="V20" s="26"/>
      <c r="X20" s="4"/>
      <c r="Y20" s="53"/>
      <c r="Z20" s="30"/>
      <c r="AA20" s="31"/>
      <c r="AB20" s="53"/>
      <c r="AC20" s="51"/>
      <c r="AD20" s="101"/>
      <c r="AE20" s="28"/>
      <c r="AF20" s="26"/>
      <c r="AG20" s="42"/>
      <c r="AH20" s="4"/>
      <c r="AI20" s="53"/>
      <c r="AJ20" s="53"/>
      <c r="AK20" s="53"/>
      <c r="AL20" s="53"/>
      <c r="AM20" s="53"/>
      <c r="AN20" s="101" t="str">
        <f>IF(Данные!AM40=TRUE,"ХХ","")</f>
        <v/>
      </c>
      <c r="AO20" s="28"/>
      <c r="AP20" s="26"/>
      <c r="AQ20" s="42"/>
      <c r="AR20" s="4"/>
      <c r="AS20" s="53"/>
      <c r="AT20" s="53"/>
      <c r="AU20" s="53"/>
      <c r="AV20" s="53"/>
      <c r="AW20" s="53"/>
      <c r="AX20" s="101" t="str">
        <f>IF(Данные!AW42=TRUE,"ХХ","")</f>
        <v/>
      </c>
      <c r="AY20" s="28"/>
      <c r="AZ20" s="26"/>
      <c r="BA20" s="42"/>
      <c r="BB20" s="4"/>
      <c r="BC20" s="53"/>
      <c r="BD20" s="53"/>
      <c r="BE20" s="53"/>
      <c r="BF20" s="53"/>
      <c r="BG20" s="53"/>
      <c r="BH20" s="845">
        <v>415</v>
      </c>
      <c r="BI20" s="28"/>
      <c r="BJ20" s="26"/>
      <c r="BK20" s="42"/>
      <c r="BL20" s="4"/>
      <c r="BM20" s="53"/>
      <c r="BN20" s="53"/>
      <c r="BO20" s="53"/>
      <c r="BP20" s="53"/>
      <c r="BQ20" s="53"/>
      <c r="BR20" s="101" t="str">
        <f>IF(Данные!B42=TRUE,"ХХ","")</f>
        <v/>
      </c>
      <c r="BS20" s="28"/>
      <c r="BT20" s="26"/>
      <c r="BV20" s="4"/>
      <c r="BW20" s="53"/>
      <c r="BX20" s="53"/>
      <c r="BY20" s="53"/>
      <c r="BZ20" s="53"/>
      <c r="CA20" s="53"/>
      <c r="CB20" s="101" t="str">
        <f>IF(Данные!L42=TRUE,"ХХ","")</f>
        <v/>
      </c>
      <c r="CC20" s="28"/>
      <c r="CD20" s="26"/>
      <c r="CF20" s="903"/>
      <c r="CG20" s="904"/>
      <c r="CH20" s="904"/>
      <c r="CI20" s="904"/>
      <c r="CJ20" s="904"/>
      <c r="CK20" s="904"/>
      <c r="CL20" s="907"/>
      <c r="CM20" s="28"/>
      <c r="CN20" s="26"/>
      <c r="CO20" s="145"/>
      <c r="CP20" s="903"/>
      <c r="CQ20" s="904"/>
      <c r="CR20" s="904"/>
      <c r="CS20" s="904"/>
      <c r="CT20" s="904"/>
      <c r="CU20" s="904"/>
      <c r="CV20" s="907"/>
      <c r="CW20" s="1389"/>
      <c r="CX20" s="26"/>
    </row>
    <row r="21" spans="2:102" x14ac:dyDescent="0.3">
      <c r="B21" s="903"/>
      <c r="C21" s="904"/>
      <c r="D21" s="904"/>
      <c r="E21" s="904"/>
      <c r="F21" s="904"/>
      <c r="G21" s="904"/>
      <c r="H21" s="907" t="str">
        <f>IF(Данные!V42=TRUE,"ХХ","")</f>
        <v/>
      </c>
      <c r="I21" s="28" t="s">
        <v>892</v>
      </c>
      <c r="J21" s="24"/>
      <c r="K21" s="23"/>
      <c r="L21" s="23"/>
      <c r="N21" s="4"/>
      <c r="O21" s="53"/>
      <c r="P21" s="53"/>
      <c r="Q21" s="53"/>
      <c r="R21" s="53"/>
      <c r="S21" s="53"/>
      <c r="T21" s="101" t="e">
        <f>IF(Данные!#REF!=TRUE,"ХХ","")</f>
        <v>#REF!</v>
      </c>
      <c r="U21" s="28"/>
      <c r="V21" s="26"/>
      <c r="X21" s="4"/>
      <c r="Y21" s="53"/>
      <c r="Z21" s="57"/>
      <c r="AA21" s="53"/>
      <c r="AB21" s="53"/>
      <c r="AC21" s="53"/>
      <c r="AD21" s="101"/>
      <c r="AE21" s="28"/>
      <c r="AF21" s="26"/>
      <c r="AG21" s="42"/>
      <c r="AH21" s="4"/>
      <c r="AI21" s="53"/>
      <c r="AJ21" s="53"/>
      <c r="AK21" s="53"/>
      <c r="AL21" s="53"/>
      <c r="AM21" s="53"/>
      <c r="AN21" s="101" t="str">
        <f>IF(Данные!AM40=TRUE,"ХХ","")</f>
        <v/>
      </c>
      <c r="AO21" s="28"/>
      <c r="AP21" s="26"/>
      <c r="AQ21" s="42"/>
      <c r="AR21" s="4"/>
      <c r="AS21" s="53"/>
      <c r="AT21" s="53"/>
      <c r="AU21" s="53"/>
      <c r="AV21" s="53"/>
      <c r="AW21" s="53"/>
      <c r="AX21" s="101" t="str">
        <f>IF(Данные!AW42=TRUE,"ХХ","")</f>
        <v/>
      </c>
      <c r="AY21" s="28"/>
      <c r="AZ21" s="26"/>
      <c r="BA21" s="42"/>
      <c r="BB21" s="4"/>
      <c r="BC21" s="53"/>
      <c r="BD21" s="53"/>
      <c r="BE21" s="53"/>
      <c r="BF21" s="53"/>
      <c r="BG21" s="53"/>
      <c r="BH21" s="101" t="str">
        <f>IF(Данные!BF42=TRUE,"ХХ","")</f>
        <v/>
      </c>
      <c r="BI21" s="28"/>
      <c r="BJ21" s="26"/>
      <c r="BK21" s="42"/>
      <c r="BL21" s="4"/>
      <c r="BM21" s="53"/>
      <c r="BN21" s="53"/>
      <c r="BO21" s="53"/>
      <c r="BP21" s="53"/>
      <c r="BQ21" s="53"/>
      <c r="BR21" s="101" t="str">
        <f>IF(Данные!B42=TRUE,"ХХ","")</f>
        <v/>
      </c>
      <c r="BS21" s="28"/>
      <c r="BT21" s="26"/>
      <c r="BV21" s="4"/>
      <c r="BW21" s="53"/>
      <c r="BX21" s="53"/>
      <c r="BY21" s="53"/>
      <c r="BZ21" s="53"/>
      <c r="CA21" s="53"/>
      <c r="CB21" s="101" t="str">
        <f>IF(Данные!L42=TRUE,"ХХ","")</f>
        <v/>
      </c>
      <c r="CC21" s="28"/>
      <c r="CD21" s="26"/>
      <c r="CF21" s="903"/>
      <c r="CG21" s="904"/>
      <c r="CH21" s="145"/>
      <c r="CI21" s="29"/>
      <c r="CJ21" s="904"/>
      <c r="CK21" s="50"/>
      <c r="CL21" s="907"/>
      <c r="CM21" s="28"/>
      <c r="CN21" s="26"/>
      <c r="CO21" s="145"/>
      <c r="CP21" s="903"/>
      <c r="CQ21" s="904"/>
      <c r="CR21" s="145"/>
      <c r="CS21" s="29"/>
      <c r="CT21" s="904"/>
      <c r="CU21" s="50"/>
      <c r="CV21" s="907"/>
      <c r="CW21" s="1389">
        <v>100</v>
      </c>
      <c r="CX21" s="26"/>
    </row>
    <row r="22" spans="2:102" x14ac:dyDescent="0.3">
      <c r="B22" s="903"/>
      <c r="C22" s="904"/>
      <c r="D22" s="145"/>
      <c r="E22" s="29"/>
      <c r="F22" s="904" t="s">
        <v>889</v>
      </c>
      <c r="G22" s="904"/>
      <c r="H22" s="904"/>
      <c r="I22" s="28"/>
      <c r="J22" s="26"/>
      <c r="K22" s="145"/>
      <c r="L22" s="145"/>
      <c r="N22" s="4"/>
      <c r="O22" s="53"/>
      <c r="P22" s="30"/>
      <c r="Q22" s="31"/>
      <c r="R22" s="53"/>
      <c r="S22" s="51" t="s">
        <v>363</v>
      </c>
      <c r="T22" s="101" t="s">
        <v>365</v>
      </c>
      <c r="U22" s="28"/>
      <c r="V22" s="26"/>
      <c r="X22" s="4"/>
      <c r="Y22" s="32"/>
      <c r="Z22" s="57"/>
      <c r="AA22" s="33"/>
      <c r="AB22" s="53"/>
      <c r="AC22" s="53"/>
      <c r="AD22" s="101"/>
      <c r="AE22" s="28"/>
      <c r="AF22" s="26"/>
      <c r="AG22" s="42"/>
      <c r="AH22" s="4"/>
      <c r="AI22" s="53"/>
      <c r="AJ22" s="30"/>
      <c r="AK22" s="31"/>
      <c r="AL22" s="53"/>
      <c r="AM22" s="53"/>
      <c r="AN22" s="53"/>
      <c r="AO22" s="28"/>
      <c r="AP22" s="26"/>
      <c r="AQ22" s="42"/>
      <c r="AR22" s="4"/>
      <c r="AS22" s="53"/>
      <c r="AT22" s="30"/>
      <c r="AU22" s="31"/>
      <c r="AV22" s="53"/>
      <c r="AW22" s="53"/>
      <c r="AX22" s="53"/>
      <c r="AY22" s="28"/>
      <c r="AZ22" s="26"/>
      <c r="BA22" s="42"/>
      <c r="BB22" s="4"/>
      <c r="BC22" s="53"/>
      <c r="BD22" s="30"/>
      <c r="BE22" s="31"/>
      <c r="BF22" s="53"/>
      <c r="BG22" s="53"/>
      <c r="BH22" s="53"/>
      <c r="BI22" s="28"/>
      <c r="BJ22" s="26"/>
      <c r="BK22" s="42"/>
      <c r="BL22" s="4"/>
      <c r="BM22" s="53"/>
      <c r="BN22" s="53"/>
      <c r="BO22" s="53"/>
      <c r="BP22" s="53"/>
      <c r="BQ22" s="53"/>
      <c r="BR22" s="101" t="str">
        <f>IF(Данные!B42=TRUE,"ХХ","")</f>
        <v/>
      </c>
      <c r="BS22" s="28"/>
      <c r="BT22" s="26"/>
      <c r="BV22" s="4"/>
      <c r="BW22" s="53"/>
      <c r="BX22" s="53"/>
      <c r="BY22" s="53"/>
      <c r="BZ22" s="53"/>
      <c r="CA22" s="53"/>
      <c r="CB22" s="101" t="str">
        <f>IF(Данные!L42=TRUE,"ХХ","")</f>
        <v/>
      </c>
      <c r="CC22" s="28"/>
      <c r="CD22" s="26"/>
      <c r="CF22" s="903"/>
      <c r="CG22" s="904"/>
      <c r="CH22" s="23"/>
      <c r="CI22" s="904"/>
      <c r="CJ22" s="904"/>
      <c r="CK22" s="904"/>
      <c r="CL22" s="907"/>
      <c r="CM22" s="28"/>
      <c r="CN22" s="26"/>
      <c r="CO22" s="145"/>
      <c r="CP22" s="903"/>
      <c r="CQ22" s="904"/>
      <c r="CR22" s="23"/>
      <c r="CS22" s="904"/>
      <c r="CT22" s="904"/>
      <c r="CU22" s="904"/>
      <c r="CV22" s="907"/>
      <c r="CW22" s="349"/>
      <c r="CX22" s="26"/>
    </row>
    <row r="23" spans="2:102" x14ac:dyDescent="0.3">
      <c r="B23" s="903"/>
      <c r="C23" s="904"/>
      <c r="D23" s="23"/>
      <c r="E23" s="904"/>
      <c r="F23" s="904"/>
      <c r="G23" s="904"/>
      <c r="H23" s="904"/>
      <c r="I23" s="28"/>
      <c r="J23" s="26"/>
      <c r="K23" s="145"/>
      <c r="L23" s="145"/>
      <c r="N23" s="4"/>
      <c r="O23" s="53"/>
      <c r="P23" s="57"/>
      <c r="Q23" s="53"/>
      <c r="R23" s="53"/>
      <c r="S23" s="53"/>
      <c r="T23" s="101" t="s">
        <v>366</v>
      </c>
      <c r="U23" s="28"/>
      <c r="V23" s="26"/>
      <c r="X23" s="4"/>
      <c r="Y23" s="57"/>
      <c r="Z23" s="53"/>
      <c r="AA23" s="25"/>
      <c r="AB23" s="30"/>
      <c r="AC23" s="53"/>
      <c r="AD23" s="101"/>
      <c r="AE23" s="28"/>
      <c r="AF23" s="26"/>
      <c r="AG23" s="42"/>
      <c r="AH23" s="4"/>
      <c r="AI23" s="53"/>
      <c r="AJ23" s="57"/>
      <c r="AK23" s="53"/>
      <c r="AL23" s="53"/>
      <c r="AM23" s="53"/>
      <c r="AN23" s="53"/>
      <c r="AO23" s="28"/>
      <c r="AP23" s="26"/>
      <c r="AQ23" s="42"/>
      <c r="AR23" s="4"/>
      <c r="AS23" s="53"/>
      <c r="AT23" s="57"/>
      <c r="AU23" s="53"/>
      <c r="AV23" s="53"/>
      <c r="AW23" s="53"/>
      <c r="AX23" s="53"/>
      <c r="AY23" s="28"/>
      <c r="AZ23" s="26"/>
      <c r="BA23" s="42"/>
      <c r="BB23" s="4"/>
      <c r="BC23" s="53"/>
      <c r="BD23" s="844" t="s">
        <v>860</v>
      </c>
      <c r="BE23" s="53"/>
      <c r="BF23" s="53"/>
      <c r="BG23" s="53"/>
      <c r="BH23" s="53"/>
      <c r="BI23" s="28"/>
      <c r="BJ23" s="26"/>
      <c r="BK23" s="42"/>
      <c r="BL23" s="4"/>
      <c r="BM23" s="53"/>
      <c r="BN23" s="30"/>
      <c r="BO23" s="31"/>
      <c r="BP23" s="53"/>
      <c r="BQ23" s="53"/>
      <c r="BR23" s="53"/>
      <c r="BS23" s="28"/>
      <c r="BT23" s="26"/>
      <c r="BV23" s="4"/>
      <c r="BW23" s="53"/>
      <c r="BX23" s="30"/>
      <c r="BY23" s="31"/>
      <c r="BZ23" s="53"/>
      <c r="CA23" s="53"/>
      <c r="CB23" s="53"/>
      <c r="CC23" s="28"/>
      <c r="CD23" s="26"/>
      <c r="CF23" s="903"/>
      <c r="CG23" s="908"/>
      <c r="CH23" s="23"/>
      <c r="CI23" s="145"/>
      <c r="CJ23" s="904"/>
      <c r="CK23" s="904"/>
      <c r="CL23" s="907"/>
      <c r="CM23" s="28"/>
      <c r="CN23" s="26"/>
      <c r="CO23" s="145"/>
      <c r="CP23" s="903"/>
      <c r="CQ23" s="908"/>
      <c r="CR23" s="23"/>
      <c r="CS23" s="145"/>
      <c r="CT23" s="904"/>
      <c r="CU23" s="904"/>
      <c r="CV23" s="907"/>
      <c r="CW23" s="349"/>
      <c r="CX23" s="26"/>
    </row>
    <row r="24" spans="2:102" x14ac:dyDescent="0.3">
      <c r="B24" s="903"/>
      <c r="C24" s="908"/>
      <c r="D24" s="23"/>
      <c r="E24" s="145"/>
      <c r="F24" s="904" t="s">
        <v>897</v>
      </c>
      <c r="G24" s="904"/>
      <c r="H24" s="904"/>
      <c r="I24" s="28"/>
      <c r="J24" s="26"/>
      <c r="K24" s="145"/>
      <c r="L24" s="145"/>
      <c r="N24" s="4"/>
      <c r="O24" s="32"/>
      <c r="P24" s="57"/>
      <c r="Q24" s="33"/>
      <c r="R24" s="53"/>
      <c r="S24" s="53"/>
      <c r="T24" s="101" t="s">
        <v>369</v>
      </c>
      <c r="U24" s="28"/>
      <c r="V24" s="26"/>
      <c r="X24" s="4"/>
      <c r="Y24" s="57"/>
      <c r="Z24" s="53"/>
      <c r="AA24" s="25"/>
      <c r="AB24" s="30"/>
      <c r="AC24" s="53"/>
      <c r="AD24" s="53"/>
      <c r="AE24" s="28"/>
      <c r="AF24" s="26"/>
      <c r="AG24" s="42"/>
      <c r="AH24" s="4"/>
      <c r="AI24" s="32"/>
      <c r="AJ24" s="57"/>
      <c r="AK24" s="33"/>
      <c r="AL24" s="53"/>
      <c r="AM24" s="53"/>
      <c r="AN24" s="53"/>
      <c r="AO24" s="28"/>
      <c r="AP24" s="26"/>
      <c r="AQ24" s="42"/>
      <c r="AR24" s="4"/>
      <c r="AS24" s="32"/>
      <c r="AT24" s="57"/>
      <c r="AU24" s="33"/>
      <c r="AV24" s="53"/>
      <c r="AW24" s="53"/>
      <c r="AX24" s="53"/>
      <c r="AY24" s="28"/>
      <c r="AZ24" s="26"/>
      <c r="BA24" s="42"/>
      <c r="BB24" s="4"/>
      <c r="BC24" s="32"/>
      <c r="BD24" s="57"/>
      <c r="BE24" s="33"/>
      <c r="BF24" s="53"/>
      <c r="BG24" s="53"/>
      <c r="BH24" s="53"/>
      <c r="BI24" s="28"/>
      <c r="BJ24" s="26"/>
      <c r="BK24" s="42"/>
      <c r="BL24" s="4"/>
      <c r="BM24" s="53"/>
      <c r="BN24" s="57"/>
      <c r="BO24" s="53"/>
      <c r="BP24" s="53"/>
      <c r="BQ24" s="53"/>
      <c r="BR24" s="53"/>
      <c r="BS24" s="28"/>
      <c r="BT24" s="26"/>
      <c r="BV24" s="4"/>
      <c r="BW24" s="53"/>
      <c r="BX24" s="57"/>
      <c r="BY24" s="53"/>
      <c r="BZ24" s="53"/>
      <c r="CA24" s="53"/>
      <c r="CB24" s="53"/>
      <c r="CC24" s="28"/>
      <c r="CD24" s="26"/>
      <c r="CF24" s="903"/>
      <c r="CG24" s="23"/>
      <c r="CH24" s="904"/>
      <c r="CI24" s="28"/>
      <c r="CJ24" s="145"/>
      <c r="CK24" s="904"/>
      <c r="CL24" s="1092"/>
      <c r="CM24" s="28"/>
      <c r="CN24" s="26"/>
      <c r="CO24" s="145"/>
      <c r="CP24" s="903"/>
      <c r="CQ24" s="23"/>
      <c r="CR24" s="904"/>
      <c r="CS24" s="28"/>
      <c r="CT24" s="904" t="s">
        <v>1068</v>
      </c>
      <c r="CU24" s="904"/>
      <c r="CV24" s="1092"/>
      <c r="CW24" s="1390">
        <v>100</v>
      </c>
      <c r="CX24" s="26"/>
    </row>
    <row r="25" spans="2:102" x14ac:dyDescent="0.3">
      <c r="B25" s="910">
        <v>370</v>
      </c>
      <c r="C25" s="23"/>
      <c r="D25" s="904"/>
      <c r="E25" s="28"/>
      <c r="F25" s="145"/>
      <c r="G25" s="904"/>
      <c r="H25" s="904"/>
      <c r="I25" s="28"/>
      <c r="J25" s="26"/>
      <c r="K25" s="145"/>
      <c r="L25" s="145"/>
      <c r="N25" s="4"/>
      <c r="O25" s="57"/>
      <c r="P25" s="53"/>
      <c r="Q25" s="25"/>
      <c r="R25" s="30"/>
      <c r="S25" s="53"/>
      <c r="T25" s="101" t="s">
        <v>370</v>
      </c>
      <c r="U25" s="28"/>
      <c r="V25" s="26"/>
      <c r="X25" s="4"/>
      <c r="Y25" s="53"/>
      <c r="Z25" s="53"/>
      <c r="AA25" s="53"/>
      <c r="AB25" s="53"/>
      <c r="AC25" s="53"/>
      <c r="AD25" s="53"/>
      <c r="AE25" s="28"/>
      <c r="AF25" s="26"/>
      <c r="AG25" s="42"/>
      <c r="AH25" s="4"/>
      <c r="AI25" s="42"/>
      <c r="AJ25" s="53"/>
      <c r="AK25" s="25"/>
      <c r="AL25" s="30"/>
      <c r="AM25" s="53"/>
      <c r="AN25" s="53"/>
      <c r="AO25" s="28"/>
      <c r="AP25" s="26"/>
      <c r="AQ25" s="42"/>
      <c r="AR25" s="4"/>
      <c r="AS25" s="42"/>
      <c r="AT25" s="53"/>
      <c r="AU25" s="25"/>
      <c r="AV25" s="30"/>
      <c r="AW25" s="53"/>
      <c r="AX25" s="53"/>
      <c r="AY25" s="28"/>
      <c r="AZ25" s="26"/>
      <c r="BA25" s="42"/>
      <c r="BB25" s="4"/>
      <c r="BC25" s="42"/>
      <c r="BD25" s="53"/>
      <c r="BE25" s="25"/>
      <c r="BF25" s="30"/>
      <c r="BG25" s="53"/>
      <c r="BH25" s="53"/>
      <c r="BI25" s="28"/>
      <c r="BJ25" s="26"/>
      <c r="BK25" s="42"/>
      <c r="BL25" s="4"/>
      <c r="BM25" s="32"/>
      <c r="BN25" s="57"/>
      <c r="BO25" s="33"/>
      <c r="BP25" s="53"/>
      <c r="BQ25" s="53"/>
      <c r="BR25" s="53"/>
      <c r="BS25" s="28"/>
      <c r="BT25" s="26"/>
      <c r="BV25" s="4"/>
      <c r="BW25" s="32"/>
      <c r="BX25" s="57"/>
      <c r="BY25" s="33"/>
      <c r="BZ25" s="53"/>
      <c r="CA25" s="53"/>
      <c r="CB25" s="53"/>
      <c r="CC25" s="28"/>
      <c r="CD25" s="26"/>
      <c r="CF25" s="903"/>
      <c r="CG25" s="23"/>
      <c r="CH25" s="904"/>
      <c r="CI25" s="28"/>
      <c r="CJ25" s="145"/>
      <c r="CK25" s="904"/>
      <c r="CL25" s="904"/>
      <c r="CM25" s="28"/>
      <c r="CN25" s="26"/>
      <c r="CO25" s="145"/>
      <c r="CP25" s="903"/>
      <c r="CQ25" s="23"/>
      <c r="CR25" s="904"/>
      <c r="CS25" s="28"/>
      <c r="CT25" s="145"/>
      <c r="CU25" s="904"/>
      <c r="CV25" s="904"/>
      <c r="CW25" s="349"/>
      <c r="CX25" s="26"/>
    </row>
    <row r="26" spans="2:102" x14ac:dyDescent="0.3">
      <c r="B26" s="910" t="s">
        <v>898</v>
      </c>
      <c r="C26" s="23"/>
      <c r="D26" s="904"/>
      <c r="E26" s="28"/>
      <c r="F26" s="145"/>
      <c r="G26" s="904"/>
      <c r="H26" s="904"/>
      <c r="I26" s="28"/>
      <c r="J26" s="26"/>
      <c r="K26" s="145"/>
      <c r="L26" s="145"/>
      <c r="N26" s="4"/>
      <c r="O26" s="57"/>
      <c r="P26" s="53"/>
      <c r="Q26" s="25"/>
      <c r="R26" s="30"/>
      <c r="S26" s="53"/>
      <c r="T26" s="53"/>
      <c r="U26" s="28"/>
      <c r="V26" s="26"/>
      <c r="X26" s="4"/>
      <c r="Y26" s="53"/>
      <c r="Z26" s="53"/>
      <c r="AA26" s="53"/>
      <c r="AB26" s="53"/>
      <c r="AC26" s="53"/>
      <c r="AD26" s="53" t="str">
        <f>IF(Данные!AC42=TRUE,"ХХ","")</f>
        <v/>
      </c>
      <c r="AE26" s="27"/>
      <c r="AF26" s="26"/>
      <c r="AG26" s="42"/>
      <c r="AH26" s="4"/>
      <c r="AI26" s="42"/>
      <c r="AJ26" s="53"/>
      <c r="AK26" s="25"/>
      <c r="AL26" s="30"/>
      <c r="AM26" s="53"/>
      <c r="AN26" s="53"/>
      <c r="AO26" s="28"/>
      <c r="AP26" s="26"/>
      <c r="AQ26" s="42"/>
      <c r="AR26" s="4"/>
      <c r="AS26" s="42"/>
      <c r="AT26" s="53"/>
      <c r="AU26" s="25"/>
      <c r="AV26" s="30"/>
      <c r="AW26" s="53"/>
      <c r="AX26" s="53"/>
      <c r="AY26" s="28"/>
      <c r="AZ26" s="26"/>
      <c r="BA26" s="42"/>
      <c r="BB26" s="4"/>
      <c r="BC26" s="42"/>
      <c r="BD26" s="53"/>
      <c r="BE26" s="25"/>
      <c r="BF26" s="30">
        <v>250</v>
      </c>
      <c r="BG26" s="53"/>
      <c r="BH26" s="53"/>
      <c r="BI26" s="28"/>
      <c r="BJ26" s="26"/>
      <c r="BK26" s="42"/>
      <c r="BL26" s="4"/>
      <c r="BM26" s="42"/>
      <c r="BN26" s="53"/>
      <c r="BO26" s="25"/>
      <c r="BP26" s="30"/>
      <c r="BQ26" s="53"/>
      <c r="BR26" s="53"/>
      <c r="BS26" s="28"/>
      <c r="BT26" s="26"/>
      <c r="BV26" s="4"/>
      <c r="BW26" s="42"/>
      <c r="BX26" s="53"/>
      <c r="BY26" s="25"/>
      <c r="BZ26" s="30"/>
      <c r="CA26" s="53"/>
      <c r="CB26" s="53"/>
      <c r="CC26" s="28"/>
      <c r="CD26" s="26"/>
      <c r="CF26" s="903"/>
      <c r="CG26" s="904"/>
      <c r="CH26" s="904"/>
      <c r="CI26" s="904"/>
      <c r="CJ26" s="904"/>
      <c r="CK26" s="904"/>
      <c r="CL26" s="904"/>
      <c r="CM26" s="28"/>
      <c r="CN26" s="26"/>
      <c r="CO26" s="145"/>
      <c r="CP26" s="903"/>
      <c r="CQ26" s="904"/>
      <c r="CR26" s="904"/>
      <c r="CS26" s="904"/>
      <c r="CT26" s="904"/>
      <c r="CU26" s="904"/>
      <c r="CV26" s="904"/>
      <c r="CW26" s="349"/>
      <c r="CX26" s="26"/>
    </row>
    <row r="27" spans="2:102" x14ac:dyDescent="0.3">
      <c r="B27" s="910"/>
      <c r="C27" s="904"/>
      <c r="D27" s="904"/>
      <c r="E27" s="904"/>
      <c r="F27" s="904"/>
      <c r="G27" s="904"/>
      <c r="H27" s="904"/>
      <c r="I27" s="28"/>
      <c r="J27" s="26"/>
      <c r="K27" s="145"/>
      <c r="L27" s="145"/>
      <c r="N27" s="4"/>
      <c r="O27" s="53"/>
      <c r="P27" s="53"/>
      <c r="Q27" s="53"/>
      <c r="R27" s="53"/>
      <c r="S27" s="53"/>
      <c r="T27" s="53"/>
      <c r="U27" s="28"/>
      <c r="V27" s="26"/>
      <c r="X27" s="4"/>
      <c r="Y27" s="53"/>
      <c r="Z27" s="53"/>
      <c r="AA27" s="53"/>
      <c r="AB27" s="53"/>
      <c r="AC27" s="53"/>
      <c r="AD27" s="53" t="str">
        <f>IF(Данные!AC42=TRUE,"ХХ","")</f>
        <v/>
      </c>
      <c r="AE27" s="25"/>
      <c r="AF27" s="26"/>
      <c r="AG27" s="42"/>
      <c r="AH27" s="4"/>
      <c r="AI27" s="53"/>
      <c r="AJ27" s="53"/>
      <c r="AK27" s="53"/>
      <c r="AL27" s="53"/>
      <c r="AM27" s="53"/>
      <c r="AN27" s="53"/>
      <c r="AO27" s="28"/>
      <c r="AP27" s="26"/>
      <c r="AQ27" s="42"/>
      <c r="AR27" s="4"/>
      <c r="AS27" s="53"/>
      <c r="AT27" s="53"/>
      <c r="AU27" s="53"/>
      <c r="AV27" s="53"/>
      <c r="AW27" s="53"/>
      <c r="AX27" s="53"/>
      <c r="AY27" s="28"/>
      <c r="AZ27" s="26"/>
      <c r="BA27" s="42"/>
      <c r="BB27" s="4"/>
      <c r="BC27" s="53"/>
      <c r="BD27" s="53"/>
      <c r="BE27" s="53"/>
      <c r="BF27" s="53"/>
      <c r="BG27" s="53"/>
      <c r="BH27" s="53"/>
      <c r="BI27" s="28" t="s">
        <v>869</v>
      </c>
      <c r="BJ27" s="26"/>
      <c r="BK27" s="42"/>
      <c r="BL27" s="4"/>
      <c r="BM27" s="42"/>
      <c r="BN27" s="53"/>
      <c r="BO27" s="25"/>
      <c r="BP27" s="30"/>
      <c r="BQ27" s="53"/>
      <c r="BR27" s="53"/>
      <c r="BS27" s="28"/>
      <c r="BT27" s="26"/>
      <c r="BV27" s="4"/>
      <c r="BW27" s="42"/>
      <c r="BX27" s="53"/>
      <c r="BY27" s="25"/>
      <c r="BZ27" s="30"/>
      <c r="CA27" s="53"/>
      <c r="CB27" s="53"/>
      <c r="CC27" s="28"/>
      <c r="CD27" s="26"/>
      <c r="CF27" s="903"/>
      <c r="CG27" s="904"/>
      <c r="CH27" s="904"/>
      <c r="CI27" s="1091"/>
      <c r="CJ27" s="904"/>
      <c r="CK27" s="904"/>
      <c r="CL27" s="904"/>
      <c r="CM27" s="28"/>
      <c r="CN27" s="26"/>
      <c r="CO27" s="145"/>
      <c r="CP27" s="903"/>
      <c r="CQ27" s="904"/>
      <c r="CR27" s="904"/>
      <c r="CS27" s="45">
        <v>145</v>
      </c>
      <c r="CU27" s="980">
        <v>70</v>
      </c>
      <c r="CV27" s="904"/>
      <c r="CW27" s="349"/>
      <c r="CX27" s="26"/>
    </row>
    <row r="28" spans="2:102" x14ac:dyDescent="0.3">
      <c r="B28" s="903"/>
      <c r="C28" s="904"/>
      <c r="D28" s="904"/>
      <c r="E28" s="904"/>
      <c r="F28" s="904" t="s">
        <v>891</v>
      </c>
      <c r="G28" s="904"/>
      <c r="H28" s="904" t="str">
        <f>IF(Данные!V42=TRUE,"ХХ","")</f>
        <v/>
      </c>
      <c r="I28" s="28"/>
      <c r="J28" s="26"/>
      <c r="K28" s="145"/>
      <c r="L28" s="145"/>
      <c r="N28" s="4"/>
      <c r="O28" s="53"/>
      <c r="P28" s="53"/>
      <c r="Q28" s="53"/>
      <c r="R28" s="53"/>
      <c r="S28" s="53"/>
      <c r="T28" s="53" t="e">
        <f>IF(Данные!#REF!=TRUE,"ХХ","")</f>
        <v>#REF!</v>
      </c>
      <c r="U28" s="27"/>
      <c r="V28" s="26"/>
      <c r="X28" s="4"/>
      <c r="Y28" s="53"/>
      <c r="Z28" s="53"/>
      <c r="AA28" s="53"/>
      <c r="AB28" s="53"/>
      <c r="AC28" s="53"/>
      <c r="AD28" s="53" t="str">
        <f>IF(Данные!AC42=TRUE,"ХХ","")</f>
        <v/>
      </c>
      <c r="AE28" s="23"/>
      <c r="AF28" s="24"/>
      <c r="AG28" s="42"/>
      <c r="AH28" s="4"/>
      <c r="AI28" s="53"/>
      <c r="AJ28" s="53"/>
      <c r="AK28" s="53"/>
      <c r="AL28" s="53"/>
      <c r="AM28" s="53"/>
      <c r="AN28" s="53" t="str">
        <f>IF(Данные!AM40=TRUE,"ХХ","")</f>
        <v/>
      </c>
      <c r="AO28" s="27"/>
      <c r="AP28" s="26"/>
      <c r="AQ28" s="42"/>
      <c r="AR28" s="4"/>
      <c r="AS28" s="53"/>
      <c r="AT28" s="53"/>
      <c r="AU28" s="53"/>
      <c r="AV28" s="53"/>
      <c r="AW28" s="53"/>
      <c r="AX28" s="53" t="str">
        <f>IF(Данные!AW42=TRUE,"ХХ","")</f>
        <v/>
      </c>
      <c r="AY28" s="27"/>
      <c r="AZ28" s="26"/>
      <c r="BA28" s="42"/>
      <c r="BB28" s="4"/>
      <c r="BC28" s="53"/>
      <c r="BD28" s="53"/>
      <c r="BE28" s="53"/>
      <c r="BF28" s="53"/>
      <c r="BG28" s="53"/>
      <c r="BH28" s="53" t="str">
        <f>IF(Данные!BF42=TRUE,"ХХ","")</f>
        <v/>
      </c>
      <c r="BI28" s="27"/>
      <c r="BJ28" s="26"/>
      <c r="BK28" s="42"/>
      <c r="BL28" s="4"/>
      <c r="BM28" s="53"/>
      <c r="BN28" s="53"/>
      <c r="BO28" s="53"/>
      <c r="BP28" s="53"/>
      <c r="BQ28" s="53"/>
      <c r="BR28" s="53"/>
      <c r="BS28" s="28"/>
      <c r="BT28" s="26"/>
      <c r="BV28" s="4"/>
      <c r="BW28" s="53"/>
      <c r="BX28" s="53"/>
      <c r="BY28" s="53"/>
      <c r="BZ28" s="53"/>
      <c r="CA28" s="53"/>
      <c r="CB28" s="53"/>
      <c r="CC28" s="28"/>
      <c r="CD28" s="26"/>
      <c r="CF28" s="903"/>
      <c r="CG28" s="904"/>
      <c r="CH28" s="904"/>
      <c r="CI28" s="904"/>
      <c r="CJ28" s="904"/>
      <c r="CK28" s="904"/>
      <c r="CL28" s="904"/>
      <c r="CM28" s="28"/>
      <c r="CN28" s="26"/>
      <c r="CO28" s="145"/>
      <c r="CP28" s="903"/>
      <c r="CQ28" s="904"/>
      <c r="CR28" s="904"/>
      <c r="CS28" s="904"/>
      <c r="CT28" s="904"/>
      <c r="CU28" s="904"/>
      <c r="CV28" s="904"/>
      <c r="CW28" s="349"/>
      <c r="CX28" s="26"/>
    </row>
    <row r="29" spans="2:102" ht="15.6" x14ac:dyDescent="0.3">
      <c r="B29" s="903"/>
      <c r="C29" s="904"/>
      <c r="D29" s="904"/>
      <c r="E29" s="904"/>
      <c r="F29" s="909" t="s">
        <v>895</v>
      </c>
      <c r="G29" s="904"/>
      <c r="H29" s="904" t="str">
        <f>IF(Данные!V42=TRUE,"ХХ","")</f>
        <v/>
      </c>
      <c r="I29" s="28"/>
      <c r="J29" s="26"/>
      <c r="K29" s="145"/>
      <c r="L29" s="145"/>
      <c r="N29" s="4"/>
      <c r="O29" s="53"/>
      <c r="P29" s="53"/>
      <c r="Q29" s="53"/>
      <c r="R29" s="53"/>
      <c r="S29" s="53"/>
      <c r="T29" s="53" t="e">
        <f>IF(Данные!#REF!=TRUE,"ХХ","")</f>
        <v>#REF!</v>
      </c>
      <c r="U29" s="25"/>
      <c r="V29" s="26"/>
      <c r="X29" s="4"/>
      <c r="Y29" s="53"/>
      <c r="Z29" s="53"/>
      <c r="AA29" s="53"/>
      <c r="AB29" s="53"/>
      <c r="AC29" s="53"/>
      <c r="AD29" s="101" t="str">
        <f>IF(Данные!AC42=TRUE,"ХХ","")</f>
        <v/>
      </c>
      <c r="AE29" s="23"/>
      <c r="AF29" s="24"/>
      <c r="AG29" s="42"/>
      <c r="AH29" s="4"/>
      <c r="AI29" s="53"/>
      <c r="AJ29" s="53"/>
      <c r="AK29" s="53"/>
      <c r="AL29" s="53"/>
      <c r="AM29" s="53"/>
      <c r="AN29" s="53" t="str">
        <f>IF(Данные!AM40=TRUE,"ХХ","")</f>
        <v/>
      </c>
      <c r="AO29" s="25"/>
      <c r="AP29" s="26"/>
      <c r="AQ29" s="42"/>
      <c r="AR29" s="4"/>
      <c r="AS29" s="53"/>
      <c r="AT29" s="53"/>
      <c r="AU29" s="53"/>
      <c r="AV29" s="53"/>
      <c r="AW29" s="53"/>
      <c r="AX29" s="53" t="str">
        <f>IF(Данные!AW42=TRUE,"ХХ","")</f>
        <v/>
      </c>
      <c r="AY29" s="25"/>
      <c r="AZ29" s="26"/>
      <c r="BA29" s="42"/>
      <c r="BB29" s="4"/>
      <c r="BC29" s="847" t="s">
        <v>868</v>
      </c>
      <c r="BD29" s="847"/>
      <c r="BE29" s="847"/>
      <c r="BF29" s="847"/>
      <c r="BG29" s="847"/>
      <c r="BH29" s="847"/>
      <c r="BI29" s="25"/>
      <c r="BJ29" s="26"/>
      <c r="BK29" s="42"/>
      <c r="BL29" s="4"/>
      <c r="BM29" s="53"/>
      <c r="BN29" s="53"/>
      <c r="BO29" s="53"/>
      <c r="BP29" s="53"/>
      <c r="BQ29" s="53"/>
      <c r="BR29" s="53" t="str">
        <f>IF(Данные!B42=TRUE,"ХХ","")</f>
        <v/>
      </c>
      <c r="BS29" s="27"/>
      <c r="BT29" s="26"/>
      <c r="BV29" s="4"/>
      <c r="BW29" s="53"/>
      <c r="BX29" s="53"/>
      <c r="BY29" s="53"/>
      <c r="BZ29" s="53"/>
      <c r="CA29" s="53"/>
      <c r="CB29" s="53" t="str">
        <f>IF(Данные!L42=TRUE,"ХХ","")</f>
        <v/>
      </c>
      <c r="CC29" s="27"/>
      <c r="CD29" s="26"/>
      <c r="CF29" s="903"/>
      <c r="CG29" s="904"/>
      <c r="CH29" s="904"/>
      <c r="CI29" s="1091"/>
      <c r="CJ29" s="909"/>
      <c r="CK29" s="904"/>
      <c r="CL29" s="904"/>
      <c r="CM29" s="23"/>
      <c r="CN29" s="24"/>
      <c r="CO29" s="23"/>
      <c r="CP29" s="903"/>
      <c r="CQ29" s="904"/>
      <c r="CR29" s="904"/>
      <c r="CS29" s="1091"/>
      <c r="CT29" s="909"/>
      <c r="CU29" s="904"/>
      <c r="CV29" s="904"/>
      <c r="CW29" s="23"/>
      <c r="CX29" s="24"/>
    </row>
    <row r="30" spans="2:102" ht="15.6" x14ac:dyDescent="0.3">
      <c r="B30" s="903"/>
      <c r="C30" s="904"/>
      <c r="D30" s="904"/>
      <c r="E30" s="904"/>
      <c r="F30" s="904"/>
      <c r="G30" s="904"/>
      <c r="H30" s="904" t="str">
        <f>IF(Данные!V42=TRUE,"ХХ","")</f>
        <v/>
      </c>
      <c r="I30" s="23"/>
      <c r="J30" s="24"/>
      <c r="K30" s="23"/>
      <c r="L30" s="23"/>
      <c r="N30" s="4"/>
      <c r="O30" s="53"/>
      <c r="P30" s="53"/>
      <c r="Q30" s="53"/>
      <c r="R30" s="53"/>
      <c r="S30" s="53"/>
      <c r="T30" s="53" t="e">
        <f>IF(Данные!#REF!=TRUE,"ХХ","")</f>
        <v>#REF!</v>
      </c>
      <c r="U30" s="23"/>
      <c r="V30" s="24"/>
      <c r="X30" s="4"/>
      <c r="Y30" s="53"/>
      <c r="Z30" s="53" t="str">
        <f>IF(Данные!AC38=TRUE,"ХХХХХХХХХХХХХХХХХХХХХХХХХХХХХХХХХХХ","")</f>
        <v/>
      </c>
      <c r="AA30" s="57"/>
      <c r="AB30" s="53"/>
      <c r="AC30" s="53"/>
      <c r="AD30" s="53"/>
      <c r="AE30" s="23"/>
      <c r="AF30" s="24"/>
      <c r="AG30" s="42"/>
      <c r="AH30" s="4"/>
      <c r="AI30" s="53"/>
      <c r="AJ30" s="53"/>
      <c r="AK30" s="53"/>
      <c r="AL30" s="53"/>
      <c r="AM30" s="53"/>
      <c r="AN30" s="53" t="str">
        <f>IF(Данные!AM40=TRUE,"ХХ","")</f>
        <v/>
      </c>
      <c r="AO30" s="23"/>
      <c r="AP30" s="24"/>
      <c r="AQ30" s="42"/>
      <c r="AR30" s="4"/>
      <c r="AS30" s="53"/>
      <c r="AT30" s="53"/>
      <c r="AU30" s="53"/>
      <c r="AV30" s="53"/>
      <c r="AW30" s="53"/>
      <c r="AX30" s="53" t="str">
        <f>IF(Данные!AW42=TRUE,"ХХ","")</f>
        <v/>
      </c>
      <c r="AY30" s="23"/>
      <c r="AZ30" s="24"/>
      <c r="BA30" s="42"/>
      <c r="BB30" s="4"/>
      <c r="BC30" s="53"/>
      <c r="BD30" s="53"/>
      <c r="BE30" s="858" t="s">
        <v>864</v>
      </c>
      <c r="BF30" s="53"/>
      <c r="BG30" s="53"/>
      <c r="BH30" s="53" t="str">
        <f>IF(Данные!BF42=TRUE,"ХХ","")</f>
        <v/>
      </c>
      <c r="BI30" s="23"/>
      <c r="BJ30" s="24"/>
      <c r="BK30" s="42"/>
      <c r="BL30" s="4"/>
      <c r="BM30" s="53"/>
      <c r="BN30" s="53"/>
      <c r="BO30" s="53"/>
      <c r="BP30" s="53"/>
      <c r="BQ30" s="53"/>
      <c r="BR30" s="53" t="str">
        <f>IF(Данные!B42=TRUE,"ХХ","")</f>
        <v/>
      </c>
      <c r="BS30" s="25"/>
      <c r="BT30" s="26"/>
      <c r="BV30" s="4"/>
      <c r="BW30" s="53"/>
      <c r="BX30" s="53"/>
      <c r="BY30" s="53"/>
      <c r="BZ30" s="53"/>
      <c r="CA30" s="53"/>
      <c r="CB30" s="53" t="str">
        <f>IF(Данные!L42=TRUE,"ХХ","")</f>
        <v/>
      </c>
      <c r="CC30" s="25"/>
      <c r="CD30" s="26"/>
      <c r="CF30" s="4"/>
      <c r="CG30" s="53"/>
      <c r="CH30" s="53"/>
      <c r="CI30" s="53"/>
      <c r="CJ30" s="53"/>
      <c r="CK30" s="53"/>
      <c r="CL30" s="101"/>
      <c r="CM30" s="23"/>
      <c r="CN30" s="24"/>
      <c r="CO30" s="23"/>
      <c r="CP30" s="4"/>
      <c r="CQ30" s="53"/>
      <c r="CR30" s="53"/>
      <c r="CT30" s="53"/>
      <c r="CU30" s="51"/>
      <c r="CV30" s="101"/>
      <c r="CW30" s="115"/>
      <c r="CX30" s="24"/>
    </row>
    <row r="31" spans="2:102" x14ac:dyDescent="0.3">
      <c r="B31" s="903"/>
      <c r="C31" s="904"/>
      <c r="D31" s="904"/>
      <c r="E31" s="904"/>
      <c r="F31" s="904" t="s">
        <v>890</v>
      </c>
      <c r="G31" s="904"/>
      <c r="H31" s="907" t="str">
        <f>IF(Данные!V42=TRUE,"ХХ","")</f>
        <v/>
      </c>
      <c r="I31" s="23"/>
      <c r="J31" s="24"/>
      <c r="K31" s="23"/>
      <c r="L31" s="23"/>
      <c r="N31" s="4"/>
      <c r="O31" s="53"/>
      <c r="P31" s="53"/>
      <c r="Q31" s="53"/>
      <c r="R31" s="53"/>
      <c r="S31" s="53"/>
      <c r="T31" s="101" t="e">
        <f>IF(Данные!#REF!=TRUE,"ХХ","")</f>
        <v>#REF!</v>
      </c>
      <c r="U31" s="23"/>
      <c r="V31" s="24"/>
      <c r="X31" s="4"/>
      <c r="Y31" s="103"/>
      <c r="Z31" s="53"/>
      <c r="AA31" s="53"/>
      <c r="AB31" s="53"/>
      <c r="AC31" s="53"/>
      <c r="AD31" s="53"/>
      <c r="AE31" s="23"/>
      <c r="AF31" s="24"/>
      <c r="AG31" s="42"/>
      <c r="AH31" s="4"/>
      <c r="AI31" s="53"/>
      <c r="AJ31" s="53"/>
      <c r="AK31" s="53"/>
      <c r="AL31" s="53"/>
      <c r="AM31" s="53"/>
      <c r="AN31" s="101" t="str">
        <f>IF(Данные!AM40=TRUE,"ХХ","")</f>
        <v/>
      </c>
      <c r="AO31" s="23"/>
      <c r="AP31" s="24"/>
      <c r="AQ31" s="42"/>
      <c r="AR31" s="4"/>
      <c r="AS31" s="53"/>
      <c r="AT31" s="53"/>
      <c r="AU31" s="53"/>
      <c r="AV31" s="53"/>
      <c r="AW31" s="53"/>
      <c r="AX31" s="101" t="str">
        <f>IF(Данные!AW42=TRUE,"ХХ","")</f>
        <v/>
      </c>
      <c r="AY31" s="23"/>
      <c r="AZ31" s="24"/>
      <c r="BA31" s="42"/>
      <c r="BB31" s="4"/>
      <c r="BC31" s="53"/>
      <c r="BD31" s="53"/>
      <c r="BE31" s="53"/>
      <c r="BF31" s="53"/>
      <c r="BG31" s="53"/>
      <c r="BH31" s="101" t="str">
        <f>IF(Данные!BF42=TRUE,"ХХ","")</f>
        <v/>
      </c>
      <c r="BI31" s="23"/>
      <c r="BJ31" s="24"/>
      <c r="BK31" s="42"/>
      <c r="BL31" s="4"/>
      <c r="BM31" s="53"/>
      <c r="BN31" s="53"/>
      <c r="BO31" s="53"/>
      <c r="BP31" s="53"/>
      <c r="BQ31" s="53"/>
      <c r="BR31" s="53" t="str">
        <f>IF(Данные!B42=TRUE,"ХХ","")</f>
        <v/>
      </c>
      <c r="BS31" s="23"/>
      <c r="BT31" s="24"/>
      <c r="BV31" s="4"/>
      <c r="BW31" s="53"/>
      <c r="BX31" s="53"/>
      <c r="BY31" s="53"/>
      <c r="BZ31" s="53"/>
      <c r="CA31" s="53"/>
      <c r="CB31" s="53" t="str">
        <f>IF(Данные!L42=TRUE,"ХХ","")</f>
        <v/>
      </c>
      <c r="CC31" s="23"/>
      <c r="CD31" s="24"/>
      <c r="CF31" s="4"/>
      <c r="CG31" s="53"/>
      <c r="CH31" s="53"/>
      <c r="CI31" s="57"/>
      <c r="CJ31" s="53"/>
      <c r="CK31" s="53"/>
      <c r="CL31" s="53"/>
      <c r="CM31" s="23"/>
      <c r="CN31" s="24"/>
      <c r="CO31" s="23"/>
      <c r="CP31" s="4"/>
      <c r="CR31" s="53"/>
      <c r="CS31" s="57"/>
      <c r="CT31" s="53"/>
      <c r="CU31" s="53"/>
      <c r="CV31" s="53"/>
      <c r="CW31" s="23"/>
      <c r="CX31" s="24"/>
    </row>
    <row r="32" spans="2:102" x14ac:dyDescent="0.3">
      <c r="B32" s="903"/>
      <c r="C32" s="904"/>
      <c r="D32" s="904" t="str">
        <f>IF(Данные!V38=TRUE,"ХХХХХХХХХХХХХХХХХХХХХХХХХХХХХХХХХХХ","")</f>
        <v/>
      </c>
      <c r="E32" s="23"/>
      <c r="F32" s="904" t="s">
        <v>896</v>
      </c>
      <c r="G32" s="904"/>
      <c r="H32" s="904"/>
      <c r="I32" s="23"/>
      <c r="J32" s="24"/>
      <c r="K32" s="23"/>
      <c r="L32" s="23"/>
      <c r="N32" s="4"/>
      <c r="O32" s="53"/>
      <c r="P32" s="53" t="e">
        <f>IF(Данные!#REF!=TRUE,"ХХХХХХХХХХХХХХХХХХХХХХХХХХХХХХХХХХХ","")</f>
        <v>#REF!</v>
      </c>
      <c r="Q32" s="57"/>
      <c r="R32" s="53"/>
      <c r="S32" s="53"/>
      <c r="T32" s="53"/>
      <c r="U32" s="23"/>
      <c r="V32" s="24"/>
      <c r="X32" s="4"/>
      <c r="Y32" s="53"/>
      <c r="Z32" s="53"/>
      <c r="AA32" s="53"/>
      <c r="AB32" s="53"/>
      <c r="AC32" s="57"/>
      <c r="AD32" s="53"/>
      <c r="AE32" s="53"/>
      <c r="AF32" s="24"/>
      <c r="AG32" s="42"/>
      <c r="AH32" s="4"/>
      <c r="AI32" s="53"/>
      <c r="AJ32" s="53" t="str">
        <f>IF(Данные!AM36=TRUE,"ХХХХХХХХХХХХХХХХХХХХХХХХХХХХХХХХХХХ","")</f>
        <v/>
      </c>
      <c r="AK32" s="42"/>
      <c r="AL32" s="53"/>
      <c r="AM32" s="53"/>
      <c r="AN32" s="53"/>
      <c r="AO32" s="23"/>
      <c r="AP32" s="24"/>
      <c r="AQ32" s="42"/>
      <c r="AR32" s="4"/>
      <c r="AS32" s="53"/>
      <c r="AT32" s="53" t="str">
        <f>IF(Данные!AW38=TRUE,"ХХХХХХХХХХХХХХХХХХХХХХХХХХХХХХХХХХХ","")</f>
        <v/>
      </c>
      <c r="AU32" s="42"/>
      <c r="AV32" s="53"/>
      <c r="AW32" s="53"/>
      <c r="AX32" s="53"/>
      <c r="AY32" s="23"/>
      <c r="AZ32" s="24"/>
      <c r="BA32" s="42"/>
      <c r="BB32" s="4"/>
      <c r="BC32" s="53"/>
      <c r="BD32" s="53" t="str">
        <f>IF(Данные!BF38=TRUE,"ХХХХХХХХХХХХХХХХХХХХХХХХХХХХХХХХХХХ","")</f>
        <v/>
      </c>
      <c r="BE32" s="42"/>
      <c r="BF32" s="53"/>
      <c r="BG32" s="53"/>
      <c r="BH32" s="53"/>
      <c r="BI32" s="23"/>
      <c r="BJ32" s="24"/>
      <c r="BK32" s="42"/>
      <c r="BL32" s="4"/>
      <c r="BM32" s="53"/>
      <c r="BN32" s="53"/>
      <c r="BO32" s="53"/>
      <c r="BP32" s="53"/>
      <c r="BQ32" s="53"/>
      <c r="BR32" s="101" t="str">
        <f>IF(Данные!B42=TRUE,"ХХ","")</f>
        <v/>
      </c>
      <c r="BS32" s="23"/>
      <c r="BT32" s="24"/>
      <c r="BV32" s="4"/>
      <c r="BW32" s="53"/>
      <c r="BX32" s="53"/>
      <c r="BY32" s="53"/>
      <c r="BZ32" s="53"/>
      <c r="CA32" s="53"/>
      <c r="CB32" s="101" t="str">
        <f>IF(Данные!L42=TRUE,"ХХ","")</f>
        <v/>
      </c>
      <c r="CC32" s="23"/>
      <c r="CD32" s="24"/>
      <c r="CF32" s="4"/>
      <c r="CG32" s="103"/>
      <c r="CH32" s="53"/>
      <c r="CI32" s="53"/>
      <c r="CJ32" s="53"/>
      <c r="CK32" s="53"/>
      <c r="CL32" s="53"/>
      <c r="CM32" s="23"/>
      <c r="CN32" s="24"/>
      <c r="CO32" s="23"/>
      <c r="CP32" s="4"/>
      <c r="CQ32" s="103"/>
      <c r="CR32" s="53"/>
      <c r="CS32" s="53"/>
      <c r="CT32" s="53"/>
      <c r="CU32" s="45"/>
      <c r="CV32" s="53"/>
      <c r="CW32" s="115"/>
      <c r="CX32" s="1386"/>
    </row>
    <row r="33" spans="2:102" ht="16.2" thickBot="1" x14ac:dyDescent="0.35">
      <c r="B33" s="903"/>
      <c r="C33" s="904"/>
      <c r="D33" s="904"/>
      <c r="E33" s="904"/>
      <c r="F33" s="904"/>
      <c r="G33" s="904"/>
      <c r="H33" s="904"/>
      <c r="I33" s="23"/>
      <c r="J33" s="24"/>
      <c r="K33" s="23"/>
      <c r="L33" s="23"/>
      <c r="N33" s="4"/>
      <c r="O33" s="103"/>
      <c r="P33" s="53"/>
      <c r="Q33" s="53"/>
      <c r="R33" s="53"/>
      <c r="S33" s="53"/>
      <c r="T33" s="53"/>
      <c r="U33" s="23"/>
      <c r="V33" s="24"/>
      <c r="X33" s="19"/>
      <c r="Y33" s="102" t="str">
        <f>IF(OR(Данные!AC38=TRUE,Данные!AC42=TRUE),"Использовать холодильники","")</f>
        <v/>
      </c>
      <c r="Z33" s="20"/>
      <c r="AA33" s="107"/>
      <c r="AB33" s="20"/>
      <c r="AC33" s="63"/>
      <c r="AD33" s="20"/>
      <c r="AE33" s="20"/>
      <c r="AF33" s="70"/>
      <c r="AG33" s="42"/>
      <c r="AH33" s="4"/>
      <c r="AI33" s="103"/>
      <c r="AJ33" s="53"/>
      <c r="AK33" s="53"/>
      <c r="AL33" s="53"/>
      <c r="AM33" s="53"/>
      <c r="AN33" s="53"/>
      <c r="AO33" s="23"/>
      <c r="AP33" s="24"/>
      <c r="AQ33" s="42"/>
      <c r="AR33" s="4"/>
      <c r="AS33" s="103"/>
      <c r="AT33" s="53"/>
      <c r="AU33" s="53"/>
      <c r="AV33" s="53"/>
      <c r="AW33" s="53"/>
      <c r="AX33" s="53"/>
      <c r="AY33" s="23"/>
      <c r="AZ33" s="24"/>
      <c r="BA33" s="42"/>
      <c r="BB33" s="4"/>
      <c r="BC33" s="103"/>
      <c r="BD33" s="53"/>
      <c r="BE33" s="53"/>
      <c r="BF33" s="53"/>
      <c r="BG33" s="53"/>
      <c r="BH33" s="53"/>
      <c r="BI33" s="23"/>
      <c r="BJ33" s="24"/>
      <c r="BK33" s="42"/>
      <c r="BL33" s="4"/>
      <c r="BM33" s="53"/>
      <c r="BN33" s="53" t="str">
        <f>IF(Данные!B38=TRUE,"ХХХХХХХХХХХХХХХХХХХХХХХХХХХХХХХХХХХ","")</f>
        <v/>
      </c>
      <c r="BO33" s="42"/>
      <c r="BP33" s="53"/>
      <c r="BQ33" s="53"/>
      <c r="BR33" s="53"/>
      <c r="BS33" s="23"/>
      <c r="BT33" s="24"/>
      <c r="BV33" s="4"/>
      <c r="BW33" s="53"/>
      <c r="BX33" s="53" t="str">
        <f>IF(Данные!L38=TRUE,"ХХХХХХХХХХХХХХХХХХХХХХХХХХХХХХХХХХХ","")</f>
        <v/>
      </c>
      <c r="BY33" s="42"/>
      <c r="BZ33" s="53"/>
      <c r="CA33" s="53"/>
      <c r="CB33" s="53"/>
      <c r="CC33" s="23"/>
      <c r="CD33" s="24"/>
      <c r="CF33" s="4"/>
      <c r="CM33" s="53"/>
      <c r="CN33" s="24"/>
      <c r="CO33" s="23"/>
      <c r="CP33" s="4"/>
      <c r="CQ33" s="1288"/>
      <c r="CR33" s="1288"/>
      <c r="CS33" s="1288"/>
      <c r="CT33" s="1288"/>
      <c r="CU33" s="77"/>
      <c r="CV33" s="1288"/>
      <c r="CW33" s="53"/>
      <c r="CX33" s="24"/>
    </row>
    <row r="34" spans="2:102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L34" s="23"/>
      <c r="N34" s="4"/>
      <c r="O34" s="53"/>
      <c r="P34" s="53"/>
      <c r="Q34" s="53"/>
      <c r="R34" s="53"/>
      <c r="S34" s="57"/>
      <c r="T34" s="53"/>
      <c r="U34" s="53"/>
      <c r="V34" s="24"/>
      <c r="X34" s="4"/>
      <c r="Y34" s="53" t="s">
        <v>251</v>
      </c>
      <c r="Z34" s="53"/>
      <c r="AA34" s="53"/>
      <c r="AB34" s="51" t="s">
        <v>48</v>
      </c>
      <c r="AC34" s="53"/>
      <c r="AD34" s="53"/>
      <c r="AE34" s="53"/>
      <c r="AF34" s="10"/>
      <c r="AG34" s="42"/>
      <c r="AH34" s="4"/>
      <c r="AI34" s="53"/>
      <c r="AJ34" s="53"/>
      <c r="AK34" s="53"/>
      <c r="AL34" s="53"/>
      <c r="AM34" s="42"/>
      <c r="AN34" s="53"/>
      <c r="AO34" s="53"/>
      <c r="AP34" s="24"/>
      <c r="AQ34" s="42"/>
      <c r="AR34" s="4"/>
      <c r="AS34" s="53"/>
      <c r="AT34" s="53"/>
      <c r="AU34" s="53"/>
      <c r="AV34" s="53"/>
      <c r="AW34" s="42"/>
      <c r="AX34" s="53"/>
      <c r="AY34" s="53"/>
      <c r="AZ34" s="24"/>
      <c r="BA34" s="42"/>
      <c r="BB34" s="4"/>
      <c r="BC34" s="857" t="s">
        <v>865</v>
      </c>
      <c r="BD34" s="53"/>
      <c r="BE34" s="53"/>
      <c r="BF34" s="53"/>
      <c r="BG34" s="42"/>
      <c r="BH34" s="53"/>
      <c r="BI34" s="53"/>
      <c r="BJ34" s="24"/>
      <c r="BK34" s="42"/>
      <c r="BL34" s="4"/>
      <c r="BM34" s="103"/>
      <c r="BN34" s="53"/>
      <c r="BO34" s="53"/>
      <c r="BP34" s="53"/>
      <c r="BQ34" s="53"/>
      <c r="BR34" s="53"/>
      <c r="BS34" s="23"/>
      <c r="BT34" s="24"/>
      <c r="BV34" s="4"/>
      <c r="BW34" s="103"/>
      <c r="BX34" s="53"/>
      <c r="BY34" s="53"/>
      <c r="BZ34" s="53"/>
      <c r="CA34" s="53"/>
      <c r="CB34" s="53"/>
      <c r="CC34" s="23"/>
      <c r="CD34" s="24"/>
      <c r="CF34" s="4"/>
      <c r="CK34" s="57"/>
      <c r="CL34" s="53"/>
      <c r="CM34" s="53"/>
      <c r="CN34" s="24"/>
      <c r="CO34" s="23"/>
      <c r="CP34" s="4"/>
      <c r="CQ34" s="1288" t="s">
        <v>1090</v>
      </c>
      <c r="CR34" s="1288"/>
      <c r="CS34" s="1288"/>
      <c r="CT34" s="1288"/>
      <c r="CU34" s="57"/>
      <c r="CV34" s="53"/>
      <c r="CW34" s="53"/>
      <c r="CX34" s="24"/>
    </row>
    <row r="35" spans="2:102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7"/>
      <c r="F35" s="20"/>
      <c r="G35" s="63"/>
      <c r="H35" s="20"/>
      <c r="I35" s="20" t="s">
        <v>899</v>
      </c>
      <c r="J35" s="70"/>
      <c r="K35" s="23"/>
      <c r="L35" s="23"/>
      <c r="N35" s="19"/>
      <c r="O35" s="102" t="e">
        <f>IF(OR(Данные!#REF!=TRUE,Данные!#REF!=TRUE),"Использовать холодильники","")</f>
        <v>#REF!</v>
      </c>
      <c r="P35" s="20"/>
      <c r="Q35" s="107"/>
      <c r="R35" s="20"/>
      <c r="S35" s="63"/>
      <c r="T35" s="20"/>
      <c r="U35" s="20"/>
      <c r="V35" s="70"/>
      <c r="X35" s="4"/>
      <c r="Y35" s="53" t="s">
        <v>54</v>
      </c>
      <c r="Z35" s="53"/>
      <c r="AA35" s="53"/>
      <c r="AB35" s="50" t="s">
        <v>81</v>
      </c>
      <c r="AC35" s="53"/>
      <c r="AD35" s="53"/>
      <c r="AE35" s="53"/>
      <c r="AF35" s="10"/>
      <c r="AG35" s="42"/>
      <c r="AH35" s="19"/>
      <c r="AI35" s="102" t="str">
        <f>IF(OR(Данные!AM36=TRUE,Данные!AM40=TRUE),"Использовать холодильники","")</f>
        <v/>
      </c>
      <c r="AJ35" s="20"/>
      <c r="AK35" s="107"/>
      <c r="AL35" s="20"/>
      <c r="AM35" s="63"/>
      <c r="AN35" s="20"/>
      <c r="AO35" s="20"/>
      <c r="AP35" s="70"/>
      <c r="AQ35" s="42"/>
      <c r="AR35" s="19"/>
      <c r="AS35" s="102" t="str">
        <f>IF(OR(Данные!AW38=TRUE,Данные!AW42=TRUE),"Использовать холодильники","")</f>
        <v/>
      </c>
      <c r="AT35" s="20"/>
      <c r="AU35" s="107"/>
      <c r="AV35" s="20"/>
      <c r="AW35" s="63"/>
      <c r="AX35" s="20"/>
      <c r="AY35" s="20"/>
      <c r="AZ35" s="70"/>
      <c r="BA35" s="42"/>
      <c r="BB35" s="19"/>
      <c r="BC35" s="102" t="str">
        <f>IF(OR(Данные!BF38=TRUE,Данные!BF42=TRUE),"Использовать холодильники","")</f>
        <v/>
      </c>
      <c r="BD35" s="20"/>
      <c r="BE35" s="107"/>
      <c r="BF35" s="20"/>
      <c r="BG35" s="63"/>
      <c r="BH35" s="20"/>
      <c r="BI35" s="20"/>
      <c r="BJ35" s="70"/>
      <c r="BK35" s="42"/>
      <c r="BL35" s="4"/>
      <c r="BM35" s="53"/>
      <c r="BN35" s="53"/>
      <c r="BO35" s="53"/>
      <c r="BP35" s="53"/>
      <c r="BQ35" s="42"/>
      <c r="BR35" s="53"/>
      <c r="BS35" s="53"/>
      <c r="BT35" s="24"/>
      <c r="BV35" s="4"/>
      <c r="BW35" s="53"/>
      <c r="BX35" s="53"/>
      <c r="BY35" s="53"/>
      <c r="BZ35" s="53"/>
      <c r="CA35" s="42"/>
      <c r="CB35" s="53"/>
      <c r="CC35" s="53"/>
      <c r="CD35" s="24"/>
      <c r="CF35" s="19"/>
      <c r="CG35" s="102" t="str">
        <f>IF(OR(Данные!CJ39=TRUE,Данные!CJ43=TRUE),"Использовать холодильники","")</f>
        <v/>
      </c>
      <c r="CH35" s="20"/>
      <c r="CI35" s="107"/>
      <c r="CJ35" s="20"/>
      <c r="CK35" s="63"/>
      <c r="CL35" s="20"/>
      <c r="CM35" s="20"/>
      <c r="CN35" s="70"/>
      <c r="CO35" s="23"/>
      <c r="CP35" s="19"/>
      <c r="CQ35" s="102" t="str">
        <f>IF(OR(Данные!CT39=TRUE,Данные!CT43=TRUE),"Использовать холодильники","")</f>
        <v/>
      </c>
      <c r="CR35" s="20"/>
      <c r="CS35" s="107"/>
      <c r="CT35" s="20"/>
      <c r="CU35" s="63"/>
      <c r="CV35" s="20"/>
      <c r="CW35" s="20"/>
      <c r="CX35" s="70"/>
    </row>
    <row r="36" spans="2:102" ht="16.2" thickBot="1" x14ac:dyDescent="0.35">
      <c r="B36" s="4"/>
      <c r="C36" s="53" t="s">
        <v>251</v>
      </c>
      <c r="D36" s="53"/>
      <c r="E36" s="53"/>
      <c r="F36" s="51" t="s">
        <v>48</v>
      </c>
      <c r="G36" s="53"/>
      <c r="H36" s="53"/>
      <c r="I36" s="53"/>
      <c r="J36" s="10"/>
      <c r="K36" s="1348"/>
      <c r="L36" s="1348"/>
      <c r="N36" s="4"/>
      <c r="O36" s="53" t="s">
        <v>251</v>
      </c>
      <c r="P36" s="53"/>
      <c r="Q36" s="53"/>
      <c r="R36" s="51" t="s">
        <v>48</v>
      </c>
      <c r="S36" s="53"/>
      <c r="T36" s="53"/>
      <c r="U36" s="53"/>
      <c r="V36" s="10"/>
      <c r="X36" s="4"/>
      <c r="Y36" s="53" t="s">
        <v>49</v>
      </c>
      <c r="Z36" s="53"/>
      <c r="AA36" s="53"/>
      <c r="AB36" s="51" t="s">
        <v>50</v>
      </c>
      <c r="AC36" s="53"/>
      <c r="AD36" s="53"/>
      <c r="AE36" s="53"/>
      <c r="AF36" s="10"/>
      <c r="AG36" s="42"/>
      <c r="AH36" s="4"/>
      <c r="AI36" s="53" t="s">
        <v>251</v>
      </c>
      <c r="AJ36" s="53"/>
      <c r="AK36" s="53"/>
      <c r="AL36" s="51" t="s">
        <v>48</v>
      </c>
      <c r="AM36" s="53"/>
      <c r="AN36" s="53"/>
      <c r="AO36" s="53"/>
      <c r="AP36" s="10"/>
      <c r="AQ36" s="42"/>
      <c r="AR36" s="4"/>
      <c r="AS36" s="53" t="s">
        <v>251</v>
      </c>
      <c r="AT36" s="53"/>
      <c r="AU36" s="53"/>
      <c r="AV36" s="51" t="s">
        <v>48</v>
      </c>
      <c r="AW36" s="53"/>
      <c r="AX36" s="53"/>
      <c r="AY36" s="53"/>
      <c r="AZ36" s="10"/>
      <c r="BA36" s="42"/>
      <c r="BB36" s="4"/>
      <c r="BC36" s="53" t="s">
        <v>251</v>
      </c>
      <c r="BD36" s="53"/>
      <c r="BE36" s="53"/>
      <c r="BF36" s="51" t="s">
        <v>48</v>
      </c>
      <c r="BG36" s="53"/>
      <c r="BH36" s="53"/>
      <c r="BI36" s="53"/>
      <c r="BJ36" s="10"/>
      <c r="BK36" s="42"/>
      <c r="BL36" s="19"/>
      <c r="BM36" s="102" t="str">
        <f>IF(OR(Данные!B38=TRUE,Данные!B42=TRUE),"Использовать холодильники","")</f>
        <v/>
      </c>
      <c r="BN36" s="20"/>
      <c r="BO36" s="107"/>
      <c r="BP36" s="20"/>
      <c r="BQ36" s="63"/>
      <c r="BR36" s="20"/>
      <c r="BS36" s="20"/>
      <c r="BT36" s="70"/>
      <c r="BV36" s="19"/>
      <c r="BW36" s="102" t="str">
        <f>IF(OR(Данные!L38=TRUE,Данные!L42=TRUE),"Использовать холодильники","")</f>
        <v/>
      </c>
      <c r="BX36" s="20"/>
      <c r="BY36" s="107"/>
      <c r="BZ36" s="20"/>
      <c r="CA36" s="63"/>
      <c r="CB36" s="20"/>
      <c r="CC36" s="20"/>
      <c r="CD36" s="70"/>
      <c r="CF36" s="4"/>
      <c r="CG36" s="53" t="s">
        <v>251</v>
      </c>
      <c r="CH36" s="53"/>
      <c r="CI36" s="53"/>
      <c r="CJ36" s="51" t="s">
        <v>48</v>
      </c>
      <c r="CK36" s="53"/>
      <c r="CL36" s="53"/>
      <c r="CM36" s="53"/>
      <c r="CN36" s="10"/>
      <c r="CO36" s="1348"/>
      <c r="CP36" s="4"/>
      <c r="CQ36" s="53" t="s">
        <v>251</v>
      </c>
      <c r="CR36" s="53"/>
      <c r="CS36" s="53"/>
      <c r="CT36" s="51" t="s">
        <v>48</v>
      </c>
      <c r="CU36" s="53"/>
      <c r="CV36" s="53"/>
      <c r="CW36" s="53"/>
      <c r="CX36" s="10"/>
    </row>
    <row r="37" spans="2:102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348"/>
      <c r="L37" s="1348"/>
      <c r="N37" s="4"/>
      <c r="O37" s="53" t="s">
        <v>54</v>
      </c>
      <c r="P37" s="53"/>
      <c r="Q37" s="53"/>
      <c r="R37" s="50" t="s">
        <v>81</v>
      </c>
      <c r="S37" s="53"/>
      <c r="T37" s="53"/>
      <c r="U37" s="53"/>
      <c r="V37" s="10"/>
      <c r="X37" s="4"/>
      <c r="Y37" s="53" t="s">
        <v>58</v>
      </c>
      <c r="Z37" s="53"/>
      <c r="AA37" s="17"/>
      <c r="AB37" s="17" t="s">
        <v>59</v>
      </c>
      <c r="AC37" s="53"/>
      <c r="AD37" s="53"/>
      <c r="AE37" s="53"/>
      <c r="AF37" s="10"/>
      <c r="AG37" s="42"/>
      <c r="AH37" s="4"/>
      <c r="AI37" s="53" t="s">
        <v>54</v>
      </c>
      <c r="AJ37" s="53"/>
      <c r="AK37" s="53"/>
      <c r="AL37" s="50" t="s">
        <v>81</v>
      </c>
      <c r="AM37" s="53"/>
      <c r="AN37" s="53"/>
      <c r="AO37" s="53"/>
      <c r="AP37" s="10"/>
      <c r="AQ37" s="42"/>
      <c r="AR37" s="4"/>
      <c r="AS37" s="53" t="s">
        <v>54</v>
      </c>
      <c r="AT37" s="53"/>
      <c r="AU37" s="53"/>
      <c r="AV37" s="50" t="s">
        <v>81</v>
      </c>
      <c r="AW37" s="53"/>
      <c r="AX37" s="53"/>
      <c r="AY37" s="53"/>
      <c r="AZ37" s="10"/>
      <c r="BA37" s="42"/>
      <c r="BB37" s="4"/>
      <c r="BC37" s="53" t="s">
        <v>54</v>
      </c>
      <c r="BD37" s="53"/>
      <c r="BE37" s="53"/>
      <c r="BF37" s="50" t="s">
        <v>81</v>
      </c>
      <c r="BG37" s="53"/>
      <c r="BH37" s="53"/>
      <c r="BI37" s="53"/>
      <c r="BJ37" s="10"/>
      <c r="BK37" s="42"/>
      <c r="BL37" s="4"/>
      <c r="BM37" s="53" t="s">
        <v>251</v>
      </c>
      <c r="BN37" s="53"/>
      <c r="BO37" s="53"/>
      <c r="BP37" s="51" t="s">
        <v>48</v>
      </c>
      <c r="BQ37" s="53"/>
      <c r="BR37" s="53"/>
      <c r="BS37" s="53"/>
      <c r="BT37" s="10"/>
      <c r="BV37" s="4"/>
      <c r="BW37" s="53" t="s">
        <v>251</v>
      </c>
      <c r="BX37" s="53"/>
      <c r="BY37" s="53"/>
      <c r="BZ37" s="51" t="s">
        <v>48</v>
      </c>
      <c r="CA37" s="53"/>
      <c r="CB37" s="53"/>
      <c r="CC37" s="53"/>
      <c r="CD37" s="10"/>
      <c r="CF37" s="4"/>
      <c r="CG37" s="53" t="s">
        <v>49</v>
      </c>
      <c r="CH37" s="53"/>
      <c r="CI37" s="53"/>
      <c r="CJ37" s="51" t="s">
        <v>50</v>
      </c>
      <c r="CK37" s="53"/>
      <c r="CL37" s="53"/>
      <c r="CM37" s="53"/>
      <c r="CN37" s="10"/>
      <c r="CO37" s="1348"/>
      <c r="CP37" s="4"/>
      <c r="CQ37" s="53" t="s">
        <v>49</v>
      </c>
      <c r="CR37" s="53"/>
      <c r="CS37" s="53"/>
      <c r="CT37" s="51" t="s">
        <v>50</v>
      </c>
      <c r="CU37" s="53"/>
      <c r="CV37" s="53"/>
      <c r="CW37" s="53"/>
      <c r="CX37" s="10"/>
    </row>
    <row r="38" spans="2:102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348"/>
      <c r="L38" s="1348"/>
      <c r="N38" s="4"/>
      <c r="O38" s="53" t="s">
        <v>49</v>
      </c>
      <c r="P38" s="53"/>
      <c r="Q38" s="53"/>
      <c r="R38" s="51" t="s">
        <v>50</v>
      </c>
      <c r="S38" s="53"/>
      <c r="T38" s="53"/>
      <c r="U38" s="53"/>
      <c r="V38" s="10"/>
      <c r="X38" s="4"/>
      <c r="Y38" s="53" t="s">
        <v>84</v>
      </c>
      <c r="Z38" s="53"/>
      <c r="AA38" s="17"/>
      <c r="AB38" s="17" t="s">
        <v>52</v>
      </c>
      <c r="AC38" s="53"/>
      <c r="AD38" s="53"/>
      <c r="AE38" s="53"/>
      <c r="AF38" s="10"/>
      <c r="AG38" s="42"/>
      <c r="AH38" s="4"/>
      <c r="AI38" s="53" t="s">
        <v>49</v>
      </c>
      <c r="AJ38" s="53"/>
      <c r="AK38" s="53"/>
      <c r="AL38" s="51" t="s">
        <v>50</v>
      </c>
      <c r="AM38" s="53"/>
      <c r="AN38" s="53"/>
      <c r="AO38" s="53"/>
      <c r="AP38" s="10"/>
      <c r="AQ38" s="42"/>
      <c r="AR38" s="4"/>
      <c r="AS38" s="53" t="s">
        <v>49</v>
      </c>
      <c r="AT38" s="53"/>
      <c r="AU38" s="53"/>
      <c r="AV38" s="51" t="s">
        <v>50</v>
      </c>
      <c r="AW38" s="53"/>
      <c r="AX38" s="53"/>
      <c r="AY38" s="53"/>
      <c r="AZ38" s="10"/>
      <c r="BA38" s="42"/>
      <c r="BB38" s="4"/>
      <c r="BC38" s="53" t="s">
        <v>49</v>
      </c>
      <c r="BD38" s="53"/>
      <c r="BE38" s="53"/>
      <c r="BF38" s="51" t="s">
        <v>50</v>
      </c>
      <c r="BG38" s="53"/>
      <c r="BH38" s="53"/>
      <c r="BI38" s="53"/>
      <c r="BJ38" s="10"/>
      <c r="BK38" s="42"/>
      <c r="BL38" s="4"/>
      <c r="BM38" s="53" t="s">
        <v>54</v>
      </c>
      <c r="BN38" s="53"/>
      <c r="BO38" s="53"/>
      <c r="BP38" s="50" t="s">
        <v>81</v>
      </c>
      <c r="BQ38" s="53"/>
      <c r="BR38" s="53"/>
      <c r="BS38" s="53"/>
      <c r="BT38" s="10"/>
      <c r="BV38" s="4"/>
      <c r="BW38" s="53" t="s">
        <v>54</v>
      </c>
      <c r="BX38" s="53"/>
      <c r="BY38" s="53"/>
      <c r="BZ38" s="50" t="s">
        <v>81</v>
      </c>
      <c r="CA38" s="53"/>
      <c r="CB38" s="53"/>
      <c r="CC38" s="53"/>
      <c r="CD38" s="10"/>
      <c r="CF38" s="4"/>
      <c r="CG38" s="53" t="s">
        <v>54</v>
      </c>
      <c r="CH38" s="53"/>
      <c r="CI38" s="53"/>
      <c r="CJ38" s="50" t="s">
        <v>979</v>
      </c>
      <c r="CK38" s="53"/>
      <c r="CL38" s="53"/>
      <c r="CM38" s="53"/>
      <c r="CN38" s="10"/>
      <c r="CO38" s="1348"/>
      <c r="CP38" s="4"/>
      <c r="CQ38" s="53" t="s">
        <v>54</v>
      </c>
      <c r="CR38" s="53"/>
      <c r="CS38" s="53"/>
      <c r="CT38" s="50" t="s">
        <v>979</v>
      </c>
      <c r="CU38" s="53"/>
      <c r="CV38" s="53"/>
      <c r="CW38" s="53"/>
      <c r="CX38" s="10"/>
    </row>
    <row r="39" spans="2:102" s="42" customFormat="1" ht="16.2" thickBot="1" x14ac:dyDescent="0.35">
      <c r="B39" s="4"/>
      <c r="C39" s="101" t="s">
        <v>56</v>
      </c>
      <c r="D39" s="53"/>
      <c r="E39" s="53"/>
      <c r="F39" s="443" t="s">
        <v>112</v>
      </c>
      <c r="G39" s="45">
        <v>-6</v>
      </c>
      <c r="H39" s="53"/>
      <c r="I39" s="53"/>
      <c r="J39" s="10"/>
      <c r="K39" s="1348"/>
      <c r="L39" s="1348"/>
      <c r="N39" s="4"/>
      <c r="O39" s="101" t="s">
        <v>56</v>
      </c>
      <c r="P39" s="53"/>
      <c r="Q39" s="53"/>
      <c r="R39" s="114" t="s">
        <v>112</v>
      </c>
      <c r="S39" s="45">
        <v>-1</v>
      </c>
      <c r="T39" s="53"/>
      <c r="U39" s="53"/>
      <c r="V39" s="10"/>
      <c r="X39" s="12"/>
      <c r="Y39" s="5" t="s">
        <v>60</v>
      </c>
      <c r="Z39" s="13"/>
      <c r="AA39" s="36" t="s">
        <v>61</v>
      </c>
      <c r="AB39" s="279" t="s">
        <v>60</v>
      </c>
      <c r="AC39" s="13"/>
      <c r="AD39" s="5" t="s">
        <v>62</v>
      </c>
      <c r="AE39" s="5"/>
      <c r="AF39" s="13"/>
      <c r="AH39" s="4"/>
      <c r="AI39" s="101" t="s">
        <v>56</v>
      </c>
      <c r="AJ39" s="53"/>
      <c r="AK39" s="53"/>
      <c r="AL39" s="114" t="s">
        <v>112</v>
      </c>
      <c r="AM39" s="45">
        <v>-2</v>
      </c>
      <c r="AN39" s="53"/>
      <c r="AO39" s="53"/>
      <c r="AP39" s="10"/>
      <c r="AR39" s="4"/>
      <c r="AS39" s="101" t="s">
        <v>56</v>
      </c>
      <c r="AT39" s="53"/>
      <c r="AU39" s="53"/>
      <c r="AV39" s="443" t="s">
        <v>112</v>
      </c>
      <c r="AW39" s="45">
        <v>-1</v>
      </c>
      <c r="AX39" s="53"/>
      <c r="AY39" s="53"/>
      <c r="AZ39" s="10"/>
      <c r="BB39" s="4"/>
      <c r="BC39" s="101" t="s">
        <v>56</v>
      </c>
      <c r="BD39" s="53"/>
      <c r="BE39" s="53"/>
      <c r="BF39" s="443" t="s">
        <v>121</v>
      </c>
      <c r="BG39" s="45">
        <v>-3</v>
      </c>
      <c r="BH39" s="53"/>
      <c r="BI39" s="53"/>
      <c r="BJ39" s="10"/>
      <c r="BL39" s="4"/>
      <c r="BM39" s="53" t="s">
        <v>49</v>
      </c>
      <c r="BN39" s="53"/>
      <c r="BO39" s="53"/>
      <c r="BP39" s="51" t="s">
        <v>50</v>
      </c>
      <c r="BQ39" s="53"/>
      <c r="BR39" s="53"/>
      <c r="BS39" s="53"/>
      <c r="BT39" s="10"/>
      <c r="BU39"/>
      <c r="BV39" s="4"/>
      <c r="BW39" s="53" t="s">
        <v>49</v>
      </c>
      <c r="BX39" s="53"/>
      <c r="BY39" s="53"/>
      <c r="BZ39" s="51" t="s">
        <v>50</v>
      </c>
      <c r="CA39" s="53"/>
      <c r="CB39" s="53"/>
      <c r="CC39" s="53"/>
      <c r="CD39" s="10"/>
      <c r="CE39"/>
      <c r="CF39" s="4"/>
      <c r="CG39" s="101" t="s">
        <v>977</v>
      </c>
      <c r="CH39" s="53"/>
      <c r="CI39" s="17"/>
      <c r="CJ39" s="17" t="s">
        <v>132</v>
      </c>
      <c r="CK39" s="1101" t="s">
        <v>978</v>
      </c>
      <c r="CM39" s="53"/>
      <c r="CN39" s="10"/>
      <c r="CO39" s="1348"/>
      <c r="CP39" s="4"/>
      <c r="CQ39" s="101" t="s">
        <v>977</v>
      </c>
      <c r="CR39" s="53"/>
      <c r="CS39" s="17"/>
      <c r="CT39" s="17" t="s">
        <v>132</v>
      </c>
      <c r="CU39" s="1101" t="s">
        <v>978</v>
      </c>
      <c r="CV39" s="1288"/>
      <c r="CW39" s="53"/>
      <c r="CX39" s="10"/>
    </row>
    <row r="40" spans="2:102" ht="16.2" thickBot="1" x14ac:dyDescent="0.35">
      <c r="B40" s="4"/>
      <c r="C40" s="53" t="s">
        <v>741</v>
      </c>
      <c r="D40" s="53"/>
      <c r="E40" s="53"/>
      <c r="F40" s="52" t="s">
        <v>106</v>
      </c>
      <c r="G40" s="17" t="s">
        <v>82</v>
      </c>
      <c r="H40" s="53"/>
      <c r="I40" s="53"/>
      <c r="J40" s="10"/>
      <c r="K40" s="1348"/>
      <c r="L40" s="1348"/>
      <c r="N40" s="4"/>
      <c r="O40" s="53" t="s">
        <v>741</v>
      </c>
      <c r="P40" s="53"/>
      <c r="Q40" s="53"/>
      <c r="R40" s="52" t="s">
        <v>109</v>
      </c>
      <c r="S40" s="17" t="s">
        <v>82</v>
      </c>
      <c r="T40" s="53"/>
      <c r="U40" s="53"/>
      <c r="V40" s="10"/>
      <c r="X40" s="2055">
        <f ca="1">TODAY()</f>
        <v>45497</v>
      </c>
      <c r="Y40" s="2055"/>
      <c r="Z40" s="3"/>
      <c r="AA40" s="38"/>
      <c r="AB40" s="1"/>
      <c r="AC40" s="3"/>
      <c r="AD40" s="2"/>
      <c r="AE40" s="2"/>
      <c r="AF40" s="3"/>
      <c r="AG40" s="42"/>
      <c r="AH40" s="4"/>
      <c r="AI40" s="53" t="s">
        <v>741</v>
      </c>
      <c r="AJ40" s="53"/>
      <c r="AK40" s="53"/>
      <c r="AL40" s="52" t="s">
        <v>106</v>
      </c>
      <c r="AM40" s="17" t="s">
        <v>82</v>
      </c>
      <c r="AN40" s="53"/>
      <c r="AO40" s="53"/>
      <c r="AP40" s="10"/>
      <c r="AQ40" s="42"/>
      <c r="AR40" s="4"/>
      <c r="AS40" s="53" t="s">
        <v>741</v>
      </c>
      <c r="AT40" s="53"/>
      <c r="AU40" s="53"/>
      <c r="AV40" s="52" t="s">
        <v>106</v>
      </c>
      <c r="AW40" s="17" t="s">
        <v>82</v>
      </c>
      <c r="AX40" s="53"/>
      <c r="AY40" s="53"/>
      <c r="AZ40" s="10"/>
      <c r="BA40" s="42"/>
      <c r="BB40" s="4"/>
      <c r="BC40" s="53" t="s">
        <v>741</v>
      </c>
      <c r="BD40" s="53"/>
      <c r="BE40" s="53"/>
      <c r="BF40" s="52" t="s">
        <v>109</v>
      </c>
      <c r="BG40" s="17" t="s">
        <v>82</v>
      </c>
      <c r="BH40" s="53"/>
      <c r="BI40" s="53"/>
      <c r="BJ40" s="10"/>
      <c r="BK40" s="42"/>
      <c r="BL40" s="4"/>
      <c r="BM40" s="101" t="s">
        <v>56</v>
      </c>
      <c r="BN40" s="53"/>
      <c r="BO40" s="53"/>
      <c r="BP40" s="114" t="s">
        <v>112</v>
      </c>
      <c r="BQ40" s="53"/>
      <c r="BR40" s="53"/>
      <c r="BS40" s="53"/>
      <c r="BT40" s="10"/>
      <c r="BU40" s="42"/>
      <c r="BV40" s="4"/>
      <c r="BW40" s="101" t="s">
        <v>56</v>
      </c>
      <c r="BX40" s="53"/>
      <c r="BY40" s="53"/>
      <c r="BZ40" s="114" t="s">
        <v>121</v>
      </c>
      <c r="CA40" s="45">
        <v>-1</v>
      </c>
      <c r="CB40" s="53"/>
      <c r="CC40" s="53"/>
      <c r="CD40" s="10"/>
      <c r="CE40" s="42"/>
      <c r="CF40" s="4"/>
      <c r="CG40" s="53" t="s">
        <v>58</v>
      </c>
      <c r="CH40" s="53"/>
      <c r="CI40" s="17"/>
      <c r="CJ40" s="17" t="s">
        <v>59</v>
      </c>
      <c r="CK40" s="53"/>
      <c r="CL40" s="53"/>
      <c r="CM40" s="53"/>
      <c r="CN40" s="10"/>
      <c r="CO40" s="1348"/>
      <c r="CP40" s="4"/>
      <c r="CQ40" s="101" t="s">
        <v>1069</v>
      </c>
      <c r="CR40" s="53"/>
      <c r="CS40" s="17"/>
      <c r="CT40" s="17"/>
      <c r="CU40" s="1101"/>
      <c r="CV40" s="1288"/>
      <c r="CW40" s="53"/>
      <c r="CX40" s="10"/>
    </row>
    <row r="41" spans="2:102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348"/>
      <c r="L41" s="1348"/>
      <c r="N41" s="4"/>
      <c r="O41" s="53" t="s">
        <v>45</v>
      </c>
      <c r="P41" s="53"/>
      <c r="Q41" s="53"/>
      <c r="R41" s="51" t="str">
        <f>VLOOKUP(R7,Данные!A3:I27,6,FALSE())</f>
        <v>25010.00174</v>
      </c>
      <c r="S41" s="53"/>
      <c r="T41" s="53"/>
      <c r="U41" s="53"/>
      <c r="V41" s="10"/>
      <c r="X41" s="71"/>
      <c r="Y41" s="20" t="s">
        <v>63</v>
      </c>
      <c r="Z41" s="3"/>
      <c r="AA41" s="21"/>
      <c r="AB41" s="20"/>
      <c r="AC41" s="20"/>
      <c r="AD41" s="20"/>
      <c r="AE41" s="20"/>
      <c r="AF41" s="39"/>
      <c r="AG41" s="42"/>
      <c r="AH41" s="4"/>
      <c r="AI41" s="53" t="s">
        <v>45</v>
      </c>
      <c r="AJ41" s="53"/>
      <c r="AK41" s="53"/>
      <c r="AL41" s="51" t="str">
        <f>VLOOKUP(AL7,Данные!A3:I27,6,FALSE())</f>
        <v>25010.00173</v>
      </c>
      <c r="AM41" s="53"/>
      <c r="AN41" s="53"/>
      <c r="AO41" s="53"/>
      <c r="AP41" s="10"/>
      <c r="AQ41" s="42"/>
      <c r="AR41" s="4"/>
      <c r="AS41" s="53" t="s">
        <v>45</v>
      </c>
      <c r="AT41" s="53"/>
      <c r="AU41" s="53"/>
      <c r="AV41" s="51" t="str">
        <f>VLOOKUP(AV7,Данные!A3:I27,6,FALSE())</f>
        <v>25010.00173</v>
      </c>
      <c r="AW41" s="53"/>
      <c r="AX41" s="53"/>
      <c r="AY41" s="53"/>
      <c r="AZ41" s="10"/>
      <c r="BA41" s="42"/>
      <c r="BB41" s="4"/>
      <c r="BC41" s="53" t="s">
        <v>45</v>
      </c>
      <c r="BD41" s="53"/>
      <c r="BE41" s="53"/>
      <c r="BF41" s="51" t="e">
        <f>VLOOKUP(BF7,Марка_мет,6,FALSE())</f>
        <v>#NAME?</v>
      </c>
      <c r="BG41" s="53"/>
      <c r="BH41" s="53"/>
      <c r="BI41" s="53"/>
      <c r="BJ41" s="10"/>
      <c r="BK41" s="42"/>
      <c r="BL41" s="4"/>
      <c r="BM41" s="53" t="s">
        <v>741</v>
      </c>
      <c r="BN41" s="53"/>
      <c r="BO41" s="53"/>
      <c r="BP41" s="52" t="s">
        <v>106</v>
      </c>
      <c r="BQ41" s="17" t="s">
        <v>82</v>
      </c>
      <c r="BR41" s="53"/>
      <c r="BS41" s="53"/>
      <c r="BT41" s="10"/>
      <c r="BV41" s="4"/>
      <c r="BW41" s="53" t="s">
        <v>741</v>
      </c>
      <c r="BX41" s="53"/>
      <c r="BY41" s="53"/>
      <c r="BZ41" s="52" t="s">
        <v>118</v>
      </c>
      <c r="CA41" s="17" t="s">
        <v>82</v>
      </c>
      <c r="CB41" s="53"/>
      <c r="CC41" s="53"/>
      <c r="CD41" s="10"/>
      <c r="CF41" s="1998" t="s">
        <v>60</v>
      </c>
      <c r="CG41" s="2000"/>
      <c r="CH41" s="1999"/>
      <c r="CI41" s="36" t="s">
        <v>61</v>
      </c>
      <c r="CJ41" s="1998" t="s">
        <v>60</v>
      </c>
      <c r="CK41" s="1999"/>
      <c r="CL41" s="5" t="s">
        <v>62</v>
      </c>
      <c r="CM41" s="5"/>
      <c r="CN41" s="13"/>
      <c r="CO41" s="1348"/>
      <c r="CP41" s="4"/>
      <c r="CQ41" s="53" t="s">
        <v>84</v>
      </c>
      <c r="CT41" t="s">
        <v>1067</v>
      </c>
      <c r="CU41" s="1101"/>
      <c r="CV41" s="1288"/>
      <c r="CW41" s="53"/>
      <c r="CX41" s="10"/>
    </row>
    <row r="42" spans="2:102" ht="16.2" thickBot="1" x14ac:dyDescent="0.35">
      <c r="B42" s="4"/>
      <c r="C42" s="53" t="s">
        <v>46</v>
      </c>
      <c r="D42" s="53"/>
      <c r="E42" s="53"/>
      <c r="F42" s="51" t="s">
        <v>110</v>
      </c>
      <c r="G42" s="53"/>
      <c r="H42" s="53"/>
      <c r="I42" s="53"/>
      <c r="J42" s="10"/>
      <c r="K42" s="1348"/>
      <c r="L42" s="1348"/>
      <c r="N42" s="4"/>
      <c r="O42" s="53" t="s">
        <v>46</v>
      </c>
      <c r="P42" s="53"/>
      <c r="Q42" s="53"/>
      <c r="R42" s="51" t="s">
        <v>83</v>
      </c>
      <c r="S42" s="53"/>
      <c r="T42" s="53"/>
      <c r="U42" s="53"/>
      <c r="V42" s="10"/>
      <c r="X42" s="4"/>
      <c r="Y42" s="57"/>
      <c r="Z42" s="57"/>
      <c r="AA42" s="57"/>
      <c r="AB42" s="57"/>
      <c r="AC42" s="57"/>
      <c r="AD42" s="57"/>
      <c r="AE42" s="57"/>
      <c r="AF42" s="10"/>
      <c r="AG42" s="42"/>
      <c r="AH42" s="4"/>
      <c r="AI42" s="53" t="s">
        <v>46</v>
      </c>
      <c r="AJ42" s="53"/>
      <c r="AK42" s="53"/>
      <c r="AL42" s="51" t="s">
        <v>83</v>
      </c>
      <c r="AM42" s="53"/>
      <c r="AN42" s="53"/>
      <c r="AO42" s="53"/>
      <c r="AP42" s="10"/>
      <c r="AQ42" s="42"/>
      <c r="AR42" s="4"/>
      <c r="AS42" s="53" t="s">
        <v>46</v>
      </c>
      <c r="AT42" s="53"/>
      <c r="AU42" s="53"/>
      <c r="AV42" s="51" t="s">
        <v>83</v>
      </c>
      <c r="AW42" s="53"/>
      <c r="AX42" s="53"/>
      <c r="AY42" s="53"/>
      <c r="AZ42" s="10"/>
      <c r="BA42" s="42"/>
      <c r="BB42" s="4"/>
      <c r="BC42" s="53" t="s">
        <v>46</v>
      </c>
      <c r="BD42" s="53"/>
      <c r="BE42" s="53"/>
      <c r="BF42" s="51" t="s">
        <v>83</v>
      </c>
      <c r="BG42" s="53"/>
      <c r="BH42" s="53"/>
      <c r="BI42" s="53"/>
      <c r="BJ42" s="10"/>
      <c r="BK42" s="42"/>
      <c r="BL42" s="4"/>
      <c r="BM42" s="53" t="s">
        <v>45</v>
      </c>
      <c r="BN42" s="53"/>
      <c r="BO42" s="53"/>
      <c r="BP42" s="51" t="str">
        <f>VLOOKUP(BP8,Данные!A3:I27,6,FALSE())</f>
        <v>25010.00173</v>
      </c>
      <c r="BQ42" s="53"/>
      <c r="BR42" s="53"/>
      <c r="BS42" s="53"/>
      <c r="BT42" s="10"/>
      <c r="BV42" s="4"/>
      <c r="BW42" s="53" t="s">
        <v>45</v>
      </c>
      <c r="BX42" s="53"/>
      <c r="BY42" s="53"/>
      <c r="BZ42" s="51" t="str">
        <f>VLOOKUP(BZ8,Данные!A3:I27,6,FALSE())</f>
        <v>25010.00176</v>
      </c>
      <c r="CA42" s="53"/>
      <c r="CB42" s="53"/>
      <c r="CC42" s="53"/>
      <c r="CD42" s="10"/>
      <c r="CF42" s="2001">
        <f ca="1">TODAY()</f>
        <v>45497</v>
      </c>
      <c r="CG42" s="2002"/>
      <c r="CH42" s="2003"/>
      <c r="CI42" s="1081"/>
      <c r="CJ42" s="1"/>
      <c r="CK42" s="3"/>
      <c r="CL42" s="2"/>
      <c r="CM42" s="2"/>
      <c r="CN42" s="3"/>
      <c r="CO42" s="53"/>
      <c r="CP42" s="4"/>
      <c r="CQ42" s="101" t="s">
        <v>1065</v>
      </c>
      <c r="CR42" s="53" t="s">
        <v>1066</v>
      </c>
      <c r="CS42" s="17"/>
      <c r="CT42" s="17"/>
      <c r="CU42" s="1101"/>
      <c r="CV42" s="1288"/>
      <c r="CW42" s="53"/>
      <c r="CX42" s="10"/>
    </row>
    <row r="43" spans="2:102" ht="15" thickBot="1" x14ac:dyDescent="0.35">
      <c r="B43" s="4"/>
      <c r="C43" s="53" t="s">
        <v>58</v>
      </c>
      <c r="D43" s="53"/>
      <c r="E43" s="17"/>
      <c r="F43" s="17" t="s">
        <v>894</v>
      </c>
      <c r="G43" s="53"/>
      <c r="H43" s="53"/>
      <c r="I43" s="53"/>
      <c r="J43" s="10"/>
      <c r="K43" s="1348"/>
      <c r="L43" s="1348"/>
      <c r="N43" s="4"/>
      <c r="O43" s="53" t="s">
        <v>58</v>
      </c>
      <c r="P43" s="53"/>
      <c r="Q43" s="17"/>
      <c r="R43" s="17" t="s">
        <v>59</v>
      </c>
      <c r="S43" s="53"/>
      <c r="T43" s="53"/>
      <c r="U43" s="53"/>
      <c r="V43" s="10"/>
      <c r="X43" s="90" t="s">
        <v>3</v>
      </c>
      <c r="Y43" s="324"/>
      <c r="Z43" s="325"/>
      <c r="AA43" s="93" t="s">
        <v>277</v>
      </c>
      <c r="AB43" s="94" t="s">
        <v>278</v>
      </c>
      <c r="AC43" s="93" t="s">
        <v>278</v>
      </c>
      <c r="AD43" s="93" t="s">
        <v>279</v>
      </c>
      <c r="AE43" s="90" t="s">
        <v>280</v>
      </c>
      <c r="AF43" s="325"/>
      <c r="AG43" s="42"/>
      <c r="AH43" s="4"/>
      <c r="AI43" s="53" t="s">
        <v>58</v>
      </c>
      <c r="AJ43" s="53"/>
      <c r="AK43" s="17"/>
      <c r="AL43" s="17" t="s">
        <v>59</v>
      </c>
      <c r="AM43" s="53"/>
      <c r="AN43" s="53"/>
      <c r="AO43" s="53"/>
      <c r="AP43" s="10"/>
      <c r="AQ43" s="42"/>
      <c r="AR43" s="4"/>
      <c r="AS43" s="53" t="s">
        <v>58</v>
      </c>
      <c r="AT43" s="53"/>
      <c r="AU43" s="17"/>
      <c r="AV43" s="17" t="s">
        <v>59</v>
      </c>
      <c r="AW43" s="53"/>
      <c r="AX43" s="53"/>
      <c r="AY43" s="53"/>
      <c r="AZ43" s="10"/>
      <c r="BA43" s="42"/>
      <c r="BB43" s="4"/>
      <c r="BC43" s="53" t="s">
        <v>58</v>
      </c>
      <c r="BD43" s="53"/>
      <c r="BE43" s="17"/>
      <c r="BF43" s="17" t="s">
        <v>59</v>
      </c>
      <c r="BG43" s="53"/>
      <c r="BH43" s="53"/>
      <c r="BI43" s="53"/>
      <c r="BJ43" s="10"/>
      <c r="BK43" s="42"/>
      <c r="BL43" s="4"/>
      <c r="BM43" s="53" t="s">
        <v>46</v>
      </c>
      <c r="BN43" s="53"/>
      <c r="BO43" s="53"/>
      <c r="BP43" s="51" t="s">
        <v>83</v>
      </c>
      <c r="BQ43" s="53"/>
      <c r="BR43" s="53"/>
      <c r="BS43" s="53"/>
      <c r="BT43" s="10"/>
      <c r="BV43" s="4"/>
      <c r="BW43" s="53" t="s">
        <v>46</v>
      </c>
      <c r="BX43" s="53"/>
      <c r="BY43" s="53"/>
      <c r="BZ43" s="51" t="s">
        <v>83</v>
      </c>
      <c r="CA43" s="53"/>
      <c r="CB43" s="53"/>
      <c r="CC43" s="53"/>
      <c r="CD43" s="10"/>
      <c r="CF43" s="1998" t="s">
        <v>63</v>
      </c>
      <c r="CG43" s="2000"/>
      <c r="CH43" s="1999"/>
      <c r="CI43" s="21"/>
      <c r="CJ43" s="20"/>
      <c r="CK43" s="20"/>
      <c r="CL43" s="20"/>
      <c r="CM43" s="20"/>
      <c r="CN43" s="39"/>
      <c r="CO43" s="1348"/>
      <c r="CP43" s="4"/>
      <c r="CQ43" s="53" t="s">
        <v>58</v>
      </c>
      <c r="CR43" s="53"/>
      <c r="CS43" s="17"/>
      <c r="CT43" s="17" t="s">
        <v>59</v>
      </c>
      <c r="CU43" s="53"/>
      <c r="CV43" s="53"/>
      <c r="CW43" s="53"/>
      <c r="CX43" s="10"/>
    </row>
    <row r="44" spans="2:102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348"/>
      <c r="L44" s="1348"/>
      <c r="N44" s="4"/>
      <c r="O44" s="53" t="s">
        <v>84</v>
      </c>
      <c r="P44" s="53"/>
      <c r="Q44" s="17"/>
      <c r="R44" s="17" t="s">
        <v>52</v>
      </c>
      <c r="S44" s="53"/>
      <c r="T44" s="53"/>
      <c r="U44" s="53"/>
      <c r="V44" s="10"/>
      <c r="X44" s="95"/>
      <c r="Y44" s="326" t="s">
        <v>281</v>
      </c>
      <c r="Z44" s="327"/>
      <c r="AA44" s="97" t="s">
        <v>282</v>
      </c>
      <c r="AB44" s="97" t="s">
        <v>283</v>
      </c>
      <c r="AC44" s="97" t="s">
        <v>284</v>
      </c>
      <c r="AD44" s="97"/>
      <c r="AE44" s="98" t="s">
        <v>285</v>
      </c>
      <c r="AF44" s="327"/>
      <c r="AG44" s="42"/>
      <c r="AH44" s="4"/>
      <c r="AI44" s="53" t="s">
        <v>84</v>
      </c>
      <c r="AJ44" s="53"/>
      <c r="AK44" s="17"/>
      <c r="AL44" s="17" t="s">
        <v>52</v>
      </c>
      <c r="AM44" s="53"/>
      <c r="AN44" s="53"/>
      <c r="AO44" s="53"/>
      <c r="AP44" s="10"/>
      <c r="AQ44" s="42"/>
      <c r="AR44" s="4"/>
      <c r="AS44" s="53" t="s">
        <v>84</v>
      </c>
      <c r="AT44" s="53"/>
      <c r="AU44" s="17"/>
      <c r="AV44" s="136" t="s">
        <v>52</v>
      </c>
      <c r="AW44" s="53"/>
      <c r="AX44" s="53"/>
      <c r="AY44" s="53"/>
      <c r="AZ44" s="10"/>
      <c r="BA44" s="42"/>
      <c r="BB44" s="4"/>
      <c r="BC44" s="53" t="s">
        <v>84</v>
      </c>
      <c r="BD44" s="53"/>
      <c r="BE44" s="17"/>
      <c r="BF44" s="136" t="s">
        <v>52</v>
      </c>
      <c r="BG44" s="53"/>
      <c r="BH44" s="53"/>
      <c r="BI44" s="53"/>
      <c r="BJ44" s="10"/>
      <c r="BK44" s="42"/>
      <c r="BL44" s="4"/>
      <c r="BM44" s="53" t="s">
        <v>58</v>
      </c>
      <c r="BN44" s="53"/>
      <c r="BO44" s="17"/>
      <c r="BP44" s="17" t="s">
        <v>59</v>
      </c>
      <c r="BQ44" s="53"/>
      <c r="BR44" s="53"/>
      <c r="BS44" s="53"/>
      <c r="BT44" s="10"/>
      <c r="BV44" s="4"/>
      <c r="BW44" s="53" t="s">
        <v>58</v>
      </c>
      <c r="BX44" s="53"/>
      <c r="BY44" s="17"/>
      <c r="BZ44" s="17" t="s">
        <v>59</v>
      </c>
      <c r="CA44" s="53"/>
      <c r="CB44" s="53"/>
      <c r="CC44" s="53"/>
      <c r="CD44" s="10"/>
      <c r="CF44" s="4"/>
      <c r="CG44" s="57"/>
      <c r="CH44" s="57"/>
      <c r="CI44" s="57"/>
      <c r="CJ44" s="57"/>
      <c r="CK44" s="57"/>
      <c r="CL44" s="57"/>
      <c r="CM44" s="57"/>
      <c r="CN44" s="10"/>
      <c r="CO44" s="1348"/>
      <c r="CP44" s="1998" t="s">
        <v>60</v>
      </c>
      <c r="CQ44" s="2000"/>
      <c r="CR44" s="1999"/>
      <c r="CS44" s="1289" t="s">
        <v>61</v>
      </c>
      <c r="CT44" s="1286" t="s">
        <v>60</v>
      </c>
      <c r="CU44" s="1998" t="s">
        <v>62</v>
      </c>
      <c r="CV44" s="1999"/>
      <c r="CW44" s="1998" t="s">
        <v>930</v>
      </c>
      <c r="CX44" s="1999"/>
    </row>
    <row r="45" spans="2:102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348"/>
      <c r="L45" s="1348"/>
      <c r="N45" s="12"/>
      <c r="O45" s="5" t="s">
        <v>60</v>
      </c>
      <c r="P45" s="13"/>
      <c r="Q45" s="36" t="s">
        <v>61</v>
      </c>
      <c r="R45" s="279" t="s">
        <v>60</v>
      </c>
      <c r="S45" s="13"/>
      <c r="T45" s="5" t="s">
        <v>62</v>
      </c>
      <c r="U45" s="5"/>
      <c r="V45" s="13"/>
      <c r="X45" s="95"/>
      <c r="Y45" s="326" t="s">
        <v>351</v>
      </c>
      <c r="Z45" s="326"/>
      <c r="AA45" s="158">
        <v>40</v>
      </c>
      <c r="AB45" s="159">
        <v>1</v>
      </c>
      <c r="AC45" s="158">
        <v>20</v>
      </c>
      <c r="AD45" s="97">
        <v>3</v>
      </c>
      <c r="AE45" s="1989">
        <f>ROUND(AB$10/AG51,3)</f>
        <v>1.621</v>
      </c>
      <c r="AF45" s="1990"/>
      <c r="AG45" s="42"/>
      <c r="AH45" s="12"/>
      <c r="AI45" s="5" t="s">
        <v>60</v>
      </c>
      <c r="AJ45" s="13"/>
      <c r="AK45" s="36" t="s">
        <v>61</v>
      </c>
      <c r="AL45" s="37" t="s">
        <v>60</v>
      </c>
      <c r="AM45" s="13"/>
      <c r="AN45" s="5" t="s">
        <v>62</v>
      </c>
      <c r="AO45" s="5"/>
      <c r="AP45" s="13"/>
      <c r="AQ45" s="42"/>
      <c r="AR45" s="12"/>
      <c r="AS45" s="5" t="s">
        <v>60</v>
      </c>
      <c r="AT45" s="13"/>
      <c r="AU45" s="36" t="s">
        <v>61</v>
      </c>
      <c r="AV45" s="37" t="s">
        <v>60</v>
      </c>
      <c r="AW45" s="13"/>
      <c r="AX45" s="5" t="s">
        <v>62</v>
      </c>
      <c r="AY45" s="5"/>
      <c r="AZ45" s="13"/>
      <c r="BA45" s="42"/>
      <c r="BB45" s="12"/>
      <c r="BC45" s="5" t="s">
        <v>60</v>
      </c>
      <c r="BD45" s="13"/>
      <c r="BE45" s="36" t="s">
        <v>61</v>
      </c>
      <c r="BF45" s="37" t="s">
        <v>60</v>
      </c>
      <c r="BG45" s="13"/>
      <c r="BH45" s="5" t="s">
        <v>62</v>
      </c>
      <c r="BI45" s="5"/>
      <c r="BJ45" s="13"/>
      <c r="BK45" s="42"/>
      <c r="BL45" s="4"/>
      <c r="BM45" s="53" t="s">
        <v>84</v>
      </c>
      <c r="BN45" s="53"/>
      <c r="BO45" s="17"/>
      <c r="BP45" s="17" t="s">
        <v>52</v>
      </c>
      <c r="BQ45" s="53"/>
      <c r="BR45" s="53"/>
      <c r="BS45" s="53"/>
      <c r="BT45" s="10"/>
      <c r="BV45" s="4"/>
      <c r="BW45" s="53" t="s">
        <v>84</v>
      </c>
      <c r="BX45" s="53"/>
      <c r="BY45" s="17"/>
      <c r="BZ45" s="17" t="s">
        <v>52</v>
      </c>
      <c r="CA45" s="53"/>
      <c r="CB45" s="53"/>
      <c r="CC45" s="53"/>
      <c r="CD45" s="10"/>
      <c r="CF45" s="1992" t="s">
        <v>3</v>
      </c>
      <c r="CG45" s="1993"/>
      <c r="CH45" s="1994"/>
      <c r="CI45" s="93" t="s">
        <v>277</v>
      </c>
      <c r="CJ45" s="94" t="s">
        <v>278</v>
      </c>
      <c r="CK45" s="93" t="s">
        <v>278</v>
      </c>
      <c r="CL45" s="93" t="s">
        <v>279</v>
      </c>
      <c r="CM45" s="90" t="s">
        <v>280</v>
      </c>
      <c r="CN45" s="1083"/>
      <c r="CO45" s="950"/>
      <c r="CP45" s="2001">
        <f ca="1">TODAY()</f>
        <v>45497</v>
      </c>
      <c r="CQ45" s="2002"/>
      <c r="CR45" s="2003"/>
      <c r="CS45" s="1237"/>
      <c r="CT45" s="1"/>
      <c r="CU45" s="978"/>
      <c r="CV45" s="78"/>
      <c r="CW45" s="2"/>
      <c r="CX45" s="3"/>
    </row>
    <row r="46" spans="2:102" ht="15" thickBot="1" x14ac:dyDescent="0.35">
      <c r="B46" s="2055">
        <f ca="1">TODAY()</f>
        <v>45497</v>
      </c>
      <c r="C46" s="2055"/>
      <c r="D46" s="3"/>
      <c r="E46" s="38"/>
      <c r="F46" s="1"/>
      <c r="G46" s="3"/>
      <c r="H46" s="2"/>
      <c r="I46" s="2"/>
      <c r="J46" s="3"/>
      <c r="K46" s="53"/>
      <c r="L46" s="53"/>
      <c r="N46" s="2055">
        <f ca="1">TODAY()</f>
        <v>45497</v>
      </c>
      <c r="O46" s="2055"/>
      <c r="P46" s="3"/>
      <c r="Q46" s="38"/>
      <c r="R46" s="1"/>
      <c r="S46" s="3"/>
      <c r="T46" s="2"/>
      <c r="U46" s="2"/>
      <c r="V46" s="3"/>
      <c r="AG46" s="42"/>
      <c r="AH46" s="2055">
        <f ca="1">TODAY()</f>
        <v>45497</v>
      </c>
      <c r="AI46" s="2055"/>
      <c r="AJ46" s="3"/>
      <c r="AK46" s="38"/>
      <c r="AL46" s="1"/>
      <c r="AM46" s="3"/>
      <c r="AN46" s="2"/>
      <c r="AO46" s="2"/>
      <c r="AP46" s="3"/>
      <c r="AQ46" s="42"/>
      <c r="AR46" s="2055">
        <f ca="1">TODAY()</f>
        <v>45497</v>
      </c>
      <c r="AS46" s="2055"/>
      <c r="AT46" s="3"/>
      <c r="AU46" s="38"/>
      <c r="AV46" s="1"/>
      <c r="AW46" s="3"/>
      <c r="AX46" s="2"/>
      <c r="AY46" s="2"/>
      <c r="AZ46" s="3"/>
      <c r="BA46" s="42"/>
      <c r="BB46" s="2055">
        <f ca="1">TODAY()</f>
        <v>45497</v>
      </c>
      <c r="BC46" s="2055"/>
      <c r="BD46" s="3"/>
      <c r="BE46" s="38"/>
      <c r="BF46" s="1"/>
      <c r="BG46" s="3"/>
      <c r="BH46" s="2"/>
      <c r="BI46" s="2"/>
      <c r="BJ46" s="3"/>
      <c r="BK46" s="42"/>
      <c r="BL46" s="12"/>
      <c r="BM46" s="5" t="s">
        <v>60</v>
      </c>
      <c r="BN46" s="13"/>
      <c r="BO46" s="36" t="s">
        <v>61</v>
      </c>
      <c r="BP46" s="37" t="s">
        <v>60</v>
      </c>
      <c r="BQ46" s="13"/>
      <c r="BR46" s="5" t="s">
        <v>62</v>
      </c>
      <c r="BS46" s="5"/>
      <c r="BT46" s="13"/>
      <c r="BV46" s="12"/>
      <c r="BW46" s="5" t="s">
        <v>60</v>
      </c>
      <c r="BX46" s="13"/>
      <c r="BY46" s="36" t="s">
        <v>61</v>
      </c>
      <c r="BZ46" s="37" t="s">
        <v>60</v>
      </c>
      <c r="CA46" s="13"/>
      <c r="CB46" s="5" t="s">
        <v>62</v>
      </c>
      <c r="CC46" s="5"/>
      <c r="CD46" s="13"/>
      <c r="CF46" s="1995" t="s">
        <v>281</v>
      </c>
      <c r="CG46" s="1996"/>
      <c r="CH46" s="1997"/>
      <c r="CI46" s="97" t="s">
        <v>282</v>
      </c>
      <c r="CJ46" s="97" t="s">
        <v>283</v>
      </c>
      <c r="CK46" s="97" t="s">
        <v>284</v>
      </c>
      <c r="CL46" s="97"/>
      <c r="CM46" s="98" t="s">
        <v>285</v>
      </c>
      <c r="CN46" s="1080"/>
      <c r="CO46" s="950"/>
      <c r="CP46" s="1998" t="s">
        <v>63</v>
      </c>
      <c r="CQ46" s="2000"/>
      <c r="CR46" s="1999"/>
      <c r="CS46" s="21"/>
      <c r="CT46" s="20"/>
      <c r="CU46" s="20"/>
      <c r="CV46" s="20"/>
      <c r="CW46" s="20"/>
      <c r="CX46" s="39"/>
    </row>
    <row r="47" spans="2:102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348"/>
      <c r="L47" s="1348"/>
      <c r="N47" s="71"/>
      <c r="O47" s="20" t="s">
        <v>63</v>
      </c>
      <c r="P47" s="3"/>
      <c r="Q47" s="21"/>
      <c r="R47" s="20"/>
      <c r="S47" s="20"/>
      <c r="T47" s="20"/>
      <c r="U47" s="20"/>
      <c r="V47" s="39"/>
      <c r="AG47" s="42"/>
      <c r="AH47" s="71"/>
      <c r="AI47" s="20" t="s">
        <v>63</v>
      </c>
      <c r="AJ47" s="3"/>
      <c r="AK47" s="21"/>
      <c r="AL47" s="20"/>
      <c r="AM47" s="20"/>
      <c r="AN47" s="20"/>
      <c r="AO47" s="20"/>
      <c r="AP47" s="39"/>
      <c r="AQ47" s="42"/>
      <c r="AR47" s="71"/>
      <c r="AS47" s="20" t="s">
        <v>63</v>
      </c>
      <c r="AT47" s="3"/>
      <c r="AU47" s="21"/>
      <c r="AV47" s="20"/>
      <c r="AW47" s="20"/>
      <c r="AX47" s="20"/>
      <c r="AY47" s="20"/>
      <c r="AZ47" s="39"/>
      <c r="BA47" s="42"/>
      <c r="BB47" s="71"/>
      <c r="BC47" s="20" t="s">
        <v>63</v>
      </c>
      <c r="BD47" s="3"/>
      <c r="BE47" s="21"/>
      <c r="BF47" s="20"/>
      <c r="BG47" s="20"/>
      <c r="BH47" s="20"/>
      <c r="BI47" s="20"/>
      <c r="BJ47" s="39"/>
      <c r="BK47" s="42"/>
      <c r="BL47" s="2055">
        <f ca="1">TODAY()</f>
        <v>45497</v>
      </c>
      <c r="BM47" s="2055"/>
      <c r="BN47" s="3"/>
      <c r="BO47" s="38"/>
      <c r="BP47" s="1"/>
      <c r="BQ47" s="3"/>
      <c r="BR47" s="2"/>
      <c r="BS47" s="2"/>
      <c r="BT47" s="3"/>
      <c r="BV47" s="2055">
        <f ca="1">TODAY()</f>
        <v>45497</v>
      </c>
      <c r="BW47" s="2055"/>
      <c r="BX47" s="3"/>
      <c r="BY47" s="38"/>
      <c r="BZ47" s="1"/>
      <c r="CA47" s="3"/>
      <c r="CB47" s="2"/>
      <c r="CC47" s="2"/>
      <c r="CD47" s="3"/>
      <c r="CF47" s="1989" t="s">
        <v>351</v>
      </c>
      <c r="CG47" s="1991"/>
      <c r="CH47" s="1990"/>
      <c r="CI47" s="158">
        <v>40</v>
      </c>
      <c r="CJ47" s="1082">
        <v>1</v>
      </c>
      <c r="CK47" s="158">
        <v>20</v>
      </c>
      <c r="CL47" s="97">
        <v>3</v>
      </c>
      <c r="CM47" s="1989">
        <f>ROUND(CJ$11/98.72,3)</f>
        <v>1.236</v>
      </c>
      <c r="CN47" s="1990"/>
      <c r="CO47" s="950"/>
      <c r="CP47" s="2056"/>
      <c r="CQ47" s="2057"/>
      <c r="CR47" s="2057"/>
      <c r="CS47" s="57"/>
      <c r="CT47" s="57"/>
      <c r="CU47" s="57"/>
      <c r="CV47" s="57"/>
      <c r="CW47" s="57"/>
      <c r="CX47" s="10"/>
    </row>
    <row r="48" spans="2:102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348"/>
      <c r="L48" s="1348"/>
      <c r="N48" s="4"/>
      <c r="O48" s="57"/>
      <c r="P48" s="57"/>
      <c r="Q48" s="57"/>
      <c r="R48" s="57"/>
      <c r="S48" s="57"/>
      <c r="T48" s="57"/>
      <c r="U48" s="57"/>
      <c r="V48" s="10"/>
      <c r="AG48" s="42"/>
      <c r="AH48" s="4"/>
      <c r="AI48" s="57"/>
      <c r="AJ48" s="57"/>
      <c r="AK48" s="57"/>
      <c r="AL48" s="57"/>
      <c r="AM48" s="57"/>
      <c r="AN48" s="57"/>
      <c r="AO48" s="57"/>
      <c r="AP48" s="10"/>
      <c r="AQ48" s="42"/>
      <c r="AR48" s="4"/>
      <c r="AS48" s="57"/>
      <c r="AT48" s="57"/>
      <c r="AU48" s="57"/>
      <c r="AV48" s="57"/>
      <c r="AW48" s="57"/>
      <c r="AX48" s="57"/>
      <c r="AY48" s="57"/>
      <c r="AZ48" s="10"/>
      <c r="BA48" s="42"/>
      <c r="BB48" s="4"/>
      <c r="BC48" s="57"/>
      <c r="BD48" s="57"/>
      <c r="BE48" s="57"/>
      <c r="BF48" s="57"/>
      <c r="BG48" s="57"/>
      <c r="BH48" s="57"/>
      <c r="BI48" s="57"/>
      <c r="BJ48" s="10"/>
      <c r="BK48" s="42"/>
      <c r="BL48" s="71"/>
      <c r="BM48" s="20" t="s">
        <v>63</v>
      </c>
      <c r="BN48" s="3"/>
      <c r="BO48" s="21"/>
      <c r="BP48" s="20"/>
      <c r="BQ48" s="20"/>
      <c r="BR48" s="20"/>
      <c r="BS48" s="20"/>
      <c r="BT48" s="39"/>
      <c r="BV48" s="71"/>
      <c r="BW48" s="20" t="s">
        <v>63</v>
      </c>
      <c r="BX48" s="3"/>
      <c r="BY48" s="21"/>
      <c r="BZ48" s="20"/>
      <c r="CA48" s="20"/>
      <c r="CB48" s="20"/>
      <c r="CC48" s="20"/>
      <c r="CD48" s="39"/>
      <c r="CP48" s="1992" t="s">
        <v>3</v>
      </c>
      <c r="CQ48" s="1993"/>
      <c r="CR48" s="1994"/>
      <c r="CS48" s="93" t="s">
        <v>277</v>
      </c>
      <c r="CT48" s="94" t="s">
        <v>278</v>
      </c>
      <c r="CU48" s="93" t="s">
        <v>278</v>
      </c>
      <c r="CV48" s="93" t="s">
        <v>279</v>
      </c>
      <c r="CW48" s="90" t="s">
        <v>280</v>
      </c>
      <c r="CX48" s="1284"/>
    </row>
    <row r="49" spans="2:102" ht="15" thickBot="1" x14ac:dyDescent="0.35">
      <c r="B49" s="90" t="s">
        <v>3</v>
      </c>
      <c r="C49" s="165"/>
      <c r="D49" s="163"/>
      <c r="E49" s="93" t="s">
        <v>277</v>
      </c>
      <c r="F49" s="94" t="s">
        <v>278</v>
      </c>
      <c r="G49" s="93" t="s">
        <v>278</v>
      </c>
      <c r="H49" s="93" t="s">
        <v>279</v>
      </c>
      <c r="I49" s="90" t="s">
        <v>280</v>
      </c>
      <c r="J49" s="163"/>
      <c r="K49" s="950"/>
      <c r="L49" s="950"/>
      <c r="N49" s="90" t="s">
        <v>3</v>
      </c>
      <c r="O49" s="273"/>
      <c r="P49" s="274"/>
      <c r="Q49" s="93" t="s">
        <v>277</v>
      </c>
      <c r="R49" s="94" t="s">
        <v>278</v>
      </c>
      <c r="S49" s="93" t="s">
        <v>278</v>
      </c>
      <c r="T49" s="93" t="s">
        <v>279</v>
      </c>
      <c r="U49" s="90" t="s">
        <v>280</v>
      </c>
      <c r="V49" s="274"/>
      <c r="AG49" s="42"/>
      <c r="AH49" s="90" t="s">
        <v>3</v>
      </c>
      <c r="AI49" s="329"/>
      <c r="AJ49" s="330"/>
      <c r="AK49" s="93" t="s">
        <v>277</v>
      </c>
      <c r="AL49" s="94" t="s">
        <v>278</v>
      </c>
      <c r="AM49" s="93" t="s">
        <v>278</v>
      </c>
      <c r="AN49" s="93" t="s">
        <v>279</v>
      </c>
      <c r="AO49" s="90" t="s">
        <v>280</v>
      </c>
      <c r="AP49" s="330"/>
      <c r="AQ49" s="42"/>
      <c r="AR49" s="90" t="s">
        <v>3</v>
      </c>
      <c r="AS49" s="384"/>
      <c r="AT49" s="385"/>
      <c r="AU49" s="93" t="s">
        <v>277</v>
      </c>
      <c r="AV49" s="94" t="s">
        <v>278</v>
      </c>
      <c r="AW49" s="93" t="s">
        <v>278</v>
      </c>
      <c r="AX49" s="93" t="s">
        <v>279</v>
      </c>
      <c r="AY49" s="90" t="s">
        <v>280</v>
      </c>
      <c r="AZ49" s="385"/>
      <c r="BA49" s="42"/>
      <c r="BB49" s="90" t="s">
        <v>3</v>
      </c>
      <c r="BC49" s="835"/>
      <c r="BD49" s="836"/>
      <c r="BE49" s="93" t="s">
        <v>277</v>
      </c>
      <c r="BF49" s="94" t="s">
        <v>278</v>
      </c>
      <c r="BG49" s="93" t="s">
        <v>278</v>
      </c>
      <c r="BH49" s="93" t="s">
        <v>279</v>
      </c>
      <c r="BI49" s="90" t="s">
        <v>280</v>
      </c>
      <c r="BJ49" s="836"/>
      <c r="BK49" s="42"/>
      <c r="BL49" s="4"/>
      <c r="BM49" s="57"/>
      <c r="BN49" s="57"/>
      <c r="BO49" s="57"/>
      <c r="BP49" s="57"/>
      <c r="BQ49" s="57"/>
      <c r="BR49" s="57"/>
      <c r="BS49" s="57"/>
      <c r="BT49" s="10"/>
      <c r="BV49" s="4"/>
      <c r="BW49" s="57"/>
      <c r="BX49" s="57"/>
      <c r="BY49" s="57"/>
      <c r="BZ49" s="57"/>
      <c r="CA49" s="57"/>
      <c r="CB49" s="57"/>
      <c r="CC49" s="57"/>
      <c r="CD49" s="10"/>
      <c r="CP49" s="1995" t="s">
        <v>281</v>
      </c>
      <c r="CQ49" s="1996"/>
      <c r="CR49" s="1997"/>
      <c r="CS49" s="97" t="s">
        <v>282</v>
      </c>
      <c r="CT49" s="97" t="s">
        <v>283</v>
      </c>
      <c r="CU49" s="97" t="s">
        <v>284</v>
      </c>
      <c r="CV49" s="97"/>
      <c r="CW49" s="98" t="s">
        <v>285</v>
      </c>
      <c r="CX49" s="1285"/>
    </row>
    <row r="50" spans="2:102" ht="15" thickBot="1" x14ac:dyDescent="0.35">
      <c r="B50" s="95"/>
      <c r="C50" s="96" t="s">
        <v>281</v>
      </c>
      <c r="D50" s="164"/>
      <c r="E50" s="97" t="s">
        <v>282</v>
      </c>
      <c r="F50" s="97" t="s">
        <v>283</v>
      </c>
      <c r="G50" s="97" t="s">
        <v>284</v>
      </c>
      <c r="H50" s="97"/>
      <c r="I50" s="98" t="s">
        <v>285</v>
      </c>
      <c r="J50" s="164"/>
      <c r="K50" s="950"/>
      <c r="L50" s="950"/>
      <c r="N50" s="95"/>
      <c r="O50" s="275" t="s">
        <v>281</v>
      </c>
      <c r="P50" s="276"/>
      <c r="Q50" s="97" t="s">
        <v>282</v>
      </c>
      <c r="R50" s="97" t="s">
        <v>283</v>
      </c>
      <c r="S50" s="97" t="s">
        <v>284</v>
      </c>
      <c r="T50" s="97"/>
      <c r="U50" s="98" t="s">
        <v>285</v>
      </c>
      <c r="V50" s="276"/>
      <c r="AG50" s="42"/>
      <c r="AH50" s="95"/>
      <c r="AI50" s="331" t="s">
        <v>281</v>
      </c>
      <c r="AJ50" s="332"/>
      <c r="AK50" s="97" t="s">
        <v>282</v>
      </c>
      <c r="AL50" s="97" t="s">
        <v>283</v>
      </c>
      <c r="AM50" s="97" t="s">
        <v>284</v>
      </c>
      <c r="AN50" s="97"/>
      <c r="AO50" s="98" t="s">
        <v>285</v>
      </c>
      <c r="AP50" s="332"/>
      <c r="AQ50" s="42"/>
      <c r="AR50" s="95"/>
      <c r="AS50" s="386" t="s">
        <v>281</v>
      </c>
      <c r="AT50" s="387"/>
      <c r="AU50" s="97" t="s">
        <v>282</v>
      </c>
      <c r="AV50" s="97" t="s">
        <v>283</v>
      </c>
      <c r="AW50" s="97" t="s">
        <v>284</v>
      </c>
      <c r="AX50" s="97"/>
      <c r="AY50" s="98" t="s">
        <v>285</v>
      </c>
      <c r="AZ50" s="387"/>
      <c r="BA50" s="42"/>
      <c r="BB50" s="95"/>
      <c r="BC50" s="837" t="s">
        <v>281</v>
      </c>
      <c r="BD50" s="833"/>
      <c r="BE50" s="97" t="s">
        <v>282</v>
      </c>
      <c r="BF50" s="97" t="s">
        <v>283</v>
      </c>
      <c r="BG50" s="97" t="s">
        <v>284</v>
      </c>
      <c r="BH50" s="97"/>
      <c r="BI50" s="98" t="s">
        <v>285</v>
      </c>
      <c r="BJ50" s="833"/>
      <c r="BK50" s="42"/>
      <c r="BL50" s="90" t="s">
        <v>3</v>
      </c>
      <c r="BM50" s="91"/>
      <c r="BN50" s="92"/>
      <c r="BO50" s="93" t="s">
        <v>277</v>
      </c>
      <c r="BP50" s="94" t="s">
        <v>278</v>
      </c>
      <c r="BQ50" s="93" t="s">
        <v>278</v>
      </c>
      <c r="BR50" s="93" t="s">
        <v>279</v>
      </c>
      <c r="BS50" s="90" t="s">
        <v>280</v>
      </c>
      <c r="BT50" s="92"/>
      <c r="BV50" s="90" t="s">
        <v>3</v>
      </c>
      <c r="BW50" s="91"/>
      <c r="BX50" s="92"/>
      <c r="BY50" s="93" t="s">
        <v>277</v>
      </c>
      <c r="BZ50" s="94" t="s">
        <v>278</v>
      </c>
      <c r="CA50" s="93" t="s">
        <v>278</v>
      </c>
      <c r="CB50" s="93" t="s">
        <v>279</v>
      </c>
      <c r="CC50" s="90" t="s">
        <v>280</v>
      </c>
      <c r="CD50" s="92"/>
      <c r="CP50" s="1989" t="s">
        <v>351</v>
      </c>
      <c r="CQ50" s="1991"/>
      <c r="CR50" s="1990"/>
      <c r="CS50" s="158">
        <v>40</v>
      </c>
      <c r="CT50" s="1283">
        <v>1</v>
      </c>
      <c r="CU50" s="158">
        <v>20</v>
      </c>
      <c r="CV50" s="97">
        <v>3</v>
      </c>
      <c r="CW50" s="1989">
        <f>ROUND(1400*2000*320/1000000*2.045*2.3/1000,3)</f>
        <v>4.2140000000000004</v>
      </c>
      <c r="CX50" s="1990"/>
    </row>
    <row r="51" spans="2:102" ht="15" thickBot="1" x14ac:dyDescent="0.35">
      <c r="B51" s="95"/>
      <c r="C51" s="96" t="s">
        <v>351</v>
      </c>
      <c r="D51" s="96"/>
      <c r="E51" s="158">
        <v>40</v>
      </c>
      <c r="F51" s="159">
        <v>1</v>
      </c>
      <c r="G51" s="158">
        <v>20</v>
      </c>
      <c r="H51" s="97">
        <v>3</v>
      </c>
      <c r="I51" s="1989">
        <f>ROUND(F$12/K51,3)</f>
        <v>31.553999999999998</v>
      </c>
      <c r="J51" s="1990"/>
      <c r="K51" s="950">
        <v>98.72</v>
      </c>
      <c r="L51" s="950"/>
      <c r="M51" s="445"/>
      <c r="N51" s="95"/>
      <c r="O51" s="275" t="s">
        <v>351</v>
      </c>
      <c r="P51" s="275"/>
      <c r="Q51" s="158">
        <v>40</v>
      </c>
      <c r="R51" s="159">
        <v>1</v>
      </c>
      <c r="S51" s="158">
        <v>20</v>
      </c>
      <c r="T51" s="97">
        <v>3</v>
      </c>
      <c r="U51" s="1989">
        <f>ROUND(R$12/W51,3)</f>
        <v>8.4079999999999995</v>
      </c>
      <c r="V51" s="1990"/>
      <c r="W51" s="167">
        <v>98.72</v>
      </c>
      <c r="AF51" s="57"/>
      <c r="AG51" s="445">
        <v>98.72</v>
      </c>
      <c r="AH51" s="95"/>
      <c r="AI51" s="331" t="s">
        <v>351</v>
      </c>
      <c r="AJ51" s="331"/>
      <c r="AK51" s="158">
        <v>40</v>
      </c>
      <c r="AL51" s="333">
        <v>1</v>
      </c>
      <c r="AM51" s="158">
        <v>20</v>
      </c>
      <c r="AN51" s="97">
        <v>3</v>
      </c>
      <c r="AO51" s="1989">
        <f>ROUND(AL$12/AQ51,3)</f>
        <v>9.5730000000000004</v>
      </c>
      <c r="AP51" s="1990"/>
      <c r="AQ51" s="167">
        <v>98.72</v>
      </c>
      <c r="AR51" s="95"/>
      <c r="AS51" s="386" t="s">
        <v>351</v>
      </c>
      <c r="AT51" s="386"/>
      <c r="AU51" s="158">
        <v>40</v>
      </c>
      <c r="AV51" s="389">
        <v>1</v>
      </c>
      <c r="AW51" s="158">
        <v>20</v>
      </c>
      <c r="AX51" s="97">
        <v>3</v>
      </c>
      <c r="AY51" s="1989">
        <f>ROUND(AV$12/BA51,3)</f>
        <v>7.04</v>
      </c>
      <c r="AZ51" s="1990"/>
      <c r="BA51" s="167">
        <v>98.72</v>
      </c>
      <c r="BB51" s="95"/>
      <c r="BC51" s="837" t="s">
        <v>351</v>
      </c>
      <c r="BD51" s="837"/>
      <c r="BE51" s="158">
        <v>40</v>
      </c>
      <c r="BF51" s="834">
        <v>1</v>
      </c>
      <c r="BG51" s="158">
        <v>20</v>
      </c>
      <c r="BH51" s="97">
        <v>3</v>
      </c>
      <c r="BI51" s="1989">
        <f>ROUND(BF$12/BK51,3)</f>
        <v>10.265000000000001</v>
      </c>
      <c r="BJ51" s="1990"/>
      <c r="BK51" s="167">
        <v>170</v>
      </c>
      <c r="BL51" s="95"/>
      <c r="BM51" s="96" t="s">
        <v>281</v>
      </c>
      <c r="BN51" s="157"/>
      <c r="BO51" s="97" t="s">
        <v>282</v>
      </c>
      <c r="BP51" s="97" t="s">
        <v>283</v>
      </c>
      <c r="BQ51" s="97" t="s">
        <v>284</v>
      </c>
      <c r="BR51" s="97"/>
      <c r="BS51" s="98" t="s">
        <v>285</v>
      </c>
      <c r="BT51" s="157"/>
      <c r="BV51" s="95"/>
      <c r="BW51" s="96" t="s">
        <v>281</v>
      </c>
      <c r="BX51" s="157"/>
      <c r="BY51" s="97" t="s">
        <v>282</v>
      </c>
      <c r="BZ51" s="97" t="s">
        <v>283</v>
      </c>
      <c r="CA51" s="97" t="s">
        <v>284</v>
      </c>
      <c r="CB51" s="97"/>
      <c r="CC51" s="98" t="s">
        <v>285</v>
      </c>
      <c r="CD51" s="157"/>
    </row>
    <row r="52" spans="2:102" ht="15" thickBot="1" x14ac:dyDescent="0.35">
      <c r="I52">
        <f>ROUND(2500*2500*1080/1000000*2.045*2.3/1000,3)</f>
        <v>31.748999999999999</v>
      </c>
      <c r="BL52" s="95"/>
      <c r="BM52" s="96" t="s">
        <v>351</v>
      </c>
      <c r="BN52" s="96"/>
      <c r="BO52" s="158">
        <v>40</v>
      </c>
      <c r="BP52" s="159">
        <v>1</v>
      </c>
      <c r="BQ52" s="158">
        <v>20</v>
      </c>
      <c r="BR52" s="97">
        <v>3</v>
      </c>
      <c r="BS52" s="1989">
        <f>ROUND($BP$13/BU52,3)</f>
        <v>2.492</v>
      </c>
      <c r="BT52" s="1990"/>
      <c r="BU52" s="167">
        <v>98.72</v>
      </c>
      <c r="BV52" s="95"/>
      <c r="BW52" s="96" t="s">
        <v>351</v>
      </c>
      <c r="BX52" s="96"/>
      <c r="BY52" s="158">
        <v>40</v>
      </c>
      <c r="BZ52" s="159">
        <v>1</v>
      </c>
      <c r="CA52" s="158">
        <v>20</v>
      </c>
      <c r="CB52" s="97">
        <v>3</v>
      </c>
      <c r="CC52" s="1989">
        <f>ROUND(BZ$13/CE52,3)</f>
        <v>6.9390000000000001</v>
      </c>
      <c r="CD52" s="1990"/>
      <c r="CE52" s="167">
        <v>98.72</v>
      </c>
    </row>
    <row r="55" spans="2:102" x14ac:dyDescent="0.3">
      <c r="C55" s="42"/>
      <c r="D55" s="42"/>
      <c r="E55" s="42"/>
    </row>
    <row r="56" spans="2:102" x14ac:dyDescent="0.3">
      <c r="C56" s="42"/>
      <c r="D56" s="42"/>
      <c r="E56" s="42"/>
    </row>
    <row r="57" spans="2:102" x14ac:dyDescent="0.3">
      <c r="C57" s="42"/>
      <c r="D57" s="45"/>
      <c r="E57" s="543"/>
    </row>
    <row r="58" spans="2:102" x14ac:dyDescent="0.3">
      <c r="C58" s="42"/>
      <c r="D58" s="42"/>
      <c r="E58" s="42"/>
    </row>
    <row r="59" spans="2:102" x14ac:dyDescent="0.3">
      <c r="C59" s="42"/>
      <c r="D59" s="42"/>
      <c r="E59" s="543"/>
    </row>
    <row r="60" spans="2:102" x14ac:dyDescent="0.3">
      <c r="C60" s="42"/>
      <c r="D60" s="543"/>
      <c r="E60" s="543"/>
    </row>
    <row r="61" spans="2:102" x14ac:dyDescent="0.3">
      <c r="C61" s="42"/>
      <c r="D61" s="543"/>
      <c r="E61" s="543"/>
    </row>
    <row r="62" spans="2:102" x14ac:dyDescent="0.3">
      <c r="C62" s="42"/>
      <c r="D62" s="543"/>
      <c r="E62" s="42"/>
    </row>
    <row r="63" spans="2:102" x14ac:dyDescent="0.3">
      <c r="C63" s="42"/>
      <c r="D63" s="543"/>
      <c r="E63" s="543"/>
    </row>
    <row r="64" spans="2:102" x14ac:dyDescent="0.3">
      <c r="C64" s="42"/>
      <c r="D64" s="543"/>
      <c r="E64" s="42"/>
    </row>
    <row r="65" spans="3:5" x14ac:dyDescent="0.3">
      <c r="C65" s="42"/>
      <c r="D65" s="609"/>
      <c r="E65" s="42"/>
    </row>
    <row r="66" spans="3:5" x14ac:dyDescent="0.3">
      <c r="C66" s="42"/>
      <c r="D66" s="42"/>
      <c r="E66" s="42"/>
    </row>
  </sheetData>
  <mergeCells count="34">
    <mergeCell ref="CP49:CR49"/>
    <mergeCell ref="CP50:CR50"/>
    <mergeCell ref="CW50:CX50"/>
    <mergeCell ref="CU44:CV44"/>
    <mergeCell ref="CW44:CX44"/>
    <mergeCell ref="CP47:CR47"/>
    <mergeCell ref="CP44:CR44"/>
    <mergeCell ref="CP45:CR45"/>
    <mergeCell ref="CP46:CR46"/>
    <mergeCell ref="CP48:CR48"/>
    <mergeCell ref="CM47:CN47"/>
    <mergeCell ref="X40:Y40"/>
    <mergeCell ref="B46:C46"/>
    <mergeCell ref="I51:J51"/>
    <mergeCell ref="AO51:AP51"/>
    <mergeCell ref="AE45:AF45"/>
    <mergeCell ref="CF45:CH45"/>
    <mergeCell ref="CF46:CH46"/>
    <mergeCell ref="CF47:CH47"/>
    <mergeCell ref="CJ41:CK41"/>
    <mergeCell ref="CF41:CH41"/>
    <mergeCell ref="CF42:CH42"/>
    <mergeCell ref="CF43:CH43"/>
    <mergeCell ref="CC52:CD52"/>
    <mergeCell ref="AH46:AI46"/>
    <mergeCell ref="N46:O46"/>
    <mergeCell ref="U51:V51"/>
    <mergeCell ref="AR46:AS46"/>
    <mergeCell ref="AY51:AZ51"/>
    <mergeCell ref="BB46:BC46"/>
    <mergeCell ref="BI51:BJ51"/>
    <mergeCell ref="BL47:BM47"/>
    <mergeCell ref="BV47:BW47"/>
    <mergeCell ref="BS52:BT52"/>
  </mergeCells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ЭтаКнига.calc_start">
                <anchor>
                  <from>
                    <xdr:col>10</xdr:col>
                    <xdr:colOff>175260</xdr:colOff>
                    <xdr:row>2</xdr:row>
                    <xdr:rowOff>83820</xdr:rowOff>
                  </from>
                  <to>
                    <xdr:col>12</xdr:col>
                    <xdr:colOff>182880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BP40 BZ40 F39 R39 AL39 AV39 BF39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BP8 BF7 AV7 AL7 BZ8 F7 R7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AD54"/>
  <sheetViews>
    <sheetView showGridLines="0" zoomScale="70" zoomScaleNormal="70" workbookViewId="0">
      <selection activeCell="X18" sqref="X18:Y18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2" customWidth="1"/>
    <col min="8" max="8" width="3.77734375" customWidth="1"/>
    <col min="9" max="9" width="7.77734375" style="42" customWidth="1"/>
    <col min="10" max="10" width="13.5546875" customWidth="1"/>
    <col min="11" max="11" width="3.21875" style="42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4.33203125" customWidth="1"/>
    <col min="18" max="18" width="9.88671875" bestFit="1" customWidth="1"/>
    <col min="19" max="19" width="15" customWidth="1"/>
    <col min="21" max="22" width="8.88671875" style="1720"/>
    <col min="23" max="23" width="11.5546875" customWidth="1"/>
    <col min="24" max="24" width="10.44140625" customWidth="1"/>
    <col min="26" max="26" width="12.109375" customWidth="1"/>
    <col min="29" max="29" width="33.6640625" customWidth="1"/>
  </cols>
  <sheetData>
    <row r="1" spans="2:29" ht="15.6" customHeight="1" thickBot="1" x14ac:dyDescent="0.35">
      <c r="M1" t="s">
        <v>932</v>
      </c>
      <c r="Q1" s="57"/>
    </row>
    <row r="2" spans="2:29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60" t="s">
        <v>878</v>
      </c>
      <c r="O2" s="2075" t="s">
        <v>76</v>
      </c>
      <c r="P2" s="2078"/>
      <c r="Q2" s="2075" t="s">
        <v>1898</v>
      </c>
      <c r="R2" s="2076"/>
      <c r="S2" s="1784" t="s">
        <v>1899</v>
      </c>
      <c r="T2" s="1785"/>
      <c r="U2" s="1348"/>
      <c r="V2" s="1905" t="s">
        <v>2027</v>
      </c>
      <c r="W2" s="1906" t="s">
        <v>2</v>
      </c>
      <c r="X2" s="1907" t="s">
        <v>1211</v>
      </c>
      <c r="Y2" s="1907" t="s">
        <v>1223</v>
      </c>
      <c r="Z2" s="1907" t="s">
        <v>1212</v>
      </c>
      <c r="AA2" s="1907" t="s">
        <v>1224</v>
      </c>
      <c r="AB2" s="1907" t="s">
        <v>1213</v>
      </c>
      <c r="AC2" s="1908" t="s">
        <v>1214</v>
      </c>
    </row>
    <row r="3" spans="2:29" x14ac:dyDescent="0.3">
      <c r="B3" s="12"/>
      <c r="C3" s="69" t="s">
        <v>1</v>
      </c>
      <c r="D3" s="5"/>
      <c r="E3" s="5"/>
      <c r="F3" s="69"/>
      <c r="G3" s="69"/>
      <c r="H3" s="69"/>
      <c r="I3" s="886" t="s">
        <v>982</v>
      </c>
      <c r="J3" s="69"/>
      <c r="K3" s="69" t="s">
        <v>371</v>
      </c>
      <c r="L3" s="951"/>
      <c r="M3" s="1102"/>
      <c r="O3" s="715" t="s">
        <v>810</v>
      </c>
      <c r="P3" s="59">
        <v>1560</v>
      </c>
      <c r="Q3" s="715" t="s">
        <v>810</v>
      </c>
      <c r="R3" s="1782">
        <f>ROUND(((P3+21*2)/0.985),0)</f>
        <v>1626</v>
      </c>
      <c r="S3" s="715" t="s">
        <v>810</v>
      </c>
      <c r="T3" s="56">
        <f t="array" ref="T3">MIN(IF(Бандажи4[Диам. нар.]:Бандажи4[Диам. нар.]&gt;=R3,Бандажи4[Диам. нар.]))</f>
        <v>1860</v>
      </c>
      <c r="U3" s="1348"/>
      <c r="V3" s="544">
        <f>IFERROR(INDEX(Бандажи4[],MATCH($T$3,Бандажи4[Диам. нар.],0)-2,1),"")</f>
        <v>19</v>
      </c>
      <c r="W3" s="545">
        <f>IFERROR(INDEX(Бандажи4[],MATCH($T$3,Бандажи4[Диам. нар.],0)-2,2),"")</f>
        <v>0</v>
      </c>
      <c r="X3" s="545">
        <f>IFERROR(INDEX(Бандажи4[],MATCH($T$3,Бандажи4[Диам. нар.],0)-2,3),"")</f>
        <v>1445</v>
      </c>
      <c r="Y3" s="545">
        <f>IFERROR(INDEX(Бандажи4[],MATCH($T$3,Бандажи4[Диам. нар.],0)-2,4),"")</f>
        <v>2.5</v>
      </c>
      <c r="Z3" s="545">
        <f>IFERROR(INDEX(Бандажи4[],MATCH($T$3,Бандажи4[Диам. нар.],0)-2,5),"")</f>
        <v>1105</v>
      </c>
      <c r="AA3" s="545">
        <f>IFERROR(INDEX(Бандажи4[],MATCH($T$3,Бандажи4[Диам. нар.],0)-2,6),"")</f>
        <v>2.5</v>
      </c>
      <c r="AB3" s="545">
        <f>IFERROR(INDEX(Бандажи4[],MATCH($T$3,Бандажи4[Диам. нар.],0)-2,7),"")</f>
        <v>380</v>
      </c>
      <c r="AC3" s="546" t="str">
        <f>IFERROR(INDEX(Бандажи4[],MATCH($T$3,Бандажи4[Диам. нар.],0)-2,8),"")</f>
        <v>нашит до 1625х1050х420. без уклона. Использовать только с холодильниками.</v>
      </c>
    </row>
    <row r="4" spans="2:29" x14ac:dyDescent="0.3">
      <c r="B4" s="4"/>
      <c r="C4" s="57" t="s">
        <v>2</v>
      </c>
      <c r="D4" s="53"/>
      <c r="E4" s="53"/>
      <c r="F4" s="57"/>
      <c r="G4" s="57"/>
      <c r="H4" s="57"/>
      <c r="I4" s="888" t="s">
        <v>983</v>
      </c>
      <c r="J4" s="53"/>
      <c r="K4" s="53" t="s">
        <v>606</v>
      </c>
      <c r="L4" s="57"/>
      <c r="M4" s="10"/>
      <c r="O4" s="715" t="s">
        <v>811</v>
      </c>
      <c r="P4" s="59">
        <v>1250</v>
      </c>
      <c r="Q4" s="715" t="s">
        <v>811</v>
      </c>
      <c r="R4" s="1782">
        <f>ROUND(((P4-20*2)/0.994),0)</f>
        <v>1217</v>
      </c>
      <c r="S4" s="715" t="s">
        <v>811</v>
      </c>
      <c r="T4" s="56">
        <f>Z5</f>
        <v>1560</v>
      </c>
      <c r="U4" s="1348"/>
      <c r="V4" s="547">
        <f>IFERROR(INDEX(Бандажи4[],MATCH($T$3,Бандажи4[Диам. нар.],0)-1,1),"")</f>
        <v>18</v>
      </c>
      <c r="W4" s="1348">
        <f>IFERROR(INDEX(Бандажи4[],MATCH($T$3,Бандажи4[Диам. нар.],0)-1,2),"")</f>
        <v>0</v>
      </c>
      <c r="X4" s="1348">
        <f>IFERROR(INDEX(Бандажи4[],MATCH($T$3,Бандажи4[Диам. нар.],0)-1,3),"")</f>
        <v>1545</v>
      </c>
      <c r="Y4" s="1348">
        <f>IFERROR(INDEX(Бандажи4[],MATCH($T$3,Бандажи4[Диам. нар.],0)-1,4),"")</f>
        <v>5</v>
      </c>
      <c r="Z4" s="1348">
        <f>IFERROR(INDEX(Бандажи4[],MATCH($T$3,Бандажи4[Диам. нар.],0)-1,5),"")</f>
        <v>1270</v>
      </c>
      <c r="AA4" s="1348">
        <f>IFERROR(INDEX(Бандажи4[],MATCH($T$3,Бандажи4[Диам. нар.],0)-1,6),"")</f>
        <v>0</v>
      </c>
      <c r="AB4" s="1348">
        <f>IFERROR(INDEX(Бандажи4[],MATCH($T$3,Бандажи4[Диам. нар.],0)-1,7),"")</f>
        <v>195</v>
      </c>
      <c r="AC4" s="548" t="str">
        <f>IFERROR(INDEX(Бандажи4[],MATCH($T$3,Бандажи4[Диам. нар.],0)-1,8),"")</f>
        <v>Нашит до 1555х1260х195</v>
      </c>
    </row>
    <row r="5" spans="2:29" ht="15" thickBot="1" x14ac:dyDescent="0.35">
      <c r="B5" s="4"/>
      <c r="C5" s="57" t="s">
        <v>3</v>
      </c>
      <c r="D5" s="53"/>
      <c r="E5" s="53"/>
      <c r="F5" s="57"/>
      <c r="G5" s="57"/>
      <c r="H5" s="57"/>
      <c r="I5" s="344" t="s">
        <v>886</v>
      </c>
      <c r="J5" s="53"/>
      <c r="K5" s="53" t="s">
        <v>984</v>
      </c>
      <c r="L5" s="53"/>
      <c r="M5" s="10"/>
      <c r="O5" s="716" t="s">
        <v>5</v>
      </c>
      <c r="P5" s="68">
        <v>240</v>
      </c>
      <c r="Q5" s="1104" t="s">
        <v>5</v>
      </c>
      <c r="R5" s="1783">
        <f>ROUND(((P5+19.5*2)/0.985),0)</f>
        <v>283</v>
      </c>
      <c r="S5" s="1104" t="s">
        <v>5</v>
      </c>
      <c r="T5" s="1912">
        <f>AB5</f>
        <v>220</v>
      </c>
      <c r="V5" s="1909">
        <f>IFERROR(INDEX(Бандажи4[],MATCH($T$3,Бандажи4[Диам. нар.],0),1),"")</f>
        <v>22</v>
      </c>
      <c r="W5" s="461">
        <f>IFERROR(INDEX(Бандажи4[],MATCH($T$3,Бандажи4[Диам. нар.],0),2),"")</f>
        <v>418</v>
      </c>
      <c r="X5" s="461">
        <f>IFERROR(INDEX(Бандажи4[],MATCH($T$3,Бандажи4[Диам. нар.],0),3),"")</f>
        <v>1860</v>
      </c>
      <c r="Y5" s="461">
        <f>IFERROR(INDEX(Бандажи4[],MATCH($T$3,Бандажи4[Диам. нар.],0),4),"")</f>
        <v>10</v>
      </c>
      <c r="Z5" s="461">
        <f>IFERROR(INDEX(Бандажи4[],MATCH($T$3,Бандажи4[Диам. нар.],0),5),"")</f>
        <v>1560</v>
      </c>
      <c r="AA5" s="461">
        <f>IFERROR(INDEX(Бандажи4[],MATCH($T$3,Бандажи4[Диам. нар.],0),6),"")</f>
        <v>5</v>
      </c>
      <c r="AB5" s="461">
        <f>IFERROR(INDEX(Бандажи4[],MATCH($T$3,Бандажи4[Диам. нар.],0),7),"")</f>
        <v>220</v>
      </c>
      <c r="AC5" s="1910">
        <f>IFERROR(INDEX(Бандажи4[],MATCH($T$3,Бандажи4[Диам. нар.],0),8),"")</f>
        <v>0</v>
      </c>
    </row>
    <row r="6" spans="2:29" ht="15" thickBot="1" x14ac:dyDescent="0.35">
      <c r="B6" s="19"/>
      <c r="C6" s="63" t="s">
        <v>7</v>
      </c>
      <c r="D6" s="20"/>
      <c r="E6" s="20"/>
      <c r="F6" s="63"/>
      <c r="G6" s="63"/>
      <c r="H6" s="63"/>
      <c r="I6" s="889">
        <v>2</v>
      </c>
      <c r="J6" s="20"/>
      <c r="K6" s="20"/>
      <c r="L6" s="20"/>
      <c r="M6" s="39"/>
      <c r="O6" s="713" t="s">
        <v>16</v>
      </c>
      <c r="P6" s="1911">
        <f>ROUNDUP((P3*P3-P4*P4)*3.1415296*P5*P8/4000000,0)</f>
        <v>1232</v>
      </c>
      <c r="Q6" s="1913" t="s">
        <v>18</v>
      </c>
      <c r="R6" s="1913">
        <f>(R3*0.985*R3*0.985-R4*0.994*R4*0.994)*3.1415926*(R5*0.985)/4000000</f>
        <v>241.2178986526107</v>
      </c>
      <c r="S6" s="1913" t="s">
        <v>18</v>
      </c>
      <c r="T6" s="1913">
        <f>(T3*0.985*T3*0.985-T4*0.994*T4*0.994)*3.1415926*(T5*0.985)/4000000</f>
        <v>162.04442252862341</v>
      </c>
      <c r="V6" s="547">
        <f>IFERROR(INDEX(Бандажи4[],MATCH($T$3,Бандажи4[Диам. нар.],0)+1,1),"")</f>
        <v>14</v>
      </c>
      <c r="W6" s="1348">
        <f>IFERROR(INDEX(Бандажи4[],MATCH($T$3,Бандажи4[Диам. нар.],0)+1,2),"")</f>
        <v>0</v>
      </c>
      <c r="X6" s="1348">
        <f>IFERROR(INDEX(Бандажи4[],MATCH($T$3,Бандажи4[Диам. нар.],0)+1,3),"")</f>
        <v>1930</v>
      </c>
      <c r="Y6" s="1348">
        <f>IFERROR(INDEX(Бандажи4[],MATCH($T$3,Бандажи4[Диам. нар.],0)+1,4),"")</f>
        <v>5</v>
      </c>
      <c r="Z6" s="1348">
        <f>IFERROR(INDEX(Бандажи4[],MATCH($T$3,Бандажи4[Диам. нар.],0)+1,5),"")</f>
        <v>1540</v>
      </c>
      <c r="AA6" s="1348">
        <f>IFERROR(INDEX(Бандажи4[],MATCH($T$3,Бандажи4[Диам. нар.],0)+1,6),"")</f>
        <v>5</v>
      </c>
      <c r="AB6" s="1348">
        <f>IFERROR(INDEX(Бандажи4[],MATCH($T$3,Бандажи4[Диам. нар.],0)+1,7),"")</f>
        <v>305</v>
      </c>
      <c r="AC6" s="548">
        <f>IFERROR(INDEX(Бандажи4[],MATCH($T$3,Бандажи4[Диам. нар.],0)+1,8),"")</f>
        <v>0</v>
      </c>
    </row>
    <row r="7" spans="2:29" ht="15" thickBot="1" x14ac:dyDescent="0.35">
      <c r="B7" s="4"/>
      <c r="C7" s="57" t="s">
        <v>13</v>
      </c>
      <c r="D7" s="53"/>
      <c r="E7" s="53"/>
      <c r="F7" s="57"/>
      <c r="G7" s="57"/>
      <c r="I7" s="967" t="s">
        <v>24</v>
      </c>
      <c r="J7" s="57"/>
      <c r="K7" s="57"/>
      <c r="L7" s="53" t="s">
        <v>14</v>
      </c>
      <c r="M7" s="15">
        <f>I8/I9</f>
        <v>0.33405639913232105</v>
      </c>
      <c r="O7" s="351"/>
      <c r="P7" s="712">
        <v>616</v>
      </c>
      <c r="V7" s="587">
        <f>IFERROR(INDEX(Бандажи4[],MATCH($T$3,Бандажи4[Диам. нар.],0)+2,1),"")</f>
        <v>21</v>
      </c>
      <c r="W7" s="588">
        <f>IFERROR(INDEX(Бандажи4[],MATCH($T$3,Бандажи4[Диам. нар.],0)+2,2),"")</f>
        <v>0</v>
      </c>
      <c r="X7" s="588">
        <f>IFERROR(INDEX(Бандажи4[],MATCH($T$3,Бандажи4[Диам. нар.],0)+2,3),"")</f>
        <v>2165</v>
      </c>
      <c r="Y7" s="588">
        <f>IFERROR(INDEX(Бандажи4[],MATCH($T$3,Бандажи4[Диам. нар.],0)+2,4),"")</f>
        <v>7.5</v>
      </c>
      <c r="Z7" s="588">
        <f>IFERROR(INDEX(Бандажи4[],MATCH($T$3,Бандажи4[Диам. нар.],0)+2,5),"")</f>
        <v>1690</v>
      </c>
      <c r="AA7" s="588">
        <f>IFERROR(INDEX(Бандажи4[],MATCH($T$3,Бандажи4[Диам. нар.],0)+2,6),"")</f>
        <v>5</v>
      </c>
      <c r="AB7" s="588">
        <f>IFERROR(INDEX(Бандажи4[],MATCH($T$3,Бандажи4[Диам. нар.],0)+2,7),"")</f>
        <v>200</v>
      </c>
      <c r="AC7" s="589">
        <f>IFERROR(INDEX(Бандажи4[],MATCH($T$3,Бандажи4[Диам. нар.],0)+2,8),"")</f>
        <v>0</v>
      </c>
    </row>
    <row r="8" spans="2:29" ht="15" thickBot="1" x14ac:dyDescent="0.35">
      <c r="B8" s="4"/>
      <c r="C8" s="57" t="s">
        <v>16</v>
      </c>
      <c r="D8" s="53"/>
      <c r="E8" s="53"/>
      <c r="F8" s="57"/>
      <c r="G8" s="57"/>
      <c r="I8" s="477">
        <f>IF(P7=0,P6,P7)</f>
        <v>616</v>
      </c>
      <c r="J8" s="57"/>
      <c r="K8" s="57"/>
      <c r="L8" s="53" t="s">
        <v>19</v>
      </c>
      <c r="M8" s="15">
        <f>I8/I13</f>
        <v>0.23610578765810655</v>
      </c>
      <c r="O8" s="718" t="s">
        <v>812</v>
      </c>
      <c r="P8" s="719">
        <f>VLOOKUP(I7,Марка_металла[],9,FALSE)</f>
        <v>7.5</v>
      </c>
      <c r="V8" s="1348"/>
      <c r="W8" s="1348"/>
      <c r="X8" s="1348"/>
      <c r="Y8" s="1348"/>
      <c r="Z8" s="1348"/>
      <c r="AA8" s="1348"/>
      <c r="AB8" s="1348"/>
      <c r="AC8" s="1348"/>
    </row>
    <row r="9" spans="2:29" ht="15" thickBot="1" x14ac:dyDescent="0.35">
      <c r="B9" s="4"/>
      <c r="C9" s="57" t="s">
        <v>18</v>
      </c>
      <c r="D9" s="53"/>
      <c r="E9" s="53"/>
      <c r="F9" s="57"/>
      <c r="G9" s="57"/>
      <c r="I9" s="477">
        <f>P13</f>
        <v>1844</v>
      </c>
      <c r="J9" s="53"/>
      <c r="K9" s="53"/>
      <c r="L9" s="53"/>
      <c r="M9" s="18"/>
      <c r="O9" s="2079" t="s">
        <v>300</v>
      </c>
      <c r="P9" s="2080"/>
    </row>
    <row r="10" spans="2:29" ht="15" thickBot="1" x14ac:dyDescent="0.35">
      <c r="B10" s="4"/>
      <c r="C10" s="57" t="s">
        <v>20</v>
      </c>
      <c r="D10" s="53"/>
      <c r="E10" s="53"/>
      <c r="F10" s="57"/>
      <c r="G10" s="57"/>
      <c r="I10" s="477">
        <f>P16</f>
        <v>549</v>
      </c>
      <c r="J10" s="53"/>
      <c r="K10" s="53"/>
      <c r="L10" s="53"/>
      <c r="M10" s="18"/>
      <c r="O10" s="958" t="s">
        <v>810</v>
      </c>
      <c r="P10" s="940">
        <f>ROUND(R3*0.985,0)</f>
        <v>1602</v>
      </c>
      <c r="Q10" s="2004" t="s">
        <v>985</v>
      </c>
      <c r="R10" s="2005"/>
      <c r="S10" s="2006"/>
    </row>
    <row r="11" spans="2:29" x14ac:dyDescent="0.3">
      <c r="B11" s="4"/>
      <c r="C11" s="57" t="s">
        <v>310</v>
      </c>
      <c r="D11" s="53"/>
      <c r="E11" s="53"/>
      <c r="F11" s="57"/>
      <c r="G11" s="57"/>
      <c r="I11" s="1613">
        <f>ROUNDUP(P19,0)</f>
        <v>115</v>
      </c>
      <c r="J11" s="53"/>
      <c r="K11" s="53"/>
      <c r="L11" s="53"/>
      <c r="M11" s="18"/>
      <c r="O11" s="715" t="s">
        <v>811</v>
      </c>
      <c r="P11" s="1132">
        <f>ROUNDDOWN(R4*0.994,0)</f>
        <v>1209</v>
      </c>
      <c r="Q11" s="12">
        <v>2000</v>
      </c>
      <c r="R11" s="69">
        <v>2500</v>
      </c>
      <c r="S11" s="13">
        <v>500</v>
      </c>
      <c r="T11" t="s">
        <v>986</v>
      </c>
    </row>
    <row r="12" spans="2:29" ht="15" thickBot="1" x14ac:dyDescent="0.35">
      <c r="B12" s="4"/>
      <c r="C12" s="57" t="s">
        <v>23</v>
      </c>
      <c r="D12" s="53"/>
      <c r="E12" s="53"/>
      <c r="F12" s="57"/>
      <c r="G12" s="57"/>
      <c r="I12" s="482">
        <f>SUM(I9:I11)</f>
        <v>2508</v>
      </c>
      <c r="J12" s="53"/>
      <c r="K12" s="53"/>
      <c r="L12" s="53"/>
      <c r="M12" s="18"/>
      <c r="O12" s="716" t="s">
        <v>5</v>
      </c>
      <c r="P12" s="1133">
        <f>ROUNDUP(R5*0.985,0)</f>
        <v>279</v>
      </c>
      <c r="Q12" s="19"/>
      <c r="R12" s="63"/>
      <c r="S12" s="39">
        <v>300</v>
      </c>
      <c r="T12" t="s">
        <v>771</v>
      </c>
    </row>
    <row r="13" spans="2:29" ht="15" thickBot="1" x14ac:dyDescent="0.35">
      <c r="B13" s="19"/>
      <c r="C13" s="63" t="s">
        <v>28</v>
      </c>
      <c r="D13" s="20"/>
      <c r="E13" s="20"/>
      <c r="F13" s="63"/>
      <c r="G13" s="63"/>
      <c r="I13" s="483">
        <f>ROUNDUP(I12*1.04,0)</f>
        <v>2609</v>
      </c>
      <c r="J13" s="20"/>
      <c r="K13" s="20"/>
      <c r="L13" s="20"/>
      <c r="M13" s="946"/>
      <c r="O13" s="952" t="s">
        <v>243</v>
      </c>
      <c r="P13" s="1134">
        <f>ROUNDUP(((P10+K14)*(P10+K14)-(P11-K14)*(P11-K14))*P12*3.1415926*P8/4000000,0)</f>
        <v>1844</v>
      </c>
    </row>
    <row r="14" spans="2:29" ht="15" thickBot="1" x14ac:dyDescent="0.35">
      <c r="B14" s="12"/>
      <c r="C14" s="962" t="s">
        <v>209</v>
      </c>
      <c r="D14" s="127"/>
      <c r="E14" s="44"/>
      <c r="F14" s="128"/>
      <c r="G14" s="128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977" t="str">
        <f>" мм."</f>
        <v xml:space="preserve"> мм.</v>
      </c>
      <c r="M14" s="130"/>
      <c r="O14" s="2081" t="s">
        <v>629</v>
      </c>
      <c r="P14" s="2082"/>
    </row>
    <row r="15" spans="2:29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959" t="s">
        <v>5</v>
      </c>
      <c r="P15" s="1135">
        <f>P12</f>
        <v>279</v>
      </c>
      <c r="R15" t="s">
        <v>1063</v>
      </c>
    </row>
    <row r="16" spans="2:29" x14ac:dyDescent="0.3">
      <c r="B16" s="4"/>
      <c r="C16" s="101"/>
      <c r="D16" s="980">
        <f>P15</f>
        <v>279</v>
      </c>
      <c r="E16" s="45"/>
      <c r="F16" s="35"/>
      <c r="G16" s="35"/>
      <c r="H16" s="53"/>
      <c r="I16" s="53"/>
      <c r="J16" s="53"/>
      <c r="K16" s="53"/>
      <c r="L16" s="23"/>
      <c r="M16" s="24"/>
      <c r="O16" s="959" t="s">
        <v>980</v>
      </c>
      <c r="P16" s="1135">
        <f>ROUNDUP(P13/4*1.19,0)</f>
        <v>549</v>
      </c>
      <c r="R16" s="1288" t="s">
        <v>1064</v>
      </c>
    </row>
    <row r="17" spans="2:30" ht="15" thickBot="1" x14ac:dyDescent="0.35">
      <c r="B17" s="4"/>
      <c r="C17" s="963" t="s">
        <v>1083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Q17" s="4"/>
    </row>
    <row r="18" spans="2:30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85"/>
      <c r="O18" s="2083" t="s">
        <v>981</v>
      </c>
      <c r="P18" s="2084"/>
    </row>
    <row r="19" spans="2:30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85"/>
      <c r="O19" s="19"/>
      <c r="P19" s="1628">
        <f>Данные!U214</f>
        <v>114.08023864892503</v>
      </c>
    </row>
    <row r="20" spans="2:30" x14ac:dyDescent="0.3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6"/>
    </row>
    <row r="21" spans="2:30" x14ac:dyDescent="0.3">
      <c r="B21" s="4"/>
      <c r="C21" s="57"/>
      <c r="D21" s="53"/>
      <c r="E21" s="53"/>
      <c r="F21" s="53"/>
      <c r="G21" s="53"/>
      <c r="H21" s="53"/>
      <c r="I21" s="53"/>
      <c r="J21" s="2077">
        <f>ROUND(P4/1.94/10,0)*10</f>
        <v>640</v>
      </c>
      <c r="K21" s="2077"/>
      <c r="L21" s="2077"/>
      <c r="M21" s="323"/>
      <c r="Q21" s="57"/>
    </row>
    <row r="22" spans="2:30" x14ac:dyDescent="0.3">
      <c r="B22" s="4"/>
      <c r="C22" s="57"/>
      <c r="D22" s="53"/>
      <c r="E22" s="53"/>
      <c r="F22" s="53"/>
      <c r="G22" s="53"/>
      <c r="H22" s="53"/>
      <c r="I22" s="53"/>
      <c r="J22" s="981"/>
      <c r="K22" s="981"/>
      <c r="L22" s="981"/>
      <c r="M22" s="323"/>
    </row>
    <row r="23" spans="2:30" x14ac:dyDescent="0.3">
      <c r="B23" s="4"/>
      <c r="C23" s="964" t="s">
        <v>1082</v>
      </c>
      <c r="D23" s="57"/>
      <c r="E23" s="53"/>
      <c r="F23" s="53"/>
      <c r="G23" s="53"/>
      <c r="H23" s="53"/>
      <c r="I23" s="53"/>
      <c r="J23" s="124"/>
      <c r="K23" s="124"/>
      <c r="L23" s="28"/>
      <c r="M23" s="126"/>
    </row>
    <row r="24" spans="2:30" x14ac:dyDescent="0.3">
      <c r="B24" s="4"/>
      <c r="C24" s="57"/>
      <c r="D24" s="961">
        <v>20</v>
      </c>
      <c r="E24" s="2072">
        <f>P11</f>
        <v>1209</v>
      </c>
      <c r="F24" s="2071">
        <f>P4</f>
        <v>1250</v>
      </c>
      <c r="G24" s="2073">
        <f>P10</f>
        <v>1602</v>
      </c>
      <c r="H24" s="2074">
        <f>P3</f>
        <v>1560</v>
      </c>
      <c r="I24" s="53"/>
      <c r="J24" s="53"/>
      <c r="K24" s="53"/>
      <c r="L24" s="28"/>
      <c r="M24" s="26"/>
    </row>
    <row r="25" spans="2:30" ht="14.4" customHeight="1" x14ac:dyDescent="0.3">
      <c r="B25" s="4"/>
      <c r="C25" s="57"/>
      <c r="D25" s="53"/>
      <c r="E25" s="2072"/>
      <c r="F25" s="2071"/>
      <c r="G25" s="2073"/>
      <c r="H25" s="2074"/>
      <c r="I25" s="966"/>
      <c r="J25" s="53"/>
      <c r="K25" s="53"/>
      <c r="L25" s="28"/>
      <c r="M25" s="26"/>
    </row>
    <row r="26" spans="2:30" ht="14.4" customHeight="1" x14ac:dyDescent="0.3">
      <c r="B26" s="4"/>
      <c r="C26" s="57"/>
      <c r="D26" s="53"/>
      <c r="E26" s="2072"/>
      <c r="F26" s="2071"/>
      <c r="G26" s="2073"/>
      <c r="H26" s="2074"/>
      <c r="I26" s="966"/>
      <c r="J26" s="53"/>
      <c r="K26" s="53"/>
      <c r="L26" s="28"/>
      <c r="M26" s="26"/>
    </row>
    <row r="27" spans="2:30" x14ac:dyDescent="0.3">
      <c r="B27" s="4"/>
      <c r="C27" s="57"/>
      <c r="D27" s="32"/>
      <c r="E27" s="969"/>
      <c r="F27" s="970"/>
      <c r="G27" s="2073"/>
      <c r="H27" s="2074"/>
      <c r="I27" s="966"/>
      <c r="J27" s="53"/>
      <c r="K27" s="53"/>
      <c r="L27" s="28"/>
      <c r="M27" s="26"/>
      <c r="T27" s="1348"/>
      <c r="U27" s="1348"/>
      <c r="V27" s="1348"/>
      <c r="W27" s="1348"/>
      <c r="X27" s="1348"/>
      <c r="Y27" s="1348"/>
      <c r="Z27" s="1348"/>
      <c r="AA27" s="1348"/>
      <c r="AB27" s="1348"/>
      <c r="AC27" s="1348"/>
      <c r="AD27" s="1348"/>
    </row>
    <row r="28" spans="2:30" x14ac:dyDescent="0.3">
      <c r="B28" s="4"/>
      <c r="C28" s="57"/>
      <c r="D28" s="57"/>
      <c r="E28" s="45" t="str">
        <f>"     "&amp;P12</f>
        <v xml:space="preserve">     279</v>
      </c>
      <c r="F28" s="125"/>
      <c r="G28" s="125"/>
      <c r="H28" s="53"/>
      <c r="I28" s="53"/>
      <c r="J28" s="53"/>
      <c r="K28" s="53"/>
      <c r="L28" s="28"/>
      <c r="M28" s="26"/>
      <c r="T28" s="1348"/>
      <c r="U28" s="1348"/>
      <c r="V28" s="1348"/>
      <c r="W28" s="720"/>
      <c r="X28" s="720"/>
      <c r="Y28" s="720"/>
      <c r="Z28" s="720"/>
      <c r="AA28" s="720"/>
      <c r="AB28" s="720"/>
      <c r="AC28" s="720"/>
      <c r="AD28" s="1348"/>
    </row>
    <row r="29" spans="2:30" x14ac:dyDescent="0.3">
      <c r="B29" s="4"/>
      <c r="C29" s="57"/>
      <c r="D29" s="57"/>
      <c r="E29" s="1735">
        <f>P5</f>
        <v>240</v>
      </c>
      <c r="F29" s="717"/>
      <c r="G29" s="717"/>
      <c r="H29" s="53"/>
      <c r="I29" s="53"/>
      <c r="J29" s="53"/>
      <c r="K29" s="53"/>
      <c r="L29" s="28"/>
      <c r="M29" s="26"/>
      <c r="T29" s="1348"/>
      <c r="U29" s="1348"/>
      <c r="V29" s="1348"/>
      <c r="W29" s="720"/>
      <c r="X29" s="720"/>
      <c r="Y29" s="720"/>
      <c r="Z29" s="720"/>
      <c r="AA29" s="720"/>
      <c r="AB29" s="720"/>
      <c r="AC29" s="720"/>
      <c r="AD29" s="1348"/>
    </row>
    <row r="30" spans="2:30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T30" s="1348"/>
      <c r="U30" s="1348"/>
      <c r="V30" s="1348"/>
      <c r="W30" s="720"/>
      <c r="X30" s="720"/>
      <c r="Y30" s="720"/>
      <c r="Z30" s="720"/>
      <c r="AA30" s="720"/>
      <c r="AB30" s="720"/>
      <c r="AC30" s="720"/>
      <c r="AD30" s="1348"/>
    </row>
    <row r="31" spans="2:30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T31" s="1348"/>
      <c r="U31" s="1348"/>
      <c r="V31" s="1348"/>
      <c r="W31" s="720"/>
      <c r="X31" s="720"/>
      <c r="Y31" s="720"/>
      <c r="Z31" s="720"/>
      <c r="AA31" s="720"/>
      <c r="AB31" s="720"/>
      <c r="AC31" s="720"/>
      <c r="AD31" s="1348"/>
    </row>
    <row r="32" spans="2:30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T32" s="1348"/>
      <c r="U32" s="1348"/>
      <c r="V32" s="1348"/>
      <c r="W32" s="720"/>
      <c r="X32" s="720"/>
      <c r="Y32" s="720"/>
      <c r="Z32" s="720"/>
      <c r="AA32" s="720"/>
      <c r="AB32" s="720"/>
      <c r="AC32" s="720"/>
      <c r="AD32" s="1348"/>
    </row>
    <row r="33" spans="2:30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T33" s="1348"/>
      <c r="U33" s="1348"/>
      <c r="V33" s="1348"/>
      <c r="W33" s="720"/>
      <c r="X33" s="720"/>
      <c r="Y33" s="720"/>
      <c r="Z33" s="720"/>
      <c r="AA33" s="720"/>
      <c r="AB33" s="720"/>
      <c r="AC33" s="720"/>
      <c r="AD33" s="1348"/>
    </row>
    <row r="34" spans="2:30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T34" s="1348"/>
      <c r="U34" s="1348"/>
      <c r="V34" s="1348"/>
      <c r="W34" s="720"/>
      <c r="X34" s="720"/>
      <c r="Y34" s="720"/>
      <c r="Z34" s="720"/>
      <c r="AA34" s="720"/>
      <c r="AB34" s="720"/>
      <c r="AC34" s="720"/>
      <c r="AD34" s="1348"/>
    </row>
    <row r="35" spans="2:30" ht="16.2" thickBot="1" x14ac:dyDescent="0.35">
      <c r="B35" s="19"/>
      <c r="C35" s="63"/>
      <c r="D35" s="20"/>
      <c r="E35" s="107"/>
      <c r="F35" s="968" t="s">
        <v>256</v>
      </c>
      <c r="G35" s="20"/>
      <c r="H35" s="63"/>
      <c r="I35" s="63"/>
      <c r="J35" s="20"/>
      <c r="K35" s="20"/>
      <c r="L35" s="20"/>
      <c r="M35" s="70"/>
      <c r="T35" s="1348"/>
      <c r="U35" s="1348"/>
      <c r="V35" s="1348"/>
      <c r="W35" s="720"/>
      <c r="X35" s="720"/>
      <c r="Y35" s="720"/>
      <c r="Z35" s="720"/>
      <c r="AA35" s="720"/>
      <c r="AB35" s="720"/>
      <c r="AC35" s="720"/>
      <c r="AD35" s="1348"/>
    </row>
    <row r="36" spans="2:30" x14ac:dyDescent="0.3">
      <c r="B36" s="4"/>
      <c r="C36" s="53" t="s">
        <v>251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P36" s="58"/>
      <c r="Q36" s="58"/>
      <c r="R36" s="58"/>
      <c r="S36" s="58"/>
      <c r="T36" s="58"/>
      <c r="U36" s="58"/>
      <c r="V36" s="58"/>
      <c r="W36" s="720"/>
      <c r="X36" s="720"/>
      <c r="Y36" s="720"/>
      <c r="Z36" s="720"/>
      <c r="AA36" s="720"/>
      <c r="AB36" s="720"/>
      <c r="AC36" s="720"/>
      <c r="AD36" s="1348"/>
    </row>
    <row r="37" spans="2:30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650"/>
      <c r="R37" s="1648"/>
      <c r="S37" s="1650"/>
      <c r="T37" s="1648"/>
      <c r="U37" s="1648"/>
      <c r="V37" s="1648"/>
      <c r="W37" s="720"/>
      <c r="X37" s="720"/>
      <c r="Y37" s="720"/>
      <c r="Z37" s="720"/>
      <c r="AA37" s="720"/>
      <c r="AB37" s="720"/>
      <c r="AC37" s="720"/>
      <c r="AD37" s="1348"/>
    </row>
    <row r="38" spans="2:30" ht="15.6" x14ac:dyDescent="0.3">
      <c r="B38" s="4"/>
      <c r="C38" s="101" t="s">
        <v>56</v>
      </c>
      <c r="D38" s="53"/>
      <c r="E38" s="53"/>
      <c r="F38" s="132" t="s">
        <v>135</v>
      </c>
      <c r="G38" s="51"/>
      <c r="I38" s="45"/>
      <c r="J38" s="53"/>
      <c r="K38" s="53"/>
      <c r="L38" s="53"/>
      <c r="M38" s="10"/>
      <c r="P38" s="58"/>
      <c r="Q38" s="1652"/>
      <c r="R38" s="1655"/>
      <c r="S38" s="1648"/>
      <c r="T38" s="1648"/>
      <c r="U38" s="1648"/>
      <c r="V38" s="1648"/>
      <c r="W38" s="720"/>
      <c r="X38" s="720"/>
      <c r="Y38" s="720"/>
      <c r="Z38" s="720"/>
      <c r="AA38" s="720"/>
      <c r="AB38" s="720"/>
      <c r="AC38" s="720"/>
      <c r="AD38" s="1348"/>
    </row>
    <row r="39" spans="2:30" ht="15.6" x14ac:dyDescent="0.3">
      <c r="B39" s="4"/>
      <c r="C39" s="53" t="s">
        <v>737</v>
      </c>
      <c r="D39" s="53"/>
      <c r="E39" s="53"/>
      <c r="F39" s="14" t="s">
        <v>109</v>
      </c>
      <c r="G39" s="132"/>
      <c r="I39" s="1103" t="s">
        <v>978</v>
      </c>
      <c r="J39" s="53"/>
      <c r="K39" s="53"/>
      <c r="L39" s="53"/>
      <c r="M39" s="10"/>
      <c r="P39" s="58"/>
      <c r="Q39" s="1648"/>
      <c r="R39" s="1656"/>
      <c r="S39" s="1648"/>
      <c r="T39" s="1647"/>
      <c r="U39" s="1647"/>
      <c r="V39" s="1647"/>
      <c r="W39" s="720"/>
      <c r="X39" s="720"/>
      <c r="Y39" s="720"/>
      <c r="Z39" s="720"/>
      <c r="AA39" s="720"/>
      <c r="AB39" s="720"/>
      <c r="AC39" s="720"/>
      <c r="AD39" s="1348"/>
    </row>
    <row r="40" spans="2:30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647"/>
      <c r="R40" s="1655"/>
      <c r="S40" s="1648"/>
      <c r="T40" s="1648"/>
      <c r="U40" s="1648"/>
      <c r="V40" s="1648"/>
      <c r="W40" s="720"/>
      <c r="X40" s="720"/>
      <c r="Y40" s="720"/>
      <c r="Z40" s="720"/>
      <c r="AA40" s="720"/>
      <c r="AB40" s="720"/>
      <c r="AC40" s="720"/>
      <c r="AD40" s="1348"/>
    </row>
    <row r="41" spans="2:30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25011.00008</v>
      </c>
      <c r="G41" s="51"/>
      <c r="I41" s="53"/>
      <c r="J41" s="53"/>
      <c r="K41" s="53"/>
      <c r="L41" s="53"/>
      <c r="M41" s="10"/>
      <c r="P41" s="58"/>
      <c r="Q41" s="1652"/>
      <c r="R41" s="1655"/>
      <c r="S41" s="1648"/>
      <c r="T41" s="1650"/>
      <c r="U41" s="1650"/>
      <c r="V41" s="1650"/>
      <c r="W41" s="720"/>
      <c r="X41" s="720"/>
      <c r="Y41" s="720"/>
      <c r="Z41" s="720"/>
      <c r="AA41" s="720"/>
      <c r="AB41" s="720"/>
      <c r="AC41" s="720"/>
      <c r="AD41" s="1348"/>
    </row>
    <row r="42" spans="2:30" ht="15.6" x14ac:dyDescent="0.3">
      <c r="B42" s="4"/>
      <c r="C42" s="53" t="s">
        <v>84</v>
      </c>
      <c r="D42" s="53"/>
      <c r="E42" s="17"/>
      <c r="F42" s="17" t="s">
        <v>52</v>
      </c>
      <c r="G42" s="51"/>
      <c r="I42" s="53"/>
      <c r="J42" s="53"/>
      <c r="K42" s="53"/>
      <c r="L42" s="53"/>
      <c r="M42" s="10"/>
      <c r="P42" s="58"/>
      <c r="Q42" s="1648"/>
      <c r="R42" s="1656"/>
      <c r="S42" s="1648"/>
      <c r="T42" s="1648"/>
      <c r="U42" s="1648"/>
      <c r="V42" s="1648"/>
      <c r="W42" s="720"/>
      <c r="X42" s="720"/>
      <c r="Y42" s="720"/>
      <c r="Z42" s="720"/>
      <c r="AA42" s="720"/>
      <c r="AB42" s="720"/>
      <c r="AC42" s="720"/>
      <c r="AD42" s="1348"/>
    </row>
    <row r="43" spans="2:30" ht="15.6" x14ac:dyDescent="0.3">
      <c r="B43" s="4"/>
      <c r="G43" s="17"/>
      <c r="I43" s="53"/>
      <c r="L43" s="53"/>
      <c r="M43" s="10"/>
      <c r="P43" s="58"/>
      <c r="Q43" s="1647"/>
      <c r="R43" s="1768"/>
      <c r="S43" s="1648"/>
      <c r="T43" s="1650"/>
      <c r="U43" s="1650"/>
      <c r="V43" s="1650"/>
      <c r="W43" s="720"/>
      <c r="X43" s="720"/>
      <c r="Y43" s="720"/>
      <c r="Z43" s="720"/>
      <c r="AA43" s="720"/>
      <c r="AB43" s="720"/>
      <c r="AC43" s="720"/>
      <c r="AD43" s="1348"/>
    </row>
    <row r="44" spans="2:30" ht="15.6" x14ac:dyDescent="0.3">
      <c r="B44" s="4"/>
      <c r="C44" s="53" t="s">
        <v>54</v>
      </c>
      <c r="D44" s="53"/>
      <c r="E44" s="53"/>
      <c r="F44" s="905" t="s">
        <v>81</v>
      </c>
      <c r="G44" s="50"/>
      <c r="H44" t="s">
        <v>929</v>
      </c>
      <c r="I44" s="53"/>
      <c r="J44" s="42"/>
      <c r="L44" s="53"/>
      <c r="M44" s="10"/>
      <c r="P44" s="58"/>
      <c r="Q44" s="1647"/>
      <c r="R44" s="1658"/>
      <c r="S44" s="1652"/>
      <c r="T44" s="1648"/>
      <c r="U44" s="1648"/>
      <c r="V44" s="1648"/>
      <c r="W44" s="720"/>
      <c r="X44" s="720"/>
      <c r="Y44" s="720"/>
      <c r="Z44" s="720"/>
      <c r="AA44" s="720"/>
      <c r="AB44" s="720"/>
      <c r="AC44" s="720"/>
      <c r="AD44" s="1348"/>
    </row>
    <row r="45" spans="2:30" ht="16.2" thickBot="1" x14ac:dyDescent="0.35">
      <c r="B45" s="4"/>
      <c r="C45" s="53" t="s">
        <v>58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647"/>
      <c r="R45" s="1648"/>
      <c r="S45" s="1648"/>
      <c r="T45" s="1650"/>
      <c r="U45" s="1650"/>
      <c r="V45" s="1650"/>
      <c r="W45" s="720"/>
      <c r="X45" s="720"/>
      <c r="Y45" s="720"/>
      <c r="Z45" s="720"/>
      <c r="AA45" s="720"/>
      <c r="AB45" s="720"/>
      <c r="AC45" s="720"/>
      <c r="AD45" s="1348"/>
    </row>
    <row r="46" spans="2:30" ht="16.2" thickBot="1" x14ac:dyDescent="0.35">
      <c r="B46" s="1998" t="s">
        <v>60</v>
      </c>
      <c r="C46" s="2000"/>
      <c r="D46" s="1999"/>
      <c r="E46" s="36" t="s">
        <v>61</v>
      </c>
      <c r="F46" s="1998" t="s">
        <v>60</v>
      </c>
      <c r="G46" s="2000"/>
      <c r="H46" s="1999"/>
      <c r="I46" s="1998" t="s">
        <v>62</v>
      </c>
      <c r="J46" s="1999"/>
      <c r="K46" s="1998" t="s">
        <v>930</v>
      </c>
      <c r="L46" s="2000"/>
      <c r="M46" s="1999"/>
      <c r="P46" s="58"/>
      <c r="Q46" s="1647"/>
      <c r="R46" s="1647"/>
      <c r="S46" s="1652"/>
      <c r="T46" s="1648"/>
      <c r="U46" s="1648"/>
      <c r="V46" s="1648"/>
      <c r="W46" s="720"/>
      <c r="X46" s="720"/>
      <c r="Y46" s="720"/>
      <c r="Z46" s="720"/>
      <c r="AA46" s="720"/>
      <c r="AB46" s="720"/>
      <c r="AC46" s="720"/>
      <c r="AD46" s="1348"/>
    </row>
    <row r="47" spans="2:30" ht="16.2" thickBot="1" x14ac:dyDescent="0.35">
      <c r="B47" s="1987">
        <f ca="1">TODAY()</f>
        <v>45497</v>
      </c>
      <c r="C47" s="2005"/>
      <c r="D47" s="2006"/>
      <c r="E47" s="38"/>
      <c r="F47" s="2004"/>
      <c r="G47" s="2005"/>
      <c r="H47" s="2006"/>
      <c r="I47" s="2004"/>
      <c r="J47" s="2006"/>
      <c r="K47" s="2004"/>
      <c r="L47" s="2005"/>
      <c r="M47" s="2006"/>
      <c r="P47" s="58"/>
      <c r="Q47" s="1647"/>
      <c r="R47" s="1647"/>
      <c r="S47" s="1648"/>
      <c r="T47" s="1650"/>
      <c r="U47" s="1650"/>
      <c r="V47" s="1650"/>
      <c r="W47" s="720"/>
      <c r="X47" s="720"/>
      <c r="Y47" s="720"/>
      <c r="Z47" s="720"/>
      <c r="AA47" s="720"/>
      <c r="AB47" s="720"/>
      <c r="AC47" s="720"/>
      <c r="AD47" s="1348"/>
    </row>
    <row r="48" spans="2:30" ht="15" customHeight="1" thickBot="1" x14ac:dyDescent="0.35">
      <c r="B48" s="2058" t="s">
        <v>63</v>
      </c>
      <c r="C48" s="2059"/>
      <c r="D48" s="2060"/>
      <c r="E48" s="72"/>
      <c r="F48" s="978"/>
      <c r="G48" s="979"/>
      <c r="H48" s="3"/>
      <c r="I48" s="978"/>
      <c r="J48" s="3"/>
      <c r="K48" s="53"/>
      <c r="L48" s="53"/>
      <c r="M48" s="10"/>
      <c r="P48" s="58"/>
      <c r="Q48" s="1647"/>
      <c r="R48" s="1647"/>
      <c r="S48" s="1647"/>
      <c r="T48" s="1657"/>
      <c r="U48" s="1657"/>
      <c r="V48" s="1657"/>
      <c r="W48" s="720"/>
      <c r="X48" s="720"/>
      <c r="Y48" s="720"/>
      <c r="Z48" s="720"/>
      <c r="AA48" s="720"/>
      <c r="AB48" s="720"/>
      <c r="AC48" s="720"/>
      <c r="AD48" s="1348"/>
    </row>
    <row r="49" spans="1:30" ht="14.4" customHeight="1" thickBot="1" x14ac:dyDescent="0.35">
      <c r="B49" s="1"/>
      <c r="C49" s="965"/>
      <c r="D49" s="965"/>
      <c r="E49" s="2"/>
      <c r="F49" s="69"/>
      <c r="G49" s="69"/>
      <c r="H49" s="2"/>
      <c r="I49" s="2"/>
      <c r="J49" s="2"/>
      <c r="K49" s="2"/>
      <c r="L49" s="2"/>
      <c r="M49" s="78"/>
      <c r="P49" s="58"/>
      <c r="Q49" s="1647"/>
      <c r="R49" s="1647"/>
      <c r="S49" s="1647"/>
      <c r="T49" s="1660"/>
      <c r="U49" s="1660"/>
      <c r="V49" s="1660"/>
      <c r="W49" s="720"/>
      <c r="X49" s="720"/>
      <c r="Y49" s="720"/>
      <c r="Z49" s="720"/>
      <c r="AA49" s="720"/>
      <c r="AB49" s="720"/>
      <c r="AC49" s="720"/>
      <c r="AD49" s="1348"/>
    </row>
    <row r="50" spans="1:30" x14ac:dyDescent="0.3">
      <c r="A50" s="61"/>
      <c r="B50" s="2065" t="s">
        <v>927</v>
      </c>
      <c r="C50" s="2066"/>
      <c r="D50" s="2067"/>
      <c r="E50" s="945" t="s">
        <v>277</v>
      </c>
      <c r="F50" s="2061" t="s">
        <v>928</v>
      </c>
      <c r="G50" s="2062"/>
      <c r="H50" s="1993" t="s">
        <v>278</v>
      </c>
      <c r="I50" s="1994"/>
      <c r="J50" s="93" t="s">
        <v>279</v>
      </c>
      <c r="K50" s="1992" t="s">
        <v>280</v>
      </c>
      <c r="L50" s="1993"/>
      <c r="M50" s="1994"/>
      <c r="P50" s="58"/>
      <c r="Q50" s="58"/>
      <c r="R50" s="58"/>
      <c r="S50" s="58"/>
      <c r="T50" s="58"/>
      <c r="U50" s="58"/>
      <c r="V50" s="58"/>
      <c r="W50" s="720"/>
      <c r="X50" s="720"/>
      <c r="Y50" s="720"/>
      <c r="Z50" s="720"/>
      <c r="AA50" s="720"/>
      <c r="AB50" s="720"/>
      <c r="AC50" s="720"/>
      <c r="AD50" s="1348"/>
    </row>
    <row r="51" spans="1:30" ht="15" thickBot="1" x14ac:dyDescent="0.35">
      <c r="B51" s="2068"/>
      <c r="C51" s="2069"/>
      <c r="D51" s="2070"/>
      <c r="E51" s="944" t="s">
        <v>282</v>
      </c>
      <c r="F51" s="2063"/>
      <c r="G51" s="2064"/>
      <c r="H51" s="1996" t="s">
        <v>284</v>
      </c>
      <c r="I51" s="1997"/>
      <c r="J51" s="97"/>
      <c r="K51" s="1995" t="s">
        <v>285</v>
      </c>
      <c r="L51" s="1996"/>
      <c r="M51" s="1997"/>
    </row>
    <row r="52" spans="1:30" ht="15" thickBot="1" x14ac:dyDescent="0.35">
      <c r="B52" s="1989" t="s">
        <v>351</v>
      </c>
      <c r="C52" s="1991"/>
      <c r="D52" s="1990"/>
      <c r="E52" s="158">
        <v>40</v>
      </c>
      <c r="F52" s="1989">
        <v>1</v>
      </c>
      <c r="G52" s="1990"/>
      <c r="H52" s="1989">
        <v>20</v>
      </c>
      <c r="I52" s="1990"/>
      <c r="J52" s="158">
        <v>3</v>
      </c>
      <c r="K52" s="1989">
        <f>ROUND(Q11*R11*(S11+S12)/1000000*2.045*2.3/1000,3)</f>
        <v>18.814</v>
      </c>
      <c r="L52" s="1991"/>
      <c r="M52" s="1990"/>
    </row>
    <row r="54" spans="1:30" x14ac:dyDescent="0.3">
      <c r="O54" s="42"/>
    </row>
  </sheetData>
  <mergeCells count="30">
    <mergeCell ref="Q10:S10"/>
    <mergeCell ref="Q2:R2"/>
    <mergeCell ref="B46:D46"/>
    <mergeCell ref="J21:L21"/>
    <mergeCell ref="I46:J46"/>
    <mergeCell ref="O2:P2"/>
    <mergeCell ref="O9:P9"/>
    <mergeCell ref="O14:P14"/>
    <mergeCell ref="O18:P18"/>
    <mergeCell ref="K46:M46"/>
    <mergeCell ref="K47:M47"/>
    <mergeCell ref="F24:F26"/>
    <mergeCell ref="E24:E26"/>
    <mergeCell ref="G24:G27"/>
    <mergeCell ref="H24:H27"/>
    <mergeCell ref="F46:H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ЭтаКнига.calc_start">
                <anchor>
                  <from>
                    <xdr:col>14</xdr:col>
                    <xdr:colOff>15240</xdr:colOff>
                    <xdr:row>20</xdr:row>
                    <xdr:rowOff>7620</xdr:rowOff>
                  </from>
                  <to>
                    <xdr:col>16</xdr:col>
                    <xdr:colOff>236220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Z55"/>
  <sheetViews>
    <sheetView topLeftCell="D1" zoomScale="85" zoomScaleNormal="85" workbookViewId="0">
      <selection activeCell="R7" sqref="R7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6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934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878</v>
      </c>
      <c r="K2" s="53"/>
      <c r="L2" s="2075" t="s">
        <v>76</v>
      </c>
      <c r="M2" s="2078"/>
      <c r="Q2" s="146"/>
      <c r="U2" s="1786" t="s">
        <v>809</v>
      </c>
      <c r="V2" s="2085" t="s">
        <v>328</v>
      </c>
      <c r="W2" s="2086"/>
      <c r="X2" s="2087"/>
      <c r="Y2" s="146"/>
      <c r="Z2" s="1348"/>
    </row>
    <row r="3" spans="2:26" x14ac:dyDescent="0.3">
      <c r="B3" s="12" t="s">
        <v>1</v>
      </c>
      <c r="C3" s="69"/>
      <c r="D3" s="5"/>
      <c r="E3" s="5"/>
      <c r="F3" s="478" t="s">
        <v>937</v>
      </c>
      <c r="G3" s="5"/>
      <c r="H3" s="69" t="s">
        <v>258</v>
      </c>
      <c r="I3" s="951" t="s">
        <v>1222</v>
      </c>
      <c r="J3" s="108"/>
      <c r="K3" s="947"/>
      <c r="L3" s="715" t="s">
        <v>810</v>
      </c>
      <c r="M3" s="59">
        <v>1500</v>
      </c>
      <c r="Q3" s="1348" t="s">
        <v>2</v>
      </c>
      <c r="R3" s="1348" t="s">
        <v>1211</v>
      </c>
      <c r="S3" s="1348" t="s">
        <v>1212</v>
      </c>
      <c r="T3" s="1348" t="s">
        <v>1213</v>
      </c>
      <c r="U3" s="1348" t="s">
        <v>670</v>
      </c>
      <c r="V3" s="1348" t="s">
        <v>813</v>
      </c>
      <c r="W3" s="1348" t="s">
        <v>814</v>
      </c>
      <c r="X3" s="1348" t="s">
        <v>815</v>
      </c>
      <c r="Y3" s="1348" t="s">
        <v>1214</v>
      </c>
    </row>
    <row r="4" spans="2:26" ht="15.6" customHeight="1" x14ac:dyDescent="0.3">
      <c r="B4" s="4" t="s">
        <v>2</v>
      </c>
      <c r="C4" s="57"/>
      <c r="D4" s="53"/>
      <c r="E4" s="53"/>
      <c r="F4" s="487" t="s">
        <v>669</v>
      </c>
      <c r="G4" s="53"/>
      <c r="H4" s="53"/>
      <c r="I4" s="57"/>
      <c r="J4" s="10"/>
      <c r="K4" s="57"/>
      <c r="L4" s="715" t="s">
        <v>811</v>
      </c>
      <c r="M4" s="59">
        <v>1200</v>
      </c>
      <c r="Q4" s="1787" t="str">
        <f>Таблицы!AP90</f>
        <v>1060.60.206</v>
      </c>
      <c r="R4" s="58">
        <f>Таблицы!AQ90</f>
        <v>800</v>
      </c>
      <c r="S4" s="58">
        <f>Таблицы!AR90</f>
        <v>535</v>
      </c>
      <c r="T4" s="58">
        <f>Таблицы!AS90</f>
        <v>65</v>
      </c>
      <c r="U4" s="58">
        <f>Таблицы!AT90</f>
        <v>0</v>
      </c>
      <c r="V4" s="58">
        <f>Таблицы!AU90</f>
        <v>0</v>
      </c>
      <c r="W4" s="58">
        <f>Таблицы!AV90</f>
        <v>0</v>
      </c>
      <c r="X4" s="58">
        <f>Таблицы!AW90</f>
        <v>0</v>
      </c>
      <c r="Y4" s="1787" t="str">
        <f>Таблицы!AX90</f>
        <v xml:space="preserve">Обшита резиной Д=815 </v>
      </c>
    </row>
    <row r="5" spans="2:26" ht="15" thickBot="1" x14ac:dyDescent="0.35">
      <c r="B5" s="4" t="s">
        <v>3</v>
      </c>
      <c r="C5" s="57"/>
      <c r="D5" s="53"/>
      <c r="E5" s="53"/>
      <c r="F5" s="479" t="s">
        <v>322</v>
      </c>
      <c r="G5" s="53"/>
      <c r="H5" s="53"/>
      <c r="I5" s="53"/>
      <c r="J5" s="10"/>
      <c r="K5" s="57"/>
      <c r="L5" s="716" t="s">
        <v>5</v>
      </c>
      <c r="M5" s="68">
        <v>60</v>
      </c>
      <c r="Q5" s="1787" t="str">
        <f>Таблицы!AP91</f>
        <v>1065.02.06</v>
      </c>
      <c r="R5" s="58">
        <f>Таблицы!AQ91</f>
        <v>1125</v>
      </c>
      <c r="S5" s="58">
        <f>Таблицы!AR91</f>
        <v>675</v>
      </c>
      <c r="T5" s="58">
        <f>Таблицы!AS91</f>
        <v>140</v>
      </c>
      <c r="U5" s="58">
        <f>Таблицы!AT91</f>
        <v>0</v>
      </c>
      <c r="V5" s="58">
        <f>Таблицы!AU91</f>
        <v>0</v>
      </c>
      <c r="W5" s="58">
        <f>Таблицы!AV91</f>
        <v>0</v>
      </c>
      <c r="X5" s="58">
        <f>Таблицы!AW91</f>
        <v>0</v>
      </c>
      <c r="Y5" s="1787" t="str">
        <f>Таблицы!AX91</f>
        <v>уклон по внутр. 27,5</v>
      </c>
    </row>
    <row r="6" spans="2:26" ht="15" thickBot="1" x14ac:dyDescent="0.35">
      <c r="B6" s="19" t="s">
        <v>7</v>
      </c>
      <c r="C6" s="63"/>
      <c r="D6" s="20"/>
      <c r="E6" s="20"/>
      <c r="F6" s="480">
        <v>1</v>
      </c>
      <c r="G6" s="20"/>
      <c r="H6" s="20"/>
      <c r="I6" s="20"/>
      <c r="J6" s="39"/>
      <c r="K6" s="57"/>
      <c r="L6" s="713" t="s">
        <v>16</v>
      </c>
      <c r="M6" s="714">
        <f>ROUNDUP((M3*M3-M4*M4)*3.1415296*M5*M8/4000000,0)</f>
        <v>348</v>
      </c>
      <c r="Q6" s="1787" t="str">
        <f>Таблицы!AP92</f>
        <v>1244.04.432-1</v>
      </c>
      <c r="R6" s="58">
        <f>Таблицы!AQ92</f>
        <v>1365</v>
      </c>
      <c r="S6" s="58">
        <f>Таблицы!AR92</f>
        <v>1040</v>
      </c>
      <c r="T6" s="58">
        <f>Таблицы!AS92</f>
        <v>105</v>
      </c>
      <c r="U6" s="58">
        <f>Таблицы!AT92</f>
        <v>260</v>
      </c>
      <c r="V6" s="58">
        <f>Таблицы!AU92</f>
        <v>550</v>
      </c>
      <c r="W6" s="58">
        <f>Таблицы!AV92</f>
        <v>802</v>
      </c>
      <c r="X6" s="58">
        <f>Таблицы!AW92</f>
        <v>834</v>
      </c>
      <c r="Y6" s="1787">
        <f>Таблицы!AX92</f>
        <v>0</v>
      </c>
    </row>
    <row r="7" spans="2:26" ht="15" thickBot="1" x14ac:dyDescent="0.35">
      <c r="B7" s="4" t="s">
        <v>13</v>
      </c>
      <c r="C7" s="53"/>
      <c r="D7" s="53"/>
      <c r="E7" s="53"/>
      <c r="F7" s="481" t="s">
        <v>6</v>
      </c>
      <c r="G7" s="53"/>
      <c r="H7" s="57"/>
      <c r="I7" s="53" t="s">
        <v>14</v>
      </c>
      <c r="J7" s="15">
        <f>F8/F9</f>
        <v>0.5</v>
      </c>
      <c r="K7" s="141"/>
      <c r="L7" s="351"/>
      <c r="M7" s="712"/>
      <c r="Q7" s="1787" t="str">
        <f>Таблицы!AP93</f>
        <v>1255.01.341</v>
      </c>
      <c r="R7" s="58">
        <f>Таблицы!AQ93</f>
        <v>1550</v>
      </c>
      <c r="S7" s="58">
        <f>Таблицы!AR93</f>
        <v>1180</v>
      </c>
      <c r="T7" s="58">
        <f>Таблицы!AS93</f>
        <v>105</v>
      </c>
      <c r="U7" s="58">
        <f>Таблицы!AT93</f>
        <v>340</v>
      </c>
      <c r="V7" s="58">
        <f>Таблицы!AU93</f>
        <v>730</v>
      </c>
      <c r="W7" s="58">
        <f>Таблицы!AV93</f>
        <v>1045.5</v>
      </c>
      <c r="X7" s="58">
        <f>Таблицы!AW93</f>
        <v>1087.4000000000001</v>
      </c>
      <c r="Y7" s="1787">
        <f>Таблицы!AX93</f>
        <v>0</v>
      </c>
    </row>
    <row r="8" spans="2:26" ht="15" thickBot="1" x14ac:dyDescent="0.35">
      <c r="B8" s="4" t="s">
        <v>16</v>
      </c>
      <c r="C8" s="53"/>
      <c r="D8" s="53"/>
      <c r="E8" s="53"/>
      <c r="F8" s="477">
        <f>VLOOKUP(I3,Q4:Y13,5,FALSE)</f>
        <v>295</v>
      </c>
      <c r="G8" s="53"/>
      <c r="H8" s="57"/>
      <c r="I8" s="53" t="s">
        <v>19</v>
      </c>
      <c r="J8" s="15">
        <f>F8/F12</f>
        <v>0.31871218668971479</v>
      </c>
      <c r="K8" s="141"/>
      <c r="L8" s="718" t="s">
        <v>812</v>
      </c>
      <c r="M8" s="719">
        <f>VLOOKUP(F7,Марка_металла[],9,FALSE)</f>
        <v>9.1</v>
      </c>
      <c r="Q8" s="1787" t="str">
        <f>Таблицы!AP94</f>
        <v>1268.01.623</v>
      </c>
      <c r="R8" s="58">
        <f>Таблицы!AQ94</f>
        <v>1010</v>
      </c>
      <c r="S8" s="58">
        <f>Таблицы!AR94</f>
        <v>405</v>
      </c>
      <c r="T8" s="58">
        <f>Таблицы!AS94</f>
        <v>100</v>
      </c>
      <c r="U8" s="58">
        <f>Таблицы!AT94</f>
        <v>295</v>
      </c>
      <c r="V8" s="58">
        <f>Таблицы!AU94</f>
        <v>590</v>
      </c>
      <c r="W8" s="58">
        <f>Таблицы!AV94</f>
        <v>890</v>
      </c>
      <c r="X8" s="58">
        <f>Таблицы!AW94</f>
        <v>926</v>
      </c>
      <c r="Y8" s="1787">
        <f>Таблицы!AX94</f>
        <v>0</v>
      </c>
    </row>
    <row r="9" spans="2:26" ht="15" thickBot="1" x14ac:dyDescent="0.35">
      <c r="B9" s="4" t="s">
        <v>18</v>
      </c>
      <c r="C9" s="53"/>
      <c r="D9" s="53"/>
      <c r="E9" s="53"/>
      <c r="F9" s="477">
        <f>VLOOKUP(I3,Q4:Y13,6,FALSE)</f>
        <v>590</v>
      </c>
      <c r="G9" s="9"/>
      <c r="H9" s="53"/>
      <c r="I9" s="53"/>
      <c r="J9" s="18"/>
      <c r="K9" s="388"/>
      <c r="L9" s="952" t="s">
        <v>243</v>
      </c>
      <c r="M9" s="39">
        <f>ROUNDUP(((E24+I13)*(E24+I13)-(E21-I13)*(E21-I13))*J18*3.1415926*M8/4000000,0)</f>
        <v>593</v>
      </c>
      <c r="Q9" s="1787" t="str">
        <f>Таблицы!AP95</f>
        <v>1268.03.314</v>
      </c>
      <c r="R9" s="58">
        <f>Таблицы!AQ95</f>
        <v>1040</v>
      </c>
      <c r="S9" s="58">
        <f>Таблицы!AR95</f>
        <v>775</v>
      </c>
      <c r="T9" s="58">
        <f>Таблицы!AS95</f>
        <v>95</v>
      </c>
      <c r="U9" s="58">
        <f>Таблицы!AT95</f>
        <v>124</v>
      </c>
      <c r="V9" s="58">
        <f>Таблицы!AU95</f>
        <v>315</v>
      </c>
      <c r="W9" s="58">
        <f>Таблицы!AV95</f>
        <v>515</v>
      </c>
      <c r="X9" s="58">
        <f>Таблицы!AW95</f>
        <v>540</v>
      </c>
      <c r="Y9" s="1787">
        <f>Таблицы!AX95</f>
        <v>0</v>
      </c>
    </row>
    <row r="10" spans="2:26" x14ac:dyDescent="0.3">
      <c r="B10" s="4" t="s">
        <v>310</v>
      </c>
      <c r="C10" s="53"/>
      <c r="D10" s="53"/>
      <c r="E10" s="53"/>
      <c r="F10" s="477">
        <f>F11-F9</f>
        <v>300</v>
      </c>
      <c r="G10" s="53"/>
      <c r="H10" s="53"/>
      <c r="I10" s="53"/>
      <c r="J10" s="18"/>
      <c r="K10" s="388"/>
      <c r="Q10" s="1787" t="str">
        <f>Таблицы!AP96</f>
        <v>1269.01.03</v>
      </c>
      <c r="R10" s="58">
        <f>Таблицы!AQ96</f>
        <v>1240</v>
      </c>
      <c r="S10" s="58">
        <f>Таблицы!AR96</f>
        <v>890</v>
      </c>
      <c r="T10" s="58">
        <f>Таблицы!AS96</f>
        <v>105</v>
      </c>
      <c r="U10" s="58">
        <f>Таблицы!AT96</f>
        <v>224</v>
      </c>
      <c r="V10" s="58">
        <f>Таблицы!AU96</f>
        <v>530</v>
      </c>
      <c r="W10" s="58">
        <f>Таблицы!AV96</f>
        <v>782</v>
      </c>
      <c r="X10" s="58">
        <f>Таблицы!AW96</f>
        <v>813.3</v>
      </c>
      <c r="Y10" s="1787">
        <f>Таблицы!AX96</f>
        <v>0</v>
      </c>
    </row>
    <row r="11" spans="2:26" x14ac:dyDescent="0.3">
      <c r="B11" s="4" t="s">
        <v>23</v>
      </c>
      <c r="C11" s="53"/>
      <c r="D11" s="53"/>
      <c r="E11" s="53"/>
      <c r="F11" s="482">
        <f>VLOOKUP(I3,Q4:Y13,7,FALSE)</f>
        <v>890</v>
      </c>
      <c r="G11" s="53"/>
      <c r="H11" s="53"/>
      <c r="I11" s="53"/>
      <c r="J11" s="18"/>
      <c r="K11" s="388"/>
      <c r="Q11" s="1787" t="str">
        <f>Таблицы!AP97</f>
        <v>1289.01.17</v>
      </c>
      <c r="R11" s="58">
        <f>Таблицы!AQ97</f>
        <v>1660</v>
      </c>
      <c r="S11" s="58">
        <f>Таблицы!AR97</f>
        <v>1230</v>
      </c>
      <c r="T11" s="58">
        <f>Таблицы!AS97</f>
        <v>105</v>
      </c>
      <c r="U11" s="58">
        <f>Таблицы!AT97</f>
        <v>340</v>
      </c>
      <c r="V11" s="58">
        <f>Таблицы!AU97</f>
        <v>740</v>
      </c>
      <c r="W11" s="58">
        <f>Таблицы!AV97</f>
        <v>1076</v>
      </c>
      <c r="X11" s="58">
        <f>Таблицы!AW97</f>
        <v>1120</v>
      </c>
      <c r="Y11" s="1787">
        <f>Таблицы!AX97</f>
        <v>0</v>
      </c>
    </row>
    <row r="12" spans="2:26" ht="15" thickBot="1" x14ac:dyDescent="0.35">
      <c r="B12" s="19" t="s">
        <v>28</v>
      </c>
      <c r="C12" s="20"/>
      <c r="D12" s="20"/>
      <c r="E12" s="20"/>
      <c r="F12" s="483">
        <f>ROUNDUP(F11*1.04,1)</f>
        <v>925.6</v>
      </c>
      <c r="G12" s="20"/>
      <c r="H12" s="20"/>
      <c r="I12" s="20"/>
      <c r="J12" s="22"/>
      <c r="K12" s="388"/>
      <c r="Q12" s="1787" t="str">
        <f>Таблицы!AP98</f>
        <v>2019.423-24.002</v>
      </c>
      <c r="R12" s="58">
        <f>Таблицы!AQ98</f>
        <v>2580</v>
      </c>
      <c r="S12" s="58">
        <f>Таблицы!AR98</f>
        <v>2200</v>
      </c>
      <c r="T12" s="58">
        <f>Таблицы!AS98</f>
        <v>150</v>
      </c>
      <c r="U12" s="58">
        <f>Таблицы!AT98</f>
        <v>0</v>
      </c>
      <c r="V12" s="58">
        <f>Таблицы!AU98</f>
        <v>0</v>
      </c>
      <c r="W12" s="58">
        <f>Таблицы!AV98</f>
        <v>2502</v>
      </c>
      <c r="X12" s="58">
        <f>Таблицы!AW98</f>
        <v>2603</v>
      </c>
      <c r="Y12" s="1787" t="str">
        <f>Таблицы!AX98</f>
        <v>уклон 5</v>
      </c>
      <c r="Z12" s="42"/>
    </row>
    <row r="13" spans="2:26" x14ac:dyDescent="0.3">
      <c r="B13" s="12"/>
      <c r="C13" s="962" t="s">
        <v>209</v>
      </c>
      <c r="D13" s="127"/>
      <c r="E13" s="44"/>
      <c r="F13" s="128"/>
      <c r="G13" s="5" t="str">
        <f>"Формовочный уклон:"</f>
        <v>Формовочный уклон:</v>
      </c>
      <c r="H13" s="5"/>
      <c r="I13" s="1737">
        <f>Данные!R198</f>
        <v>3</v>
      </c>
      <c r="J13" s="983"/>
      <c r="K13" s="23"/>
      <c r="Q13" s="1787">
        <f>Таблицы!AP99</f>
        <v>0</v>
      </c>
      <c r="R13" s="58">
        <f>Таблицы!AQ99</f>
        <v>760</v>
      </c>
      <c r="S13" s="58">
        <f>Таблицы!AR99</f>
        <v>545</v>
      </c>
      <c r="T13" s="58">
        <f>Таблицы!AS99</f>
        <v>60</v>
      </c>
      <c r="U13" s="58">
        <f>Таблицы!AT99</f>
        <v>0</v>
      </c>
      <c r="V13" s="58">
        <f>Таблицы!AU99</f>
        <v>0</v>
      </c>
      <c r="W13" s="58">
        <f>Таблицы!AV99</f>
        <v>0</v>
      </c>
      <c r="X13" s="58">
        <f>Таблицы!AW99</f>
        <v>0</v>
      </c>
      <c r="Y13" s="1787">
        <f>Таблицы!AX99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87">
        <f>Таблицы!AP100</f>
        <v>0</v>
      </c>
      <c r="R14" s="58">
        <f>Таблицы!AQ100</f>
        <v>790</v>
      </c>
      <c r="S14" s="58">
        <f>Таблицы!AR100</f>
        <v>450</v>
      </c>
      <c r="T14" s="58">
        <f>Таблицы!AS100</f>
        <v>90</v>
      </c>
      <c r="U14" s="58">
        <f>Таблицы!AT100</f>
        <v>0</v>
      </c>
      <c r="V14" s="58">
        <f>Таблицы!AU100</f>
        <v>0</v>
      </c>
      <c r="W14" s="58">
        <f>Таблицы!AV100</f>
        <v>0</v>
      </c>
      <c r="X14" s="58">
        <f>Таблицы!AW100</f>
        <v>0</v>
      </c>
      <c r="Y14" s="1787" t="str">
        <f>Таблицы!AX100</f>
        <v>кольцо сферическое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75"/>
      <c r="Q15" s="1787">
        <f>Таблицы!AP101</f>
        <v>0</v>
      </c>
      <c r="R15" s="58">
        <f>Таблицы!AQ101</f>
        <v>800</v>
      </c>
      <c r="S15" s="58">
        <f>Таблицы!AR101</f>
        <v>670</v>
      </c>
      <c r="T15" s="58">
        <f>Таблицы!AS101</f>
        <v>70</v>
      </c>
      <c r="U15" s="58">
        <f>Таблицы!AT101</f>
        <v>0</v>
      </c>
      <c r="V15" s="58">
        <f>Таблицы!AU101</f>
        <v>0</v>
      </c>
      <c r="W15" s="58">
        <f>Таблицы!AV101</f>
        <v>0</v>
      </c>
      <c r="X15" s="58">
        <f>Таблицы!AW101</f>
        <v>0</v>
      </c>
      <c r="Y15" s="1787" t="str">
        <f>Таблицы!AX101</f>
        <v>Обшита Д=880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5"/>
      <c r="O16" s="57"/>
      <c r="P16" s="475"/>
      <c r="Q16" s="58"/>
      <c r="R16" s="58"/>
      <c r="S16" s="58"/>
      <c r="T16" s="58"/>
      <c r="U16" s="58"/>
      <c r="V16" s="58"/>
      <c r="W16" s="58"/>
      <c r="X16" s="58"/>
      <c r="Y16" s="58"/>
    </row>
    <row r="17" spans="2:25" ht="15" customHeight="1" x14ac:dyDescent="0.3">
      <c r="B17" s="4"/>
      <c r="C17" s="53"/>
      <c r="D17" s="53"/>
      <c r="E17" s="53"/>
      <c r="F17" s="53"/>
      <c r="G17" s="53"/>
      <c r="H17" s="53"/>
      <c r="I17" s="25"/>
      <c r="J17" s="126"/>
      <c r="K17" s="948"/>
      <c r="O17" s="57"/>
      <c r="P17" s="475"/>
      <c r="Q17" s="58"/>
      <c r="R17" s="113"/>
      <c r="S17" s="113"/>
      <c r="T17" s="113"/>
      <c r="U17" s="113"/>
      <c r="V17" s="113"/>
      <c r="W17" s="113"/>
      <c r="X17" s="113"/>
      <c r="Y17" s="113"/>
    </row>
    <row r="18" spans="2:25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548">
        <f>ROUNDUP(VLOOKUP(I3,Q4:Y13,4,FALSE)*0.985,0)</f>
        <v>99</v>
      </c>
      <c r="K18" s="949"/>
      <c r="M18" s="476"/>
      <c r="N18" s="720"/>
      <c r="O18" s="57"/>
      <c r="P18" s="475"/>
      <c r="Q18" s="57"/>
    </row>
    <row r="19" spans="2:25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736">
        <f>M5</f>
        <v>60</v>
      </c>
      <c r="K19" s="949"/>
      <c r="M19" s="476"/>
      <c r="N19" s="720"/>
      <c r="O19" s="720"/>
      <c r="P19" s="475"/>
      <c r="Q19" s="57"/>
    </row>
    <row r="20" spans="2:25" ht="15.6" customHeight="1" x14ac:dyDescent="0.3">
      <c r="B20" s="4"/>
      <c r="C20" s="123"/>
      <c r="D20" s="53"/>
      <c r="E20" s="53"/>
      <c r="F20" s="53"/>
      <c r="G20" s="53"/>
      <c r="H20" s="124"/>
      <c r="I20" s="28"/>
      <c r="J20" s="126"/>
      <c r="K20" s="948"/>
      <c r="M20" s="476"/>
      <c r="N20" s="720"/>
      <c r="O20" s="720"/>
      <c r="P20" s="475"/>
      <c r="Q20" s="57"/>
    </row>
    <row r="21" spans="2:25" x14ac:dyDescent="0.3">
      <c r="B21" s="4"/>
      <c r="C21" s="53"/>
      <c r="D21" s="30"/>
      <c r="E21" s="1698">
        <f>ROUNDDOWN(VLOOKUP(I3,Q4:Y13,3,FALSE)*0.994,0)</f>
        <v>402</v>
      </c>
      <c r="F21" s="53"/>
      <c r="G21" s="53"/>
      <c r="H21" s="53"/>
      <c r="I21" s="28"/>
      <c r="J21" s="26"/>
      <c r="K21" s="145"/>
    </row>
    <row r="22" spans="2:25" x14ac:dyDescent="0.3">
      <c r="B22" s="4"/>
      <c r="C22" s="53"/>
      <c r="D22" s="57"/>
      <c r="E22" s="1733">
        <f>M4</f>
        <v>1200</v>
      </c>
      <c r="F22" s="53"/>
      <c r="G22" s="53"/>
      <c r="H22" s="53"/>
      <c r="I22" s="28"/>
      <c r="J22" s="26"/>
      <c r="K22" s="145"/>
    </row>
    <row r="23" spans="2:25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5"/>
      <c r="T23" s="57"/>
    </row>
    <row r="24" spans="2:25" x14ac:dyDescent="0.3">
      <c r="B24" s="4"/>
      <c r="C24" s="57"/>
      <c r="D24" s="53"/>
      <c r="E24" s="1698">
        <f>ROUNDUP(VLOOKUP(I3,Q4:Y13,2,FALSE)*0.985,0)</f>
        <v>995</v>
      </c>
      <c r="F24" s="30"/>
      <c r="G24" s="53"/>
      <c r="H24" s="53"/>
      <c r="I24" s="28"/>
      <c r="J24" s="26"/>
      <c r="K24" s="145"/>
    </row>
    <row r="25" spans="2:25" x14ac:dyDescent="0.3">
      <c r="B25" s="4"/>
      <c r="C25" s="57"/>
      <c r="D25" s="53"/>
      <c r="E25" s="1733">
        <f>M3</f>
        <v>1500</v>
      </c>
      <c r="F25" s="30"/>
      <c r="G25" s="53"/>
      <c r="H25" s="53"/>
      <c r="I25" s="28"/>
      <c r="J25" s="26"/>
      <c r="K25" s="145"/>
    </row>
    <row r="26" spans="2:25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5"/>
    </row>
    <row r="27" spans="2:25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5"/>
    </row>
    <row r="28" spans="2:25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</row>
    <row r="29" spans="2:25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</row>
    <row r="30" spans="2:25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</row>
    <row r="31" spans="2:25" x14ac:dyDescent="0.3">
      <c r="B31" s="4"/>
      <c r="C31" s="53" t="s">
        <v>323</v>
      </c>
      <c r="D31" s="53"/>
      <c r="E31" s="53"/>
      <c r="F31" s="53"/>
      <c r="G31" s="57"/>
      <c r="H31" s="53"/>
      <c r="I31" s="53"/>
      <c r="J31" s="24"/>
      <c r="K31" s="23"/>
    </row>
    <row r="32" spans="2:25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7"/>
      <c r="F32" s="20"/>
      <c r="G32" s="63"/>
      <c r="H32" s="20"/>
      <c r="I32" s="20"/>
      <c r="J32" s="70"/>
      <c r="K32" s="23"/>
    </row>
    <row r="33" spans="2:12" x14ac:dyDescent="0.3">
      <c r="B33" s="4"/>
      <c r="C33" s="53" t="s">
        <v>251</v>
      </c>
      <c r="D33" s="53"/>
      <c r="E33" s="53"/>
      <c r="F33" s="51" t="s">
        <v>48</v>
      </c>
      <c r="G33" s="53"/>
      <c r="H33" s="53"/>
      <c r="I33" s="53"/>
      <c r="J33" s="10"/>
      <c r="K33" s="23"/>
    </row>
    <row r="34" spans="2:12" x14ac:dyDescent="0.3">
      <c r="B34" s="4"/>
      <c r="C34" s="53" t="s">
        <v>54</v>
      </c>
      <c r="D34" s="53"/>
      <c r="E34" s="53"/>
      <c r="F34" s="50" t="s">
        <v>81</v>
      </c>
      <c r="G34" s="53"/>
      <c r="H34" s="53"/>
      <c r="I34" s="53"/>
      <c r="J34" s="10"/>
      <c r="K34" s="57"/>
    </row>
    <row r="35" spans="2:12" x14ac:dyDescent="0.3">
      <c r="B35" s="4"/>
      <c r="C35" s="53" t="s">
        <v>49</v>
      </c>
      <c r="D35" s="53"/>
      <c r="E35" s="53"/>
      <c r="F35" s="51" t="s">
        <v>50</v>
      </c>
      <c r="G35" s="53"/>
      <c r="H35" s="53"/>
      <c r="I35" s="53"/>
      <c r="J35" s="10"/>
      <c r="K35" s="57"/>
    </row>
    <row r="36" spans="2:12" x14ac:dyDescent="0.3">
      <c r="B36" s="4"/>
      <c r="C36" s="101" t="s">
        <v>56</v>
      </c>
      <c r="D36" s="53"/>
      <c r="E36" s="53"/>
      <c r="F36" s="132" t="s">
        <v>324</v>
      </c>
      <c r="G36" s="131"/>
      <c r="H36" s="53"/>
      <c r="I36" s="53" t="s">
        <v>938</v>
      </c>
      <c r="J36" s="10"/>
      <c r="K36" s="57"/>
    </row>
    <row r="37" spans="2:12" x14ac:dyDescent="0.3">
      <c r="B37" s="4"/>
      <c r="C37" s="53" t="s">
        <v>737</v>
      </c>
      <c r="D37" s="53"/>
      <c r="E37" s="53"/>
      <c r="F37" s="52" t="s">
        <v>106</v>
      </c>
      <c r="G37" s="17" t="s">
        <v>82</v>
      </c>
      <c r="H37" s="53"/>
      <c r="I37" s="53"/>
      <c r="J37" s="10"/>
      <c r="K37" s="57"/>
    </row>
    <row r="38" spans="2:12" x14ac:dyDescent="0.3">
      <c r="B38" s="4"/>
      <c r="C38" s="53" t="s">
        <v>45</v>
      </c>
      <c r="D38" s="53"/>
      <c r="E38" s="53"/>
      <c r="F38" s="51" t="str">
        <f>VLOOKUP(F7,Данные!A3:I27,6,FALSE())</f>
        <v>25010.00173</v>
      </c>
      <c r="G38" s="53"/>
      <c r="H38" s="53"/>
      <c r="I38" s="53"/>
      <c r="J38" s="10"/>
      <c r="K38" s="57"/>
    </row>
    <row r="39" spans="2:12" x14ac:dyDescent="0.3">
      <c r="B39" s="4"/>
      <c r="C39" s="53" t="s">
        <v>46</v>
      </c>
      <c r="D39" s="53"/>
      <c r="E39" s="53"/>
      <c r="F39" s="51" t="s">
        <v>83</v>
      </c>
      <c r="G39" s="53"/>
      <c r="H39" s="53"/>
      <c r="I39" s="53"/>
      <c r="J39" s="10"/>
      <c r="K39" s="57"/>
    </row>
    <row r="40" spans="2:12" x14ac:dyDescent="0.3">
      <c r="B40" s="4"/>
      <c r="C40" s="53" t="s">
        <v>58</v>
      </c>
      <c r="D40" s="53"/>
      <c r="E40" s="17"/>
      <c r="F40" s="17" t="s">
        <v>59</v>
      </c>
      <c r="G40" s="53"/>
      <c r="H40" s="53"/>
      <c r="I40" s="53"/>
      <c r="J40" s="10"/>
      <c r="K40" s="57"/>
    </row>
    <row r="41" spans="2:12" ht="15" thickBot="1" x14ac:dyDescent="0.35">
      <c r="B41" s="4"/>
      <c r="C41" s="53" t="s">
        <v>84</v>
      </c>
      <c r="D41" s="53"/>
      <c r="E41" s="17"/>
      <c r="F41" s="17" t="s">
        <v>52</v>
      </c>
      <c r="G41" s="53"/>
      <c r="H41" s="53"/>
      <c r="I41" s="53"/>
      <c r="J41" s="10"/>
      <c r="K41" s="57"/>
    </row>
    <row r="42" spans="2:12" ht="15" thickBot="1" x14ac:dyDescent="0.35">
      <c r="B42" s="1998" t="s">
        <v>60</v>
      </c>
      <c r="C42" s="2000"/>
      <c r="D42" s="13"/>
      <c r="E42" s="1531" t="s">
        <v>61</v>
      </c>
      <c r="F42" s="1530" t="s">
        <v>60</v>
      </c>
      <c r="G42" s="2004" t="s">
        <v>62</v>
      </c>
      <c r="H42" s="2006"/>
      <c r="I42" s="1998" t="s">
        <v>930</v>
      </c>
      <c r="J42" s="1999"/>
      <c r="K42" s="57"/>
    </row>
    <row r="43" spans="2:12" ht="15" thickBot="1" x14ac:dyDescent="0.35">
      <c r="B43" s="2001">
        <f ca="1">TODAY()</f>
        <v>45497</v>
      </c>
      <c r="C43" s="2002"/>
      <c r="D43" s="3"/>
      <c r="E43" s="38"/>
      <c r="F43" s="1"/>
      <c r="G43" s="1998"/>
      <c r="H43" s="1999"/>
      <c r="I43" s="2056"/>
      <c r="J43" s="2088"/>
      <c r="K43" s="57"/>
    </row>
    <row r="44" spans="2:12" ht="15" thickBot="1" x14ac:dyDescent="0.35">
      <c r="B44" s="1998" t="s">
        <v>63</v>
      </c>
      <c r="C44" s="2000"/>
      <c r="D44" s="3"/>
      <c r="E44" s="21"/>
      <c r="F44" s="20"/>
      <c r="G44" s="20"/>
      <c r="H44" s="20"/>
      <c r="I44" s="20"/>
      <c r="J44" s="39"/>
      <c r="K44" s="53"/>
    </row>
    <row r="45" spans="2:12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</row>
    <row r="46" spans="2:12" x14ac:dyDescent="0.3">
      <c r="B46" s="1992" t="s">
        <v>3</v>
      </c>
      <c r="C46" s="1993"/>
      <c r="D46" s="1994"/>
      <c r="E46" s="93" t="s">
        <v>277</v>
      </c>
      <c r="F46" s="94" t="s">
        <v>278</v>
      </c>
      <c r="G46" s="93" t="s">
        <v>278</v>
      </c>
      <c r="H46" s="93" t="s">
        <v>279</v>
      </c>
      <c r="I46" s="90" t="s">
        <v>280</v>
      </c>
      <c r="J46" s="92"/>
      <c r="K46" s="57"/>
    </row>
    <row r="47" spans="2:12" ht="15" thickBot="1" x14ac:dyDescent="0.35">
      <c r="B47" s="1995" t="s">
        <v>281</v>
      </c>
      <c r="C47" s="1996"/>
      <c r="D47" s="1997"/>
      <c r="E47" s="97" t="s">
        <v>282</v>
      </c>
      <c r="F47" s="97" t="s">
        <v>283</v>
      </c>
      <c r="G47" s="97" t="s">
        <v>284</v>
      </c>
      <c r="H47" s="97"/>
      <c r="I47" s="98" t="s">
        <v>285</v>
      </c>
      <c r="J47" s="157"/>
      <c r="K47" s="950"/>
    </row>
    <row r="48" spans="2:12" ht="15" thickBot="1" x14ac:dyDescent="0.35">
      <c r="B48" s="1989" t="s">
        <v>351</v>
      </c>
      <c r="C48" s="1991"/>
      <c r="D48" s="1990"/>
      <c r="E48" s="158">
        <v>40</v>
      </c>
      <c r="F48" s="159">
        <v>1</v>
      </c>
      <c r="G48" s="158">
        <v>20</v>
      </c>
      <c r="H48" s="158">
        <v>3</v>
      </c>
      <c r="I48" s="1989">
        <f>ROUND(1500*1500*570/1000000*2.045*2.3/1000,3)</f>
        <v>6.032</v>
      </c>
      <c r="J48" s="1990"/>
      <c r="K48" s="950"/>
      <c r="L48" s="287"/>
    </row>
    <row r="49" spans="2:13" x14ac:dyDescent="0.3">
      <c r="K49" s="950"/>
      <c r="L49" s="287"/>
      <c r="M49" s="42"/>
    </row>
    <row r="55" spans="2:13" x14ac:dyDescent="0.3">
      <c r="B55" s="146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Q12" sqref="Q12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936</v>
      </c>
      <c r="N1" s="58"/>
      <c r="O1" s="58"/>
      <c r="P1" s="2093" t="s">
        <v>591</v>
      </c>
      <c r="Q1" s="2093" t="s">
        <v>96</v>
      </c>
      <c r="R1" s="2095" t="s">
        <v>97</v>
      </c>
      <c r="S1" s="2097" t="s">
        <v>98</v>
      </c>
      <c r="T1" s="2097" t="s">
        <v>99</v>
      </c>
      <c r="U1" s="2097" t="s">
        <v>100</v>
      </c>
      <c r="V1" s="2095" t="s">
        <v>101</v>
      </c>
      <c r="W1" s="2095" t="s">
        <v>102</v>
      </c>
      <c r="X1" s="2097" t="s">
        <v>103</v>
      </c>
      <c r="Y1" s="2097" t="s">
        <v>104</v>
      </c>
      <c r="Z1" s="2095" t="s">
        <v>1187</v>
      </c>
      <c r="AA1" s="2095" t="s">
        <v>1188</v>
      </c>
      <c r="AB1" s="2099" t="s">
        <v>1189</v>
      </c>
      <c r="AC1" s="2095" t="s">
        <v>1190</v>
      </c>
      <c r="AD1" s="2095" t="s">
        <v>1191</v>
      </c>
      <c r="AE1" s="2091" t="s">
        <v>1192</v>
      </c>
      <c r="AF1" s="2089" t="s">
        <v>1193</v>
      </c>
      <c r="AG1" s="2089" t="s">
        <v>1194</v>
      </c>
      <c r="AH1" s="2089" t="s">
        <v>333</v>
      </c>
      <c r="AI1" s="2089" t="s">
        <v>1195</v>
      </c>
      <c r="AJ1" s="2089" t="s">
        <v>1196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878</v>
      </c>
      <c r="K2" s="42"/>
      <c r="L2" s="138" t="s">
        <v>590</v>
      </c>
      <c r="M2" s="299"/>
      <c r="N2" s="302"/>
      <c r="O2" s="58"/>
      <c r="P2" s="2094"/>
      <c r="Q2" s="2094"/>
      <c r="R2" s="2096"/>
      <c r="S2" s="2098"/>
      <c r="T2" s="2098"/>
      <c r="U2" s="2098"/>
      <c r="V2" s="2096"/>
      <c r="W2" s="2096"/>
      <c r="X2" s="2098"/>
      <c r="Y2" s="2098"/>
      <c r="Z2" s="2096"/>
      <c r="AA2" s="2096"/>
      <c r="AB2" s="2100"/>
      <c r="AC2" s="2096"/>
      <c r="AD2" s="2096"/>
      <c r="AE2" s="2092"/>
      <c r="AF2" s="2090"/>
      <c r="AG2" s="2090"/>
      <c r="AH2" s="2090"/>
      <c r="AI2" s="2090"/>
      <c r="AJ2" s="2090"/>
    </row>
    <row r="3" spans="2:36" ht="15.6" x14ac:dyDescent="0.3">
      <c r="B3" s="12" t="s">
        <v>1</v>
      </c>
      <c r="C3" s="57"/>
      <c r="D3" s="5"/>
      <c r="E3" s="5"/>
      <c r="F3" s="860" t="s">
        <v>1059</v>
      </c>
      <c r="G3" s="861"/>
      <c r="H3" s="862"/>
      <c r="I3" s="863" t="s">
        <v>589</v>
      </c>
      <c r="J3" s="864">
        <v>126</v>
      </c>
      <c r="K3" s="42"/>
      <c r="L3" s="41" t="s">
        <v>68</v>
      </c>
      <c r="M3" s="300">
        <f>VLOOKUP(J3,P3:AI15,5)</f>
        <v>245</v>
      </c>
      <c r="N3" s="58"/>
      <c r="O3" s="58"/>
      <c r="P3" s="1677">
        <v>125</v>
      </c>
      <c r="Q3" s="1677">
        <v>890</v>
      </c>
      <c r="R3" s="1677">
        <v>255</v>
      </c>
      <c r="S3" s="1678">
        <f t="shared" ref="S3:S15" si="0">Q3-R3</f>
        <v>635</v>
      </c>
      <c r="T3" s="1678">
        <v>243</v>
      </c>
      <c r="U3" s="1678">
        <v>260</v>
      </c>
      <c r="V3" s="1677">
        <v>310</v>
      </c>
      <c r="W3" s="1677">
        <v>30</v>
      </c>
      <c r="X3" s="1678">
        <v>55</v>
      </c>
      <c r="Y3" s="1678">
        <v>63</v>
      </c>
      <c r="Z3" s="1677">
        <v>100</v>
      </c>
      <c r="AA3" s="1677">
        <v>160</v>
      </c>
      <c r="AB3" s="1679">
        <v>90</v>
      </c>
      <c r="AC3" s="1680">
        <v>220</v>
      </c>
      <c r="AD3" s="1680">
        <v>180</v>
      </c>
      <c r="AE3" s="1680">
        <v>106</v>
      </c>
      <c r="AF3" s="1680" t="s">
        <v>24</v>
      </c>
      <c r="AG3" s="1681">
        <v>110</v>
      </c>
      <c r="AH3" s="1681">
        <v>65.650000000000006</v>
      </c>
      <c r="AI3" s="1681">
        <f t="shared" ref="AI3:AI15" si="1">AG3+AH3</f>
        <v>175.65</v>
      </c>
      <c r="AJ3" s="1682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65" t="s">
        <v>1060</v>
      </c>
      <c r="G4" s="862"/>
      <c r="H4" s="862"/>
      <c r="I4" s="862"/>
      <c r="J4" s="866"/>
      <c r="K4" s="42"/>
      <c r="L4" s="46" t="s">
        <v>69</v>
      </c>
      <c r="M4" s="300">
        <f>VLOOKUP(J3,P3:AI15,6)</f>
        <v>260</v>
      </c>
      <c r="N4" s="58"/>
      <c r="O4" s="58"/>
      <c r="P4" s="1677">
        <v>126</v>
      </c>
      <c r="Q4" s="1677">
        <v>895</v>
      </c>
      <c r="R4" s="1677">
        <v>250</v>
      </c>
      <c r="S4" s="1678">
        <f t="shared" si="0"/>
        <v>645</v>
      </c>
      <c r="T4" s="1678">
        <v>245</v>
      </c>
      <c r="U4" s="1678">
        <v>260</v>
      </c>
      <c r="V4" s="1677">
        <v>310</v>
      </c>
      <c r="W4" s="1677">
        <v>30</v>
      </c>
      <c r="X4" s="1678">
        <v>60</v>
      </c>
      <c r="Y4" s="1678">
        <v>65</v>
      </c>
      <c r="Z4" s="1677">
        <v>100</v>
      </c>
      <c r="AA4" s="1677">
        <v>170</v>
      </c>
      <c r="AB4" s="1679">
        <v>90</v>
      </c>
      <c r="AC4" s="1680">
        <v>220</v>
      </c>
      <c r="AD4" s="1680">
        <v>180</v>
      </c>
      <c r="AE4" s="1680">
        <v>110</v>
      </c>
      <c r="AF4" s="1680" t="s">
        <v>24</v>
      </c>
      <c r="AG4" s="1681">
        <f>AG3</f>
        <v>110</v>
      </c>
      <c r="AH4" s="1681">
        <f>AH3</f>
        <v>65.650000000000006</v>
      </c>
      <c r="AI4" s="1681">
        <f t="shared" si="1"/>
        <v>175.65</v>
      </c>
      <c r="AJ4" s="1681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67" t="s">
        <v>918</v>
      </c>
      <c r="G5" s="862"/>
      <c r="H5" s="862"/>
      <c r="I5" s="862"/>
      <c r="J5" s="866"/>
      <c r="K5" s="42"/>
      <c r="L5" s="41" t="s">
        <v>66</v>
      </c>
      <c r="M5" s="300">
        <f>VLOOKUP(J3,P3:AJ15,8)</f>
        <v>30</v>
      </c>
      <c r="N5" s="58"/>
      <c r="O5" s="58"/>
      <c r="P5" s="1680">
        <v>127</v>
      </c>
      <c r="Q5" s="1680">
        <v>1840</v>
      </c>
      <c r="R5" s="1680">
        <v>510</v>
      </c>
      <c r="S5" s="1678">
        <f t="shared" si="0"/>
        <v>1330</v>
      </c>
      <c r="T5" s="1678">
        <v>440</v>
      </c>
      <c r="U5" s="1678">
        <v>455</v>
      </c>
      <c r="V5" s="1680">
        <v>555</v>
      </c>
      <c r="W5" s="1680">
        <v>80</v>
      </c>
      <c r="X5" s="1678">
        <v>155</v>
      </c>
      <c r="Y5" s="1678">
        <v>165</v>
      </c>
      <c r="Z5" s="1680">
        <v>240</v>
      </c>
      <c r="AA5" s="1680">
        <v>340</v>
      </c>
      <c r="AB5" s="1679">
        <v>170</v>
      </c>
      <c r="AC5" s="1680">
        <v>540</v>
      </c>
      <c r="AD5" s="1680">
        <v>500</v>
      </c>
      <c r="AE5" s="1680">
        <v>234</v>
      </c>
      <c r="AF5" s="1680" t="s">
        <v>33</v>
      </c>
      <c r="AG5" s="1681">
        <v>874.6</v>
      </c>
      <c r="AH5" s="1681">
        <v>507.1</v>
      </c>
      <c r="AI5" s="1682">
        <f t="shared" si="1"/>
        <v>1381.7</v>
      </c>
      <c r="AJ5" s="1682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68">
        <v>10</v>
      </c>
      <c r="G6" s="282"/>
      <c r="H6" s="282"/>
      <c r="I6" s="282"/>
      <c r="J6" s="869"/>
      <c r="K6" s="42"/>
      <c r="L6" s="46" t="s">
        <v>67</v>
      </c>
      <c r="M6" s="300">
        <f>VLOOKUP(J3,P3:AJ15,9)</f>
        <v>60</v>
      </c>
      <c r="N6" s="58"/>
      <c r="O6" s="58"/>
      <c r="P6" s="1677">
        <v>128</v>
      </c>
      <c r="Q6" s="1677">
        <v>1670</v>
      </c>
      <c r="R6" s="1677">
        <v>420</v>
      </c>
      <c r="S6" s="1678">
        <f t="shared" si="0"/>
        <v>1250</v>
      </c>
      <c r="T6" s="1678">
        <v>425</v>
      </c>
      <c r="U6" s="1678">
        <v>440</v>
      </c>
      <c r="V6" s="1677">
        <v>520</v>
      </c>
      <c r="W6" s="1677">
        <v>45</v>
      </c>
      <c r="X6" s="1678">
        <v>90</v>
      </c>
      <c r="Y6" s="1678">
        <v>95</v>
      </c>
      <c r="Z6" s="1677">
        <v>155</v>
      </c>
      <c r="AA6" s="1677">
        <v>260</v>
      </c>
      <c r="AB6" s="1679">
        <v>145</v>
      </c>
      <c r="AC6" s="1680">
        <v>420</v>
      </c>
      <c r="AD6" s="1680">
        <v>420</v>
      </c>
      <c r="AE6" s="1680">
        <v>240</v>
      </c>
      <c r="AF6" s="1680" t="s">
        <v>24</v>
      </c>
      <c r="AG6" s="1681">
        <v>690</v>
      </c>
      <c r="AH6" s="1681">
        <v>489</v>
      </c>
      <c r="AI6" s="1681">
        <f t="shared" si="1"/>
        <v>1179</v>
      </c>
      <c r="AJ6" s="1682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305" t="s">
        <v>24</v>
      </c>
      <c r="G7" s="5"/>
      <c r="H7" s="69"/>
      <c r="I7" s="5" t="s">
        <v>14</v>
      </c>
      <c r="J7" s="148">
        <f>F8/F9</f>
        <v>1.1000000000000001</v>
      </c>
      <c r="K7" s="42"/>
      <c r="L7" s="41" t="s">
        <v>73</v>
      </c>
      <c r="M7" s="300">
        <f>VLOOKUP(J3,P3:AI15,10)</f>
        <v>65</v>
      </c>
      <c r="N7" s="58"/>
      <c r="O7" s="58"/>
      <c r="P7" s="1680">
        <v>129</v>
      </c>
      <c r="Q7" s="1680">
        <v>1170</v>
      </c>
      <c r="R7" s="1680">
        <v>320</v>
      </c>
      <c r="S7" s="1678">
        <f t="shared" si="0"/>
        <v>850</v>
      </c>
      <c r="T7" s="1678">
        <v>315</v>
      </c>
      <c r="U7" s="1678">
        <v>330</v>
      </c>
      <c r="V7" s="1680">
        <v>390</v>
      </c>
      <c r="W7" s="1680">
        <v>60</v>
      </c>
      <c r="X7" s="1678">
        <v>90</v>
      </c>
      <c r="Y7" s="1678">
        <v>100</v>
      </c>
      <c r="Z7" s="1680">
        <v>140</v>
      </c>
      <c r="AA7" s="1680">
        <v>220</v>
      </c>
      <c r="AB7" s="1679">
        <v>120</v>
      </c>
      <c r="AC7" s="1680">
        <v>290</v>
      </c>
      <c r="AD7" s="1680">
        <v>280</v>
      </c>
      <c r="AE7" s="1680">
        <v>164</v>
      </c>
      <c r="AF7" s="1680"/>
      <c r="AG7" s="1682">
        <v>1</v>
      </c>
      <c r="AH7" s="1682">
        <v>1</v>
      </c>
      <c r="AI7" s="1682">
        <f t="shared" si="1"/>
        <v>2</v>
      </c>
      <c r="AJ7" s="1682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873</v>
      </c>
      <c r="M8" s="873">
        <f>VLOOKUP(J3,P3:AI15,16)</f>
        <v>110</v>
      </c>
      <c r="N8" s="58"/>
      <c r="O8" s="58"/>
      <c r="P8" s="1680">
        <v>130</v>
      </c>
      <c r="Q8" s="1680">
        <v>1150</v>
      </c>
      <c r="R8" s="1680">
        <v>350</v>
      </c>
      <c r="S8" s="1678">
        <f t="shared" si="0"/>
        <v>800</v>
      </c>
      <c r="T8" s="1678">
        <v>300</v>
      </c>
      <c r="U8" s="1678">
        <v>310</v>
      </c>
      <c r="V8" s="1680">
        <v>390</v>
      </c>
      <c r="W8" s="1680">
        <v>15</v>
      </c>
      <c r="X8" s="1678">
        <v>95</v>
      </c>
      <c r="Y8" s="1678">
        <v>100</v>
      </c>
      <c r="Z8" s="1680">
        <v>115</v>
      </c>
      <c r="AA8" s="1680">
        <v>190</v>
      </c>
      <c r="AB8" s="1679">
        <v>120</v>
      </c>
      <c r="AC8" s="1680">
        <v>260</v>
      </c>
      <c r="AD8" s="1680">
        <v>255</v>
      </c>
      <c r="AE8" s="1680">
        <v>152.5</v>
      </c>
      <c r="AF8" s="1680" t="s">
        <v>24</v>
      </c>
      <c r="AG8" s="1681">
        <v>228</v>
      </c>
      <c r="AH8" s="1681">
        <v>160</v>
      </c>
      <c r="AI8" s="1682">
        <f t="shared" si="1"/>
        <v>388</v>
      </c>
      <c r="AJ8" s="1682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603</v>
      </c>
      <c r="M9" s="300">
        <f>VLOOKUP(J3,P3:AI15,4)</f>
        <v>645</v>
      </c>
      <c r="N9" s="58"/>
      <c r="O9" s="58"/>
      <c r="P9" s="1680">
        <v>131</v>
      </c>
      <c r="Q9" s="1680">
        <v>1075</v>
      </c>
      <c r="R9" s="1680">
        <v>330</v>
      </c>
      <c r="S9" s="1678">
        <f t="shared" si="0"/>
        <v>745</v>
      </c>
      <c r="T9" s="1678">
        <v>260</v>
      </c>
      <c r="U9" s="1678">
        <v>270</v>
      </c>
      <c r="V9" s="1680">
        <v>335</v>
      </c>
      <c r="W9" s="1680">
        <v>55</v>
      </c>
      <c r="X9" s="1678">
        <v>75</v>
      </c>
      <c r="Y9" s="1678">
        <v>85</v>
      </c>
      <c r="Z9" s="1680">
        <v>150</v>
      </c>
      <c r="AA9" s="1680">
        <v>220</v>
      </c>
      <c r="AB9" s="1679">
        <v>100</v>
      </c>
      <c r="AC9" s="1680">
        <v>260</v>
      </c>
      <c r="AD9" s="1680">
        <v>230</v>
      </c>
      <c r="AE9" s="1680">
        <v>129</v>
      </c>
      <c r="AF9" s="1680" t="s">
        <v>24</v>
      </c>
      <c r="AG9" s="1681">
        <v>170</v>
      </c>
      <c r="AH9" s="1681">
        <v>121.22</v>
      </c>
      <c r="AI9" s="1682">
        <f t="shared" si="1"/>
        <v>291.22000000000003</v>
      </c>
      <c r="AJ9" s="1682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8" t="s">
        <v>71</v>
      </c>
      <c r="M10" s="300"/>
      <c r="N10" s="58"/>
      <c r="O10" s="58"/>
      <c r="P10" s="1680">
        <v>132</v>
      </c>
      <c r="Q10" s="1680">
        <v>1045</v>
      </c>
      <c r="R10" s="1680">
        <v>330</v>
      </c>
      <c r="S10" s="1678">
        <f t="shared" si="0"/>
        <v>715</v>
      </c>
      <c r="T10" s="1678">
        <v>325</v>
      </c>
      <c r="U10" s="1678">
        <v>340</v>
      </c>
      <c r="V10" s="1680">
        <v>410</v>
      </c>
      <c r="W10" s="1680">
        <v>75</v>
      </c>
      <c r="X10" s="1678">
        <v>105</v>
      </c>
      <c r="Y10" s="1678">
        <v>105</v>
      </c>
      <c r="Z10" s="1680">
        <v>180</v>
      </c>
      <c r="AA10" s="1680">
        <v>240</v>
      </c>
      <c r="AB10" s="1679">
        <v>125</v>
      </c>
      <c r="AC10" s="1680">
        <v>175</v>
      </c>
      <c r="AD10" s="1680">
        <v>160</v>
      </c>
      <c r="AE10" s="1680"/>
      <c r="AF10" s="1680"/>
      <c r="AG10" s="1682">
        <v>1</v>
      </c>
      <c r="AH10" s="1682">
        <v>1</v>
      </c>
      <c r="AI10" s="1682">
        <f t="shared" si="1"/>
        <v>2</v>
      </c>
      <c r="AJ10" s="1682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604</v>
      </c>
      <c r="M11" s="300">
        <f>VLOOKUP(J3,P3:AJ15,11)</f>
        <v>100</v>
      </c>
      <c r="N11" s="58"/>
      <c r="O11" s="58"/>
      <c r="P11" s="1680">
        <v>133</v>
      </c>
      <c r="Q11" s="1680">
        <v>1350</v>
      </c>
      <c r="R11" s="1680">
        <v>370</v>
      </c>
      <c r="S11" s="1678">
        <f t="shared" si="0"/>
        <v>980</v>
      </c>
      <c r="T11" s="1678">
        <v>340</v>
      </c>
      <c r="U11" s="1678">
        <v>355</v>
      </c>
      <c r="V11" s="1680">
        <v>420</v>
      </c>
      <c r="W11" s="1680">
        <v>65</v>
      </c>
      <c r="X11" s="1678">
        <v>110</v>
      </c>
      <c r="Y11" s="1678">
        <v>115</v>
      </c>
      <c r="Z11" s="1680">
        <v>160</v>
      </c>
      <c r="AA11" s="1680">
        <v>250</v>
      </c>
      <c r="AB11" s="1679">
        <v>140</v>
      </c>
      <c r="AC11" s="1680">
        <v>350</v>
      </c>
      <c r="AD11" s="1680">
        <v>300</v>
      </c>
      <c r="AE11" s="1680">
        <v>197.5</v>
      </c>
      <c r="AF11" s="1680" t="s">
        <v>24</v>
      </c>
      <c r="AG11" s="1682">
        <v>385.9</v>
      </c>
      <c r="AH11" s="1682">
        <v>214.2</v>
      </c>
      <c r="AI11" s="1682">
        <f t="shared" si="1"/>
        <v>600.09999999999991</v>
      </c>
      <c r="AJ11" s="1682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605</v>
      </c>
      <c r="M12" s="300">
        <f>VLOOKUP(J3,P3:AI15,12)</f>
        <v>170</v>
      </c>
      <c r="N12" s="58"/>
      <c r="O12" s="58"/>
      <c r="P12" s="1680">
        <v>134</v>
      </c>
      <c r="Q12" s="1680">
        <v>1450</v>
      </c>
      <c r="R12" s="1680">
        <v>390</v>
      </c>
      <c r="S12" s="1678">
        <f t="shared" si="0"/>
        <v>1060</v>
      </c>
      <c r="T12" s="1678">
        <v>355</v>
      </c>
      <c r="U12" s="1678">
        <v>380</v>
      </c>
      <c r="V12" s="1680">
        <v>450</v>
      </c>
      <c r="W12" s="1680">
        <v>83</v>
      </c>
      <c r="X12" s="1678">
        <v>170</v>
      </c>
      <c r="Y12" s="1678">
        <v>190</v>
      </c>
      <c r="Z12" s="1680">
        <v>180</v>
      </c>
      <c r="AA12" s="1680">
        <v>260</v>
      </c>
      <c r="AB12" s="1679">
        <v>150</v>
      </c>
      <c r="AC12" s="1680">
        <v>350</v>
      </c>
      <c r="AD12" s="1680">
        <v>320</v>
      </c>
      <c r="AE12" s="1680">
        <v>202.5</v>
      </c>
      <c r="AF12" s="1680" t="s">
        <v>24</v>
      </c>
      <c r="AG12" s="1681">
        <v>438.3</v>
      </c>
      <c r="AH12" s="1681">
        <v>246.3</v>
      </c>
      <c r="AI12" s="1681">
        <f t="shared" si="1"/>
        <v>684.6</v>
      </c>
      <c r="AJ12" s="1682">
        <f t="shared" si="2"/>
        <v>711.98400000000004</v>
      </c>
    </row>
    <row r="13" spans="2:36" ht="16.2" thickBot="1" x14ac:dyDescent="0.35">
      <c r="B13" s="19"/>
      <c r="C13" s="20"/>
      <c r="D13" s="306"/>
      <c r="E13" s="307"/>
      <c r="F13" s="308"/>
      <c r="G13" s="20"/>
      <c r="H13" s="20"/>
      <c r="I13" s="135"/>
      <c r="J13" s="70"/>
      <c r="K13" s="42"/>
      <c r="L13" s="41" t="s">
        <v>74</v>
      </c>
      <c r="M13" s="300">
        <f>VLOOKUP(J3,P3:AI15,7)</f>
        <v>310</v>
      </c>
      <c r="N13" s="58"/>
      <c r="O13" s="58"/>
      <c r="P13" s="1680">
        <v>135</v>
      </c>
      <c r="Q13" s="1680">
        <v>1350</v>
      </c>
      <c r="R13" s="1680">
        <v>380</v>
      </c>
      <c r="S13" s="1678">
        <f t="shared" si="0"/>
        <v>970</v>
      </c>
      <c r="T13" s="1678">
        <v>340</v>
      </c>
      <c r="U13" s="1678">
        <v>360</v>
      </c>
      <c r="V13" s="1680">
        <v>430</v>
      </c>
      <c r="W13" s="1680">
        <v>63</v>
      </c>
      <c r="X13" s="1678">
        <v>108</v>
      </c>
      <c r="Y13" s="1678">
        <v>118</v>
      </c>
      <c r="Z13" s="1680">
        <v>158</v>
      </c>
      <c r="AA13" s="1680">
        <v>248</v>
      </c>
      <c r="AB13" s="1679">
        <v>130</v>
      </c>
      <c r="AC13" s="1680">
        <v>350</v>
      </c>
      <c r="AD13" s="1680">
        <v>320</v>
      </c>
      <c r="AE13" s="1680">
        <v>168</v>
      </c>
      <c r="AF13" s="1680" t="s">
        <v>24</v>
      </c>
      <c r="AG13" s="1682">
        <v>349</v>
      </c>
      <c r="AH13" s="1682">
        <v>209.7</v>
      </c>
      <c r="AI13" s="1682">
        <f t="shared" si="1"/>
        <v>558.70000000000005</v>
      </c>
      <c r="AJ13" s="1682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300">
        <f>VLOOKUP(J3,P3:AI15,3)</f>
        <v>250</v>
      </c>
      <c r="N14" s="58"/>
      <c r="O14" s="58"/>
      <c r="P14" s="1680">
        <v>136</v>
      </c>
      <c r="Q14" s="1680">
        <v>1280</v>
      </c>
      <c r="R14" s="1680">
        <v>380</v>
      </c>
      <c r="S14" s="1678">
        <f t="shared" si="0"/>
        <v>900</v>
      </c>
      <c r="T14" s="1678">
        <v>405</v>
      </c>
      <c r="U14" s="1678">
        <v>420</v>
      </c>
      <c r="V14" s="1680">
        <v>500</v>
      </c>
      <c r="W14" s="1680">
        <v>35</v>
      </c>
      <c r="X14" s="1678">
        <v>65</v>
      </c>
      <c r="Y14" s="1678">
        <v>75</v>
      </c>
      <c r="Z14" s="1680">
        <v>130</v>
      </c>
      <c r="AA14" s="1680">
        <v>200</v>
      </c>
      <c r="AB14" s="1679">
        <v>130</v>
      </c>
      <c r="AC14" s="1680">
        <v>310</v>
      </c>
      <c r="AD14" s="1680">
        <v>250</v>
      </c>
      <c r="AE14" s="1680">
        <v>164</v>
      </c>
      <c r="AF14" s="1680" t="s">
        <v>24</v>
      </c>
      <c r="AG14" s="1681">
        <v>329</v>
      </c>
      <c r="AH14" s="1681">
        <v>213</v>
      </c>
      <c r="AI14" s="1682">
        <f t="shared" si="1"/>
        <v>542</v>
      </c>
      <c r="AJ14" s="1682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02" t="s">
        <v>606</v>
      </c>
      <c r="I15" s="2102"/>
      <c r="J15" s="2103"/>
      <c r="K15" s="42"/>
      <c r="L15" s="139" t="s">
        <v>9</v>
      </c>
      <c r="M15" s="301">
        <f>VLOOKUP(F7,Данные!A3:I27,9,FALSE())</f>
        <v>7.5</v>
      </c>
      <c r="N15" s="58"/>
      <c r="O15" s="58"/>
      <c r="P15" s="1680">
        <v>137</v>
      </c>
      <c r="Q15" s="1680">
        <v>1770</v>
      </c>
      <c r="R15" s="1680">
        <v>470</v>
      </c>
      <c r="S15" s="1678">
        <f t="shared" si="0"/>
        <v>1300</v>
      </c>
      <c r="T15" s="1678">
        <v>480</v>
      </c>
      <c r="U15" s="1678">
        <v>500</v>
      </c>
      <c r="V15" s="1680">
        <v>555</v>
      </c>
      <c r="W15" s="1680">
        <v>100</v>
      </c>
      <c r="X15" s="1678">
        <v>160</v>
      </c>
      <c r="Y15" s="1678">
        <v>170</v>
      </c>
      <c r="Z15" s="1680">
        <v>310</v>
      </c>
      <c r="AA15" s="1680">
        <v>430</v>
      </c>
      <c r="AB15" s="1679">
        <v>160</v>
      </c>
      <c r="AC15" s="1680">
        <v>400</v>
      </c>
      <c r="AD15" s="1680">
        <v>400</v>
      </c>
      <c r="AE15" s="1680">
        <v>177.5</v>
      </c>
      <c r="AF15" s="1680" t="s">
        <v>24</v>
      </c>
      <c r="AG15" s="1681">
        <v>937.6</v>
      </c>
      <c r="AH15" s="1681">
        <v>563.4</v>
      </c>
      <c r="AI15" s="1682">
        <f t="shared" si="1"/>
        <v>1501</v>
      </c>
      <c r="AJ15" s="1682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45"/>
      <c r="I16" s="346" t="s">
        <v>607</v>
      </c>
      <c r="J16" s="347" t="s">
        <v>608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401</v>
      </c>
      <c r="I17" s="309">
        <f>M3</f>
        <v>245</v>
      </c>
      <c r="J17" s="310">
        <f>ROUND(I17*0.985,0)</f>
        <v>241</v>
      </c>
      <c r="K17" s="42"/>
      <c r="L17" s="110" t="s">
        <v>286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596</v>
      </c>
      <c r="I18" s="309">
        <f>M5</f>
        <v>30</v>
      </c>
      <c r="J18" s="310">
        <f>ROUND(I18*0.985,0)</f>
        <v>30</v>
      </c>
      <c r="K18" s="42"/>
      <c r="L18" s="298"/>
      <c r="M18" s="298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872</v>
      </c>
      <c r="I19" s="874">
        <f>M8</f>
        <v>110</v>
      </c>
      <c r="J19" s="310">
        <f>ROUND(I19*0.985,0)</f>
        <v>108</v>
      </c>
      <c r="K19" s="42"/>
      <c r="L19" s="76" t="s">
        <v>262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141</v>
      </c>
      <c r="I20" s="309">
        <f>M9</f>
        <v>645</v>
      </c>
      <c r="J20" s="310">
        <f>ROUND(I20*0.985,0)</f>
        <v>635</v>
      </c>
      <c r="K20" s="42"/>
      <c r="L20" s="303"/>
      <c r="M20" s="304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46" t="s">
        <v>609</v>
      </c>
      <c r="I21" s="346"/>
      <c r="J21" s="348"/>
      <c r="K21" s="42"/>
      <c r="L21" s="304"/>
      <c r="M21" s="304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599</v>
      </c>
      <c r="I22" s="309">
        <f>M12</f>
        <v>170</v>
      </c>
      <c r="J22" s="310">
        <f>ROUND(I22*0.985,0)</f>
        <v>167</v>
      </c>
      <c r="K22" s="42"/>
      <c r="L22" s="2104" t="s">
        <v>312</v>
      </c>
      <c r="M22" s="2104"/>
      <c r="N22" s="2104"/>
      <c r="O22" s="2104"/>
      <c r="P22" s="2104"/>
      <c r="Q22" s="870"/>
    </row>
    <row r="23" spans="2:35" ht="15.6" x14ac:dyDescent="0.3">
      <c r="B23" s="4"/>
      <c r="C23" s="32"/>
      <c r="D23" s="57"/>
      <c r="E23" s="33"/>
      <c r="F23" s="53"/>
      <c r="G23" s="53"/>
      <c r="H23" s="56" t="s">
        <v>595</v>
      </c>
      <c r="I23" s="309">
        <f>M13</f>
        <v>310</v>
      </c>
      <c r="J23" s="310">
        <f>ROUND(I23*0.985,0)</f>
        <v>305</v>
      </c>
      <c r="K23" s="42"/>
      <c r="L23" s="2105" t="s">
        <v>319</v>
      </c>
      <c r="M23" s="2105"/>
      <c r="N23" s="2105"/>
      <c r="O23" s="2105"/>
      <c r="P23" s="2105"/>
      <c r="Q23" s="871"/>
    </row>
    <row r="24" spans="2:35" ht="15.6" x14ac:dyDescent="0.3">
      <c r="B24" s="4"/>
      <c r="C24" s="57"/>
      <c r="D24" s="53"/>
      <c r="E24" s="25"/>
      <c r="F24" s="30"/>
      <c r="G24" s="53"/>
      <c r="H24" s="56" t="s">
        <v>594</v>
      </c>
      <c r="I24" s="309">
        <f>M14</f>
        <v>250</v>
      </c>
      <c r="J24" s="310">
        <f>ROUND(I24*0.985,0)</f>
        <v>246</v>
      </c>
      <c r="K24" s="42"/>
      <c r="L24" s="2106" t="s">
        <v>320</v>
      </c>
      <c r="M24" s="2106"/>
      <c r="N24" s="2106"/>
      <c r="O24" s="2106"/>
      <c r="P24" s="2106"/>
      <c r="Q24" s="872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3"/>
      <c r="O26" s="113"/>
      <c r="P26" s="113"/>
      <c r="Q26" s="113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81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303"/>
      <c r="M33" s="304"/>
      <c r="N33" s="58"/>
      <c r="O33" s="42"/>
      <c r="P33" s="42"/>
    </row>
    <row r="34" spans="2:16" ht="16.2" thickBot="1" x14ac:dyDescent="0.35">
      <c r="B34" s="19"/>
      <c r="C34" s="63"/>
      <c r="D34" s="20"/>
      <c r="E34" s="282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251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737</v>
      </c>
      <c r="D38" s="53"/>
      <c r="E38" s="53"/>
      <c r="F38" s="344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372</v>
      </c>
      <c r="D39" s="42"/>
      <c r="E39" s="42"/>
      <c r="F39" s="43" t="s">
        <v>373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549"/>
      <c r="C44" s="1550" t="s">
        <v>60</v>
      </c>
      <c r="D44" s="1551"/>
      <c r="E44" s="1385" t="s">
        <v>61</v>
      </c>
      <c r="F44" s="1385" t="s">
        <v>60</v>
      </c>
      <c r="G44" s="2004" t="s">
        <v>62</v>
      </c>
      <c r="H44" s="2006"/>
      <c r="I44" s="1998" t="s">
        <v>930</v>
      </c>
      <c r="J44" s="1999"/>
      <c r="K44" s="42"/>
      <c r="L44" s="42"/>
      <c r="M44" s="42"/>
      <c r="N44" s="42"/>
      <c r="O44" s="42"/>
      <c r="P44" s="42"/>
    </row>
    <row r="45" spans="2:16" ht="15" thickBot="1" x14ac:dyDescent="0.35">
      <c r="B45" s="2101">
        <f ca="1">TODAY()</f>
        <v>45497</v>
      </c>
      <c r="C45" s="2101"/>
      <c r="D45" s="1552"/>
      <c r="E45" s="1555" t="s">
        <v>252</v>
      </c>
      <c r="F45" s="1555"/>
      <c r="G45" s="1998" t="s">
        <v>253</v>
      </c>
      <c r="H45" s="1999"/>
      <c r="I45" s="2004" t="s">
        <v>252</v>
      </c>
      <c r="J45" s="2006"/>
      <c r="K45" s="42"/>
      <c r="L45" s="42"/>
      <c r="M45" s="42"/>
      <c r="N45" s="42"/>
      <c r="O45" s="42"/>
      <c r="P45" s="42"/>
    </row>
    <row r="46" spans="2:16" ht="15" thickBot="1" x14ac:dyDescent="0.35">
      <c r="B46" s="1553"/>
      <c r="C46" s="1554" t="s">
        <v>63</v>
      </c>
      <c r="D46" s="1552"/>
      <c r="E46" s="1556"/>
      <c r="F46" s="1557"/>
      <c r="G46" s="1558"/>
      <c r="H46" s="1559"/>
      <c r="I46" s="1558"/>
      <c r="J46" s="1534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94"/>
      <c r="D48" s="295"/>
      <c r="E48" s="93" t="s">
        <v>277</v>
      </c>
      <c r="F48" s="94" t="s">
        <v>278</v>
      </c>
      <c r="G48" s="93" t="s">
        <v>278</v>
      </c>
      <c r="H48" s="93" t="s">
        <v>279</v>
      </c>
      <c r="I48" s="90" t="s">
        <v>280</v>
      </c>
      <c r="J48" s="295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96" t="s">
        <v>281</v>
      </c>
      <c r="D49" s="297"/>
      <c r="E49" s="97" t="s">
        <v>282</v>
      </c>
      <c r="F49" s="97" t="s">
        <v>283</v>
      </c>
      <c r="G49" s="97" t="s">
        <v>284</v>
      </c>
      <c r="H49" s="97"/>
      <c r="I49" s="98" t="s">
        <v>285</v>
      </c>
      <c r="J49" s="297"/>
      <c r="K49" s="42"/>
      <c r="L49" s="113"/>
      <c r="M49" s="42"/>
      <c r="N49" s="42"/>
      <c r="O49" s="42"/>
      <c r="P49" s="42"/>
    </row>
    <row r="50" spans="1:23" ht="15" thickBot="1" x14ac:dyDescent="0.35">
      <c r="B50" s="95"/>
      <c r="C50" s="296" t="s">
        <v>351</v>
      </c>
      <c r="D50" s="296"/>
      <c r="E50" s="158">
        <v>40</v>
      </c>
      <c r="F50" s="159">
        <v>1</v>
      </c>
      <c r="G50" s="158">
        <v>20</v>
      </c>
      <c r="H50" s="158">
        <v>3</v>
      </c>
      <c r="I50" s="1989">
        <f>ROUND(700*700*(I24+I20)/1000000*2.045*2.3/1000,3)</f>
        <v>2.0630000000000002</v>
      </c>
      <c r="J50" s="1990"/>
      <c r="K50" s="42"/>
      <c r="L50" s="113"/>
      <c r="M50" s="42"/>
      <c r="N50" s="42"/>
      <c r="O50" s="42"/>
      <c r="P50" s="42"/>
    </row>
    <row r="51" spans="1:23" x14ac:dyDescent="0.3">
      <c r="K51" s="42"/>
      <c r="L51" s="113"/>
      <c r="M51" s="42"/>
      <c r="N51" s="42"/>
      <c r="O51" s="42"/>
      <c r="P51" s="42"/>
    </row>
    <row r="52" spans="1:23" x14ac:dyDescent="0.3">
      <c r="K52" s="42"/>
      <c r="L52" s="58"/>
      <c r="M52" s="113"/>
      <c r="N52" s="113"/>
      <c r="O52" s="42"/>
      <c r="P52" s="42"/>
    </row>
    <row r="53" spans="1:23" s="42" customFormat="1" x14ac:dyDescent="0.3">
      <c r="A53" s="113"/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58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</row>
    <row r="54" spans="1:23" s="42" customFormat="1" x14ac:dyDescent="0.3">
      <c r="A54" s="113"/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58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</row>
    <row r="55" spans="1:23" x14ac:dyDescent="0.3">
      <c r="A55" s="113"/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</row>
    <row r="56" spans="1:23" hidden="1" x14ac:dyDescent="0.3">
      <c r="A56" s="113"/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</row>
    <row r="57" spans="1:23" ht="15.6" hidden="1" customHeight="1" x14ac:dyDescent="0.3">
      <c r="A57" s="113"/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</row>
    <row r="58" spans="1:23" hidden="1" x14ac:dyDescent="0.3">
      <c r="A58" s="113"/>
      <c r="B58" s="113" t="s">
        <v>591</v>
      </c>
      <c r="C58" s="113" t="s">
        <v>593</v>
      </c>
      <c r="D58" s="113" t="s">
        <v>594</v>
      </c>
      <c r="E58" s="113" t="s">
        <v>177</v>
      </c>
      <c r="F58" s="113" t="s">
        <v>401</v>
      </c>
      <c r="G58" s="113" t="s">
        <v>592</v>
      </c>
      <c r="H58" s="113" t="s">
        <v>595</v>
      </c>
      <c r="I58" s="113" t="s">
        <v>596</v>
      </c>
      <c r="J58" s="113" t="s">
        <v>317</v>
      </c>
      <c r="K58" s="113" t="s">
        <v>597</v>
      </c>
      <c r="L58" s="113" t="s">
        <v>598</v>
      </c>
      <c r="M58" s="113" t="s">
        <v>599</v>
      </c>
      <c r="N58" s="113" t="s">
        <v>600</v>
      </c>
      <c r="O58" s="113" t="s">
        <v>601</v>
      </c>
      <c r="P58" s="113" t="s">
        <v>602</v>
      </c>
      <c r="Q58" s="113"/>
      <c r="R58" s="113" t="s">
        <v>2</v>
      </c>
      <c r="S58" s="113"/>
      <c r="T58" s="113"/>
      <c r="U58" s="113"/>
      <c r="V58" s="113"/>
      <c r="W58" s="113"/>
    </row>
    <row r="59" spans="1:23" hidden="1" x14ac:dyDescent="0.3">
      <c r="A59" s="113"/>
      <c r="B59" s="113">
        <v>1</v>
      </c>
      <c r="C59" s="113">
        <v>2</v>
      </c>
      <c r="D59" s="113">
        <v>3</v>
      </c>
      <c r="E59" s="113">
        <v>4</v>
      </c>
      <c r="F59" s="113">
        <v>5</v>
      </c>
      <c r="G59" s="113">
        <v>6</v>
      </c>
      <c r="H59" s="113">
        <v>7</v>
      </c>
      <c r="I59" s="113">
        <v>8</v>
      </c>
      <c r="J59" s="113">
        <v>9</v>
      </c>
      <c r="K59" s="113">
        <v>10</v>
      </c>
      <c r="L59" s="113">
        <v>11</v>
      </c>
      <c r="M59" s="113">
        <v>12</v>
      </c>
      <c r="N59" s="113">
        <v>13</v>
      </c>
      <c r="O59" s="113">
        <v>14</v>
      </c>
      <c r="P59" s="113">
        <v>15</v>
      </c>
      <c r="Q59" s="113"/>
      <c r="R59" s="113">
        <v>16</v>
      </c>
      <c r="S59" s="113"/>
      <c r="T59" s="113"/>
      <c r="U59" s="113"/>
      <c r="V59" s="113"/>
      <c r="W59" s="113"/>
    </row>
    <row r="60" spans="1:23" x14ac:dyDescent="0.3">
      <c r="W60" s="113"/>
    </row>
    <row r="61" spans="1:23" x14ac:dyDescent="0.3">
      <c r="W61" s="113"/>
    </row>
    <row r="62" spans="1:23" x14ac:dyDescent="0.3">
      <c r="W62" s="113"/>
    </row>
    <row r="63" spans="1:23" x14ac:dyDescent="0.3">
      <c r="W63" s="113"/>
    </row>
    <row r="64" spans="1:23" x14ac:dyDescent="0.3">
      <c r="W64" s="113"/>
    </row>
    <row r="65" spans="1:23" x14ac:dyDescent="0.3">
      <c r="W65" s="113"/>
    </row>
    <row r="66" spans="1:23" x14ac:dyDescent="0.3">
      <c r="W66" s="113"/>
    </row>
    <row r="67" spans="1:23" x14ac:dyDescent="0.3">
      <c r="W67" s="113"/>
    </row>
    <row r="68" spans="1:23" x14ac:dyDescent="0.3">
      <c r="W68" s="113"/>
    </row>
    <row r="69" spans="1:23" x14ac:dyDescent="0.3">
      <c r="W69" s="113"/>
    </row>
    <row r="70" spans="1:23" x14ac:dyDescent="0.3">
      <c r="W70" s="113"/>
    </row>
    <row r="71" spans="1:23" x14ac:dyDescent="0.3">
      <c r="W71" s="113"/>
    </row>
    <row r="72" spans="1:23" x14ac:dyDescent="0.3">
      <c r="W72" s="113"/>
    </row>
    <row r="73" spans="1:23" x14ac:dyDescent="0.3">
      <c r="W73" s="113"/>
    </row>
    <row r="74" spans="1:23" x14ac:dyDescent="0.3">
      <c r="W74" s="113"/>
    </row>
    <row r="75" spans="1:23" x14ac:dyDescent="0.3">
      <c r="W75" s="113"/>
    </row>
    <row r="76" spans="1:23" x14ac:dyDescent="0.3">
      <c r="W76" s="113"/>
    </row>
    <row r="77" spans="1:23" x14ac:dyDescent="0.3">
      <c r="A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</row>
    <row r="78" spans="1:23" x14ac:dyDescent="0.3">
      <c r="A78" s="113"/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</row>
    <row r="79" spans="1:23" x14ac:dyDescent="0.3">
      <c r="A79" s="113"/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</row>
    <row r="80" spans="1:23" x14ac:dyDescent="0.3">
      <c r="A80" s="113"/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</row>
    <row r="81" spans="1:23" x14ac:dyDescent="0.3">
      <c r="A81" s="113"/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</row>
    <row r="82" spans="1:23" x14ac:dyDescent="0.3">
      <c r="A82" s="113"/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6" zoomScale="55" zoomScaleNormal="55" workbookViewId="0">
      <selection activeCell="AB53" sqref="AB53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1024" customWidth="1"/>
    <col min="13" max="13" width="4.109375" style="1024" customWidth="1"/>
    <col min="14" max="14" width="11.44140625" style="1024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2"/>
      <c r="Q1" s="42"/>
      <c r="R1" s="42"/>
      <c r="S1" s="42"/>
      <c r="T1" s="42"/>
      <c r="U1" s="42"/>
      <c r="W1" s="42"/>
      <c r="X1" s="42"/>
      <c r="Y1" s="42"/>
      <c r="AA1" s="770" t="s">
        <v>264</v>
      </c>
      <c r="AC1" s="770" t="s">
        <v>328</v>
      </c>
    </row>
    <row r="2" spans="1:57" ht="15.6" x14ac:dyDescent="0.3">
      <c r="C2" s="1057" t="s">
        <v>961</v>
      </c>
      <c r="E2" s="1058" t="s">
        <v>962</v>
      </c>
      <c r="Q2" s="395" t="s">
        <v>657</v>
      </c>
      <c r="Z2" s="352"/>
      <c r="AA2" s="2120" t="s">
        <v>647</v>
      </c>
      <c r="AB2" s="2120"/>
      <c r="AC2" s="2120"/>
      <c r="AE2" s="395" t="s">
        <v>653</v>
      </c>
      <c r="AF2" s="394"/>
      <c r="AG2" s="394"/>
      <c r="AI2" s="42"/>
      <c r="AJ2" s="42"/>
      <c r="AK2" s="395"/>
      <c r="AL2" s="394"/>
      <c r="AM2" s="394"/>
      <c r="AN2" s="394"/>
      <c r="AP2" s="394"/>
      <c r="AQ2" s="761"/>
      <c r="AS2" s="395" t="s">
        <v>655</v>
      </c>
      <c r="AT2" s="394"/>
      <c r="AU2" s="394"/>
      <c r="AV2" s="42"/>
      <c r="AW2" s="42"/>
      <c r="AX2" s="42"/>
      <c r="AY2" s="395"/>
      <c r="AZ2" s="394"/>
      <c r="BA2" s="394"/>
      <c r="BB2" s="394"/>
      <c r="BC2" s="42"/>
      <c r="BD2" s="394"/>
      <c r="BE2" s="394"/>
    </row>
    <row r="3" spans="1:57" ht="15" thickBot="1" x14ac:dyDescent="0.35">
      <c r="H3" s="287"/>
      <c r="J3" s="353" t="s">
        <v>634</v>
      </c>
      <c r="P3" s="352"/>
      <c r="Q3" s="352"/>
      <c r="R3" s="352"/>
      <c r="S3" s="352"/>
      <c r="T3" s="352"/>
      <c r="U3" s="352"/>
      <c r="V3" s="352"/>
      <c r="W3" s="352"/>
      <c r="X3" s="42"/>
      <c r="Y3" s="353" t="s">
        <v>634</v>
      </c>
      <c r="Z3" s="57"/>
      <c r="AA3" s="42"/>
      <c r="AB3" s="42"/>
      <c r="AC3" s="42"/>
      <c r="AE3" s="352"/>
      <c r="AF3" s="352"/>
      <c r="AG3" s="352"/>
      <c r="AH3" s="352"/>
      <c r="AI3" s="352"/>
      <c r="AJ3" s="352"/>
      <c r="AK3" s="352"/>
      <c r="AL3" s="42"/>
      <c r="AM3" s="353" t="s">
        <v>634</v>
      </c>
      <c r="AN3" s="352"/>
      <c r="AO3" s="352"/>
      <c r="AP3" s="352"/>
      <c r="AQ3" s="42"/>
      <c r="AS3" s="352"/>
      <c r="AT3" s="352"/>
      <c r="AU3" s="352"/>
      <c r="AV3" s="352"/>
      <c r="AW3" s="352"/>
      <c r="AX3" s="352"/>
      <c r="AY3" s="352"/>
      <c r="AZ3" s="42"/>
      <c r="BA3" s="353" t="s">
        <v>634</v>
      </c>
      <c r="BB3" s="352"/>
      <c r="BC3" s="352"/>
      <c r="BD3" s="352"/>
      <c r="BE3" s="42"/>
    </row>
    <row r="4" spans="1:57" ht="15" thickBot="1" x14ac:dyDescent="0.35">
      <c r="B4" s="1"/>
      <c r="C4" s="2121" t="s">
        <v>0</v>
      </c>
      <c r="D4" s="2121"/>
      <c r="E4" s="2121"/>
      <c r="F4" s="2121"/>
      <c r="G4" s="2121"/>
      <c r="H4" s="2"/>
      <c r="I4" s="2"/>
      <c r="J4" s="1005" t="s">
        <v>878</v>
      </c>
      <c r="K4" s="57"/>
      <c r="L4" s="1033" t="s">
        <v>635</v>
      </c>
      <c r="M4" s="1045"/>
      <c r="N4" s="1034" t="s">
        <v>635</v>
      </c>
      <c r="P4" s="1"/>
      <c r="Q4" s="2121" t="s">
        <v>0</v>
      </c>
      <c r="R4" s="2121"/>
      <c r="S4" s="2121"/>
      <c r="T4" s="2121"/>
      <c r="U4" s="2121"/>
      <c r="V4" s="1006"/>
      <c r="W4" s="2"/>
      <c r="X4" s="2"/>
      <c r="Y4" s="1005" t="s">
        <v>878</v>
      </c>
      <c r="Z4" s="314"/>
      <c r="AA4" s="1022" t="s">
        <v>635</v>
      </c>
      <c r="AB4" s="412"/>
      <c r="AC4" s="999" t="s">
        <v>635</v>
      </c>
      <c r="AE4" s="1"/>
      <c r="AF4" s="2121" t="s">
        <v>0</v>
      </c>
      <c r="AG4" s="2121"/>
      <c r="AH4" s="2121"/>
      <c r="AI4" s="2121"/>
      <c r="AJ4" s="2121"/>
      <c r="AK4" s="2"/>
      <c r="AL4" s="2"/>
      <c r="AM4" s="78" t="s">
        <v>878</v>
      </c>
      <c r="AN4" s="57"/>
      <c r="AO4" s="418" t="s">
        <v>635</v>
      </c>
      <c r="AP4" s="419"/>
      <c r="AQ4" s="448" t="s">
        <v>635</v>
      </c>
      <c r="AS4" s="1"/>
      <c r="AT4" s="2121" t="s">
        <v>0</v>
      </c>
      <c r="AU4" s="2121"/>
      <c r="AV4" s="2121"/>
      <c r="AW4" s="2121"/>
      <c r="AX4" s="2121"/>
      <c r="AY4" s="2"/>
      <c r="AZ4" s="2"/>
      <c r="BA4" s="78" t="s">
        <v>878</v>
      </c>
      <c r="BB4" s="57"/>
      <c r="BC4" s="418" t="s">
        <v>635</v>
      </c>
      <c r="BD4" s="419"/>
      <c r="BE4" s="420" t="s">
        <v>635</v>
      </c>
    </row>
    <row r="5" spans="1:57" ht="15" thickBot="1" x14ac:dyDescent="0.35">
      <c r="B5" s="4"/>
      <c r="C5" s="69" t="s">
        <v>1</v>
      </c>
      <c r="D5" s="69"/>
      <c r="E5" s="69"/>
      <c r="G5" s="402" t="s">
        <v>971</v>
      </c>
      <c r="H5" s="354"/>
      <c r="I5" s="354"/>
      <c r="J5" s="8"/>
      <c r="K5" s="314"/>
      <c r="L5" s="1035" t="s">
        <v>636</v>
      </c>
      <c r="M5" s="1046"/>
      <c r="N5" s="1036" t="s">
        <v>637</v>
      </c>
      <c r="P5" s="4"/>
      <c r="Q5" s="69" t="s">
        <v>1</v>
      </c>
      <c r="R5" s="69"/>
      <c r="S5" s="69"/>
      <c r="T5" s="42"/>
      <c r="U5" s="7" t="s">
        <v>1120</v>
      </c>
      <c r="V5" s="411"/>
      <c r="W5" s="354"/>
      <c r="X5" s="354"/>
      <c r="Y5" s="8"/>
      <c r="Z5" s="4"/>
      <c r="AA5" s="1023" t="s">
        <v>636</v>
      </c>
      <c r="AB5" s="413"/>
      <c r="AC5" s="1000" t="s">
        <v>637</v>
      </c>
      <c r="AE5" s="4"/>
      <c r="AF5" s="69" t="s">
        <v>1</v>
      </c>
      <c r="AG5" s="69"/>
      <c r="AH5" s="69"/>
      <c r="AI5" s="42"/>
      <c r="AJ5" s="402" t="s">
        <v>1008</v>
      </c>
      <c r="AK5" s="354"/>
      <c r="AL5" s="354"/>
      <c r="AM5" s="8"/>
      <c r="AN5" s="314"/>
      <c r="AO5" s="421" t="s">
        <v>636</v>
      </c>
      <c r="AP5" s="422"/>
      <c r="AQ5" s="449" t="s">
        <v>649</v>
      </c>
      <c r="AS5" s="4"/>
      <c r="AT5" s="69" t="s">
        <v>1</v>
      </c>
      <c r="AU5" s="69"/>
      <c r="AV5" s="69"/>
      <c r="AW5" s="42"/>
      <c r="AX5" s="402" t="s">
        <v>970</v>
      </c>
      <c r="AY5" s="354"/>
      <c r="AZ5" s="354"/>
      <c r="BA5" s="8"/>
      <c r="BB5" s="314"/>
      <c r="BC5" s="421" t="s">
        <v>636</v>
      </c>
      <c r="BD5" s="422"/>
      <c r="BE5" s="423" t="s">
        <v>649</v>
      </c>
    </row>
    <row r="6" spans="1:57" x14ac:dyDescent="0.3">
      <c r="B6" s="4"/>
      <c r="C6" s="57" t="s">
        <v>2</v>
      </c>
      <c r="D6" s="57"/>
      <c r="F6" s="355"/>
      <c r="G6" s="1065" t="s">
        <v>973</v>
      </c>
      <c r="H6" s="57"/>
      <c r="I6" s="57"/>
      <c r="J6" s="10"/>
      <c r="K6" s="4"/>
      <c r="L6" s="1037">
        <v>0</v>
      </c>
      <c r="M6" s="1042"/>
      <c r="N6" s="1095">
        <v>0</v>
      </c>
      <c r="P6" s="4"/>
      <c r="Q6" s="57" t="s">
        <v>2</v>
      </c>
      <c r="R6" s="57"/>
      <c r="S6" s="42"/>
      <c r="T6" s="355"/>
      <c r="U6" s="1069" t="s">
        <v>1121</v>
      </c>
      <c r="V6" s="777"/>
      <c r="W6" s="75"/>
      <c r="X6" s="57"/>
      <c r="Y6" s="10"/>
      <c r="Z6" s="4"/>
      <c r="AA6" s="2172">
        <v>75</v>
      </c>
      <c r="AB6" s="414"/>
      <c r="AC6" s="446">
        <v>0</v>
      </c>
      <c r="AE6" s="4"/>
      <c r="AF6" s="57" t="s">
        <v>2</v>
      </c>
      <c r="AG6" s="57"/>
      <c r="AH6" s="42"/>
      <c r="AI6" s="355"/>
      <c r="AJ6" s="403" t="s">
        <v>1009</v>
      </c>
      <c r="AK6" s="57"/>
      <c r="AL6" s="57"/>
      <c r="AM6" s="10"/>
      <c r="AN6" s="4"/>
      <c r="AO6" s="424">
        <v>0</v>
      </c>
      <c r="AP6" s="425"/>
      <c r="AQ6" s="450">
        <v>0</v>
      </c>
      <c r="AS6" s="4"/>
      <c r="AT6" s="57" t="s">
        <v>2</v>
      </c>
      <c r="AU6" s="57"/>
      <c r="AV6" s="42"/>
      <c r="AW6" s="355"/>
      <c r="AX6" s="403" t="s">
        <v>969</v>
      </c>
      <c r="AY6" s="57"/>
      <c r="AZ6" s="57"/>
      <c r="BA6" s="10"/>
      <c r="BB6" s="4"/>
      <c r="BC6" s="424">
        <v>0</v>
      </c>
      <c r="BD6" s="425"/>
      <c r="BE6" s="426">
        <v>0</v>
      </c>
    </row>
    <row r="7" spans="1:57" x14ac:dyDescent="0.3">
      <c r="B7" s="4"/>
      <c r="C7" s="57" t="s">
        <v>3</v>
      </c>
      <c r="D7" s="57"/>
      <c r="E7" s="57"/>
      <c r="G7" s="404" t="s">
        <v>974</v>
      </c>
      <c r="H7" s="57"/>
      <c r="I7" s="57"/>
      <c r="J7" s="10"/>
      <c r="K7" s="4"/>
      <c r="L7" s="1037">
        <v>185</v>
      </c>
      <c r="M7" s="1042"/>
      <c r="N7" s="1096">
        <f>_xlfn.CEILING.MATH(L7+N19*2/0.985,5)</f>
        <v>195</v>
      </c>
      <c r="P7" s="4"/>
      <c r="Q7" s="57" t="s">
        <v>3</v>
      </c>
      <c r="R7" s="57"/>
      <c r="S7" s="57"/>
      <c r="T7" s="42"/>
      <c r="U7" s="1069" t="s">
        <v>4</v>
      </c>
      <c r="V7" s="401"/>
      <c r="W7" s="75"/>
      <c r="X7" s="57"/>
      <c r="Y7" s="10"/>
      <c r="Z7" s="4"/>
      <c r="AA7" s="2172">
        <v>65</v>
      </c>
      <c r="AB7" s="414"/>
      <c r="AC7" s="446">
        <f>AA18</f>
        <v>85</v>
      </c>
      <c r="AE7" s="4"/>
      <c r="AF7" s="57" t="s">
        <v>3</v>
      </c>
      <c r="AG7" s="57"/>
      <c r="AH7" s="57"/>
      <c r="AI7" s="42"/>
      <c r="AJ7" s="404" t="s">
        <v>4</v>
      </c>
      <c r="AK7" s="57"/>
      <c r="AL7" s="57"/>
      <c r="AM7" s="10"/>
      <c r="AN7" s="4"/>
      <c r="AO7" s="424">
        <v>140</v>
      </c>
      <c r="AP7" s="425"/>
      <c r="AQ7" s="451">
        <v>138</v>
      </c>
      <c r="AS7" s="4"/>
      <c r="AT7" s="57" t="s">
        <v>3</v>
      </c>
      <c r="AU7" s="57"/>
      <c r="AV7" s="57"/>
      <c r="AW7" s="42"/>
      <c r="AX7" s="404" t="s">
        <v>886</v>
      </c>
      <c r="AY7" s="57"/>
      <c r="AZ7" s="57"/>
      <c r="BA7" s="10"/>
      <c r="BB7" s="4"/>
      <c r="BC7" s="424">
        <v>500</v>
      </c>
      <c r="BD7" s="425"/>
      <c r="BE7" s="427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405" t="s">
        <v>975</v>
      </c>
      <c r="H8" s="57"/>
      <c r="I8" s="57"/>
      <c r="J8" s="10"/>
      <c r="K8" s="4"/>
      <c r="L8" s="1037">
        <v>0</v>
      </c>
      <c r="M8" s="1042"/>
      <c r="N8" s="1095">
        <v>0</v>
      </c>
      <c r="P8" s="4"/>
      <c r="Q8" s="57" t="s">
        <v>7</v>
      </c>
      <c r="R8" s="57"/>
      <c r="S8" s="57"/>
      <c r="T8" s="42"/>
      <c r="U8" s="1070">
        <v>2</v>
      </c>
      <c r="V8" s="776"/>
      <c r="W8" s="778"/>
      <c r="X8" s="57"/>
      <c r="Y8" s="10"/>
      <c r="Z8" s="57"/>
      <c r="AA8" s="2172">
        <v>55</v>
      </c>
      <c r="AB8" s="414"/>
      <c r="AC8" s="446">
        <v>0</v>
      </c>
      <c r="AE8" s="4"/>
      <c r="AF8" s="57" t="s">
        <v>7</v>
      </c>
      <c r="AG8" s="57"/>
      <c r="AH8" s="57"/>
      <c r="AI8" s="42"/>
      <c r="AJ8" s="405" t="s">
        <v>1010</v>
      </c>
      <c r="AK8" s="57"/>
      <c r="AL8" s="57"/>
      <c r="AM8" s="10"/>
      <c r="AN8" s="4"/>
      <c r="AO8" s="424">
        <v>70</v>
      </c>
      <c r="AP8" s="425"/>
      <c r="AQ8" s="450">
        <v>0</v>
      </c>
      <c r="AS8" s="4"/>
      <c r="AT8" s="57" t="s">
        <v>7</v>
      </c>
      <c r="AU8" s="57"/>
      <c r="AV8" s="57"/>
      <c r="AW8" s="42"/>
      <c r="AX8" s="405" t="s">
        <v>8</v>
      </c>
      <c r="AY8" s="57"/>
      <c r="AZ8" s="57"/>
      <c r="BA8" s="10"/>
      <c r="BB8" s="4"/>
      <c r="BC8" s="424">
        <v>250</v>
      </c>
      <c r="BD8" s="425"/>
      <c r="BE8" s="426">
        <v>0</v>
      </c>
    </row>
    <row r="9" spans="1:57" x14ac:dyDescent="0.3">
      <c r="B9" s="12"/>
      <c r="C9" s="69" t="s">
        <v>13</v>
      </c>
      <c r="D9" s="69"/>
      <c r="E9" s="69"/>
      <c r="F9" s="69"/>
      <c r="G9" s="411" t="s">
        <v>37</v>
      </c>
      <c r="H9" s="69"/>
      <c r="I9" s="69" t="s">
        <v>14</v>
      </c>
      <c r="J9" s="356">
        <f>G10/G12</f>
        <v>0.69577714809186064</v>
      </c>
      <c r="K9" s="798"/>
      <c r="L9" s="1037"/>
      <c r="M9" s="1042"/>
      <c r="N9" s="1095">
        <v>0</v>
      </c>
      <c r="P9" s="12"/>
      <c r="Q9" s="69" t="s">
        <v>13</v>
      </c>
      <c r="R9" s="69"/>
      <c r="S9" s="69"/>
      <c r="T9" s="69"/>
      <c r="U9" s="941" t="s">
        <v>24</v>
      </c>
      <c r="V9" s="406"/>
      <c r="W9" s="69"/>
      <c r="X9" s="283" t="s">
        <v>14</v>
      </c>
      <c r="Y9" s="356">
        <f>U10/U12</f>
        <v>0.16774193548387098</v>
      </c>
      <c r="Z9" s="141"/>
      <c r="AA9" s="2172">
        <v>15</v>
      </c>
      <c r="AB9" s="414"/>
      <c r="AC9" s="446">
        <v>0</v>
      </c>
      <c r="AE9" s="12"/>
      <c r="AF9" s="69" t="s">
        <v>13</v>
      </c>
      <c r="AG9" s="69"/>
      <c r="AH9" s="69"/>
      <c r="AI9" s="69"/>
      <c r="AJ9" s="406" t="s">
        <v>24</v>
      </c>
      <c r="AK9" s="69"/>
      <c r="AL9" s="69" t="s">
        <v>14</v>
      </c>
      <c r="AM9" s="356">
        <f>AJ10/AJ12</f>
        <v>0.44554455445544555</v>
      </c>
      <c r="AN9" s="57"/>
      <c r="AO9" s="424"/>
      <c r="AP9" s="425"/>
      <c r="AQ9" s="450">
        <v>0</v>
      </c>
      <c r="AS9" s="12"/>
      <c r="AT9" s="69" t="s">
        <v>13</v>
      </c>
      <c r="AU9" s="69"/>
      <c r="AV9" s="69"/>
      <c r="AW9" s="69"/>
      <c r="AX9" s="406" t="s">
        <v>12</v>
      </c>
      <c r="AY9" s="69"/>
      <c r="AZ9" s="69" t="s">
        <v>14</v>
      </c>
      <c r="BA9" s="356">
        <f>AX10/AX12</f>
        <v>5.4618473895582333</v>
      </c>
      <c r="BB9" s="57"/>
      <c r="BC9" s="424">
        <v>0</v>
      </c>
      <c r="BD9" s="425"/>
      <c r="BE9" s="426">
        <v>0</v>
      </c>
    </row>
    <row r="10" spans="1:57" x14ac:dyDescent="0.3">
      <c r="B10" s="4"/>
      <c r="C10" s="57" t="s">
        <v>16</v>
      </c>
      <c r="D10" s="57"/>
      <c r="E10" s="57"/>
      <c r="F10" s="57"/>
      <c r="G10" s="984">
        <f>ROUNDUP(L12,1)</f>
        <v>12.799999999999999</v>
      </c>
      <c r="H10" s="358"/>
      <c r="I10" s="57" t="s">
        <v>19</v>
      </c>
      <c r="J10" s="359">
        <f>G10/G16</f>
        <v>0.51978343440465036</v>
      </c>
      <c r="K10" s="1008"/>
      <c r="L10" s="1037">
        <v>68</v>
      </c>
      <c r="M10" s="1042"/>
      <c r="N10" s="1038">
        <v>440</v>
      </c>
      <c r="P10" s="4"/>
      <c r="Q10" s="57" t="s">
        <v>16</v>
      </c>
      <c r="R10" s="57"/>
      <c r="S10" s="57"/>
      <c r="T10" s="57"/>
      <c r="U10" s="771">
        <f>IF(AA13=0,IF(AA12&gt;=100,ROUNDUP(AA12,0),IF(AA12&lt;1,ROUNDUP(AA12,2),ROUNDUP(AA12,1))),AA13)</f>
        <v>0.52</v>
      </c>
      <c r="V10" s="774"/>
      <c r="W10" s="358"/>
      <c r="X10" s="136" t="s">
        <v>19</v>
      </c>
      <c r="Y10" s="359">
        <f>U10/U16</f>
        <v>3.9393939393939398E-2</v>
      </c>
      <c r="Z10" s="141"/>
      <c r="AA10" s="2172">
        <v>56</v>
      </c>
      <c r="AB10" s="414"/>
      <c r="AC10" s="446">
        <f>X19</f>
        <v>355</v>
      </c>
      <c r="AE10" s="4"/>
      <c r="AF10" s="57" t="s">
        <v>16</v>
      </c>
      <c r="AG10" s="57"/>
      <c r="AH10" s="57"/>
      <c r="AI10" s="57"/>
      <c r="AJ10" s="357">
        <f>IF(AO13=0,IF(AO12&gt;=100,ROUNDUP(AO12,0),ROUNDUP(AO12,1)),AO13)</f>
        <v>13.5</v>
      </c>
      <c r="AK10" s="358"/>
      <c r="AL10" s="57" t="s">
        <v>19</v>
      </c>
      <c r="AM10" s="359">
        <f>AJ10/AJ16</f>
        <v>0.27108433734939763</v>
      </c>
      <c r="AN10" s="141"/>
      <c r="AO10" s="424">
        <v>155</v>
      </c>
      <c r="AP10" s="425"/>
      <c r="AQ10" s="450">
        <v>540</v>
      </c>
      <c r="AS10" s="4"/>
      <c r="AT10" s="57" t="s">
        <v>16</v>
      </c>
      <c r="AU10" s="57"/>
      <c r="AV10" s="57"/>
      <c r="AW10" s="57"/>
      <c r="AX10" s="357">
        <f>IF(BC13=0,IF(BC12&gt;=100,ROUNDUP(BC12,0),ROUNDUP(BC12,1)),BC13)</f>
        <v>680</v>
      </c>
      <c r="AY10" s="358"/>
      <c r="AZ10" s="57" t="s">
        <v>19</v>
      </c>
      <c r="BA10" s="359">
        <f>AX10/AX16</f>
        <v>5.5737704918032787</v>
      </c>
      <c r="BB10" s="141"/>
      <c r="BC10" s="424">
        <v>520</v>
      </c>
      <c r="BD10" s="425"/>
      <c r="BE10" s="426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84">
        <f>N12</f>
        <v>91.983475133550002</v>
      </c>
      <c r="H11" s="57"/>
      <c r="I11" s="57"/>
      <c r="J11" s="18"/>
      <c r="K11" s="141"/>
      <c r="L11" s="1050">
        <f>VLOOKUP(G9,Данные!A3:I27,9,FALSE())</f>
        <v>7</v>
      </c>
      <c r="M11" s="1042"/>
      <c r="N11" s="1051">
        <f>L11</f>
        <v>7</v>
      </c>
      <c r="P11" s="4"/>
      <c r="Q11" s="57" t="s">
        <v>18</v>
      </c>
      <c r="R11" s="57"/>
      <c r="S11" s="57"/>
      <c r="T11" s="57"/>
      <c r="U11" s="771">
        <f>IF(AC12&lt;100,ROUNDUP(AC12,1),ROUNDUP(AC12,0))</f>
        <v>15.2</v>
      </c>
      <c r="V11" s="774"/>
      <c r="W11" s="17"/>
      <c r="X11" s="57"/>
      <c r="Y11" s="18"/>
      <c r="Z11" s="388"/>
      <c r="AA11" s="2173">
        <f>VLOOKUP(U9,Данные!A3:I27,9,FALSE())</f>
        <v>7.5</v>
      </c>
      <c r="AB11" s="414"/>
      <c r="AC11" s="446">
        <f>AA11</f>
        <v>7.5</v>
      </c>
      <c r="AE11" s="4"/>
      <c r="AF11" s="57" t="s">
        <v>18</v>
      </c>
      <c r="AG11" s="57"/>
      <c r="AH11" s="57"/>
      <c r="AI11" s="57"/>
      <c r="AJ11" s="357">
        <f>IF(AQ12&lt;100,ROUNDUP(AQ12,1),ROUNDUP(AQ12,0))</f>
        <v>60.6</v>
      </c>
      <c r="AK11" s="57"/>
      <c r="AL11" s="57"/>
      <c r="AM11" s="18"/>
      <c r="AN11" s="141"/>
      <c r="AO11" s="428">
        <f>VLOOKUP(AJ9,Данные!A3:I27,9,FALSE())</f>
        <v>7.5</v>
      </c>
      <c r="AP11" s="425"/>
      <c r="AQ11" s="452">
        <f>AO11</f>
        <v>7.5</v>
      </c>
      <c r="AS11" s="4"/>
      <c r="AT11" s="57" t="s">
        <v>18</v>
      </c>
      <c r="AU11" s="57"/>
      <c r="AV11" s="57"/>
      <c r="AW11" s="57"/>
      <c r="AX11" s="357">
        <f>ROUNDUP(BE12,1)</f>
        <v>124.5</v>
      </c>
      <c r="AY11" s="57"/>
      <c r="AZ11" s="57"/>
      <c r="BA11" s="18"/>
      <c r="BB11" s="141"/>
      <c r="BC11" s="428">
        <f>VLOOKUP(AX9,Данные!A3:I27,9,FALSE())</f>
        <v>8.8800000000000008</v>
      </c>
      <c r="BD11" s="425"/>
      <c r="BE11" s="429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84">
        <f>G11/G17</f>
        <v>18.396695026709999</v>
      </c>
      <c r="H12" s="57"/>
      <c r="I12" s="57"/>
      <c r="J12" s="18"/>
      <c r="K12" s="388"/>
      <c r="L12" s="1052">
        <f>((L7*L7-L8*L8)*3.1415926*L10*L11+(L6*L6-L7*L7)*L9*L11*3.14)/4000000</f>
        <v>12.794999801465002</v>
      </c>
      <c r="M12" s="1047"/>
      <c r="N12" s="1053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93">
        <f>IF(U11/U17&lt;1,ROUNDUP(U11/U17,2),ROUNDUP(U11/U17,1))</f>
        <v>3.1</v>
      </c>
      <c r="V12" s="775"/>
      <c r="W12" s="778"/>
      <c r="X12" s="57"/>
      <c r="Y12" s="18"/>
      <c r="Z12" s="388"/>
      <c r="AA12" s="2174">
        <f>((AA7*AA7-AA8*AA8)*3.1415926*AA10*AA11+(AA6*AA6-AA7*AA7)*AA9*AA11*3.14)/4000000</f>
        <v>0.5194781676000001</v>
      </c>
      <c r="AB12" s="416"/>
      <c r="AC12" s="447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57">
        <f>AJ11/AJ17</f>
        <v>30.3</v>
      </c>
      <c r="AK12" s="57"/>
      <c r="AL12" s="57"/>
      <c r="AM12" s="18"/>
      <c r="AN12" s="388"/>
      <c r="AO12" s="430">
        <f>((AO7*AO7-AO8*AO8)*3.1415926*AO10*AO11+(AO6*AO6-AO7*AO7)*AO9*AO11*3.14)/4000000</f>
        <v>13.421472635812501</v>
      </c>
      <c r="AP12" s="431"/>
      <c r="AQ12" s="453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84">
        <f>AX11/AX17</f>
        <v>124.5</v>
      </c>
      <c r="AY12" s="57"/>
      <c r="AZ12" s="57"/>
      <c r="BA12" s="18"/>
      <c r="BB12" s="388"/>
      <c r="BC12" s="430">
        <f>((BC7*BC7-BC8*BC8)*3.1415926*BC10*BC11+(BC6*BC6-BC7*BC7)*BC9*BC11*3.14)/4000000</f>
        <v>679.99771827000006</v>
      </c>
      <c r="BD12" s="431"/>
      <c r="BE12" s="432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84">
        <f>N25+N34</f>
        <v>118.39250246392801</v>
      </c>
      <c r="H13" s="57"/>
      <c r="I13" s="57"/>
      <c r="J13" s="18"/>
      <c r="K13" s="17"/>
      <c r="L13" s="1025"/>
      <c r="M13" s="1025"/>
      <c r="N13" s="1025"/>
      <c r="P13" s="4"/>
      <c r="Q13" s="57" t="s">
        <v>23</v>
      </c>
      <c r="R13" s="57"/>
      <c r="S13" s="57"/>
      <c r="T13" s="57"/>
      <c r="U13" s="843">
        <f>IF(AC36&lt;100,ROUNDUP(AC36,1),ROUNDUP(AC36,0))</f>
        <v>63.4</v>
      </c>
      <c r="V13" s="775"/>
      <c r="W13" s="778"/>
      <c r="X13" s="57"/>
      <c r="Y13" s="18"/>
      <c r="Z13" s="388"/>
      <c r="AA13" s="2172"/>
      <c r="AB13" s="414"/>
      <c r="AC13" s="415"/>
      <c r="AE13" s="4"/>
      <c r="AF13" s="57" t="s">
        <v>23</v>
      </c>
      <c r="AG13" s="57"/>
      <c r="AH13" s="57"/>
      <c r="AI13" s="57"/>
      <c r="AJ13" s="357">
        <f>IF(AQ34&lt;100,ROUNDUP(AQ34,1),ROUNDUP(AQ34,0))</f>
        <v>95.699999999999989</v>
      </c>
      <c r="AK13" s="57"/>
      <c r="AL13" s="57"/>
      <c r="AM13" s="18"/>
      <c r="AN13" s="388"/>
      <c r="AO13" s="424"/>
      <c r="AP13" s="425"/>
      <c r="AQ13" s="429"/>
      <c r="AS13" s="4"/>
      <c r="AT13" s="57" t="s">
        <v>23</v>
      </c>
      <c r="AU13" s="57"/>
      <c r="AV13" s="57"/>
      <c r="AW13" s="57"/>
      <c r="AX13" s="357">
        <f>IF(BE34&lt;100,ROUNDUP(BE34,1),ROUNDUP(BE34,0))</f>
        <v>117</v>
      </c>
      <c r="AY13" s="57"/>
      <c r="AZ13" s="57"/>
      <c r="BA13" s="18"/>
      <c r="BB13" s="388"/>
      <c r="BC13" s="424"/>
      <c r="BD13" s="425"/>
      <c r="BE13" s="429"/>
    </row>
    <row r="14" spans="1:57" ht="15" thickBot="1" x14ac:dyDescent="0.35">
      <c r="B14" s="4"/>
      <c r="C14" s="57" t="s">
        <v>25</v>
      </c>
      <c r="D14" s="57"/>
      <c r="E14" s="57"/>
      <c r="F14" s="57"/>
      <c r="G14" s="984">
        <f>G13/G17</f>
        <v>23.678500492785602</v>
      </c>
      <c r="H14" s="57"/>
      <c r="I14" s="57"/>
      <c r="J14" s="18"/>
      <c r="K14" s="388"/>
      <c r="L14" s="1039"/>
      <c r="M14" s="1040"/>
      <c r="N14" s="1028" t="s">
        <v>635</v>
      </c>
      <c r="P14" s="4"/>
      <c r="Q14" s="57" t="s">
        <v>25</v>
      </c>
      <c r="R14" s="57"/>
      <c r="S14" s="57"/>
      <c r="T14" s="57"/>
      <c r="U14" s="1493">
        <f>IF(U13/U17&lt;1,ROUNDUP(U13/U17,2),ROUNDUP(U13/U17,1))</f>
        <v>12.7</v>
      </c>
      <c r="V14" s="775"/>
      <c r="W14" s="778"/>
      <c r="X14" s="57"/>
      <c r="Y14" s="18"/>
      <c r="Z14" s="388"/>
      <c r="AA14" s="2175"/>
      <c r="AB14" s="414"/>
      <c r="AC14" s="999" t="s">
        <v>635</v>
      </c>
      <c r="AE14" s="4"/>
      <c r="AF14" s="57" t="s">
        <v>25</v>
      </c>
      <c r="AG14" s="57"/>
      <c r="AH14" s="57"/>
      <c r="AI14" s="57"/>
      <c r="AJ14" s="357">
        <f>AJ13/AJ17</f>
        <v>47.849999999999994</v>
      </c>
      <c r="AK14" s="57"/>
      <c r="AL14" s="57"/>
      <c r="AM14" s="18"/>
      <c r="AN14" s="388"/>
      <c r="AO14" s="763"/>
      <c r="AP14" s="434"/>
      <c r="AQ14" s="435"/>
      <c r="AS14" s="4"/>
      <c r="AT14" s="57" t="s">
        <v>25</v>
      </c>
      <c r="AU14" s="57"/>
      <c r="AV14" s="57"/>
      <c r="AW14" s="57"/>
      <c r="AX14" s="357">
        <f>AX13/AX17</f>
        <v>117</v>
      </c>
      <c r="AY14" s="57"/>
      <c r="AZ14" s="57"/>
      <c r="BA14" s="18"/>
      <c r="BB14" s="388"/>
      <c r="BC14" s="433"/>
      <c r="BD14" s="434"/>
      <c r="BE14" s="435"/>
    </row>
    <row r="15" spans="1:57" ht="15" thickBot="1" x14ac:dyDescent="0.35">
      <c r="B15" s="4"/>
      <c r="C15" s="57" t="s">
        <v>28</v>
      </c>
      <c r="D15" s="57"/>
      <c r="E15" s="57"/>
      <c r="F15" s="57"/>
      <c r="G15" s="984">
        <f>G13*1.04</f>
        <v>123.12820256248513</v>
      </c>
      <c r="H15" s="57"/>
      <c r="I15" s="57"/>
      <c r="J15" s="18"/>
      <c r="K15" s="388"/>
      <c r="L15" s="1041"/>
      <c r="M15" s="1042"/>
      <c r="N15" s="1029" t="s">
        <v>608</v>
      </c>
      <c r="P15" s="4"/>
      <c r="Q15" s="57" t="s">
        <v>28</v>
      </c>
      <c r="R15" s="57"/>
      <c r="S15" s="57"/>
      <c r="T15" s="57"/>
      <c r="U15" s="771">
        <f>IF(U13&lt;96,ROUNDUP(AC36*1.04,1),ROUNDUP(AC36*1.04,0))</f>
        <v>66</v>
      </c>
      <c r="V15" s="774"/>
      <c r="W15" s="778"/>
      <c r="X15" s="57"/>
      <c r="Y15" s="18"/>
      <c r="Z15" s="388"/>
      <c r="AA15" s="2171">
        <f>S32</f>
        <v>85</v>
      </c>
      <c r="AB15" s="414"/>
      <c r="AC15" s="1000" t="s">
        <v>638</v>
      </c>
      <c r="AE15" s="4"/>
      <c r="AF15" s="57" t="s">
        <v>28</v>
      </c>
      <c r="AG15" s="57"/>
      <c r="AH15" s="57"/>
      <c r="AI15" s="57"/>
      <c r="AJ15" s="357">
        <f>IF(AQ34&lt;96,ROUNDUP(AJ13*1.04,1),ROUNDUP(AJ13*1.04,0))</f>
        <v>99.6</v>
      </c>
      <c r="AK15" s="57"/>
      <c r="AL15" s="57"/>
      <c r="AM15" s="18"/>
      <c r="AN15" s="388"/>
      <c r="AO15" s="762">
        <f>AH32</f>
        <v>140</v>
      </c>
      <c r="AP15" s="429"/>
      <c r="AQ15" s="448" t="s">
        <v>635</v>
      </c>
      <c r="AS15" s="4"/>
      <c r="AT15" s="57" t="s">
        <v>28</v>
      </c>
      <c r="AU15" s="57"/>
      <c r="AV15" s="57"/>
      <c r="AW15" s="57"/>
      <c r="AX15" s="357">
        <f>IF(BE34&lt;96,ROUNDUP(AX13*1.04,1),ROUNDUP(AX13*1.04,0))</f>
        <v>122</v>
      </c>
      <c r="AY15" s="57"/>
      <c r="AZ15" s="57"/>
      <c r="BA15" s="18"/>
      <c r="BB15" s="388"/>
      <c r="BC15" s="436"/>
      <c r="BD15" s="425"/>
      <c r="BE15" s="435" t="s">
        <v>635</v>
      </c>
    </row>
    <row r="16" spans="1:57" x14ac:dyDescent="0.3">
      <c r="B16" s="4"/>
      <c r="C16" s="57" t="s">
        <v>30</v>
      </c>
      <c r="D16" s="57"/>
      <c r="E16" s="57"/>
      <c r="F16" s="57"/>
      <c r="G16" s="984">
        <f>G15/G17</f>
        <v>24.625640512497025</v>
      </c>
      <c r="H16" s="57"/>
      <c r="I16" s="57"/>
      <c r="J16" s="18"/>
      <c r="K16" s="388"/>
      <c r="L16" s="1041" t="s">
        <v>949</v>
      </c>
      <c r="M16" s="1042"/>
      <c r="N16" s="1048">
        <f>(N7+(N7+N18*2))/2</f>
        <v>198</v>
      </c>
      <c r="P16" s="4"/>
      <c r="Q16" s="57" t="s">
        <v>30</v>
      </c>
      <c r="R16" s="57"/>
      <c r="S16" s="57"/>
      <c r="T16" s="57"/>
      <c r="U16" s="1493">
        <f>IF(U15/U17&lt;1,ROUNDUP(U15/U17,2),ROUNDUP(U15/U17,1))</f>
        <v>13.2</v>
      </c>
      <c r="V16" s="775"/>
      <c r="W16" s="778"/>
      <c r="X16" s="57"/>
      <c r="Y16" s="18"/>
      <c r="Z16" s="388"/>
      <c r="AA16" s="2176"/>
      <c r="AB16" s="414"/>
      <c r="AC16" s="446">
        <v>0</v>
      </c>
      <c r="AE16" s="4"/>
      <c r="AF16" s="57" t="s">
        <v>30</v>
      </c>
      <c r="AG16" s="57"/>
      <c r="AH16" s="57"/>
      <c r="AI16" s="57"/>
      <c r="AJ16" s="357">
        <f>AJ15/AJ17</f>
        <v>49.8</v>
      </c>
      <c r="AK16" s="57"/>
      <c r="AL16" s="57"/>
      <c r="AM16" s="18"/>
      <c r="AN16" s="388"/>
      <c r="AO16" s="1067"/>
      <c r="AP16" s="429"/>
      <c r="AQ16" s="449" t="s">
        <v>650</v>
      </c>
      <c r="AS16" s="4"/>
      <c r="AT16" s="57" t="s">
        <v>30</v>
      </c>
      <c r="AU16" s="57"/>
      <c r="AV16" s="57"/>
      <c r="AW16" s="57"/>
      <c r="AX16" s="357">
        <f>AX15/AX17</f>
        <v>122</v>
      </c>
      <c r="AY16" s="57"/>
      <c r="AZ16" s="57"/>
      <c r="BA16" s="18"/>
      <c r="BB16" s="388"/>
      <c r="BC16" s="437">
        <f>AV32</f>
        <v>175</v>
      </c>
      <c r="BD16" s="425"/>
      <c r="BE16" s="423" t="s">
        <v>650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407">
        <v>5</v>
      </c>
      <c r="H17" s="63"/>
      <c r="I17" s="63"/>
      <c r="J17" s="1007"/>
      <c r="K17" s="388"/>
      <c r="L17" s="1041" t="s">
        <v>631</v>
      </c>
      <c r="M17" s="1042"/>
      <c r="N17" s="1049">
        <f>N10</f>
        <v>440</v>
      </c>
      <c r="P17" s="19"/>
      <c r="Q17" s="63" t="s">
        <v>32</v>
      </c>
      <c r="R17" s="63"/>
      <c r="S17" s="63"/>
      <c r="T17" s="63"/>
      <c r="U17" s="772">
        <v>5</v>
      </c>
      <c r="V17" s="772"/>
      <c r="W17" s="63"/>
      <c r="X17" s="63"/>
      <c r="Y17" s="1007"/>
      <c r="Z17" s="23"/>
      <c r="AA17" s="1914">
        <f>VLOOKUP(AA15,Изложницы[],2,0)</f>
        <v>85</v>
      </c>
      <c r="AB17" s="414"/>
      <c r="AC17" s="446">
        <f>AA18</f>
        <v>85</v>
      </c>
      <c r="AE17" s="19"/>
      <c r="AF17" s="63" t="s">
        <v>32</v>
      </c>
      <c r="AG17" s="63"/>
      <c r="AH17" s="63"/>
      <c r="AI17" s="63"/>
      <c r="AJ17" s="407">
        <v>2</v>
      </c>
      <c r="AK17" s="63"/>
      <c r="AL17" s="63"/>
      <c r="AM17" s="22"/>
      <c r="AN17" s="388"/>
      <c r="AO17" s="762">
        <f>VLOOKUP(AH32,Изложницы[],2,FALSE)</f>
        <v>170</v>
      </c>
      <c r="AP17" s="425"/>
      <c r="AQ17" s="450">
        <v>0</v>
      </c>
      <c r="AS17" s="19"/>
      <c r="AT17" s="63" t="s">
        <v>32</v>
      </c>
      <c r="AU17" s="63"/>
      <c r="AV17" s="63"/>
      <c r="AW17" s="63"/>
      <c r="AX17" s="407">
        <v>1</v>
      </c>
      <c r="AY17" s="63"/>
      <c r="AZ17" s="63"/>
      <c r="BA17" s="22"/>
      <c r="BB17" s="388"/>
      <c r="BC17" s="437">
        <f>BC21/30+BC16</f>
        <v>183.66666666666666</v>
      </c>
      <c r="BD17" s="425"/>
      <c r="BE17" s="426">
        <v>0</v>
      </c>
    </row>
    <row r="18" spans="2:57" x14ac:dyDescent="0.3">
      <c r="B18" s="12"/>
      <c r="C18" s="58" t="s">
        <v>209</v>
      </c>
      <c r="D18" s="57"/>
      <c r="E18" s="57"/>
      <c r="F18" s="57"/>
      <c r="G18" s="57"/>
      <c r="H18" s="57"/>
      <c r="I18" s="23"/>
      <c r="J18" s="24"/>
      <c r="K18" s="23"/>
      <c r="L18" s="465" t="s">
        <v>950</v>
      </c>
      <c r="M18" s="1042"/>
      <c r="N18" s="1049">
        <f>Данные!R199</f>
        <v>3</v>
      </c>
      <c r="P18" s="12"/>
      <c r="Q18" s="58" t="s">
        <v>209</v>
      </c>
      <c r="R18" s="57"/>
      <c r="S18" s="57"/>
      <c r="T18" s="57"/>
      <c r="U18" s="57"/>
      <c r="V18" s="57"/>
      <c r="W18" s="57"/>
      <c r="X18" s="23"/>
      <c r="Y18" s="24"/>
      <c r="Z18" s="23"/>
      <c r="AA18" s="2177">
        <f>IF(AA16=0,(AA15+AA17)/2,(AA15+AA16)/2)</f>
        <v>85</v>
      </c>
      <c r="AB18" s="414"/>
      <c r="AC18" s="446">
        <v>0</v>
      </c>
      <c r="AE18" s="12"/>
      <c r="AF18" s="58" t="s">
        <v>209</v>
      </c>
      <c r="AG18" s="57"/>
      <c r="AH18" s="57"/>
      <c r="AI18" s="57"/>
      <c r="AJ18" s="57"/>
      <c r="AK18" s="57"/>
      <c r="AL18" s="23"/>
      <c r="AM18" s="24"/>
      <c r="AN18" s="23"/>
      <c r="AO18" s="765">
        <f>(AO15+IF(AO16=0,AO17,AO16))/2</f>
        <v>155</v>
      </c>
      <c r="AP18" s="425"/>
      <c r="AQ18" s="451">
        <f>AO18</f>
        <v>155</v>
      </c>
      <c r="AS18" s="12"/>
      <c r="AT18" s="58" t="s">
        <v>209</v>
      </c>
      <c r="AU18" s="57"/>
      <c r="AV18" s="57"/>
      <c r="AW18" s="57"/>
      <c r="AX18" s="57"/>
      <c r="AY18" s="57"/>
      <c r="AZ18" s="23"/>
      <c r="BA18" s="24"/>
      <c r="BB18" s="23"/>
      <c r="BC18" s="436">
        <f>(BC16+BC17)/2</f>
        <v>179.33333333333331</v>
      </c>
      <c r="BD18" s="425"/>
      <c r="BE18" s="427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1021">
        <f>N32</f>
        <v>430</v>
      </c>
      <c r="I19" s="360"/>
      <c r="J19" s="24"/>
      <c r="K19" s="23"/>
      <c r="L19" s="1043" t="s">
        <v>951</v>
      </c>
      <c r="M19" s="1042"/>
      <c r="N19" s="1031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401">
        <f>IF(AC44=0,AC43,AC44)</f>
        <v>355</v>
      </c>
      <c r="Y19" s="24"/>
      <c r="Z19" s="23"/>
      <c r="AA19" s="2178"/>
      <c r="AB19" s="414"/>
      <c r="AC19" s="446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401">
        <f>AQ43</f>
        <v>365</v>
      </c>
      <c r="AM19" s="24"/>
      <c r="AN19" s="23"/>
      <c r="AO19" s="764"/>
      <c r="AP19" s="425"/>
      <c r="AQ19" s="450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401">
        <f>IF(AX17=1,AZ28,BE43)</f>
        <v>555</v>
      </c>
      <c r="BA19" s="24"/>
      <c r="BB19" s="23"/>
      <c r="BC19" s="436"/>
      <c r="BD19" s="425"/>
      <c r="BE19" s="426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65"/>
      <c r="M20" s="1042"/>
      <c r="N20" s="1030" t="s">
        <v>333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2178">
        <f>T32</f>
        <v>400</v>
      </c>
      <c r="AB20" s="414"/>
      <c r="AC20" s="446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64"/>
      <c r="AP20" s="425"/>
      <c r="AQ20" s="450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36"/>
      <c r="BD20" s="425"/>
      <c r="BE20" s="426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65" t="s">
        <v>953</v>
      </c>
      <c r="M21" s="1044"/>
      <c r="N21" s="104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5"/>
      <c r="AA21" s="2179" t="s">
        <v>922</v>
      </c>
      <c r="AB21" s="414"/>
      <c r="AC21" s="446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64">
        <f>AI32</f>
        <v>400</v>
      </c>
      <c r="AP21" s="425"/>
      <c r="AQ21" s="450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36">
        <f>AW32</f>
        <v>260</v>
      </c>
      <c r="BD21" s="425"/>
      <c r="BE21" s="426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5"/>
      <c r="L22" s="1041" t="s">
        <v>952</v>
      </c>
      <c r="M22" s="1042"/>
      <c r="N22" s="105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5"/>
      <c r="AA22" s="2180"/>
      <c r="AB22" s="417"/>
      <c r="AC22" s="447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5"/>
      <c r="AO22" s="764"/>
      <c r="AP22" s="425"/>
      <c r="AQ22" s="452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5"/>
      <c r="BC22" s="436"/>
      <c r="BD22" s="425"/>
      <c r="BE22" s="429">
        <f>BC11</f>
        <v>8.8800000000000008</v>
      </c>
    </row>
    <row r="23" spans="2:57" ht="15" thickBot="1" x14ac:dyDescent="0.35">
      <c r="B23" s="4"/>
      <c r="C23" s="361"/>
      <c r="D23" s="1699">
        <f>ROUND(N7*0.985,0)</f>
        <v>192</v>
      </c>
      <c r="E23" s="57"/>
      <c r="F23" s="57"/>
      <c r="G23" s="57"/>
      <c r="H23" s="57"/>
      <c r="I23" s="28"/>
      <c r="J23" s="26"/>
      <c r="K23" s="145"/>
      <c r="L23" s="1041" t="s">
        <v>5</v>
      </c>
      <c r="M23" s="1042"/>
      <c r="N23" s="1032">
        <v>100</v>
      </c>
      <c r="P23" s="4"/>
      <c r="Q23" s="361"/>
      <c r="R23" s="1699">
        <f>S32-S32/100*1.5</f>
        <v>83.724999999999994</v>
      </c>
      <c r="S23" s="57"/>
      <c r="T23" s="57"/>
      <c r="U23" s="57"/>
      <c r="V23" s="57"/>
      <c r="W23" s="57"/>
      <c r="X23" s="28"/>
      <c r="Y23" s="929"/>
      <c r="Z23" s="145"/>
      <c r="AA23" s="42"/>
      <c r="AB23" s="42"/>
      <c r="AC23" s="42"/>
      <c r="AE23" s="4"/>
      <c r="AF23" s="361"/>
      <c r="AG23" s="1699">
        <f>AH32-AH32/100*1.5</f>
        <v>137.9</v>
      </c>
      <c r="AH23" s="57"/>
      <c r="AI23" s="57"/>
      <c r="AJ23" s="57"/>
      <c r="AK23" s="57"/>
      <c r="AL23" s="28"/>
      <c r="AM23" s="929"/>
      <c r="AN23" s="145"/>
      <c r="AO23" s="764"/>
      <c r="AP23" s="425"/>
      <c r="AQ23" s="453">
        <f>((AQ18*AQ18-AQ19*AQ19)*3.1415926*AQ21*AQ22+(AQ17*AQ17-AQ18*AQ18)*AQ20*AQ22*3.1415926)/4000000</f>
        <v>56.607571661250006</v>
      </c>
      <c r="AS23" s="4"/>
      <c r="AT23" s="361"/>
      <c r="AU23" s="1699">
        <f>AV32-AV32/100*1.5</f>
        <v>172.375</v>
      </c>
      <c r="AV23" s="57"/>
      <c r="AW23" s="57"/>
      <c r="AX23" s="57"/>
      <c r="AY23" s="57"/>
      <c r="AZ23" s="28"/>
      <c r="BA23" s="26"/>
      <c r="BB23" s="145"/>
      <c r="BC23" s="436"/>
      <c r="BD23" s="425"/>
      <c r="BE23" s="432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409" t="str">
        <f>"( "&amp;L7&amp;" )"</f>
        <v>( 185 )</v>
      </c>
      <c r="E24" s="362"/>
      <c r="F24" s="57"/>
      <c r="G24" s="57"/>
      <c r="H24" s="57"/>
      <c r="I24" s="28"/>
      <c r="J24" s="26"/>
      <c r="K24" s="145"/>
      <c r="L24" s="1041"/>
      <c r="M24" s="1042"/>
      <c r="N24" s="1055">
        <f>L11</f>
        <v>7</v>
      </c>
      <c r="P24" s="4"/>
      <c r="Q24" s="57"/>
      <c r="R24" s="409" t="str">
        <f>"( "&amp;IF(AA6=0,AA7,AA6)&amp;" )"</f>
        <v>( 75 )</v>
      </c>
      <c r="S24" s="362"/>
      <c r="T24" s="57"/>
      <c r="U24" s="57"/>
      <c r="V24" s="57"/>
      <c r="W24" s="57"/>
      <c r="X24" s="28"/>
      <c r="Y24" s="26"/>
      <c r="Z24" s="145"/>
      <c r="AA24" s="838" t="s">
        <v>658</v>
      </c>
      <c r="AB24" s="822"/>
      <c r="AC24" s="1072" t="s">
        <v>661</v>
      </c>
      <c r="AE24" s="4"/>
      <c r="AF24" s="57"/>
      <c r="AG24" s="409" t="str">
        <f>"( "&amp;AO7&amp;" )"</f>
        <v>( 140 )</v>
      </c>
      <c r="AH24" s="362"/>
      <c r="AI24" s="57"/>
      <c r="AJ24" s="57"/>
      <c r="AK24" s="57"/>
      <c r="AL24" s="28"/>
      <c r="AM24" s="26"/>
      <c r="AN24" s="145"/>
      <c r="AO24" s="763"/>
      <c r="AP24" s="434"/>
      <c r="AQ24" s="438"/>
      <c r="AS24" s="4"/>
      <c r="AT24" s="57"/>
      <c r="AU24" s="409" t="str">
        <f>"( "&amp;BC7&amp;" )"</f>
        <v>( 500 )</v>
      </c>
      <c r="AV24" s="362"/>
      <c r="AW24" s="57"/>
      <c r="AX24" s="57"/>
      <c r="AY24" s="57"/>
      <c r="AZ24" s="28"/>
      <c r="BA24" s="26"/>
      <c r="BB24" s="145"/>
      <c r="BC24" s="433"/>
      <c r="BD24" s="434"/>
      <c r="BE24" s="438"/>
    </row>
    <row r="25" spans="2:57" ht="15" thickBot="1" x14ac:dyDescent="0.35">
      <c r="B25" s="4"/>
      <c r="C25" s="57"/>
      <c r="D25" s="136"/>
      <c r="E25" s="57"/>
      <c r="F25" s="57"/>
      <c r="G25" s="57"/>
      <c r="H25" s="57"/>
      <c r="I25" s="28"/>
      <c r="J25" s="26"/>
      <c r="K25" s="145"/>
      <c r="L25" s="2154"/>
      <c r="M25" s="2155"/>
      <c r="N25" s="1056">
        <f>((N16*N16)*3.1415926*N17*N24+(N22*N22)*N23*N24*3.1415296)/4000000</f>
        <v>118.39250246392801</v>
      </c>
      <c r="P25" s="4"/>
      <c r="Q25" s="57"/>
      <c r="R25" s="272"/>
      <c r="S25" s="57"/>
      <c r="T25" s="57"/>
      <c r="U25" s="57"/>
      <c r="V25" s="57"/>
      <c r="W25" s="57"/>
      <c r="X25" s="28"/>
      <c r="Y25" s="26"/>
      <c r="Z25" s="145"/>
      <c r="AA25" s="468" t="s">
        <v>966</v>
      </c>
      <c r="AB25" s="469" t="b">
        <v>0</v>
      </c>
      <c r="AC25" s="470"/>
      <c r="AE25" s="4"/>
      <c r="AF25" s="57"/>
      <c r="AG25" s="136"/>
      <c r="AH25" s="57"/>
      <c r="AI25" s="57"/>
      <c r="AJ25" s="57"/>
      <c r="AK25" s="57"/>
      <c r="AL25" s="28"/>
      <c r="AM25" s="26"/>
      <c r="AN25" s="145"/>
      <c r="AO25" s="454"/>
      <c r="AP25" s="434"/>
      <c r="AQ25" s="448" t="s">
        <v>635</v>
      </c>
      <c r="AS25" s="4"/>
      <c r="AT25" s="57"/>
      <c r="AU25" s="136"/>
      <c r="AV25" s="57"/>
      <c r="AW25" s="57"/>
      <c r="AX25" s="57"/>
      <c r="AY25" s="57"/>
      <c r="AZ25" s="28"/>
      <c r="BA25" s="26"/>
      <c r="BB25" s="145"/>
      <c r="BC25" s="433"/>
      <c r="BD25" s="434"/>
      <c r="BE25" s="435" t="s">
        <v>635</v>
      </c>
    </row>
    <row r="26" spans="2:57" ht="15" customHeight="1" x14ac:dyDescent="0.3">
      <c r="B26" s="4"/>
      <c r="C26" s="57"/>
      <c r="D26" s="57"/>
      <c r="E26" s="57"/>
      <c r="F26" s="57"/>
      <c r="G26" s="364">
        <f>N10*0.985</f>
        <v>433.4</v>
      </c>
      <c r="H26" s="57"/>
      <c r="I26" s="1009" t="str">
        <f>"         "&amp;ROUND(N23*0.985,0)</f>
        <v xml:space="preserve">         99</v>
      </c>
      <c r="J26" s="26"/>
      <c r="K26" s="145"/>
      <c r="P26" s="4"/>
      <c r="Q26" s="57"/>
      <c r="R26" s="57"/>
      <c r="S26" s="57"/>
      <c r="T26" s="57"/>
      <c r="U26" s="364">
        <f>T34*0.985</f>
        <v>394</v>
      </c>
      <c r="V26" s="364"/>
      <c r="W26" s="57"/>
      <c r="X26" s="28"/>
      <c r="Y26" s="26"/>
      <c r="Z26" s="145"/>
      <c r="AA26" s="458"/>
      <c r="AB26" s="459"/>
      <c r="AC26" s="999" t="s">
        <v>635</v>
      </c>
      <c r="AE26" s="4"/>
      <c r="AF26" s="57"/>
      <c r="AG26" s="57"/>
      <c r="AH26" s="57"/>
      <c r="AI26" s="57"/>
      <c r="AJ26" s="364">
        <f>AI34*0.985</f>
        <v>650.1</v>
      </c>
      <c r="AK26" s="57"/>
      <c r="AL26" s="28"/>
      <c r="AM26" s="26"/>
      <c r="AN26" s="145"/>
      <c r="AO26" s="455">
        <f>AH33</f>
        <v>157.5</v>
      </c>
      <c r="AP26" s="434"/>
      <c r="AQ26" s="449" t="s">
        <v>652</v>
      </c>
      <c r="AS26" s="4"/>
      <c r="AT26" s="57"/>
      <c r="AU26" s="57"/>
      <c r="AV26" s="57"/>
      <c r="AW26" s="57"/>
      <c r="AX26" s="364">
        <f>AW34*0.985</f>
        <v>512.20000000000005</v>
      </c>
      <c r="AY26" s="57"/>
      <c r="AZ26" s="28"/>
      <c r="BA26" s="26"/>
      <c r="BB26" s="145"/>
      <c r="BC26" s="439">
        <f>AV33</f>
        <v>175</v>
      </c>
      <c r="BD26" s="434"/>
      <c r="BE26" s="423" t="s">
        <v>652</v>
      </c>
    </row>
    <row r="27" spans="2:57" ht="15" thickBot="1" x14ac:dyDescent="0.35">
      <c r="B27" s="4"/>
      <c r="C27" s="57"/>
      <c r="D27" s="30"/>
      <c r="E27" s="31"/>
      <c r="G27" s="409" t="str">
        <f>"( "&amp;L10&amp;" )"</f>
        <v>( 68 )</v>
      </c>
      <c r="H27" s="57"/>
      <c r="I27" s="29"/>
      <c r="J27" s="26"/>
      <c r="K27" s="145"/>
      <c r="L27" s="2007" t="s">
        <v>303</v>
      </c>
      <c r="M27" s="2107"/>
      <c r="N27" s="2008"/>
      <c r="P27" s="4"/>
      <c r="Q27" s="57"/>
      <c r="R27" s="30"/>
      <c r="S27" s="31"/>
      <c r="T27" s="42"/>
      <c r="U27" s="410" t="str">
        <f>"( "&amp;AA10&amp;" )"</f>
        <v>( 56 )</v>
      </c>
      <c r="V27" s="410"/>
      <c r="W27" s="134"/>
      <c r="X27" s="29"/>
      <c r="Y27" s="26"/>
      <c r="Z27" s="145"/>
      <c r="AA27" s="460">
        <f>IF(AC24="-------------",S33,VLOOKUP(AC24,Прибыльные_надставки[],4,FALSE()))</f>
        <v>170</v>
      </c>
      <c r="AB27" s="461"/>
      <c r="AC27" s="1000" t="s">
        <v>667</v>
      </c>
      <c r="AE27" s="4"/>
      <c r="AF27" s="57"/>
      <c r="AG27" s="30"/>
      <c r="AH27" s="31"/>
      <c r="AI27" s="42"/>
      <c r="AJ27" s="410" t="str">
        <f>"( "&amp;AO10&amp;" )"</f>
        <v>( 155 )</v>
      </c>
      <c r="AK27" s="57"/>
      <c r="AL27" s="29"/>
      <c r="AM27" s="26"/>
      <c r="AN27" s="145"/>
      <c r="AO27" s="455">
        <f>AO31/60+AO26</f>
        <v>161.83333333333334</v>
      </c>
      <c r="AP27" s="434"/>
      <c r="AQ27" s="450">
        <v>0</v>
      </c>
      <c r="AS27" s="4"/>
      <c r="AT27" s="57"/>
      <c r="AU27" s="30"/>
      <c r="AV27" s="31"/>
      <c r="AW27" s="42"/>
      <c r="AX27" s="410" t="str">
        <f>"( "&amp;BC10&amp;" )"</f>
        <v>( 520 )</v>
      </c>
      <c r="AY27" s="57"/>
      <c r="AZ27" s="29"/>
      <c r="BA27" s="26"/>
      <c r="BB27" s="145"/>
      <c r="BC27" s="439">
        <f>BC31/30+BC26</f>
        <v>183.66666666666666</v>
      </c>
      <c r="BD27" s="434"/>
      <c r="BE27" s="426">
        <v>0</v>
      </c>
    </row>
    <row r="28" spans="2:57" x14ac:dyDescent="0.3">
      <c r="B28" s="4"/>
      <c r="C28" s="57"/>
      <c r="E28" s="57"/>
      <c r="F28" s="136"/>
      <c r="J28" s="26"/>
      <c r="K28" s="145"/>
      <c r="L28" s="2108" t="s">
        <v>875</v>
      </c>
      <c r="M28" s="2109"/>
      <c r="N28" s="890">
        <f>L10</f>
        <v>68</v>
      </c>
      <c r="P28" s="4"/>
      <c r="Q28" s="57"/>
      <c r="R28" s="42"/>
      <c r="S28" s="57"/>
      <c r="T28" s="136"/>
      <c r="U28" s="42" t="s">
        <v>639</v>
      </c>
      <c r="W28" s="57"/>
      <c r="X28" s="360">
        <f>AC39+AC42</f>
        <v>91</v>
      </c>
      <c r="Y28" s="26"/>
      <c r="Z28" s="145"/>
      <c r="AA28" s="460">
        <f>IF(AC24="-------------",S33,VLOOKUP(AC24,Прибыльные_надставки[],3,FALSE()))</f>
        <v>200</v>
      </c>
      <c r="AB28" s="461"/>
      <c r="AC28" s="463">
        <v>0</v>
      </c>
      <c r="AE28" s="4"/>
      <c r="AF28" s="57"/>
      <c r="AG28" s="42"/>
      <c r="AH28" s="57"/>
      <c r="AI28" s="136"/>
      <c r="AJ28" s="42" t="s">
        <v>639</v>
      </c>
      <c r="AK28" s="57"/>
      <c r="AL28" s="360">
        <f>AQ39+AQ42</f>
        <v>190</v>
      </c>
      <c r="AM28" s="26"/>
      <c r="AN28" s="145"/>
      <c r="AO28" s="452">
        <f>(AO26+AO27)/2</f>
        <v>159.66666666666669</v>
      </c>
      <c r="AP28" s="434"/>
      <c r="AQ28" s="451">
        <f>AO28</f>
        <v>159.66666666666669</v>
      </c>
      <c r="AS28" s="4"/>
      <c r="AT28" s="57"/>
      <c r="AU28" s="42"/>
      <c r="AV28" s="57"/>
      <c r="AW28" s="136"/>
      <c r="AX28" s="42" t="s">
        <v>639</v>
      </c>
      <c r="AY28" s="57"/>
      <c r="AZ28" s="360">
        <f>BE39+BE42</f>
        <v>555</v>
      </c>
      <c r="BA28" s="26"/>
      <c r="BB28" s="145"/>
      <c r="BC28" s="436">
        <f>(BC26+BC27)/2</f>
        <v>179.33333333333331</v>
      </c>
      <c r="BD28" s="434"/>
      <c r="BE28" s="427">
        <f>BC28</f>
        <v>179.33333333333331</v>
      </c>
    </row>
    <row r="29" spans="2:57" ht="15" thickBot="1" x14ac:dyDescent="0.35">
      <c r="B29" s="4"/>
      <c r="C29" s="57"/>
      <c r="D29" s="363"/>
      <c r="G29" s="1097" t="s">
        <v>639</v>
      </c>
      <c r="H29" s="146"/>
      <c r="I29" s="1098">
        <f>L10+N31</f>
        <v>108</v>
      </c>
      <c r="J29" s="10"/>
      <c r="K29" s="145"/>
      <c r="L29" s="2108" t="s">
        <v>876</v>
      </c>
      <c r="M29" s="2109"/>
      <c r="N29" s="890">
        <f>G17</f>
        <v>5</v>
      </c>
      <c r="P29" s="4"/>
      <c r="Q29" s="75" t="str">
        <f>IF(AB25=TRUE,"Заливка прибыли на 1/2","")</f>
        <v/>
      </c>
      <c r="R29" s="363"/>
      <c r="S29" s="42"/>
      <c r="T29" s="42"/>
      <c r="U29" s="42"/>
      <c r="W29" s="42"/>
      <c r="X29" s="42"/>
      <c r="Y29" s="10"/>
      <c r="Z29" s="145"/>
      <c r="AA29" s="464">
        <f>(AA27+AA28)/2</f>
        <v>185</v>
      </c>
      <c r="AB29" s="461"/>
      <c r="AC29" s="463">
        <f>AA29</f>
        <v>185</v>
      </c>
      <c r="AE29" s="4"/>
      <c r="AF29" s="57"/>
      <c r="AG29" s="363"/>
      <c r="AH29" s="42"/>
      <c r="AI29" s="42"/>
      <c r="AJ29" s="42"/>
      <c r="AK29" s="42"/>
      <c r="AL29" s="42"/>
      <c r="AM29" s="10"/>
      <c r="AN29" s="145"/>
      <c r="AO29" s="452"/>
      <c r="AP29" s="434"/>
      <c r="AQ29" s="450">
        <v>0</v>
      </c>
      <c r="AS29" s="4"/>
      <c r="AT29" s="57"/>
      <c r="AU29" s="363"/>
      <c r="AV29" s="42"/>
      <c r="AW29" s="42"/>
      <c r="AX29" s="42"/>
      <c r="AY29" s="42"/>
      <c r="AZ29" s="42"/>
      <c r="BA29" s="10"/>
      <c r="BB29" s="145"/>
      <c r="BC29" s="436"/>
      <c r="BD29" s="434"/>
      <c r="BE29" s="426">
        <v>0</v>
      </c>
    </row>
    <row r="30" spans="2:57" ht="15" thickBot="1" x14ac:dyDescent="0.35">
      <c r="B30" s="4"/>
      <c r="C30" s="75" t="s">
        <v>976</v>
      </c>
      <c r="D30" s="363"/>
      <c r="G30" s="363"/>
      <c r="H30" s="57"/>
      <c r="I30" s="360"/>
      <c r="J30" s="10"/>
      <c r="K30" s="145"/>
      <c r="L30" s="2108" t="s">
        <v>877</v>
      </c>
      <c r="M30" s="2109"/>
      <c r="N30" s="890">
        <f>IF(D23&lt;100,8,IF(AND(D23&gt;=100,D23&lt;200),10,20))</f>
        <v>10</v>
      </c>
      <c r="P30" s="1599" t="s">
        <v>640</v>
      </c>
      <c r="Q30" s="1600"/>
      <c r="R30" s="1600"/>
      <c r="S30" s="1600"/>
      <c r="T30" s="1600"/>
      <c r="U30" s="1600"/>
      <c r="V30" s="1600"/>
      <c r="W30" s="1600"/>
      <c r="X30" s="1600"/>
      <c r="Y30" s="1601"/>
      <c r="Z30" s="145"/>
      <c r="AA30" s="465"/>
      <c r="AB30" s="461"/>
      <c r="AC30" s="463">
        <v>0</v>
      </c>
      <c r="AE30" s="2004" t="s">
        <v>640</v>
      </c>
      <c r="AF30" s="2005"/>
      <c r="AG30" s="2005"/>
      <c r="AH30" s="2005"/>
      <c r="AI30" s="2005"/>
      <c r="AJ30" s="2005"/>
      <c r="AK30" s="2005"/>
      <c r="AL30" s="2005"/>
      <c r="AM30" s="2006"/>
      <c r="AN30" s="145"/>
      <c r="AO30" s="452"/>
      <c r="AP30" s="434"/>
      <c r="AQ30" s="450">
        <v>0</v>
      </c>
      <c r="AS30" s="2004" t="s">
        <v>640</v>
      </c>
      <c r="AT30" s="2005"/>
      <c r="AU30" s="2005"/>
      <c r="AV30" s="2005"/>
      <c r="AW30" s="2005"/>
      <c r="AX30" s="2005"/>
      <c r="AY30" s="2005"/>
      <c r="AZ30" s="2005"/>
      <c r="BA30" s="2006"/>
      <c r="BB30" s="145"/>
      <c r="BC30" s="436"/>
      <c r="BD30" s="434"/>
      <c r="BE30" s="426">
        <v>0</v>
      </c>
    </row>
    <row r="31" spans="2:57" ht="15" thickBot="1" x14ac:dyDescent="0.35">
      <c r="B31" s="2004" t="s">
        <v>640</v>
      </c>
      <c r="C31" s="2005"/>
      <c r="D31" s="2005"/>
      <c r="E31" s="2005"/>
      <c r="F31" s="2005"/>
      <c r="G31" s="2005"/>
      <c r="H31" s="2005"/>
      <c r="I31" s="2005"/>
      <c r="J31" s="2006"/>
      <c r="K31" s="145"/>
      <c r="L31" s="2108" t="s">
        <v>819</v>
      </c>
      <c r="M31" s="2109"/>
      <c r="N31" s="890">
        <f>IF(D23&lt;100,35,IF(AND(D23&gt;=100,D23&lt;200),40,50))</f>
        <v>40</v>
      </c>
      <c r="P31" s="400"/>
      <c r="Q31" s="53" t="s">
        <v>264</v>
      </c>
      <c r="R31" s="53"/>
      <c r="S31" s="441" t="s">
        <v>192</v>
      </c>
      <c r="T31" s="366" t="s">
        <v>79</v>
      </c>
      <c r="U31" s="367" t="s">
        <v>2</v>
      </c>
      <c r="V31" s="773"/>
      <c r="W31" s="78"/>
      <c r="X31" s="368" t="s">
        <v>641</v>
      </c>
      <c r="Y31" s="399" t="s">
        <v>265</v>
      </c>
      <c r="Z31" s="145"/>
      <c r="AA31" s="465"/>
      <c r="AB31" s="461"/>
      <c r="AC31" s="463">
        <v>0</v>
      </c>
      <c r="AE31" s="400"/>
      <c r="AF31" s="53" t="s">
        <v>264</v>
      </c>
      <c r="AG31" s="53"/>
      <c r="AH31" s="365" t="s">
        <v>192</v>
      </c>
      <c r="AI31" s="366" t="s">
        <v>79</v>
      </c>
      <c r="AJ31" s="2125" t="s">
        <v>654</v>
      </c>
      <c r="AK31" s="2126"/>
      <c r="AL31" s="2127"/>
      <c r="AM31" s="399" t="s">
        <v>265</v>
      </c>
      <c r="AN31" s="145"/>
      <c r="AO31" s="452">
        <f>AI33</f>
        <v>260</v>
      </c>
      <c r="AP31" s="434"/>
      <c r="AQ31" s="450">
        <f>AO31</f>
        <v>260</v>
      </c>
      <c r="AS31" s="400"/>
      <c r="AT31" s="53" t="s">
        <v>264</v>
      </c>
      <c r="AU31" s="53"/>
      <c r="AV31" s="365" t="s">
        <v>192</v>
      </c>
      <c r="AW31" s="366" t="s">
        <v>79</v>
      </c>
      <c r="AX31" s="2125" t="s">
        <v>654</v>
      </c>
      <c r="AY31" s="2126"/>
      <c r="AZ31" s="2127"/>
      <c r="BA31" s="399" t="s">
        <v>265</v>
      </c>
      <c r="BB31" s="145"/>
      <c r="BC31" s="436">
        <f>AW33</f>
        <v>260</v>
      </c>
      <c r="BD31" s="434"/>
      <c r="BE31" s="426">
        <f>BC31</f>
        <v>260</v>
      </c>
    </row>
    <row r="32" spans="2:57" x14ac:dyDescent="0.3">
      <c r="B32" s="400"/>
      <c r="C32" s="1010" t="s">
        <v>45</v>
      </c>
      <c r="D32" s="53"/>
      <c r="E32" s="690"/>
      <c r="F32" s="1011"/>
      <c r="G32" s="721" t="str">
        <f>VLOOKUP(G9,Данные!A3:I27,6,FALSE())</f>
        <v>250010.00001</v>
      </c>
      <c r="H32" s="57"/>
      <c r="I32" s="53"/>
      <c r="J32" s="1012"/>
      <c r="K32" s="145"/>
      <c r="L32" s="42"/>
      <c r="M32" s="42"/>
      <c r="N32" s="891">
        <f>IF(N29=1,N28+N31,N28*N29+N30*N29+N31)</f>
        <v>430</v>
      </c>
      <c r="P32" s="369"/>
      <c r="Q32" s="442" t="s">
        <v>642</v>
      </c>
      <c r="R32" s="321"/>
      <c r="S32" s="408">
        <v>85</v>
      </c>
      <c r="T32" s="2181">
        <v>400</v>
      </c>
      <c r="U32" s="2140" t="str">
        <f>VLOOKUP(S32,Изложницы[],6,FALSE)</f>
        <v>72.11.802</v>
      </c>
      <c r="V32" s="2141"/>
      <c r="W32" s="2142"/>
      <c r="X32" s="61"/>
      <c r="Y32" s="370"/>
      <c r="Z32" s="145"/>
      <c r="AA32" s="465">
        <f>IF(AC24="-------------",T33,VLOOKUP(AC24,Прибыльные_надставки[],6,FALSE()))</f>
        <v>230</v>
      </c>
      <c r="AB32" s="461"/>
      <c r="AC32" s="463">
        <f>AA32</f>
        <v>230</v>
      </c>
      <c r="AE32" s="369"/>
      <c r="AF32" s="87" t="s">
        <v>642</v>
      </c>
      <c r="AG32" s="321"/>
      <c r="AH32" s="408">
        <v>140</v>
      </c>
      <c r="AI32" s="396">
        <v>400</v>
      </c>
      <c r="AJ32" s="2128" t="str">
        <f>VLOOKUP(S32,Изложницы[],6,FALSE)</f>
        <v>72.11.802</v>
      </c>
      <c r="AK32" s="2129"/>
      <c r="AL32" s="2130"/>
      <c r="AM32" s="370"/>
      <c r="AN32" s="145"/>
      <c r="AO32" s="456"/>
      <c r="AP32" s="434"/>
      <c r="AQ32" s="452">
        <f>AO11</f>
        <v>7.5</v>
      </c>
      <c r="AS32" s="369"/>
      <c r="AT32" s="69" t="s">
        <v>651</v>
      </c>
      <c r="AU32" s="321"/>
      <c r="AV32" s="408">
        <v>175</v>
      </c>
      <c r="AW32" s="396">
        <v>260</v>
      </c>
      <c r="AX32" s="2128" t="str">
        <f>VLOOKUP(AV32,Изложницы_без_бурта[],4,FALSE)</f>
        <v>72.11870 - 15</v>
      </c>
      <c r="AY32" s="2129"/>
      <c r="AZ32" s="2130"/>
      <c r="BA32" s="370"/>
      <c r="BB32" s="145"/>
      <c r="BC32" s="433"/>
      <c r="BD32" s="434"/>
      <c r="BE32" s="429">
        <f>BC11</f>
        <v>8.8800000000000008</v>
      </c>
    </row>
    <row r="33" spans="2:58" ht="15" thickBot="1" x14ac:dyDescent="0.35">
      <c r="B33" s="1013"/>
      <c r="C33" s="1010" t="s">
        <v>46</v>
      </c>
      <c r="D33" s="45"/>
      <c r="E33" s="1014"/>
      <c r="F33" s="1015"/>
      <c r="G33" s="136" t="s">
        <v>643</v>
      </c>
      <c r="H33" s="1016"/>
      <c r="I33" s="29"/>
      <c r="J33" s="1012"/>
      <c r="K33" s="145"/>
      <c r="P33" s="19"/>
      <c r="Q33" s="371" t="str">
        <f>IF(A1=FALSE,"Без приб.надставки","Прибыль ")</f>
        <v xml:space="preserve">Прибыль </v>
      </c>
      <c r="R33" s="39"/>
      <c r="S33" s="2182">
        <v>150</v>
      </c>
      <c r="T33" s="2183">
        <v>40</v>
      </c>
      <c r="U33" s="2184" t="str">
        <f>IF(A1=TRUE,AC24,"")</f>
        <v>242.71.642</v>
      </c>
      <c r="V33" s="2185"/>
      <c r="W33" s="2186"/>
      <c r="X33" s="372"/>
      <c r="Y33" s="373"/>
      <c r="Z33" s="145"/>
      <c r="AA33" s="465"/>
      <c r="AB33" s="461"/>
      <c r="AC33" s="462">
        <f>AA11</f>
        <v>7.5</v>
      </c>
      <c r="AE33" s="19"/>
      <c r="AF33" s="63" t="s">
        <v>651</v>
      </c>
      <c r="AG33" s="39"/>
      <c r="AH33" s="397">
        <v>157.5</v>
      </c>
      <c r="AI33" s="397">
        <v>260</v>
      </c>
      <c r="AJ33" s="2112" t="str">
        <f>VLOOKUP(AH33,Изложницы_без_бурта[],4,FALSE)</f>
        <v>72.11870 - 8</v>
      </c>
      <c r="AK33" s="2113"/>
      <c r="AL33" s="2114"/>
      <c r="AM33" s="398"/>
      <c r="AN33" s="145"/>
      <c r="AO33" s="457"/>
      <c r="AP33" s="440"/>
      <c r="AQ33" s="453">
        <f>((AQ28*AQ28-AQ29*AQ29)*3.1415926*AQ31*AQ32+(AQ27*AQ27-AQ28*AQ28)*AQ30*AQ32*3.14)/4000000</f>
        <v>39.04388300239917</v>
      </c>
      <c r="AS33" s="19"/>
      <c r="AT33" s="63" t="s">
        <v>651</v>
      </c>
      <c r="AU33" s="39"/>
      <c r="AV33" s="397">
        <v>175</v>
      </c>
      <c r="AW33" s="397">
        <v>260</v>
      </c>
      <c r="AX33" s="2112" t="str">
        <f>VLOOKUP(AV33,Изложницы_без_бурта[],4,FALSE)</f>
        <v>72.11870 - 15</v>
      </c>
      <c r="AY33" s="2113"/>
      <c r="AZ33" s="2114"/>
      <c r="BA33" s="398"/>
      <c r="BB33" s="145"/>
      <c r="BC33" s="433"/>
      <c r="BD33" s="434"/>
      <c r="BE33" s="432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010" t="s">
        <v>954</v>
      </c>
      <c r="D34" s="53"/>
      <c r="E34" s="1017"/>
      <c r="F34" s="1015"/>
      <c r="G34" s="1094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955</v>
      </c>
      <c r="I34" s="29"/>
      <c r="J34" s="126"/>
      <c r="K34" s="145"/>
      <c r="N34" s="1027"/>
      <c r="P34" s="1"/>
      <c r="Q34" s="2" t="s">
        <v>268</v>
      </c>
      <c r="R34" s="2"/>
      <c r="S34" s="2"/>
      <c r="T34" s="374">
        <f>AC20</f>
        <v>400</v>
      </c>
      <c r="U34" s="2"/>
      <c r="V34" s="2"/>
      <c r="W34" s="2"/>
      <c r="X34" s="375"/>
      <c r="Y34" s="376"/>
      <c r="Z34" s="145"/>
      <c r="AA34" s="466"/>
      <c r="AB34" s="461"/>
      <c r="AC34" s="467">
        <f>((AC29*AC29-AC30*AC30)*3.1415926*AC32*AC33+(AC28*AC28-AC29*AC29)*AC31*AC33*3.14)/4000000</f>
        <v>46.368434154468751</v>
      </c>
      <c r="AE34" s="1"/>
      <c r="AF34" s="2" t="s">
        <v>268</v>
      </c>
      <c r="AG34" s="2"/>
      <c r="AH34" s="2"/>
      <c r="AI34" s="374">
        <f>AI32+AI33</f>
        <v>660</v>
      </c>
      <c r="AJ34" s="2"/>
      <c r="AK34" s="2"/>
      <c r="AL34" s="375"/>
      <c r="AM34" s="376"/>
      <c r="AN34" s="145"/>
      <c r="AO34" s="758" t="s">
        <v>836</v>
      </c>
      <c r="AP34" s="759"/>
      <c r="AQ34" s="760">
        <f>AQ23+AQ33</f>
        <v>95.651454663649176</v>
      </c>
      <c r="AS34" s="1"/>
      <c r="AT34" s="2" t="s">
        <v>268</v>
      </c>
      <c r="AU34" s="2"/>
      <c r="AV34" s="2"/>
      <c r="AW34" s="374">
        <f>AW32+AW33</f>
        <v>520</v>
      </c>
      <c r="AX34" s="2"/>
      <c r="AY34" s="2"/>
      <c r="AZ34" s="375"/>
      <c r="BA34" s="376"/>
      <c r="BB34" s="145"/>
      <c r="BC34" s="758" t="s">
        <v>836</v>
      </c>
      <c r="BD34" s="759"/>
      <c r="BE34" s="760">
        <f>BE23+BE33</f>
        <v>116.63482048411369</v>
      </c>
      <c r="BF34" s="57"/>
    </row>
    <row r="35" spans="2:58" ht="15" thickBot="1" x14ac:dyDescent="0.35">
      <c r="B35" s="4"/>
      <c r="C35" s="1010" t="s">
        <v>51</v>
      </c>
      <c r="D35" s="53"/>
      <c r="E35" s="53"/>
      <c r="F35" s="355"/>
      <c r="G35" s="601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5"/>
      <c r="P35" s="12"/>
      <c r="Q35" s="377" t="s">
        <v>45</v>
      </c>
      <c r="R35" s="69"/>
      <c r="S35" s="69"/>
      <c r="T35" s="69"/>
      <c r="U35" s="377" t="str">
        <f>VLOOKUP(U9,Данные!A3:I27,6,FALSE())</f>
        <v>25010.00176</v>
      </c>
      <c r="V35" s="377"/>
      <c r="W35" s="69"/>
      <c r="X35" s="378"/>
      <c r="Y35" s="379"/>
      <c r="Z35" s="23"/>
      <c r="AA35" s="468" t="s">
        <v>965</v>
      </c>
      <c r="AB35" s="469"/>
      <c r="AC35" s="1071">
        <f>AC34/2</f>
        <v>23.184217077234376</v>
      </c>
      <c r="AE35" s="12"/>
      <c r="AF35" s="377" t="s">
        <v>45</v>
      </c>
      <c r="AG35" s="69"/>
      <c r="AH35" s="69"/>
      <c r="AI35" s="69"/>
      <c r="AJ35" s="377" t="str">
        <f>VLOOKUP(AJ9,Данные!A3:I27,6,FALSE())</f>
        <v>25010.00176</v>
      </c>
      <c r="AK35" s="69"/>
      <c r="AL35" s="378"/>
      <c r="AM35" s="379"/>
      <c r="AN35" s="145"/>
      <c r="AO35" s="58"/>
      <c r="AP35" s="58"/>
      <c r="AQ35" s="911"/>
      <c r="AS35" s="12"/>
      <c r="AT35" s="377" t="s">
        <v>45</v>
      </c>
      <c r="AU35" s="69"/>
      <c r="AV35" s="69"/>
      <c r="AW35" s="69"/>
      <c r="AX35" s="377" t="str">
        <f>VLOOKUP(AX9,Данные!A3:I27,6,FALSE())</f>
        <v>25010.00174</v>
      </c>
      <c r="AY35" s="69"/>
      <c r="AZ35" s="378"/>
      <c r="BA35" s="379"/>
      <c r="BB35" s="145"/>
      <c r="BC35" s="42"/>
      <c r="BD35" s="42"/>
      <c r="BE35" s="57"/>
    </row>
    <row r="36" spans="2:58" ht="15" thickBot="1" x14ac:dyDescent="0.35">
      <c r="B36" s="4"/>
      <c r="C36" s="1010" t="s">
        <v>54</v>
      </c>
      <c r="D36" s="53"/>
      <c r="E36" s="53"/>
      <c r="F36" s="57"/>
      <c r="G36" s="1099">
        <v>1.4999999999999999E-2</v>
      </c>
      <c r="H36" s="57"/>
      <c r="I36" s="27"/>
      <c r="J36" s="26"/>
      <c r="K36" s="23"/>
      <c r="P36" s="19"/>
      <c r="Q36" s="380" t="s">
        <v>46</v>
      </c>
      <c r="R36" s="63"/>
      <c r="S36" s="63"/>
      <c r="T36" s="63"/>
      <c r="U36" s="63" t="s">
        <v>643</v>
      </c>
      <c r="V36" s="63"/>
      <c r="W36" s="63"/>
      <c r="X36" s="381"/>
      <c r="Y36" s="160"/>
      <c r="Z36" s="23"/>
      <c r="AA36" s="42" t="s">
        <v>191</v>
      </c>
      <c r="AB36" s="42"/>
      <c r="AC36" s="1079">
        <f>IF(A1=TRUE,AC22+IF(AB25=TRUE,AC35,AC34),AC22)</f>
        <v>63.391939055718751</v>
      </c>
      <c r="AE36" s="19"/>
      <c r="AF36" s="380" t="s">
        <v>46</v>
      </c>
      <c r="AG36" s="63"/>
      <c r="AH36" s="63"/>
      <c r="AI36" s="63"/>
      <c r="AJ36" s="63" t="s">
        <v>643</v>
      </c>
      <c r="AK36" s="63"/>
      <c r="AL36" s="381"/>
      <c r="AM36" s="160"/>
      <c r="AN36" s="145"/>
      <c r="AO36" s="58"/>
      <c r="AP36" s="58"/>
      <c r="AQ36" s="911"/>
      <c r="AS36" s="19"/>
      <c r="AT36" s="380" t="s">
        <v>46</v>
      </c>
      <c r="AU36" s="63"/>
      <c r="AV36" s="63"/>
      <c r="AW36" s="63"/>
      <c r="AX36" s="63" t="s">
        <v>643</v>
      </c>
      <c r="AY36" s="63"/>
      <c r="AZ36" s="381"/>
      <c r="BA36" s="160"/>
      <c r="BB36" s="145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21" t="s">
        <v>48</v>
      </c>
      <c r="H37" s="57"/>
      <c r="I37" s="27"/>
      <c r="J37" s="26"/>
      <c r="K37" s="23"/>
      <c r="P37" s="4"/>
      <c r="Q37" s="58" t="s">
        <v>270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270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270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1010" t="s">
        <v>49</v>
      </c>
      <c r="D38" s="53"/>
      <c r="E38" s="53"/>
      <c r="F38" s="57"/>
      <c r="G38" s="721" t="s">
        <v>50</v>
      </c>
      <c r="H38" s="57"/>
      <c r="I38" s="28"/>
      <c r="J38" s="26"/>
      <c r="K38" s="23"/>
      <c r="P38" s="4"/>
      <c r="Q38" s="58" t="s">
        <v>271</v>
      </c>
      <c r="R38" s="57"/>
      <c r="S38" s="57"/>
      <c r="T38" s="57"/>
      <c r="U38" s="57"/>
      <c r="V38" s="57"/>
      <c r="W38" s="57"/>
      <c r="X38" s="23"/>
      <c r="Y38" s="24"/>
      <c r="Z38" s="57"/>
      <c r="AA38" s="2122" t="s">
        <v>303</v>
      </c>
      <c r="AB38" s="2123"/>
      <c r="AC38" s="2124"/>
      <c r="AE38" s="4"/>
      <c r="AF38" s="58" t="s">
        <v>271</v>
      </c>
      <c r="AG38" s="57"/>
      <c r="AH38" s="57"/>
      <c r="AI38" s="57"/>
      <c r="AJ38" s="57"/>
      <c r="AK38" s="57"/>
      <c r="AL38" s="23"/>
      <c r="AM38" s="24"/>
      <c r="AN38" s="23"/>
      <c r="AO38" s="2111" t="s">
        <v>303</v>
      </c>
      <c r="AP38" s="2111"/>
      <c r="AQ38" s="2111"/>
      <c r="AS38" s="4"/>
      <c r="AT38" s="58" t="s">
        <v>271</v>
      </c>
      <c r="AU38" s="57"/>
      <c r="AV38" s="57"/>
      <c r="AW38" s="57"/>
      <c r="AX38" s="57"/>
      <c r="AY38" s="57"/>
      <c r="AZ38" s="23"/>
      <c r="BA38" s="24"/>
      <c r="BB38" s="23"/>
      <c r="BC38" s="2111" t="s">
        <v>303</v>
      </c>
      <c r="BD38" s="2111"/>
      <c r="BE38" s="2111"/>
    </row>
    <row r="39" spans="2:58" ht="15" thickBot="1" x14ac:dyDescent="0.35">
      <c r="B39" s="12"/>
      <c r="C39" s="377" t="s">
        <v>270</v>
      </c>
      <c r="D39" s="69"/>
      <c r="E39" s="69"/>
      <c r="F39" s="69"/>
      <c r="G39" s="69"/>
      <c r="H39" s="69"/>
      <c r="I39" s="129"/>
      <c r="J39" s="130"/>
      <c r="K39" s="57"/>
      <c r="P39" s="4"/>
      <c r="Q39" s="58" t="s">
        <v>644</v>
      </c>
      <c r="R39" s="57"/>
      <c r="S39" s="57"/>
      <c r="T39" s="57"/>
      <c r="U39" s="57"/>
      <c r="V39" s="57"/>
      <c r="W39" s="57"/>
      <c r="X39" s="23"/>
      <c r="Y39" s="24"/>
      <c r="Z39" s="57"/>
      <c r="AA39" s="2115" t="s">
        <v>875</v>
      </c>
      <c r="AB39" s="2109"/>
      <c r="AC39" s="1073">
        <f>AA10</f>
        <v>56</v>
      </c>
      <c r="AE39" s="4"/>
      <c r="AF39" s="58" t="s">
        <v>644</v>
      </c>
      <c r="AG39" s="57"/>
      <c r="AH39" s="57"/>
      <c r="AI39" s="57"/>
      <c r="AJ39" s="57"/>
      <c r="AK39" s="57"/>
      <c r="AL39" s="23"/>
      <c r="AM39" s="24"/>
      <c r="AN39" s="23"/>
      <c r="AO39" s="2110" t="s">
        <v>875</v>
      </c>
      <c r="AP39" s="2110"/>
      <c r="AQ39" s="890">
        <f>AO10</f>
        <v>155</v>
      </c>
      <c r="AS39" s="4"/>
      <c r="AT39" s="58" t="s">
        <v>644</v>
      </c>
      <c r="AU39" s="57"/>
      <c r="AV39" s="57"/>
      <c r="AW39" s="57"/>
      <c r="AX39" s="57"/>
      <c r="AY39" s="57"/>
      <c r="AZ39" s="23"/>
      <c r="BA39" s="24"/>
      <c r="BB39" s="23"/>
      <c r="BC39" s="2110" t="s">
        <v>875</v>
      </c>
      <c r="BD39" s="2110"/>
      <c r="BE39" s="890">
        <f>BC10</f>
        <v>520</v>
      </c>
    </row>
    <row r="40" spans="2:58" ht="15" thickBot="1" x14ac:dyDescent="0.35">
      <c r="B40" s="4"/>
      <c r="C40" s="58" t="s">
        <v>271</v>
      </c>
      <c r="D40" s="57"/>
      <c r="E40" s="57"/>
      <c r="F40" s="57"/>
      <c r="G40" s="57"/>
      <c r="H40" s="57"/>
      <c r="I40" s="23"/>
      <c r="J40" s="24"/>
      <c r="K40" s="57"/>
      <c r="P40" s="1599" t="s">
        <v>273</v>
      </c>
      <c r="Q40" s="1600"/>
      <c r="R40" s="1601"/>
      <c r="S40" s="1555" t="s">
        <v>645</v>
      </c>
      <c r="T40" s="1555" t="s">
        <v>275</v>
      </c>
      <c r="U40" s="1555" t="s">
        <v>646</v>
      </c>
      <c r="V40" s="1599" t="s">
        <v>275</v>
      </c>
      <c r="W40" s="1601"/>
      <c r="X40" s="1555" t="s">
        <v>276</v>
      </c>
      <c r="Y40" s="1555" t="s">
        <v>275</v>
      </c>
      <c r="Z40" s="57"/>
      <c r="AA40" s="2115" t="s">
        <v>876</v>
      </c>
      <c r="AB40" s="2109"/>
      <c r="AC40" s="1073">
        <f>U17</f>
        <v>5</v>
      </c>
      <c r="AE40" s="1"/>
      <c r="AF40" s="78" t="s">
        <v>273</v>
      </c>
      <c r="AG40" s="89"/>
      <c r="AH40" s="89" t="s">
        <v>645</v>
      </c>
      <c r="AI40" s="89" t="s">
        <v>275</v>
      </c>
      <c r="AJ40" s="89" t="s">
        <v>646</v>
      </c>
      <c r="AK40" s="89" t="s">
        <v>275</v>
      </c>
      <c r="AL40" s="89" t="s">
        <v>276</v>
      </c>
      <c r="AM40" s="89" t="s">
        <v>275</v>
      </c>
      <c r="AN40" s="57"/>
      <c r="AO40" s="2110" t="s">
        <v>876</v>
      </c>
      <c r="AP40" s="2110"/>
      <c r="AQ40" s="890">
        <f>AJ17</f>
        <v>2</v>
      </c>
      <c r="AS40" s="2004" t="s">
        <v>273</v>
      </c>
      <c r="AT40" s="2005"/>
      <c r="AU40" s="2006"/>
      <c r="AV40" s="89" t="s">
        <v>645</v>
      </c>
      <c r="AW40" s="89" t="s">
        <v>275</v>
      </c>
      <c r="AX40" s="89" t="s">
        <v>646</v>
      </c>
      <c r="AY40" s="89" t="s">
        <v>275</v>
      </c>
      <c r="AZ40" s="89" t="s">
        <v>276</v>
      </c>
      <c r="BA40" s="89" t="s">
        <v>275</v>
      </c>
      <c r="BB40" s="57"/>
      <c r="BC40" s="2110" t="s">
        <v>876</v>
      </c>
      <c r="BD40" s="2110"/>
      <c r="BE40" s="890">
        <f>AX17</f>
        <v>1</v>
      </c>
    </row>
    <row r="41" spans="2:58" ht="15" thickBot="1" x14ac:dyDescent="0.35">
      <c r="B41" s="19"/>
      <c r="C41" s="380" t="s">
        <v>644</v>
      </c>
      <c r="D41" s="63"/>
      <c r="E41" s="63"/>
      <c r="F41" s="63"/>
      <c r="G41" s="63"/>
      <c r="H41" s="63"/>
      <c r="I41" s="135"/>
      <c r="J41" s="70"/>
      <c r="K41" s="57"/>
      <c r="P41" s="1602">
        <f ca="1">TODAY()</f>
        <v>45497</v>
      </c>
      <c r="Q41" s="1603"/>
      <c r="R41" s="1604"/>
      <c r="S41" s="1555" t="s">
        <v>252</v>
      </c>
      <c r="T41" s="1560"/>
      <c r="U41" s="1555" t="s">
        <v>253</v>
      </c>
      <c r="V41" s="2004"/>
      <c r="W41" s="2006"/>
      <c r="X41" s="1555"/>
      <c r="Y41" s="1555"/>
      <c r="Z41" s="57"/>
      <c r="AA41" s="2115" t="s">
        <v>877</v>
      </c>
      <c r="AB41" s="2109"/>
      <c r="AC41" s="1073">
        <f>IF(R23&lt;100,8,IF(AND(R23&gt;=100,R23&lt;200),10,20))</f>
        <v>8</v>
      </c>
      <c r="AE41" s="2116">
        <f ca="1">TODAY()</f>
        <v>45497</v>
      </c>
      <c r="AF41" s="2117"/>
      <c r="AG41" s="2118"/>
      <c r="AH41" s="89" t="s">
        <v>252</v>
      </c>
      <c r="AI41" s="382"/>
      <c r="AJ41" s="89" t="s">
        <v>253</v>
      </c>
      <c r="AK41" s="89"/>
      <c r="AL41" s="89"/>
      <c r="AM41" s="89"/>
      <c r="AN41" s="57"/>
      <c r="AO41" s="2110" t="s">
        <v>877</v>
      </c>
      <c r="AP41" s="2110"/>
      <c r="AQ41" s="890">
        <f>IF(AG23&lt;100,8,IF(AND(AG23&gt;=100,AG23&lt;200),10,20))</f>
        <v>10</v>
      </c>
      <c r="AS41" s="2116">
        <f ca="1">TODAY()</f>
        <v>45497</v>
      </c>
      <c r="AT41" s="2117"/>
      <c r="AU41" s="2118"/>
      <c r="AV41" s="89" t="s">
        <v>252</v>
      </c>
      <c r="AW41" s="382"/>
      <c r="AX41" s="89" t="s">
        <v>253</v>
      </c>
      <c r="AY41" s="89"/>
      <c r="AZ41" s="89"/>
      <c r="BA41" s="89"/>
      <c r="BB41" s="57"/>
      <c r="BC41" s="2110" t="s">
        <v>877</v>
      </c>
      <c r="BD41" s="2110"/>
      <c r="BE41" s="890">
        <f>IF(AU23&lt;100,8,IF(AND(AU23&gt;=100,AU23&lt;200),10,20))</f>
        <v>10</v>
      </c>
    </row>
    <row r="42" spans="2:58" ht="15" thickBot="1" x14ac:dyDescent="0.35">
      <c r="B42" s="1"/>
      <c r="C42" s="78" t="s">
        <v>273</v>
      </c>
      <c r="D42" s="89"/>
      <c r="E42" s="1555" t="s">
        <v>645</v>
      </c>
      <c r="F42" s="1555" t="s">
        <v>275</v>
      </c>
      <c r="G42" s="1555" t="s">
        <v>646</v>
      </c>
      <c r="H42" s="1555" t="s">
        <v>275</v>
      </c>
      <c r="I42" s="1555" t="s">
        <v>276</v>
      </c>
      <c r="J42" s="1555" t="s">
        <v>275</v>
      </c>
      <c r="K42" s="57"/>
      <c r="P42" s="1605" t="s">
        <v>63</v>
      </c>
      <c r="Q42" s="1606"/>
      <c r="R42" s="1607"/>
      <c r="S42" s="89"/>
      <c r="T42" s="72"/>
      <c r="U42" s="89"/>
      <c r="V42" s="2004"/>
      <c r="W42" s="2006"/>
      <c r="X42" s="89"/>
      <c r="Y42" s="89"/>
      <c r="Z42" s="42"/>
      <c r="AA42" s="2115" t="s">
        <v>819</v>
      </c>
      <c r="AB42" s="2109"/>
      <c r="AC42" s="1073">
        <f>IF(R23&lt;100,35,IF(AND(R23&gt;=100,R23&lt;200),40,50))</f>
        <v>35</v>
      </c>
      <c r="AE42" s="1"/>
      <c r="AF42" s="2119" t="s">
        <v>63</v>
      </c>
      <c r="AG42" s="2028"/>
      <c r="AH42" s="89"/>
      <c r="AI42" s="72"/>
      <c r="AJ42" s="89"/>
      <c r="AK42" s="89"/>
      <c r="AL42" s="89"/>
      <c r="AM42" s="89"/>
      <c r="AN42" s="57"/>
      <c r="AO42" s="2110" t="s">
        <v>819</v>
      </c>
      <c r="AP42" s="2110"/>
      <c r="AQ42" s="890">
        <f>IF(AF21&lt;100,35,IF(AND(AF21&gt;=100,AF21&lt;200),40,50))</f>
        <v>35</v>
      </c>
      <c r="AS42" s="2027" t="s">
        <v>63</v>
      </c>
      <c r="AT42" s="2119"/>
      <c r="AU42" s="2028"/>
      <c r="AV42" s="89"/>
      <c r="AW42" s="72"/>
      <c r="AX42" s="89"/>
      <c r="AY42" s="89"/>
      <c r="AZ42" s="89"/>
      <c r="BA42" s="89"/>
      <c r="BB42" s="57"/>
      <c r="BC42" s="2110" t="s">
        <v>819</v>
      </c>
      <c r="BD42" s="2110"/>
      <c r="BE42" s="890">
        <f>IF(AT21&lt;100,35,IF(AND(AT21&gt;=100,AT21&lt;200),40,50))</f>
        <v>35</v>
      </c>
    </row>
    <row r="43" spans="2:58" ht="15" thickBot="1" x14ac:dyDescent="0.35">
      <c r="B43" s="2116">
        <f ca="1">TODAY()</f>
        <v>45497</v>
      </c>
      <c r="C43" s="2117"/>
      <c r="D43" s="2118"/>
      <c r="E43" s="1555" t="s">
        <v>252</v>
      </c>
      <c r="F43" s="1560"/>
      <c r="G43" s="1555" t="s">
        <v>253</v>
      </c>
      <c r="H43" s="1555"/>
      <c r="I43" s="1555" t="s">
        <v>252</v>
      </c>
      <c r="J43" s="1555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75"/>
      <c r="AB43" s="1076"/>
      <c r="AC43" s="1074">
        <f>IF(AC40=1,X28,AC39*AC40+AC41*AC40+AC42)</f>
        <v>355</v>
      </c>
      <c r="AN43" s="57"/>
      <c r="AO43" s="42"/>
      <c r="AP43" s="42"/>
      <c r="AQ43" s="891">
        <f>AQ39*AQ40+AQ41*AQ40+AQ42</f>
        <v>365</v>
      </c>
      <c r="BC43" s="42"/>
      <c r="BD43" s="42"/>
      <c r="BE43" s="891">
        <f>BE39*BE40+BE41*BE40+BE42</f>
        <v>565</v>
      </c>
    </row>
    <row r="44" spans="2:58" ht="15" thickBot="1" x14ac:dyDescent="0.35">
      <c r="B44" s="1"/>
      <c r="C44" s="383" t="s">
        <v>63</v>
      </c>
      <c r="D44" s="89"/>
      <c r="E44" s="89"/>
      <c r="F44" s="72"/>
      <c r="G44" s="89"/>
      <c r="H44" s="89"/>
      <c r="I44" s="89"/>
      <c r="J44" s="89"/>
      <c r="K44" s="57"/>
      <c r="P44" s="1415"/>
      <c r="Q44" s="2007" t="s">
        <v>80</v>
      </c>
      <c r="R44" s="2107"/>
      <c r="S44" s="2107"/>
      <c r="T44" s="2107"/>
      <c r="U44" s="2107"/>
      <c r="V44" s="2107"/>
      <c r="W44" s="2107"/>
      <c r="X44" s="2107"/>
      <c r="Y44" s="2008"/>
      <c r="Z44" s="42"/>
      <c r="AA44" s="468"/>
      <c r="AB44" s="1077"/>
      <c r="AC44" s="68"/>
      <c r="AE44" s="2007" t="s">
        <v>80</v>
      </c>
      <c r="AF44" s="2107"/>
      <c r="AG44" s="2107"/>
      <c r="AH44" s="2107"/>
      <c r="AI44" s="2107"/>
      <c r="AJ44" s="2107"/>
      <c r="AK44" s="2107"/>
      <c r="AL44" s="2107"/>
      <c r="AM44" s="2008"/>
      <c r="AS44" s="811"/>
      <c r="AT44" s="811"/>
      <c r="AU44" s="811"/>
      <c r="AV44" s="811"/>
      <c r="AW44" s="811"/>
      <c r="AX44" s="811"/>
      <c r="AY44" s="811"/>
      <c r="AZ44" s="811"/>
      <c r="BA44" s="811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415"/>
      <c r="Q45" s="2131" t="str">
        <f>VLOOKUP(S32,Изложницы[],5,0)</f>
        <v>прибыль: Ø145/155, h-40</v>
      </c>
      <c r="R45" s="2132"/>
      <c r="S45" s="2132"/>
      <c r="T45" s="2132"/>
      <c r="U45" s="2132"/>
      <c r="V45" s="2132"/>
      <c r="W45" s="2132"/>
      <c r="X45" s="2132"/>
      <c r="Y45" s="2133"/>
      <c r="Z45" s="42"/>
      <c r="AA45" s="42"/>
      <c r="AB45" s="42"/>
      <c r="AE45" s="2143" t="str">
        <f>VLOOKUP(AH32,Изложницы[],5,FALSE)&amp;VLOOKUP(AH32,Изложницы_без_бурта[],5,FALSE)</f>
        <v/>
      </c>
      <c r="AF45" s="2144"/>
      <c r="AG45" s="2144"/>
      <c r="AH45" s="2144"/>
      <c r="AI45" s="2144"/>
      <c r="AJ45" s="2144"/>
      <c r="AK45" s="2144"/>
      <c r="AL45" s="2144"/>
      <c r="AM45" s="2145"/>
      <c r="AO45" s="42"/>
      <c r="AP45" s="42"/>
      <c r="AQ45" s="42"/>
      <c r="AS45" s="931"/>
      <c r="AT45" s="931"/>
      <c r="AU45" s="931"/>
      <c r="AV45" s="931"/>
      <c r="AW45" s="931"/>
      <c r="AX45" s="931"/>
      <c r="AY45" s="931"/>
      <c r="AZ45" s="931"/>
      <c r="BA45" s="931"/>
    </row>
    <row r="46" spans="2:58" ht="14.4" customHeight="1" x14ac:dyDescent="0.3">
      <c r="B46" s="12"/>
      <c r="C46" s="69" t="s">
        <v>956</v>
      </c>
      <c r="D46" s="69"/>
      <c r="E46" s="1547" t="s">
        <v>277</v>
      </c>
      <c r="F46" s="1532" t="s">
        <v>278</v>
      </c>
      <c r="G46" s="1018" t="s">
        <v>278</v>
      </c>
      <c r="H46" s="1561" t="s">
        <v>279</v>
      </c>
      <c r="I46" s="2156" t="s">
        <v>280</v>
      </c>
      <c r="J46" s="2157"/>
      <c r="K46" s="57"/>
      <c r="P46" s="1415"/>
      <c r="Q46" s="2134"/>
      <c r="R46" s="2135"/>
      <c r="S46" s="2135"/>
      <c r="T46" s="2135"/>
      <c r="U46" s="2135"/>
      <c r="V46" s="2135"/>
      <c r="W46" s="2135"/>
      <c r="X46" s="2135"/>
      <c r="Y46" s="2136"/>
      <c r="Z46" s="42"/>
      <c r="AA46" s="42"/>
      <c r="AB46" s="42"/>
      <c r="AC46" s="42"/>
      <c r="AE46" s="2146"/>
      <c r="AF46" s="2147"/>
      <c r="AG46" s="2147"/>
      <c r="AH46" s="2147"/>
      <c r="AI46" s="2147"/>
      <c r="AJ46" s="2147"/>
      <c r="AK46" s="2147"/>
      <c r="AL46" s="2147"/>
      <c r="AM46" s="2148"/>
      <c r="AS46" s="931"/>
      <c r="AT46" s="931"/>
      <c r="AU46" s="931"/>
      <c r="AV46" s="931"/>
      <c r="AW46" s="931"/>
      <c r="AX46" s="931"/>
      <c r="AY46" s="931"/>
      <c r="AZ46" s="931"/>
      <c r="BA46" s="931"/>
    </row>
    <row r="47" spans="2:58" ht="14.4" customHeight="1" thickBot="1" x14ac:dyDescent="0.35">
      <c r="B47" s="4"/>
      <c r="C47" s="58" t="s">
        <v>281</v>
      </c>
      <c r="D47" s="57"/>
      <c r="E47" s="1019" t="s">
        <v>282</v>
      </c>
      <c r="F47" s="388" t="s">
        <v>283</v>
      </c>
      <c r="G47" s="1020" t="s">
        <v>957</v>
      </c>
      <c r="H47" s="388"/>
      <c r="I47" s="2152" t="s">
        <v>958</v>
      </c>
      <c r="J47" s="2153"/>
      <c r="K47" s="57"/>
      <c r="P47" s="1415"/>
      <c r="Q47" s="2134"/>
      <c r="R47" s="2135"/>
      <c r="S47" s="2135"/>
      <c r="T47" s="2135"/>
      <c r="U47" s="2135"/>
      <c r="V47" s="2135"/>
      <c r="W47" s="2135"/>
      <c r="X47" s="2135"/>
      <c r="Y47" s="2136"/>
      <c r="Z47" s="42"/>
      <c r="AA47" s="42"/>
      <c r="AB47" s="42"/>
      <c r="AC47" s="42"/>
      <c r="AE47" s="2146"/>
      <c r="AF47" s="2147"/>
      <c r="AG47" s="2147"/>
      <c r="AH47" s="2147"/>
      <c r="AI47" s="2147"/>
      <c r="AJ47" s="2147"/>
      <c r="AK47" s="2147"/>
      <c r="AL47" s="2147"/>
      <c r="AM47" s="2148"/>
      <c r="AS47" s="931"/>
      <c r="AT47" s="931"/>
      <c r="AU47" s="931"/>
      <c r="AV47" s="931"/>
      <c r="AW47" s="931"/>
      <c r="AX47" s="931"/>
      <c r="AY47" s="931"/>
      <c r="AZ47" s="931"/>
      <c r="BA47" s="931"/>
    </row>
    <row r="48" spans="2:58" ht="14.4" customHeight="1" x14ac:dyDescent="0.3">
      <c r="B48" s="12"/>
      <c r="C48" s="377" t="s">
        <v>959</v>
      </c>
      <c r="D48" s="69"/>
      <c r="E48" s="2158">
        <v>40</v>
      </c>
      <c r="F48" s="2158">
        <v>1</v>
      </c>
      <c r="G48" s="2158">
        <v>20</v>
      </c>
      <c r="H48" s="2158">
        <v>3</v>
      </c>
      <c r="I48" s="2160">
        <f>1.152/G17</f>
        <v>0.23039999999999999</v>
      </c>
      <c r="J48" s="2161"/>
      <c r="K48" s="57"/>
      <c r="P48" s="1415"/>
      <c r="Q48" s="2137"/>
      <c r="R48" s="2138"/>
      <c r="S48" s="2138"/>
      <c r="T48" s="2138"/>
      <c r="U48" s="2138"/>
      <c r="V48" s="2138"/>
      <c r="W48" s="2138"/>
      <c r="X48" s="2138"/>
      <c r="Y48" s="2139"/>
      <c r="Z48" s="42"/>
      <c r="AA48" s="42"/>
      <c r="AB48" s="42"/>
      <c r="AC48" s="42"/>
      <c r="AE48" s="2149"/>
      <c r="AF48" s="2150"/>
      <c r="AG48" s="2150"/>
      <c r="AH48" s="2150"/>
      <c r="AI48" s="2150"/>
      <c r="AJ48" s="2150"/>
      <c r="AK48" s="2150"/>
      <c r="AL48" s="2150"/>
      <c r="AM48" s="2151"/>
      <c r="AS48" s="931"/>
      <c r="AT48" s="931"/>
      <c r="AU48" s="931"/>
      <c r="AV48" s="931"/>
      <c r="AW48" s="931"/>
      <c r="AX48" s="931"/>
      <c r="AY48" s="931"/>
      <c r="AZ48" s="931"/>
      <c r="BA48" s="931"/>
    </row>
    <row r="49" spans="2:31" ht="15" thickBot="1" x14ac:dyDescent="0.35">
      <c r="B49" s="19"/>
      <c r="C49" s="380" t="s">
        <v>960</v>
      </c>
      <c r="D49" s="63"/>
      <c r="E49" s="2159"/>
      <c r="F49" s="2159"/>
      <c r="G49" s="2159"/>
      <c r="H49" s="2159"/>
      <c r="I49" s="2162"/>
      <c r="J49" s="2163"/>
      <c r="AE49" s="930"/>
    </row>
    <row r="54" spans="2:31" x14ac:dyDescent="0.3">
      <c r="C54" s="2007" t="s">
        <v>303</v>
      </c>
      <c r="D54" s="2107"/>
      <c r="E54" s="2008"/>
    </row>
    <row r="55" spans="2:31" x14ac:dyDescent="0.3">
      <c r="C55" s="2108" t="s">
        <v>875</v>
      </c>
      <c r="D55" s="2109"/>
      <c r="E55" s="890">
        <v>3</v>
      </c>
      <c r="K55" s="77"/>
      <c r="P55" s="57"/>
    </row>
    <row r="56" spans="2:31" s="77" customFormat="1" x14ac:dyDescent="0.3">
      <c r="C56" s="2108" t="s">
        <v>876</v>
      </c>
      <c r="D56" s="2109"/>
      <c r="E56" s="890">
        <v>45</v>
      </c>
      <c r="K56" s="42"/>
      <c r="L56" s="1024"/>
      <c r="M56" s="1024"/>
      <c r="N56" s="1024"/>
      <c r="Z56"/>
      <c r="AA56"/>
      <c r="AB56"/>
      <c r="AC56"/>
      <c r="AD56"/>
      <c r="AE56"/>
    </row>
    <row r="57" spans="2:31" x14ac:dyDescent="0.3">
      <c r="C57" s="2108" t="s">
        <v>877</v>
      </c>
      <c r="D57" s="2109"/>
      <c r="E57" s="890">
        <v>4</v>
      </c>
    </row>
    <row r="58" spans="2:31" x14ac:dyDescent="0.3">
      <c r="C58" s="2108" t="s">
        <v>819</v>
      </c>
      <c r="D58" s="2109"/>
      <c r="E58" s="890">
        <v>35</v>
      </c>
      <c r="L58" s="1026"/>
      <c r="M58" s="1026"/>
      <c r="N58" s="1026"/>
    </row>
    <row r="59" spans="2:31" x14ac:dyDescent="0.3">
      <c r="C59" s="1492"/>
      <c r="D59" s="1492"/>
      <c r="E59" s="891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A2:AC2"/>
    <mergeCell ref="AO38:AQ38"/>
    <mergeCell ref="AF4:AJ4"/>
    <mergeCell ref="AE30:AM30"/>
    <mergeCell ref="AA38:AC3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C54:E54"/>
    <mergeCell ref="C55:D55"/>
    <mergeCell ref="C56:D56"/>
    <mergeCell ref="C57:D57"/>
    <mergeCell ref="C58:D58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Таблицы!#REF!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E403"/>
  <sheetViews>
    <sheetView topLeftCell="J136" zoomScale="70" zoomScaleNormal="70" workbookViewId="0">
      <selection activeCell="W172" sqref="W172"/>
    </sheetView>
  </sheetViews>
  <sheetFormatPr defaultColWidth="8.5546875" defaultRowHeight="13.8" x14ac:dyDescent="0.25"/>
  <cols>
    <col min="1" max="1" width="16.33203125" style="54" customWidth="1"/>
    <col min="2" max="2" width="18.109375" style="184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7" ht="14.4" thickBot="1" x14ac:dyDescent="0.3">
      <c r="A1" s="2168" t="s">
        <v>85</v>
      </c>
      <c r="B1" s="2169"/>
      <c r="C1" s="1405"/>
      <c r="D1" s="1405" t="s">
        <v>86</v>
      </c>
      <c r="E1" s="1405"/>
      <c r="F1" s="1405" t="s">
        <v>87</v>
      </c>
      <c r="G1" s="1405" t="s">
        <v>88</v>
      </c>
      <c r="H1" s="1406" t="s">
        <v>89</v>
      </c>
      <c r="I1" s="172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AE1" s="179"/>
      <c r="AF1" s="179"/>
      <c r="AG1" s="179"/>
      <c r="AH1" s="179"/>
      <c r="AI1" s="179"/>
      <c r="AJ1" s="179"/>
      <c r="AK1" s="179"/>
      <c r="AM1" s="111"/>
      <c r="AN1" s="111"/>
      <c r="AO1" s="111"/>
      <c r="AP1" s="111"/>
      <c r="AQ1" s="111"/>
      <c r="AR1" s="111"/>
      <c r="AS1" s="111"/>
      <c r="AT1" s="111"/>
      <c r="AU1" s="111"/>
    </row>
    <row r="2" spans="1:57" ht="16.2" thickBot="1" x14ac:dyDescent="0.35">
      <c r="A2" s="191" t="s">
        <v>1891</v>
      </c>
      <c r="B2" s="191" t="s">
        <v>90</v>
      </c>
      <c r="C2" s="191" t="s">
        <v>91</v>
      </c>
      <c r="D2" s="191" t="s">
        <v>92</v>
      </c>
      <c r="E2" s="191" t="s">
        <v>93</v>
      </c>
      <c r="F2" s="191" t="s">
        <v>1892</v>
      </c>
      <c r="G2" s="191" t="s">
        <v>94</v>
      </c>
      <c r="H2" s="191" t="s">
        <v>1893</v>
      </c>
      <c r="I2" s="179" t="s">
        <v>1894</v>
      </c>
      <c r="J2" s="174" t="s">
        <v>1219</v>
      </c>
      <c r="L2" s="286" t="s">
        <v>396</v>
      </c>
      <c r="M2" s="1769"/>
      <c r="N2" s="286" t="s">
        <v>375</v>
      </c>
      <c r="O2" s="286" t="s">
        <v>374</v>
      </c>
      <c r="P2" s="1769"/>
      <c r="Q2" s="1159"/>
      <c r="R2" s="706" t="s">
        <v>210</v>
      </c>
      <c r="S2" s="1160"/>
      <c r="T2" s="706"/>
      <c r="U2" s="706"/>
      <c r="V2" s="742"/>
      <c r="AE2" s="343"/>
      <c r="AF2" s="343"/>
      <c r="AG2" s="343"/>
      <c r="AH2" s="343"/>
      <c r="AI2" s="1791"/>
      <c r="AJ2" s="1791"/>
      <c r="AK2" s="343"/>
      <c r="AL2" s="111"/>
      <c r="AM2" s="17"/>
      <c r="AN2" s="17"/>
      <c r="AO2" s="358"/>
      <c r="AP2" s="17"/>
      <c r="AQ2" s="17"/>
      <c r="AR2" s="17"/>
      <c r="AS2" s="17"/>
      <c r="AT2" s="17"/>
      <c r="AU2" s="17"/>
      <c r="AV2" s="111"/>
      <c r="AW2" s="1509"/>
      <c r="AX2" s="1509"/>
      <c r="AY2" s="1509"/>
      <c r="AZ2" s="1509"/>
      <c r="BA2" s="1509"/>
      <c r="BB2" s="1509"/>
      <c r="BC2" s="1509"/>
      <c r="BD2" s="1509"/>
      <c r="BE2" s="1510"/>
    </row>
    <row r="3" spans="1:57" ht="15.6" x14ac:dyDescent="0.3">
      <c r="A3" s="191" t="s">
        <v>6</v>
      </c>
      <c r="B3" s="191" t="s">
        <v>106</v>
      </c>
      <c r="C3" s="191" t="s">
        <v>106</v>
      </c>
      <c r="D3" s="191" t="s">
        <v>106</v>
      </c>
      <c r="E3" s="191" t="s">
        <v>106</v>
      </c>
      <c r="F3" s="191" t="s">
        <v>107</v>
      </c>
      <c r="G3" s="191" t="s">
        <v>83</v>
      </c>
      <c r="H3" s="191" t="s">
        <v>108</v>
      </c>
      <c r="I3" s="1647">
        <v>9.1</v>
      </c>
      <c r="J3" s="111">
        <v>3</v>
      </c>
      <c r="L3" s="286">
        <v>45</v>
      </c>
      <c r="M3" s="1720"/>
      <c r="N3" s="286">
        <v>140</v>
      </c>
      <c r="O3" s="286" t="s">
        <v>376</v>
      </c>
      <c r="P3" s="1720"/>
      <c r="Q3" s="176"/>
      <c r="R3" s="258"/>
      <c r="S3" s="1157" t="s">
        <v>211</v>
      </c>
      <c r="T3" s="1157"/>
      <c r="U3" s="1157" t="s">
        <v>212</v>
      </c>
      <c r="V3" s="1158"/>
      <c r="AE3" s="343"/>
      <c r="AF3" s="343"/>
      <c r="AG3" s="343"/>
      <c r="AH3" s="343"/>
      <c r="AI3" s="343"/>
      <c r="AJ3" s="343"/>
      <c r="AK3" s="179"/>
      <c r="AL3" s="111"/>
      <c r="AM3" s="111"/>
      <c r="AN3" s="111"/>
      <c r="AO3" s="111"/>
      <c r="AP3" s="111"/>
      <c r="AQ3" s="111"/>
      <c r="AR3" s="111"/>
      <c r="AS3" s="111"/>
      <c r="AT3" s="111"/>
      <c r="AU3" s="111"/>
      <c r="AV3" s="111"/>
      <c r="AW3" s="1502"/>
      <c r="AX3" s="1503"/>
      <c r="AY3" s="1503"/>
      <c r="AZ3" s="1503"/>
      <c r="BA3" s="1503"/>
      <c r="BB3" s="1503"/>
      <c r="BC3" s="1504"/>
      <c r="BD3" s="42"/>
    </row>
    <row r="4" spans="1:57" ht="15.6" x14ac:dyDescent="0.3">
      <c r="A4" s="191" t="s">
        <v>21</v>
      </c>
      <c r="B4" s="191" t="s">
        <v>109</v>
      </c>
      <c r="C4" s="191" t="s">
        <v>109</v>
      </c>
      <c r="D4" s="191" t="s">
        <v>109</v>
      </c>
      <c r="E4" s="191" t="s">
        <v>109</v>
      </c>
      <c r="F4" s="191" t="s">
        <v>107</v>
      </c>
      <c r="G4" s="191" t="s">
        <v>110</v>
      </c>
      <c r="H4" s="191" t="s">
        <v>108</v>
      </c>
      <c r="I4" s="1647">
        <v>9.3000000000000007</v>
      </c>
      <c r="J4" s="111">
        <v>3</v>
      </c>
      <c r="L4" s="286">
        <v>50</v>
      </c>
      <c r="M4" s="1720"/>
      <c r="N4" s="286">
        <v>185</v>
      </c>
      <c r="O4" s="286" t="s">
        <v>377</v>
      </c>
      <c r="P4" s="1720"/>
      <c r="Q4" s="111" t="s">
        <v>1895</v>
      </c>
      <c r="R4" s="256" t="s">
        <v>214</v>
      </c>
      <c r="S4" s="257" t="s">
        <v>233</v>
      </c>
      <c r="T4" s="257" t="s">
        <v>213</v>
      </c>
      <c r="U4" s="257" t="s">
        <v>1896</v>
      </c>
      <c r="V4" s="257" t="s">
        <v>1897</v>
      </c>
      <c r="AE4" s="343"/>
      <c r="AF4" s="343"/>
      <c r="AG4" s="343"/>
      <c r="AH4" s="343"/>
      <c r="AI4" s="343"/>
      <c r="AJ4" s="343"/>
      <c r="AK4" s="179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11"/>
      <c r="AW4" s="1502"/>
      <c r="AX4" s="1503"/>
      <c r="AY4" s="1503"/>
      <c r="AZ4" s="1503"/>
      <c r="BA4" s="1503"/>
      <c r="BB4" s="1503"/>
      <c r="BC4" s="1504"/>
      <c r="BD4" s="42"/>
    </row>
    <row r="5" spans="1:57" ht="15.6" x14ac:dyDescent="0.3">
      <c r="A5" s="191" t="s">
        <v>17</v>
      </c>
      <c r="B5" s="191" t="s">
        <v>109</v>
      </c>
      <c r="C5" s="191" t="s">
        <v>109</v>
      </c>
      <c r="D5" s="191" t="s">
        <v>109</v>
      </c>
      <c r="E5" s="191" t="s">
        <v>109</v>
      </c>
      <c r="F5" s="191" t="s">
        <v>111</v>
      </c>
      <c r="G5" s="191"/>
      <c r="H5" s="191" t="b">
        <f>G37</f>
        <v>0</v>
      </c>
      <c r="I5" s="1647">
        <v>8.8800000000000008</v>
      </c>
      <c r="J5" s="111">
        <v>2.6</v>
      </c>
      <c r="L5" s="286">
        <v>55</v>
      </c>
      <c r="M5" s="1720"/>
      <c r="N5" s="286">
        <v>285</v>
      </c>
      <c r="O5" s="286" t="s">
        <v>378</v>
      </c>
      <c r="P5" s="1720"/>
      <c r="Q5" s="111">
        <v>1</v>
      </c>
      <c r="R5" s="258" t="s">
        <v>215</v>
      </c>
      <c r="S5" s="1142" t="s">
        <v>234</v>
      </c>
      <c r="T5" s="1142">
        <v>0.5</v>
      </c>
      <c r="U5" s="1142" t="s">
        <v>240</v>
      </c>
      <c r="V5" s="1142">
        <v>1</v>
      </c>
      <c r="AE5" s="343"/>
      <c r="AF5" s="1792"/>
      <c r="AG5" s="343"/>
      <c r="AH5" s="343"/>
      <c r="AI5" s="343"/>
      <c r="AJ5" s="343"/>
      <c r="AK5" s="179"/>
      <c r="AL5" s="111"/>
      <c r="AM5" s="111"/>
      <c r="AN5" s="111"/>
      <c r="AO5" s="111"/>
      <c r="AP5" s="111"/>
      <c r="AQ5" s="111"/>
      <c r="AR5" s="111"/>
      <c r="AS5" s="111"/>
      <c r="AT5" s="111"/>
      <c r="AU5" s="111"/>
      <c r="AV5" s="111"/>
      <c r="AW5" s="1502"/>
      <c r="AX5" s="1503"/>
      <c r="AY5" s="1505"/>
      <c r="AZ5" s="1503"/>
      <c r="BA5" s="1503"/>
      <c r="BB5" s="1503"/>
      <c r="BC5" s="1504"/>
      <c r="BD5" s="42"/>
    </row>
    <row r="6" spans="1:57" ht="15.6" x14ac:dyDescent="0.3">
      <c r="A6" s="191" t="s">
        <v>1234</v>
      </c>
      <c r="B6" s="191" t="s">
        <v>113</v>
      </c>
      <c r="C6" s="191" t="s">
        <v>113</v>
      </c>
      <c r="D6" s="191" t="s">
        <v>113</v>
      </c>
      <c r="E6" s="191" t="s">
        <v>113</v>
      </c>
      <c r="F6" s="191" t="s">
        <v>114</v>
      </c>
      <c r="G6" s="191"/>
      <c r="H6" s="191" t="s">
        <v>112</v>
      </c>
      <c r="I6" s="1647">
        <v>8.6999999999999993</v>
      </c>
      <c r="J6" s="111">
        <v>3</v>
      </c>
      <c r="L6" s="286">
        <v>60</v>
      </c>
      <c r="M6" s="1720"/>
      <c r="N6" s="286">
        <v>312</v>
      </c>
      <c r="O6" s="286" t="s">
        <v>379</v>
      </c>
      <c r="P6" s="1720"/>
      <c r="Q6" s="111">
        <v>2</v>
      </c>
      <c r="R6" s="258" t="s">
        <v>216</v>
      </c>
      <c r="S6" s="1142" t="s">
        <v>235</v>
      </c>
      <c r="T6" s="1142">
        <v>1</v>
      </c>
      <c r="U6" s="1142" t="s">
        <v>234</v>
      </c>
      <c r="V6" s="1142">
        <v>1.3</v>
      </c>
      <c r="AE6" s="343"/>
      <c r="AF6" s="1792"/>
      <c r="AG6" s="343"/>
      <c r="AH6" s="343"/>
      <c r="AI6" s="343"/>
      <c r="AJ6" s="343"/>
      <c r="AK6" s="179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502"/>
      <c r="AX6" s="1503"/>
      <c r="AY6" s="1503"/>
      <c r="AZ6" s="1503"/>
      <c r="BA6" s="1506"/>
      <c r="BB6" s="1503"/>
      <c r="BC6" s="1504"/>
      <c r="BD6" s="42"/>
    </row>
    <row r="7" spans="1:57" ht="15.6" x14ac:dyDescent="0.3">
      <c r="A7" s="1647" t="s">
        <v>754</v>
      </c>
      <c r="B7" s="191" t="s">
        <v>113</v>
      </c>
      <c r="C7" s="191" t="s">
        <v>113</v>
      </c>
      <c r="D7" s="191" t="s">
        <v>113</v>
      </c>
      <c r="E7" s="191" t="s">
        <v>113</v>
      </c>
      <c r="F7" s="191" t="s">
        <v>107</v>
      </c>
      <c r="G7" s="191"/>
      <c r="H7" s="191" t="s">
        <v>108</v>
      </c>
      <c r="I7" s="1647">
        <v>9.1999999999999993</v>
      </c>
      <c r="J7" s="111">
        <v>3</v>
      </c>
      <c r="L7" s="286">
        <v>65</v>
      </c>
      <c r="M7" s="1720"/>
      <c r="N7" s="286">
        <v>375</v>
      </c>
      <c r="O7" s="286" t="s">
        <v>380</v>
      </c>
      <c r="P7" s="1720"/>
      <c r="Q7" s="111">
        <v>3</v>
      </c>
      <c r="R7" s="258" t="s">
        <v>217</v>
      </c>
      <c r="S7" s="1142" t="s">
        <v>236</v>
      </c>
      <c r="T7" s="1142">
        <v>1.3</v>
      </c>
      <c r="U7" s="1142" t="s">
        <v>235</v>
      </c>
      <c r="V7" s="1142">
        <v>1.7</v>
      </c>
      <c r="AE7" s="1792"/>
      <c r="AF7" s="1792"/>
      <c r="AG7" s="343"/>
      <c r="AH7" s="343"/>
      <c r="AI7" s="343"/>
      <c r="AJ7" s="343"/>
      <c r="AK7" s="179"/>
      <c r="AL7" s="111"/>
      <c r="AM7" s="111"/>
      <c r="AN7" s="111"/>
      <c r="AO7" s="111"/>
      <c r="AP7" s="111"/>
      <c r="AQ7" s="111"/>
      <c r="AR7" s="111"/>
      <c r="AS7" s="111"/>
      <c r="AT7" s="111"/>
      <c r="AU7" s="111"/>
      <c r="AV7" s="111"/>
      <c r="AW7" s="1502"/>
      <c r="AX7" s="1503"/>
      <c r="AY7" s="1503"/>
      <c r="AZ7" s="1503"/>
      <c r="BA7" s="1503"/>
      <c r="BB7" s="1503"/>
      <c r="BC7" s="1504"/>
      <c r="BD7" s="42"/>
    </row>
    <row r="8" spans="1:57" ht="15.6" x14ac:dyDescent="0.3">
      <c r="A8" s="1647" t="s">
        <v>15</v>
      </c>
      <c r="B8" s="191" t="s">
        <v>113</v>
      </c>
      <c r="C8" s="191" t="s">
        <v>113</v>
      </c>
      <c r="D8" s="191" t="s">
        <v>113</v>
      </c>
      <c r="E8" s="191" t="s">
        <v>113</v>
      </c>
      <c r="F8" s="191" t="s">
        <v>668</v>
      </c>
      <c r="G8" s="191"/>
      <c r="H8" s="191" t="s">
        <v>112</v>
      </c>
      <c r="I8" s="1647">
        <v>9.1999999999999993</v>
      </c>
      <c r="J8" s="111">
        <v>3</v>
      </c>
      <c r="L8" s="286">
        <v>70</v>
      </c>
      <c r="M8" s="1720"/>
      <c r="N8" s="286">
        <v>339</v>
      </c>
      <c r="O8" s="286" t="s">
        <v>394</v>
      </c>
      <c r="P8" s="1720"/>
      <c r="Q8" s="111">
        <v>4</v>
      </c>
      <c r="R8" s="258" t="s">
        <v>218</v>
      </c>
      <c r="S8" s="1142" t="s">
        <v>237</v>
      </c>
      <c r="T8" s="1142">
        <v>1.7</v>
      </c>
      <c r="U8" s="1142" t="s">
        <v>236</v>
      </c>
      <c r="V8" s="1142">
        <v>2.5</v>
      </c>
      <c r="AE8" s="343"/>
      <c r="AF8" s="1792"/>
      <c r="AG8" s="343"/>
      <c r="AH8" s="343"/>
      <c r="AI8" s="343"/>
      <c r="AJ8" s="343"/>
      <c r="AK8" s="179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502"/>
      <c r="AX8" s="1503"/>
      <c r="AY8" s="1503"/>
      <c r="AZ8" s="1503"/>
      <c r="BA8" s="1503"/>
      <c r="BB8" s="1503"/>
      <c r="BC8" s="1504"/>
      <c r="BD8" s="42"/>
    </row>
    <row r="9" spans="1:57" ht="15.6" x14ac:dyDescent="0.3">
      <c r="A9" s="1647" t="s">
        <v>10</v>
      </c>
      <c r="B9" s="191" t="s">
        <v>113</v>
      </c>
      <c r="C9" s="191" t="s">
        <v>113</v>
      </c>
      <c r="D9" s="191" t="s">
        <v>113</v>
      </c>
      <c r="E9" s="191" t="s">
        <v>113</v>
      </c>
      <c r="F9" s="191" t="s">
        <v>107</v>
      </c>
      <c r="G9" s="191"/>
      <c r="H9" s="191" t="s">
        <v>108</v>
      </c>
      <c r="I9" s="1647">
        <v>9.1</v>
      </c>
      <c r="J9" s="111">
        <v>3</v>
      </c>
      <c r="L9" s="286">
        <v>75</v>
      </c>
      <c r="M9" s="1720"/>
      <c r="N9" s="286">
        <v>360</v>
      </c>
      <c r="O9" s="286" t="s">
        <v>381</v>
      </c>
      <c r="P9" s="1720"/>
      <c r="Q9" s="111">
        <v>5</v>
      </c>
      <c r="R9" s="258" t="s">
        <v>219</v>
      </c>
      <c r="S9" s="1142" t="s">
        <v>237</v>
      </c>
      <c r="T9" s="1142">
        <v>2</v>
      </c>
      <c r="U9" s="1142" t="s">
        <v>237</v>
      </c>
      <c r="V9" s="1142">
        <v>3</v>
      </c>
      <c r="AE9" s="343"/>
      <c r="AF9" s="343"/>
      <c r="AG9" s="343"/>
      <c r="AH9" s="343"/>
      <c r="AI9" s="343"/>
      <c r="AJ9" s="343"/>
      <c r="AK9" s="179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630"/>
      <c r="AX9" s="1348"/>
      <c r="AY9" s="1348"/>
      <c r="AZ9" s="1348"/>
      <c r="BA9" s="1348"/>
      <c r="BB9" s="1348"/>
      <c r="BC9" s="1348"/>
      <c r="BD9"/>
    </row>
    <row r="10" spans="1:57" ht="15.6" x14ac:dyDescent="0.3">
      <c r="A10" s="191" t="s">
        <v>12</v>
      </c>
      <c r="B10" s="191" t="s">
        <v>109</v>
      </c>
      <c r="C10" s="191" t="s">
        <v>109</v>
      </c>
      <c r="D10" s="191" t="s">
        <v>109</v>
      </c>
      <c r="E10" s="191" t="s">
        <v>109</v>
      </c>
      <c r="F10" s="191" t="s">
        <v>115</v>
      </c>
      <c r="G10" s="191"/>
      <c r="H10" s="191" t="b">
        <f>G37</f>
        <v>0</v>
      </c>
      <c r="I10" s="1647">
        <v>8.8800000000000008</v>
      </c>
      <c r="J10" s="111">
        <v>3</v>
      </c>
      <c r="L10" s="1720"/>
      <c r="M10" s="1720"/>
      <c r="N10" s="286">
        <v>400</v>
      </c>
      <c r="O10" s="286" t="s">
        <v>382</v>
      </c>
      <c r="P10" s="1720"/>
      <c r="Q10" s="111">
        <v>6</v>
      </c>
      <c r="R10" s="258" t="s">
        <v>220</v>
      </c>
      <c r="S10" s="1142" t="s">
        <v>238</v>
      </c>
      <c r="T10" s="1142">
        <v>2.5</v>
      </c>
      <c r="U10" s="1142" t="s">
        <v>237</v>
      </c>
      <c r="V10" s="1142">
        <v>3.5</v>
      </c>
      <c r="AE10" s="343"/>
      <c r="AF10" s="1792"/>
      <c r="AG10" s="343"/>
      <c r="AH10" s="343"/>
      <c r="AI10" s="343"/>
      <c r="AJ10" s="343"/>
      <c r="AK10" s="179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502"/>
      <c r="AX10" s="1503"/>
      <c r="AY10" s="1503"/>
      <c r="AZ10" s="1503"/>
      <c r="BA10" s="1507"/>
      <c r="BB10" s="1507"/>
      <c r="BC10" s="1508"/>
    </row>
    <row r="11" spans="1:57" ht="15.6" x14ac:dyDescent="0.3">
      <c r="A11" s="179" t="s">
        <v>493</v>
      </c>
      <c r="B11" s="191" t="s">
        <v>109</v>
      </c>
      <c r="C11" s="191" t="s">
        <v>109</v>
      </c>
      <c r="D11" s="191" t="s">
        <v>109</v>
      </c>
      <c r="E11" s="191" t="s">
        <v>109</v>
      </c>
      <c r="F11" s="191" t="s">
        <v>115</v>
      </c>
      <c r="G11" s="191"/>
      <c r="H11" s="191" t="b">
        <f>G37</f>
        <v>0</v>
      </c>
      <c r="I11" s="1647">
        <v>8.8800000000000008</v>
      </c>
      <c r="J11" s="111">
        <v>3</v>
      </c>
      <c r="L11" s="1720"/>
      <c r="M11" s="1720"/>
      <c r="N11" s="286">
        <v>420</v>
      </c>
      <c r="O11" s="286" t="s">
        <v>383</v>
      </c>
      <c r="P11" s="1720"/>
      <c r="Q11" s="111">
        <v>7</v>
      </c>
      <c r="R11" s="258" t="s">
        <v>221</v>
      </c>
      <c r="S11" s="1142" t="s">
        <v>238</v>
      </c>
      <c r="T11" s="1142">
        <v>3</v>
      </c>
      <c r="U11" s="1142" t="s">
        <v>237</v>
      </c>
      <c r="V11" s="1142">
        <v>4.3</v>
      </c>
      <c r="AE11" s="343"/>
      <c r="AF11" s="343"/>
      <c r="AG11" s="343"/>
      <c r="AH11" s="343"/>
      <c r="AI11" s="343"/>
      <c r="AJ11" s="343"/>
      <c r="AK11" s="179"/>
      <c r="AL11" s="111"/>
      <c r="AM11" s="111"/>
      <c r="AN11" s="111"/>
      <c r="AO11" s="111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</row>
    <row r="12" spans="1:57" ht="15.6" x14ac:dyDescent="0.3">
      <c r="A12" s="191" t="s">
        <v>29</v>
      </c>
      <c r="B12" s="191" t="s">
        <v>118</v>
      </c>
      <c r="C12" s="191" t="s">
        <v>118</v>
      </c>
      <c r="D12" s="191" t="s">
        <v>118</v>
      </c>
      <c r="E12" s="191" t="s">
        <v>118</v>
      </c>
      <c r="F12" s="191" t="s">
        <v>120</v>
      </c>
      <c r="G12" s="191"/>
      <c r="H12" s="191" t="s">
        <v>121</v>
      </c>
      <c r="I12" s="1647">
        <v>8.1</v>
      </c>
      <c r="J12" s="111">
        <v>2.6</v>
      </c>
      <c r="L12" s="1720"/>
      <c r="M12" s="1720"/>
      <c r="N12" s="286">
        <v>450</v>
      </c>
      <c r="O12" s="286" t="s">
        <v>384</v>
      </c>
      <c r="P12" s="1720"/>
      <c r="Q12" s="111">
        <v>8</v>
      </c>
      <c r="R12" s="258" t="s">
        <v>222</v>
      </c>
      <c r="S12" s="1142" t="s">
        <v>238</v>
      </c>
      <c r="T12" s="1142">
        <v>3.5</v>
      </c>
      <c r="U12" s="1142" t="s">
        <v>237</v>
      </c>
      <c r="V12" s="1142">
        <v>5.3</v>
      </c>
      <c r="AE12" s="343"/>
      <c r="AF12" s="343"/>
      <c r="AG12" s="343"/>
      <c r="AH12" s="343"/>
      <c r="AI12" s="343"/>
      <c r="AJ12" s="343"/>
      <c r="AK12" s="179"/>
      <c r="AL12" s="111"/>
      <c r="AM12" s="111"/>
      <c r="AN12" s="111"/>
      <c r="AO12" s="111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</row>
    <row r="13" spans="1:57" ht="15.6" x14ac:dyDescent="0.3">
      <c r="A13" s="191" t="s">
        <v>27</v>
      </c>
      <c r="B13" s="191" t="s">
        <v>118</v>
      </c>
      <c r="C13" s="191" t="s">
        <v>118</v>
      </c>
      <c r="D13" s="191" t="s">
        <v>118</v>
      </c>
      <c r="E13" s="191" t="s">
        <v>118</v>
      </c>
      <c r="F13" s="191" t="s">
        <v>120</v>
      </c>
      <c r="G13" s="191"/>
      <c r="H13" s="191" t="s">
        <v>121</v>
      </c>
      <c r="I13" s="1647">
        <v>7.8</v>
      </c>
      <c r="J13" s="111">
        <v>2.6</v>
      </c>
      <c r="L13" s="1720"/>
      <c r="M13" s="1720"/>
      <c r="N13" s="286">
        <v>470</v>
      </c>
      <c r="O13" s="286" t="s">
        <v>385</v>
      </c>
      <c r="P13" s="1720"/>
      <c r="Q13" s="111">
        <v>9</v>
      </c>
      <c r="R13" s="258" t="s">
        <v>223</v>
      </c>
      <c r="S13" s="1142" t="s">
        <v>238</v>
      </c>
      <c r="T13" s="1142">
        <v>4</v>
      </c>
      <c r="U13" s="1142" t="s">
        <v>237</v>
      </c>
      <c r="V13" s="1142">
        <v>6</v>
      </c>
      <c r="AE13" s="1792"/>
      <c r="AF13" s="343"/>
      <c r="AG13" s="343"/>
      <c r="AH13" s="343"/>
      <c r="AI13" s="343"/>
      <c r="AJ13" s="343"/>
      <c r="AK13" s="179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</row>
    <row r="14" spans="1:57" ht="15.6" x14ac:dyDescent="0.3">
      <c r="A14" s="1647" t="s">
        <v>35</v>
      </c>
      <c r="B14" s="191" t="s">
        <v>118</v>
      </c>
      <c r="C14" s="191" t="s">
        <v>118</v>
      </c>
      <c r="D14" s="191" t="s">
        <v>118</v>
      </c>
      <c r="E14" s="191" t="s">
        <v>118</v>
      </c>
      <c r="F14" s="191" t="s">
        <v>120</v>
      </c>
      <c r="G14" s="191"/>
      <c r="H14" s="191" t="s">
        <v>121</v>
      </c>
      <c r="I14" s="1647">
        <v>7.8</v>
      </c>
      <c r="J14" s="111">
        <v>2.6</v>
      </c>
      <c r="L14" s="1720"/>
      <c r="M14" s="1720"/>
      <c r="N14" s="286">
        <v>500</v>
      </c>
      <c r="O14" s="286" t="s">
        <v>386</v>
      </c>
      <c r="P14" s="1720"/>
      <c r="Q14" s="111">
        <v>10</v>
      </c>
      <c r="R14" s="258" t="s">
        <v>224</v>
      </c>
      <c r="S14" s="1142" t="s">
        <v>239</v>
      </c>
      <c r="T14" s="1142">
        <v>4.5</v>
      </c>
      <c r="U14" s="1142" t="s">
        <v>238</v>
      </c>
      <c r="V14" s="1142">
        <v>6.5</v>
      </c>
      <c r="AE14" s="343"/>
      <c r="AF14" s="1792"/>
      <c r="AG14" s="343"/>
      <c r="AH14" s="343"/>
      <c r="AI14" s="343"/>
      <c r="AJ14" s="343"/>
      <c r="AK14" s="179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</row>
    <row r="15" spans="1:57" ht="15.6" x14ac:dyDescent="0.3">
      <c r="A15" s="1647" t="s">
        <v>31</v>
      </c>
      <c r="B15" s="191" t="s">
        <v>118</v>
      </c>
      <c r="C15" s="191" t="s">
        <v>118</v>
      </c>
      <c r="D15" s="191" t="s">
        <v>118</v>
      </c>
      <c r="E15" s="191" t="s">
        <v>118</v>
      </c>
      <c r="F15" s="191" t="s">
        <v>120</v>
      </c>
      <c r="G15" s="191"/>
      <c r="H15" s="191" t="s">
        <v>121</v>
      </c>
      <c r="I15" s="1647">
        <v>7.6</v>
      </c>
      <c r="J15" s="111">
        <v>2.6</v>
      </c>
      <c r="L15" s="1720"/>
      <c r="M15" s="1720"/>
      <c r="N15" s="286">
        <v>520</v>
      </c>
      <c r="O15" s="286" t="s">
        <v>387</v>
      </c>
      <c r="P15" s="1720"/>
      <c r="Q15" s="111">
        <v>11</v>
      </c>
      <c r="R15" s="258" t="s">
        <v>225</v>
      </c>
      <c r="S15" s="1142" t="s">
        <v>239</v>
      </c>
      <c r="T15" s="1142">
        <v>5.3</v>
      </c>
      <c r="U15" s="1142" t="s">
        <v>238</v>
      </c>
      <c r="V15" s="1142">
        <v>7</v>
      </c>
      <c r="AE15" s="343"/>
      <c r="AF15" s="343"/>
      <c r="AG15" s="343"/>
      <c r="AH15" s="343"/>
      <c r="AI15" s="343"/>
      <c r="AJ15" s="343"/>
      <c r="AK15" s="179"/>
      <c r="AL15" s="111"/>
      <c r="AM15" s="111"/>
      <c r="AN15" s="111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</row>
    <row r="16" spans="1:57" ht="15.6" x14ac:dyDescent="0.3">
      <c r="A16" s="191" t="s">
        <v>122</v>
      </c>
      <c r="B16" s="191" t="s">
        <v>123</v>
      </c>
      <c r="C16" s="191" t="s">
        <v>123</v>
      </c>
      <c r="D16" s="191" t="s">
        <v>123</v>
      </c>
      <c r="E16" s="191" t="s">
        <v>123</v>
      </c>
      <c r="F16" s="191" t="s">
        <v>124</v>
      </c>
      <c r="G16" s="191"/>
      <c r="H16" s="191" t="s">
        <v>112</v>
      </c>
      <c r="I16" s="1647">
        <v>8.5</v>
      </c>
      <c r="J16" s="111">
        <v>2.6</v>
      </c>
      <c r="L16" s="1720"/>
      <c r="M16" s="1720"/>
      <c r="N16" s="286">
        <v>550</v>
      </c>
      <c r="O16" s="286" t="s">
        <v>388</v>
      </c>
      <c r="P16" s="1720"/>
      <c r="Q16" s="111">
        <v>12</v>
      </c>
      <c r="R16" s="258" t="s">
        <v>226</v>
      </c>
      <c r="S16" s="1142" t="s">
        <v>239</v>
      </c>
      <c r="T16" s="1142">
        <v>6.7</v>
      </c>
      <c r="U16" s="1142" t="s">
        <v>238</v>
      </c>
      <c r="V16" s="1142">
        <v>7.5</v>
      </c>
      <c r="AE16" s="343"/>
      <c r="AF16" s="343"/>
      <c r="AG16" s="343"/>
      <c r="AH16" s="343"/>
      <c r="AI16" s="343"/>
      <c r="AJ16" s="343"/>
      <c r="AK16" s="179"/>
      <c r="AL16" s="111"/>
      <c r="AM16" s="111"/>
      <c r="AN16" s="111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</row>
    <row r="17" spans="1:52" ht="15.6" x14ac:dyDescent="0.3">
      <c r="A17" s="191" t="s">
        <v>116</v>
      </c>
      <c r="B17" s="191" t="s">
        <v>117</v>
      </c>
      <c r="C17" s="191" t="s">
        <v>118</v>
      </c>
      <c r="D17" s="191" t="s">
        <v>109</v>
      </c>
      <c r="E17" s="191" t="s">
        <v>119</v>
      </c>
      <c r="F17" s="191" t="s">
        <v>120</v>
      </c>
      <c r="G17" s="191"/>
      <c r="H17" s="191" t="s">
        <v>121</v>
      </c>
      <c r="I17" s="1647">
        <v>7.5</v>
      </c>
      <c r="J17" s="111">
        <v>2.6</v>
      </c>
      <c r="L17" s="1720"/>
      <c r="M17" s="1720"/>
      <c r="N17" s="286">
        <v>570</v>
      </c>
      <c r="O17" s="286" t="s">
        <v>389</v>
      </c>
      <c r="P17" s="1720"/>
      <c r="Q17" s="111">
        <v>13</v>
      </c>
      <c r="R17" s="258" t="s">
        <v>227</v>
      </c>
      <c r="S17" s="1142" t="s">
        <v>239</v>
      </c>
      <c r="T17" s="1142">
        <v>7</v>
      </c>
      <c r="U17" s="1142" t="s">
        <v>238</v>
      </c>
      <c r="V17" s="1142">
        <v>8</v>
      </c>
      <c r="AE17" s="343"/>
      <c r="AF17" s="343"/>
      <c r="AG17" s="343"/>
      <c r="AH17" s="343"/>
      <c r="AI17" s="343"/>
      <c r="AJ17" s="343"/>
      <c r="AK17" s="179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1:52" ht="15.6" x14ac:dyDescent="0.3">
      <c r="A18" s="191" t="s">
        <v>33</v>
      </c>
      <c r="B18" s="191" t="s">
        <v>117</v>
      </c>
      <c r="C18" s="191" t="s">
        <v>118</v>
      </c>
      <c r="D18" s="191" t="s">
        <v>109</v>
      </c>
      <c r="E18" s="191" t="s">
        <v>119</v>
      </c>
      <c r="F18" s="191" t="s">
        <v>120</v>
      </c>
      <c r="G18" s="191"/>
      <c r="H18" s="191" t="s">
        <v>121</v>
      </c>
      <c r="I18" s="1647">
        <v>7.5</v>
      </c>
      <c r="J18" s="111">
        <v>2.6</v>
      </c>
      <c r="L18" s="1720"/>
      <c r="M18" s="1720"/>
      <c r="N18" s="286">
        <v>610</v>
      </c>
      <c r="O18" s="286" t="s">
        <v>390</v>
      </c>
      <c r="P18" s="1720"/>
      <c r="Q18" s="111">
        <v>14</v>
      </c>
      <c r="R18" s="258" t="s">
        <v>228</v>
      </c>
      <c r="S18" s="1142" t="s">
        <v>239</v>
      </c>
      <c r="T18" s="1142">
        <v>7</v>
      </c>
      <c r="U18" s="1142" t="s">
        <v>238</v>
      </c>
      <c r="V18" s="1142">
        <v>8.5</v>
      </c>
      <c r="AE18" s="343"/>
      <c r="AF18" s="343"/>
      <c r="AG18" s="343"/>
      <c r="AH18" s="343"/>
      <c r="AI18" s="343"/>
      <c r="AJ18" s="343"/>
      <c r="AK18" s="179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1:52" ht="15.6" x14ac:dyDescent="0.3">
      <c r="A19" s="191" t="s">
        <v>24</v>
      </c>
      <c r="B19" s="191" t="s">
        <v>117</v>
      </c>
      <c r="C19" s="191" t="s">
        <v>118</v>
      </c>
      <c r="D19" s="191" t="s">
        <v>109</v>
      </c>
      <c r="E19" s="191" t="s">
        <v>119</v>
      </c>
      <c r="F19" s="191" t="s">
        <v>120</v>
      </c>
      <c r="G19" s="191"/>
      <c r="H19" s="191" t="s">
        <v>121</v>
      </c>
      <c r="I19" s="1647">
        <v>7.5</v>
      </c>
      <c r="J19" s="111">
        <v>2.6</v>
      </c>
      <c r="L19" s="1720"/>
      <c r="M19" s="1720"/>
      <c r="N19" s="286">
        <v>640</v>
      </c>
      <c r="O19" s="286" t="s">
        <v>391</v>
      </c>
      <c r="P19" s="1720"/>
      <c r="Q19" s="111">
        <v>15</v>
      </c>
      <c r="R19" s="258" t="s">
        <v>229</v>
      </c>
      <c r="S19" s="1142" t="s">
        <v>239</v>
      </c>
      <c r="T19" s="1142">
        <v>7</v>
      </c>
      <c r="U19" s="1142" t="s">
        <v>239</v>
      </c>
      <c r="V19" s="1142">
        <v>9</v>
      </c>
      <c r="AE19" s="343"/>
      <c r="AF19" s="343"/>
      <c r="AG19" s="343"/>
      <c r="AH19" s="343"/>
      <c r="AI19" s="343"/>
      <c r="AJ19" s="343"/>
      <c r="AK19" s="179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1:52" ht="15.6" x14ac:dyDescent="0.3">
      <c r="A20" s="179" t="s">
        <v>926</v>
      </c>
      <c r="B20" s="191" t="s">
        <v>117</v>
      </c>
      <c r="C20" s="191" t="s">
        <v>118</v>
      </c>
      <c r="D20" s="191" t="s">
        <v>109</v>
      </c>
      <c r="E20" s="191" t="s">
        <v>119</v>
      </c>
      <c r="F20" s="191" t="s">
        <v>120</v>
      </c>
      <c r="G20" s="191"/>
      <c r="H20" s="191" t="s">
        <v>121</v>
      </c>
      <c r="I20" s="1647">
        <v>7.5</v>
      </c>
      <c r="J20" s="111">
        <v>2.6</v>
      </c>
      <c r="L20" s="1720"/>
      <c r="M20" s="1720"/>
      <c r="N20" s="286">
        <v>670</v>
      </c>
      <c r="O20" s="286" t="s">
        <v>392</v>
      </c>
      <c r="P20" s="1720"/>
      <c r="Q20" s="111">
        <v>16</v>
      </c>
      <c r="R20" s="258" t="s">
        <v>230</v>
      </c>
      <c r="S20" s="1142" t="s">
        <v>239</v>
      </c>
      <c r="T20" s="1142">
        <v>7</v>
      </c>
      <c r="U20" s="1142" t="s">
        <v>239</v>
      </c>
      <c r="V20" s="1142">
        <v>9.5</v>
      </c>
      <c r="AE20" s="343"/>
      <c r="AF20" s="343"/>
      <c r="AG20" s="343"/>
      <c r="AH20" s="1792"/>
      <c r="AI20" s="343"/>
      <c r="AJ20" s="343"/>
      <c r="AK20" s="179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</row>
    <row r="21" spans="1:52" ht="15.6" x14ac:dyDescent="0.3">
      <c r="A21" s="191" t="s">
        <v>125</v>
      </c>
      <c r="B21" s="191" t="s">
        <v>126</v>
      </c>
      <c r="C21" s="191" t="s">
        <v>127</v>
      </c>
      <c r="D21" s="191" t="s">
        <v>128</v>
      </c>
      <c r="E21" s="191" t="s">
        <v>128</v>
      </c>
      <c r="F21" s="191" t="s">
        <v>129</v>
      </c>
      <c r="G21" s="191"/>
      <c r="H21" s="191" t="s">
        <v>112</v>
      </c>
      <c r="I21" s="1647">
        <v>8.5</v>
      </c>
      <c r="J21" s="111">
        <v>2.6</v>
      </c>
      <c r="L21" s="1720"/>
      <c r="M21" s="1720"/>
      <c r="N21" s="286">
        <v>700</v>
      </c>
      <c r="O21" s="286" t="s">
        <v>393</v>
      </c>
      <c r="P21" s="1720"/>
      <c r="Q21" s="111">
        <v>17</v>
      </c>
      <c r="R21" s="258" t="s">
        <v>231</v>
      </c>
      <c r="S21" s="1142" t="s">
        <v>239</v>
      </c>
      <c r="T21" s="1142">
        <v>7</v>
      </c>
      <c r="U21" s="1142" t="s">
        <v>239</v>
      </c>
      <c r="V21" s="1142">
        <v>11</v>
      </c>
      <c r="AE21" s="343"/>
      <c r="AF21" s="343"/>
      <c r="AG21" s="343"/>
      <c r="AH21" s="343"/>
      <c r="AI21" s="343"/>
      <c r="AJ21" s="343"/>
      <c r="AK21" s="179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111"/>
      <c r="AW21" s="111"/>
      <c r="AX21" s="111"/>
      <c r="AY21" s="111"/>
      <c r="AZ21" s="111"/>
    </row>
    <row r="22" spans="1:52" ht="15.6" x14ac:dyDescent="0.3">
      <c r="A22" s="191" t="s">
        <v>130</v>
      </c>
      <c r="B22" s="191" t="s">
        <v>126</v>
      </c>
      <c r="C22" s="191" t="s">
        <v>127</v>
      </c>
      <c r="D22" s="191" t="s">
        <v>128</v>
      </c>
      <c r="E22" s="191" t="s">
        <v>128</v>
      </c>
      <c r="F22" s="191" t="s">
        <v>131</v>
      </c>
      <c r="G22" s="191"/>
      <c r="H22" s="191" t="s">
        <v>112</v>
      </c>
      <c r="I22" s="1647">
        <v>8.5</v>
      </c>
      <c r="J22" s="111">
        <v>2.6</v>
      </c>
      <c r="L22" s="1720"/>
      <c r="M22" s="1720"/>
      <c r="N22" s="286">
        <v>743</v>
      </c>
      <c r="O22" s="286"/>
      <c r="P22" s="1720"/>
      <c r="Q22" s="111">
        <v>18</v>
      </c>
      <c r="R22" s="258" t="s">
        <v>232</v>
      </c>
      <c r="S22" s="1142" t="s">
        <v>239</v>
      </c>
      <c r="T22" s="1142">
        <v>7</v>
      </c>
      <c r="U22" s="1142" t="s">
        <v>239</v>
      </c>
      <c r="V22" s="1142">
        <v>11</v>
      </c>
      <c r="AE22" s="1792"/>
      <c r="AF22" s="1792"/>
      <c r="AG22" s="1792"/>
      <c r="AH22" s="1792"/>
      <c r="AI22" s="1792"/>
      <c r="AJ22" s="1792"/>
      <c r="AK22" s="179"/>
      <c r="AL22" s="111"/>
      <c r="AM22" s="111"/>
      <c r="AN22" s="111"/>
      <c r="AO22" s="111"/>
      <c r="AP22" s="111"/>
      <c r="AQ22" s="111"/>
      <c r="AR22" s="111"/>
      <c r="AS22" s="111"/>
      <c r="AT22" s="111"/>
      <c r="AU22" s="111"/>
      <c r="AV22" s="111"/>
      <c r="AW22" s="111"/>
      <c r="AX22" s="111"/>
      <c r="AY22" s="111"/>
      <c r="AZ22" s="111"/>
    </row>
    <row r="23" spans="1:52" ht="15.6" x14ac:dyDescent="0.3">
      <c r="A23" s="1647" t="s">
        <v>37</v>
      </c>
      <c r="B23" s="1773" t="s">
        <v>132</v>
      </c>
      <c r="C23" s="1773" t="s">
        <v>132</v>
      </c>
      <c r="D23" s="1773" t="s">
        <v>132</v>
      </c>
      <c r="E23" s="1773" t="s">
        <v>132</v>
      </c>
      <c r="F23" s="191" t="s">
        <v>133</v>
      </c>
      <c r="G23" s="179"/>
      <c r="H23" s="191" t="str">
        <f ca="1">H39</f>
        <v>1 Стояк</v>
      </c>
      <c r="I23" s="1647">
        <v>7</v>
      </c>
      <c r="J23" s="111">
        <v>2</v>
      </c>
      <c r="L23" s="1720"/>
      <c r="M23" s="1720"/>
      <c r="P23" s="1720"/>
      <c r="Q23" s="1720"/>
      <c r="R23" s="1720"/>
      <c r="S23" s="1720"/>
      <c r="T23" s="1720"/>
      <c r="U23" s="1720"/>
      <c r="V23" s="1720"/>
      <c r="AE23" s="1793"/>
      <c r="AF23" s="1793"/>
      <c r="AG23" s="343"/>
      <c r="AH23" s="1792"/>
      <c r="AI23" s="343"/>
      <c r="AJ23" s="343"/>
      <c r="AK23" s="179"/>
      <c r="AL23" s="111"/>
      <c r="AM23" s="111"/>
      <c r="AN23" s="111"/>
      <c r="AO23" s="111"/>
      <c r="AP23" s="111"/>
      <c r="AQ23" s="111"/>
      <c r="AR23" s="111"/>
      <c r="AS23" s="111"/>
      <c r="AT23" s="111"/>
      <c r="AU23" s="111"/>
      <c r="AV23" s="111"/>
      <c r="AW23" s="111"/>
      <c r="AX23" s="111"/>
      <c r="AY23" s="111"/>
      <c r="AZ23" s="111"/>
    </row>
    <row r="24" spans="1:52" ht="15.6" x14ac:dyDescent="0.3">
      <c r="A24" s="191" t="s">
        <v>38</v>
      </c>
      <c r="B24" s="1773" t="s">
        <v>132</v>
      </c>
      <c r="C24" s="1773" t="s">
        <v>132</v>
      </c>
      <c r="D24" s="1773" t="s">
        <v>132</v>
      </c>
      <c r="E24" s="1773" t="s">
        <v>132</v>
      </c>
      <c r="F24" s="191" t="s">
        <v>133</v>
      </c>
      <c r="G24" s="191"/>
      <c r="H24" s="191" t="str">
        <f ca="1">H39</f>
        <v>1 Стояк</v>
      </c>
      <c r="I24" s="1647">
        <v>7.1</v>
      </c>
      <c r="J24" s="111">
        <v>2</v>
      </c>
      <c r="L24" s="1720"/>
      <c r="M24" s="1720"/>
      <c r="N24" s="2167" t="s">
        <v>824</v>
      </c>
      <c r="O24" s="2167"/>
      <c r="P24" s="1720"/>
      <c r="Q24" s="1720"/>
      <c r="R24" s="1720"/>
      <c r="S24" s="1720"/>
      <c r="T24" s="1720"/>
      <c r="U24" s="1720"/>
      <c r="V24" s="1720"/>
      <c r="AE24" s="343"/>
      <c r="AF24" s="343"/>
      <c r="AG24" s="343"/>
      <c r="AH24" s="343"/>
      <c r="AI24" s="343"/>
      <c r="AJ24" s="343"/>
      <c r="AK24" s="179"/>
      <c r="AL24" s="111"/>
      <c r="AM24" s="111"/>
      <c r="AN24" s="111"/>
      <c r="AO24" s="111"/>
      <c r="AP24" s="111"/>
      <c r="AQ24" s="111"/>
      <c r="AR24" s="111"/>
      <c r="AS24" s="111"/>
      <c r="AT24" s="111"/>
      <c r="AU24" s="111"/>
      <c r="AV24" s="111"/>
      <c r="AW24" s="111"/>
      <c r="AX24" s="111"/>
      <c r="AY24" s="111"/>
      <c r="AZ24" s="111"/>
    </row>
    <row r="25" spans="1:52" ht="15.6" x14ac:dyDescent="0.3">
      <c r="A25" s="191" t="s">
        <v>39</v>
      </c>
      <c r="B25" s="1773" t="s">
        <v>132</v>
      </c>
      <c r="C25" s="1773" t="s">
        <v>132</v>
      </c>
      <c r="D25" s="1773" t="s">
        <v>132</v>
      </c>
      <c r="E25" s="1773" t="s">
        <v>132</v>
      </c>
      <c r="F25" s="191" t="s">
        <v>133</v>
      </c>
      <c r="G25" s="191"/>
      <c r="H25" s="191" t="str">
        <f ca="1">H39</f>
        <v>1 Стояк</v>
      </c>
      <c r="I25" s="1647">
        <v>7.2</v>
      </c>
      <c r="J25" s="111">
        <v>2</v>
      </c>
      <c r="L25" s="1720"/>
      <c r="M25" s="1720"/>
      <c r="N25" s="289" t="s">
        <v>397</v>
      </c>
      <c r="O25" s="289" t="s">
        <v>398</v>
      </c>
      <c r="P25" s="1720"/>
      <c r="Q25" s="1720"/>
      <c r="R25" s="1720"/>
      <c r="S25" s="1720"/>
      <c r="T25" s="1720"/>
      <c r="U25" s="1720"/>
      <c r="V25" s="1720"/>
      <c r="AE25" s="343"/>
      <c r="AF25" s="343"/>
      <c r="AG25" s="343"/>
      <c r="AH25" s="343"/>
      <c r="AI25" s="343"/>
      <c r="AJ25" s="343"/>
      <c r="AK25" s="179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  <c r="AW25" s="111"/>
      <c r="AX25" s="111"/>
      <c r="AY25" s="111"/>
      <c r="AZ25" s="111"/>
    </row>
    <row r="26" spans="1:52" ht="15.6" x14ac:dyDescent="0.3">
      <c r="A26" s="1647" t="s">
        <v>40</v>
      </c>
      <c r="B26" s="1773" t="s">
        <v>132</v>
      </c>
      <c r="C26" s="1773" t="s">
        <v>132</v>
      </c>
      <c r="D26" s="1773" t="s">
        <v>132</v>
      </c>
      <c r="E26" s="1773" t="s">
        <v>132</v>
      </c>
      <c r="F26" s="191" t="s">
        <v>133</v>
      </c>
      <c r="G26" s="179"/>
      <c r="H26" s="191" t="str">
        <f ca="1">H39</f>
        <v>1 Стояк</v>
      </c>
      <c r="I26" s="1647">
        <v>7.3</v>
      </c>
      <c r="J26" s="111">
        <v>2</v>
      </c>
      <c r="L26" s="1720"/>
      <c r="M26" s="1720"/>
      <c r="N26" s="288">
        <f>VLOOKUP(цб!E29,Изложницы_без_бурта[],3)</f>
        <v>285</v>
      </c>
      <c r="O26" s="288">
        <f>VLOOKUP('цб с буртом'!E31,Изложницы_с_буртом[],5,0)</f>
        <v>285</v>
      </c>
      <c r="P26" s="1720"/>
      <c r="Q26" s="1720"/>
      <c r="R26" s="1720"/>
      <c r="S26" s="1720"/>
      <c r="T26" s="1720"/>
      <c r="U26" s="1720"/>
      <c r="V26" s="1720"/>
      <c r="AE26" s="343"/>
      <c r="AF26" s="343"/>
      <c r="AG26" s="343"/>
      <c r="AH26" s="343"/>
      <c r="AI26" s="343"/>
      <c r="AJ26" s="343"/>
      <c r="AK26" s="179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ht="15.6" x14ac:dyDescent="0.3">
      <c r="A27" s="1647" t="s">
        <v>41</v>
      </c>
      <c r="B27" s="1773" t="s">
        <v>132</v>
      </c>
      <c r="C27" s="1773" t="s">
        <v>132</v>
      </c>
      <c r="D27" s="1773" t="s">
        <v>132</v>
      </c>
      <c r="E27" s="1773" t="s">
        <v>132</v>
      </c>
      <c r="F27" s="191" t="s">
        <v>133</v>
      </c>
      <c r="G27" s="179"/>
      <c r="H27" s="191" t="str">
        <f ca="1">H39</f>
        <v>1 Стояк</v>
      </c>
      <c r="I27" s="1647">
        <v>7.4</v>
      </c>
      <c r="J27" s="111">
        <v>2</v>
      </c>
      <c r="L27" s="1720"/>
      <c r="M27" s="1720"/>
      <c r="N27" s="1720"/>
      <c r="O27" s="1720"/>
      <c r="P27" s="1720"/>
      <c r="Q27" s="1720"/>
      <c r="R27" s="1720"/>
      <c r="S27" s="1720"/>
      <c r="T27" s="1720"/>
      <c r="U27" s="1720"/>
      <c r="V27" s="1720"/>
      <c r="AE27" s="343"/>
      <c r="AF27" s="343"/>
      <c r="AG27" s="343"/>
      <c r="AH27" s="343"/>
      <c r="AI27" s="343"/>
      <c r="AJ27" s="343"/>
      <c r="AK27" s="179"/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11"/>
      <c r="AW27" s="111"/>
      <c r="AX27" s="111"/>
      <c r="AY27" s="111"/>
      <c r="AZ27" s="111"/>
    </row>
    <row r="28" spans="1:52" ht="15" thickBot="1" x14ac:dyDescent="0.35">
      <c r="A28" s="179"/>
      <c r="B28" s="111"/>
      <c r="C28" s="111"/>
      <c r="D28" s="111"/>
      <c r="E28" s="111"/>
      <c r="F28" s="111"/>
      <c r="G28" s="180"/>
      <c r="H28" s="180"/>
      <c r="L28" s="1720"/>
      <c r="M28" s="1720"/>
      <c r="N28" s="1720"/>
      <c r="O28" s="1720"/>
      <c r="P28" s="1720"/>
      <c r="Q28" s="1720"/>
      <c r="R28" s="1720"/>
      <c r="S28" s="1720"/>
      <c r="T28" s="1720"/>
      <c r="U28" s="1720"/>
      <c r="V28" s="1720"/>
      <c r="AE28" s="343"/>
      <c r="AF28" s="343"/>
      <c r="AG28" s="343"/>
      <c r="AH28" s="343"/>
      <c r="AI28" s="343"/>
      <c r="AJ28" s="343"/>
      <c r="AK28" s="179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  <c r="AW28" s="111"/>
      <c r="AX28" s="111"/>
      <c r="AY28" s="111"/>
      <c r="AZ28" s="111"/>
    </row>
    <row r="29" spans="1:52" ht="14.4" x14ac:dyDescent="0.3">
      <c r="A29" s="181"/>
      <c r="B29" s="62" t="s">
        <v>923</v>
      </c>
      <c r="C29" s="1346" t="s">
        <v>1071</v>
      </c>
      <c r="D29" s="65"/>
      <c r="E29" s="62" t="s">
        <v>135</v>
      </c>
      <c r="F29" s="62" t="s">
        <v>108</v>
      </c>
      <c r="G29" s="62" t="s">
        <v>112</v>
      </c>
      <c r="H29" s="62" t="s">
        <v>121</v>
      </c>
      <c r="I29" s="168" t="s">
        <v>134</v>
      </c>
      <c r="L29" s="1720"/>
      <c r="M29" s="1720"/>
      <c r="N29" s="1720"/>
      <c r="O29" s="1720"/>
      <c r="P29" s="1720"/>
      <c r="Q29" s="1720"/>
      <c r="R29" s="1720"/>
      <c r="S29" s="1720"/>
      <c r="T29" s="1720"/>
      <c r="U29" s="1720"/>
      <c r="V29" s="1720"/>
      <c r="AE29" s="343"/>
      <c r="AF29" s="343"/>
      <c r="AG29" s="343"/>
      <c r="AH29" s="343"/>
      <c r="AI29" s="343"/>
      <c r="AJ29" s="343"/>
      <c r="AK29" s="179"/>
      <c r="AL29" s="111"/>
      <c r="AM29" s="111"/>
      <c r="AN29" s="111"/>
      <c r="AO29" s="111"/>
      <c r="AP29" s="111"/>
      <c r="AQ29" s="111"/>
      <c r="AR29" s="111"/>
      <c r="AS29" s="111"/>
      <c r="AT29" s="111"/>
      <c r="AU29" s="111"/>
      <c r="AV29" s="111"/>
      <c r="AW29" s="111"/>
      <c r="AX29" s="111"/>
      <c r="AY29" s="111"/>
      <c r="AZ29" s="111"/>
    </row>
    <row r="30" spans="1:52" ht="14.4" x14ac:dyDescent="0.3">
      <c r="A30" s="66" t="s">
        <v>136</v>
      </c>
      <c r="B30" s="55" t="str">
        <f ca="1">_xlfn.IFNA(_xlfn.IFS(D30=E29,E30,D30=F29,F30,D30=G29,G30,D30=H29,H30),H25)</f>
        <v>242.04.462-1</v>
      </c>
      <c r="C30" s="1347" t="str">
        <f>IF(OR(D30="242.04.462",D30="1 Стояк"),H40,"")</f>
        <v>( 1 щель )</v>
      </c>
      <c r="D30" s="64" t="str">
        <f>VLOOKUP(Втулка!G8,Марка_металла[],8,FALSE())</f>
        <v>242.04.462</v>
      </c>
      <c r="E30" s="55" t="str">
        <f ca="1"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 ca="1"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 ca="1"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 ca="1"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69"/>
      <c r="L30" s="1720"/>
      <c r="M30" s="1720"/>
      <c r="N30" s="60" t="s">
        <v>1089</v>
      </c>
      <c r="O30" s="60"/>
      <c r="P30" s="60"/>
      <c r="Q30" s="60"/>
      <c r="R30" s="1720"/>
      <c r="S30" s="1720"/>
      <c r="T30" s="1720"/>
      <c r="U30" s="1720"/>
      <c r="V30" s="1720"/>
      <c r="AE30" s="343"/>
      <c r="AF30" s="343"/>
      <c r="AG30" s="343"/>
      <c r="AH30" s="343"/>
      <c r="AI30" s="343"/>
      <c r="AJ30" s="343"/>
      <c r="AK30" s="179"/>
      <c r="AL30" s="111"/>
      <c r="AM30" s="111"/>
      <c r="AN30" s="111"/>
      <c r="AO30" s="111"/>
      <c r="AP30" s="111"/>
      <c r="AQ30" s="111"/>
      <c r="AR30" s="111"/>
      <c r="AS30" s="111"/>
      <c r="AT30" s="111"/>
      <c r="AU30" s="111"/>
      <c r="AV30" s="111"/>
      <c r="AW30" s="111"/>
      <c r="AX30" s="111"/>
      <c r="AY30" s="111"/>
      <c r="AZ30" s="111"/>
    </row>
    <row r="31" spans="1:52" ht="14.4" x14ac:dyDescent="0.3">
      <c r="A31" s="932" t="s">
        <v>22</v>
      </c>
      <c r="B31" s="933">
        <f ca="1">ROUND(_xlfn.IFS(D30=E29,E31,D30=F29,F31,D30=G29,G31,D30=H29,H31,D30=I29,I31),2)</f>
        <v>62.9</v>
      </c>
      <c r="C31" s="933"/>
      <c r="D31" s="933"/>
      <c r="E31" s="933"/>
      <c r="F31" s="933">
        <f ca="1">G131</f>
        <v>62.900865145130908</v>
      </c>
      <c r="G31" s="1332" t="e">
        <f ca="1">H102</f>
        <v>#N/A</v>
      </c>
      <c r="H31" s="1332" t="e">
        <f ca="1">I117</f>
        <v>#N/A</v>
      </c>
      <c r="I31" s="1333">
        <f ca="1">(14*70*7.1*(Втулка!R66+Данные!F35)/1000000)+(60*60*3.1415926*7.1*(Втулка!R66+Данные!F35)/4000000)</f>
        <v>5.6768831099399994</v>
      </c>
      <c r="L31" s="1720"/>
      <c r="M31" s="1720"/>
      <c r="N31" t="s">
        <v>1088</v>
      </c>
      <c r="O31" t="s">
        <v>854</v>
      </c>
      <c r="P31" t="s">
        <v>9</v>
      </c>
      <c r="Q31" t="s">
        <v>931</v>
      </c>
      <c r="R31" s="1720"/>
      <c r="S31" s="1720"/>
      <c r="T31" s="1720"/>
      <c r="U31" s="1720"/>
      <c r="V31" s="1720"/>
      <c r="AE31" s="343"/>
      <c r="AF31" s="343"/>
      <c r="AG31" s="343"/>
      <c r="AH31" s="343"/>
      <c r="AI31" s="343"/>
      <c r="AJ31" s="343"/>
      <c r="AK31" s="179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</row>
    <row r="32" spans="1:52" ht="14.4" x14ac:dyDescent="0.3">
      <c r="A32" s="1329" t="s">
        <v>241</v>
      </c>
      <c r="B32" s="1331">
        <f ca="1">Втулка!O27</f>
        <v>775</v>
      </c>
      <c r="C32" s="1342" t="s">
        <v>288</v>
      </c>
      <c r="D32" s="1331">
        <f ca="1"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9</v>
      </c>
      <c r="E32" s="1329" t="s">
        <v>242</v>
      </c>
      <c r="F32" s="1331">
        <f ca="1">IF(Втулка!O23=0,VLOOKUP(D32,Ф_уклоны[],6,FALSE),VLOOKUP(Втулка!O23,Втулки1[],8,0))</f>
        <v>6</v>
      </c>
      <c r="G32" s="1334" t="s">
        <v>254</v>
      </c>
      <c r="H32" s="1335"/>
      <c r="I32" s="1336"/>
      <c r="L32" s="1720"/>
      <c r="M32" s="1720"/>
      <c r="N32" s="175" t="s">
        <v>6</v>
      </c>
      <c r="O32" s="42" t="s">
        <v>109</v>
      </c>
      <c r="P32" s="42">
        <v>9.1</v>
      </c>
      <c r="Q32" t="s">
        <v>855</v>
      </c>
      <c r="R32" s="1720"/>
      <c r="S32" s="1720"/>
      <c r="T32" s="1720"/>
      <c r="U32" s="1720"/>
      <c r="V32" s="1720"/>
      <c r="AE32" s="343"/>
      <c r="AF32" s="343"/>
      <c r="AG32" s="343"/>
      <c r="AH32" s="343"/>
      <c r="AI32" s="343"/>
      <c r="AJ32" s="343"/>
      <c r="AK32" s="179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</row>
    <row r="33" spans="1:52" ht="15" thickBot="1" x14ac:dyDescent="0.35">
      <c r="A33" s="1774" t="s">
        <v>354</v>
      </c>
      <c r="B33" s="1336">
        <f ca="1">Втулка!J29+F32*2</f>
        <v>991</v>
      </c>
      <c r="C33" s="1329">
        <f ca="1">(Втулка!J29+Данные!B33)/2</f>
        <v>985</v>
      </c>
      <c r="D33" s="1331" t="s">
        <v>355</v>
      </c>
      <c r="E33" s="1329" t="s">
        <v>261</v>
      </c>
      <c r="F33" s="1331" t="b">
        <f>IF(AND(Втулка!R69&gt;=7.5,Втулка!R69&lt;=8.5),TRUE,FALSE)</f>
        <v>0</v>
      </c>
      <c r="G33" s="1337" t="s">
        <v>255</v>
      </c>
      <c r="H33" s="616">
        <f ca="1">(Втулка!J29-Втулка!I29)/2</f>
        <v>45.5</v>
      </c>
      <c r="I33" s="1338"/>
      <c r="L33" s="1720"/>
      <c r="M33" s="1720"/>
      <c r="N33" s="175" t="s">
        <v>17</v>
      </c>
      <c r="O33" s="42" t="s">
        <v>118</v>
      </c>
      <c r="P33" s="42">
        <v>8.8800000000000008</v>
      </c>
      <c r="Q33" t="s">
        <v>856</v>
      </c>
      <c r="R33" s="1720"/>
      <c r="S33" s="1720"/>
      <c r="T33" s="1720"/>
      <c r="U33" s="1720"/>
      <c r="V33" s="1720"/>
      <c r="AE33" s="343"/>
      <c r="AF33" s="343"/>
      <c r="AG33" s="1792"/>
      <c r="AH33" s="1792"/>
      <c r="AI33" s="343"/>
      <c r="AJ33" s="343"/>
      <c r="AK33" s="179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</row>
    <row r="34" spans="1:52" ht="14.4" x14ac:dyDescent="0.3">
      <c r="A34" s="1777" t="s">
        <v>243</v>
      </c>
      <c r="B34" s="1778">
        <f ca="1">((C33*C33-Втулка!I29*Втулка!I29)*3.1415926*Втулка!F23*Втулка!O9)/4000000</f>
        <v>990.75281709389856</v>
      </c>
      <c r="C34" s="183"/>
      <c r="D34" s="183"/>
      <c r="E34" s="1329" t="s">
        <v>263</v>
      </c>
      <c r="F34" s="1331" t="b">
        <v>0</v>
      </c>
      <c r="G34" s="1339" t="s">
        <v>257</v>
      </c>
      <c r="H34" s="1340" t="str">
        <f ca="1"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341"/>
      <c r="L34" s="1720"/>
      <c r="M34" s="1720"/>
      <c r="N34" s="175" t="s">
        <v>615</v>
      </c>
      <c r="O34" s="42" t="s">
        <v>118</v>
      </c>
      <c r="P34" s="42">
        <v>8.6999999999999993</v>
      </c>
      <c r="Q34" t="s">
        <v>856</v>
      </c>
      <c r="R34" s="1720"/>
      <c r="S34" s="1720"/>
      <c r="T34" s="1720"/>
      <c r="U34" s="1720"/>
      <c r="V34" s="1720"/>
      <c r="AE34" s="343"/>
      <c r="AF34" s="343"/>
      <c r="AG34" s="343"/>
      <c r="AH34" s="343"/>
      <c r="AI34" s="343"/>
      <c r="AJ34" s="343"/>
      <c r="AK34" s="179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  <c r="AZ34" s="111"/>
    </row>
    <row r="35" spans="1:52" ht="15.6" x14ac:dyDescent="0.3">
      <c r="A35" s="1779" t="s">
        <v>244</v>
      </c>
      <c r="B35" s="1780">
        <f ca="1">((D35*D35-Втулка!I29*Втулка!I29)*3.1415926*Втулка!O9*Втулка!D23)/4000000</f>
        <v>437.6969116944976</v>
      </c>
      <c r="C35" s="1330" t="s">
        <v>1081</v>
      </c>
      <c r="D35" s="1331">
        <f ca="1">(B33+Втулка!E25*2)+Данные!F35*0.985/20</f>
        <v>1041.3425</v>
      </c>
      <c r="E35" s="1329" t="s">
        <v>1012</v>
      </c>
      <c r="F35" s="743">
        <f ca="1">IF(I35=3,_xlfn.CEILING.MATH(Втулка!O30*Данные!G35,5),IF(I35=2.6,_xlfn.CEILING.MATH(Втулка!O30*Данные!H35,5),_xlfn.CEILING.MATH(Втулка!O30*I35,5)))</f>
        <v>210</v>
      </c>
      <c r="G35" s="1330">
        <f ca="1">_xlfn.IFS(B32&gt;=700,4,B32&gt;=500,3.5,B32&lt;500,3)</f>
        <v>4</v>
      </c>
      <c r="H35" s="1330">
        <f ca="1">IF(B32&gt;=900,2.7,2.6)</f>
        <v>2.6</v>
      </c>
      <c r="I35" s="54">
        <f>VLOOKUP(Втулка!G8,Марка_металла[],10,0)</f>
        <v>3</v>
      </c>
      <c r="L35" s="1720"/>
      <c r="M35" s="1720"/>
      <c r="N35" s="175" t="s">
        <v>12</v>
      </c>
      <c r="O35" s="42" t="s">
        <v>118</v>
      </c>
      <c r="P35" s="42">
        <v>8.8800000000000008</v>
      </c>
      <c r="Q35" t="s">
        <v>855</v>
      </c>
      <c r="R35" s="1720"/>
      <c r="S35" s="1720"/>
      <c r="T35" s="1720"/>
      <c r="U35" s="1720"/>
      <c r="V35" s="1720"/>
      <c r="AE35" s="343"/>
      <c r="AF35" s="343"/>
      <c r="AG35" s="343"/>
      <c r="AH35" s="343"/>
      <c r="AI35" s="343"/>
      <c r="AJ35" s="343"/>
      <c r="AK35" s="179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  <c r="AZ35" s="111"/>
    </row>
    <row r="36" spans="1:52" ht="15" thickBot="1" x14ac:dyDescent="0.35">
      <c r="A36" s="259" t="s">
        <v>2022</v>
      </c>
      <c r="B36" s="618">
        <f ca="1">ROUNDUP((B34+B35),0)</f>
        <v>1429</v>
      </c>
      <c r="C36" s="183"/>
      <c r="D36" s="183"/>
      <c r="E36" s="613"/>
      <c r="F36" s="615" t="s">
        <v>738</v>
      </c>
      <c r="G36" s="628">
        <f>VLOOKUP(Втулка!G8,Марка_металла[],9,FALSE())</f>
        <v>9.1</v>
      </c>
      <c r="H36" s="1363"/>
      <c r="I36" s="613">
        <f ca="1">B33+(Данные!F35/10*2)+Втулка!E25*2</f>
        <v>1073</v>
      </c>
      <c r="L36" s="1720"/>
      <c r="M36" s="1720"/>
      <c r="N36" s="175" t="s">
        <v>116</v>
      </c>
      <c r="O36" s="58" t="s">
        <v>616</v>
      </c>
      <c r="P36" s="42">
        <v>7.5</v>
      </c>
      <c r="Q36" t="s">
        <v>857</v>
      </c>
      <c r="R36" s="1720"/>
      <c r="S36" s="1720"/>
      <c r="T36" s="1720"/>
      <c r="U36" s="1720"/>
      <c r="V36" s="1720"/>
      <c r="AE36" s="343"/>
      <c r="AF36" s="343"/>
      <c r="AG36" s="343"/>
      <c r="AH36" s="343"/>
      <c r="AI36" s="343"/>
      <c r="AJ36" s="343"/>
      <c r="AK36" s="179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  <c r="AZ36" s="111"/>
    </row>
    <row r="37" spans="1:52" ht="15" thickBot="1" x14ac:dyDescent="0.35">
      <c r="A37" s="1775" t="s">
        <v>259</v>
      </c>
      <c r="B37" s="1776" t="b">
        <v>0</v>
      </c>
      <c r="C37" s="1331" t="b">
        <v>0</v>
      </c>
      <c r="D37" s="614"/>
      <c r="E37" s="618"/>
      <c r="F37" s="611" t="s">
        <v>739</v>
      </c>
      <c r="G37" s="610" t="b">
        <f>IF(G36=8.88,IF(OR(B36&lt;=1500,Втулка!R66+Данные!F35&lt;=700),"242.04.463","242.04.462"))</f>
        <v>0</v>
      </c>
      <c r="H37" s="1364"/>
      <c r="I37" s="618"/>
      <c r="L37" s="1720"/>
      <c r="M37" s="1720"/>
      <c r="N37" s="175" t="s">
        <v>33</v>
      </c>
      <c r="O37" s="58" t="s">
        <v>616</v>
      </c>
      <c r="P37" s="42">
        <v>7.5</v>
      </c>
      <c r="Q37" s="42" t="s">
        <v>857</v>
      </c>
      <c r="R37" s="1720"/>
      <c r="S37" s="1720"/>
      <c r="T37" s="1720"/>
      <c r="U37" s="1720"/>
      <c r="V37" s="1720"/>
      <c r="AE37" s="343"/>
      <c r="AF37" s="343"/>
      <c r="AG37" s="343"/>
      <c r="AH37" s="343"/>
      <c r="AI37" s="343"/>
      <c r="AJ37" s="343"/>
      <c r="AK37" s="179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  <c r="AZ37" s="111"/>
    </row>
    <row r="38" spans="1:52" ht="15" thickBot="1" x14ac:dyDescent="0.35">
      <c r="A38" s="1343" t="s">
        <v>260</v>
      </c>
      <c r="B38" s="1344" t="b">
        <v>0</v>
      </c>
      <c r="C38" s="1345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619" t="s">
        <v>242</v>
      </c>
      <c r="E38" s="620">
        <f ca="1">VLOOKUP(E39,Q5:V22,6,FALSE)</f>
        <v>2.5</v>
      </c>
      <c r="F38" s="611" t="s">
        <v>740</v>
      </c>
      <c r="G38" s="610"/>
      <c r="L38" s="1720"/>
      <c r="M38" s="1720"/>
      <c r="N38" s="175" t="s">
        <v>24</v>
      </c>
      <c r="O38" s="58" t="s">
        <v>616</v>
      </c>
      <c r="P38" s="42">
        <v>7.5</v>
      </c>
      <c r="Q38" s="42" t="s">
        <v>857</v>
      </c>
      <c r="R38" s="1720"/>
      <c r="S38" s="1720"/>
      <c r="T38" s="1720"/>
      <c r="U38" s="1720"/>
      <c r="V38" s="1720"/>
      <c r="AE38" s="343"/>
      <c r="AF38" s="343"/>
      <c r="AG38" s="343"/>
      <c r="AH38" s="343"/>
      <c r="AI38" s="343"/>
      <c r="AJ38" s="343"/>
      <c r="AK38" s="179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  <c r="AZ38" s="111"/>
    </row>
    <row r="39" spans="1:52" ht="14.4" x14ac:dyDescent="0.3">
      <c r="A39" s="621" t="s">
        <v>287</v>
      </c>
      <c r="B39" s="622" t="b">
        <v>0</v>
      </c>
      <c r="C39" s="623"/>
      <c r="D39" s="623" t="s">
        <v>289</v>
      </c>
      <c r="E39" s="624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4</v>
      </c>
      <c r="F39" s="170" t="s">
        <v>1070</v>
      </c>
      <c r="G39" s="171"/>
      <c r="H39" s="172" t="str">
        <f ca="1">IF(C33&lt;1000,"1 Стояк","242.04.462")</f>
        <v>1 Стояк</v>
      </c>
      <c r="K39" s="54" t="s">
        <v>1084</v>
      </c>
      <c r="L39" s="1720"/>
      <c r="M39" s="1720"/>
      <c r="N39" s="175" t="s">
        <v>29</v>
      </c>
      <c r="O39" s="58" t="s">
        <v>616</v>
      </c>
      <c r="P39" s="42">
        <v>8.1</v>
      </c>
      <c r="Q39" t="s">
        <v>857</v>
      </c>
      <c r="R39" s="1720"/>
      <c r="S39" s="1720"/>
      <c r="T39" s="1720"/>
      <c r="U39" s="1720"/>
      <c r="V39" s="1720"/>
      <c r="AE39" s="343"/>
      <c r="AF39" s="343"/>
      <c r="AG39" s="343"/>
      <c r="AH39" s="343"/>
      <c r="AI39" s="343"/>
      <c r="AJ39" s="343"/>
      <c r="AK39" s="179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  <c r="AZ39" s="111"/>
    </row>
    <row r="40" spans="1:52" ht="15" thickBot="1" x14ac:dyDescent="0.35">
      <c r="A40" s="621" t="s">
        <v>290</v>
      </c>
      <c r="B40" s="622">
        <f ca="1">Планка!M21</f>
        <v>162</v>
      </c>
      <c r="C40" s="623"/>
      <c r="D40" s="623" t="s">
        <v>967</v>
      </c>
      <c r="E40" s="624">
        <f ca="1">(Планка!M17+Планка!M18)/2</f>
        <v>33.5</v>
      </c>
      <c r="F40" s="249" t="s">
        <v>1071</v>
      </c>
      <c r="G40" s="250"/>
      <c r="H40" s="251" t="str">
        <f>IF(Втулка!R64&lt;1000,"( 1 щель )","( 2 щели )")</f>
        <v>( 1 щель )</v>
      </c>
      <c r="L40" s="1720"/>
      <c r="M40" s="1720"/>
      <c r="N40" s="175" t="s">
        <v>27</v>
      </c>
      <c r="O40" s="58" t="s">
        <v>616</v>
      </c>
      <c r="P40" s="42">
        <v>7.8</v>
      </c>
      <c r="Q40" t="s">
        <v>857</v>
      </c>
      <c r="R40" s="1720"/>
      <c r="S40" s="1720"/>
      <c r="T40" s="1720"/>
      <c r="U40" s="1720"/>
      <c r="V40" s="1720"/>
      <c r="AE40" s="343"/>
      <c r="AF40" s="1792"/>
      <c r="AG40" s="343"/>
      <c r="AH40" s="343"/>
      <c r="AI40" s="343"/>
      <c r="AJ40" s="343"/>
      <c r="AK40" s="179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</row>
    <row r="41" spans="1:52" ht="15.6" x14ac:dyDescent="0.3">
      <c r="A41" s="621" t="s">
        <v>297</v>
      </c>
      <c r="B41" s="622"/>
      <c r="C41" s="623"/>
      <c r="D41" s="623"/>
      <c r="E41" s="624"/>
      <c r="L41" s="1720"/>
      <c r="M41" s="1720"/>
      <c r="N41" s="178" t="s">
        <v>35</v>
      </c>
      <c r="O41" s="58" t="s">
        <v>616</v>
      </c>
      <c r="P41" s="42">
        <v>7.8</v>
      </c>
      <c r="Q41" t="s">
        <v>857</v>
      </c>
      <c r="R41" s="1720"/>
      <c r="S41" s="1720"/>
      <c r="T41" s="1720"/>
      <c r="U41" s="1720"/>
      <c r="V41" s="1720"/>
      <c r="AE41" s="343"/>
      <c r="AF41" s="343"/>
      <c r="AG41" s="343"/>
      <c r="AH41" s="343"/>
      <c r="AI41" s="343"/>
      <c r="AJ41" s="343"/>
      <c r="AK41" s="179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</row>
    <row r="42" spans="1:52" ht="16.2" thickBot="1" x14ac:dyDescent="0.35">
      <c r="A42" s="625" t="s">
        <v>299</v>
      </c>
      <c r="B42" s="1154" t="b">
        <v>0</v>
      </c>
      <c r="C42" s="626"/>
      <c r="D42" s="626"/>
      <c r="E42" s="627"/>
      <c r="F42" s="1331" t="s">
        <v>1218</v>
      </c>
      <c r="L42" s="1720"/>
      <c r="M42" s="1720"/>
      <c r="N42" s="178" t="s">
        <v>31</v>
      </c>
      <c r="O42" s="58" t="s">
        <v>616</v>
      </c>
      <c r="P42" s="42">
        <v>7.6</v>
      </c>
      <c r="Q42" t="s">
        <v>857</v>
      </c>
      <c r="R42" s="1720"/>
      <c r="S42" s="1720"/>
      <c r="T42" s="1720"/>
      <c r="U42" s="1720"/>
      <c r="V42" s="1720"/>
      <c r="AE42" s="343"/>
      <c r="AF42" s="343"/>
      <c r="AG42" s="343"/>
      <c r="AH42" s="343"/>
      <c r="AI42" s="343"/>
      <c r="AJ42" s="343"/>
      <c r="AK42" s="179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</row>
    <row r="43" spans="1:52" ht="14.4" x14ac:dyDescent="0.3">
      <c r="B43" s="54"/>
      <c r="L43" s="1720"/>
      <c r="M43" s="1720"/>
      <c r="N43" s="175" t="s">
        <v>122</v>
      </c>
      <c r="O43" s="58" t="s">
        <v>123</v>
      </c>
      <c r="P43" s="42">
        <v>8.5</v>
      </c>
      <c r="Q43" t="s">
        <v>123</v>
      </c>
      <c r="R43" s="1720"/>
      <c r="S43" s="1720"/>
      <c r="T43" s="1720"/>
      <c r="U43" s="1720"/>
      <c r="V43" s="1720"/>
      <c r="AE43" s="343"/>
      <c r="AF43" s="343"/>
      <c r="AG43" s="343"/>
      <c r="AH43" s="343"/>
      <c r="AI43" s="343"/>
      <c r="AJ43" s="343"/>
      <c r="AK43" s="179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  <c r="AZ43" s="111"/>
    </row>
    <row r="44" spans="1:52" ht="14.4" x14ac:dyDescent="0.3">
      <c r="L44" s="1720"/>
      <c r="M44" s="1720"/>
      <c r="N44" s="175" t="s">
        <v>125</v>
      </c>
      <c r="O44" s="58" t="s">
        <v>617</v>
      </c>
      <c r="P44" s="42">
        <v>8.5</v>
      </c>
      <c r="Q44" t="s">
        <v>858</v>
      </c>
      <c r="R44" s="1720"/>
      <c r="S44" s="1720"/>
      <c r="T44" s="1720"/>
      <c r="U44" s="1720"/>
      <c r="V44" s="1720"/>
      <c r="AE44" s="1792"/>
      <c r="AF44" s="1792"/>
      <c r="AG44" s="343"/>
      <c r="AH44" s="343"/>
      <c r="AI44" s="343"/>
      <c r="AJ44" s="343"/>
      <c r="AK44" s="179"/>
      <c r="AL44" s="111"/>
      <c r="AM44" s="111"/>
      <c r="AN44" s="111"/>
      <c r="AO44" s="111"/>
      <c r="AP44" s="111"/>
      <c r="AQ44" s="111"/>
      <c r="AR44" s="111"/>
      <c r="AS44" s="111"/>
      <c r="AT44" s="111"/>
      <c r="AU44" s="111"/>
      <c r="AV44" s="111"/>
      <c r="AW44" s="111"/>
      <c r="AX44" s="111"/>
      <c r="AY44" s="111"/>
      <c r="AZ44" s="111"/>
    </row>
    <row r="45" spans="1:52" ht="14.4" x14ac:dyDescent="0.3">
      <c r="A45" s="54" t="s">
        <v>1128</v>
      </c>
      <c r="C45" s="1138" t="s">
        <v>138</v>
      </c>
      <c r="D45" s="1138"/>
      <c r="E45" s="1138"/>
      <c r="H45" s="54" t="s">
        <v>137</v>
      </c>
      <c r="L45" s="1720"/>
      <c r="M45" s="1720"/>
      <c r="N45" s="175" t="s">
        <v>130</v>
      </c>
      <c r="O45" s="58" t="s">
        <v>617</v>
      </c>
      <c r="P45" s="42">
        <v>8.5</v>
      </c>
      <c r="Q45" t="s">
        <v>859</v>
      </c>
      <c r="R45" s="1720"/>
      <c r="S45" s="1720"/>
      <c r="T45" s="1720"/>
      <c r="U45" s="1720"/>
      <c r="V45" s="1720"/>
      <c r="AE45" s="343"/>
      <c r="AF45" s="343"/>
      <c r="AG45" s="343"/>
      <c r="AH45" s="343"/>
      <c r="AI45" s="343"/>
      <c r="AJ45" s="343"/>
      <c r="AK45" s="179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</row>
    <row r="46" spans="1:52" ht="14.4" x14ac:dyDescent="0.3">
      <c r="A46" s="185" t="s">
        <v>108</v>
      </c>
      <c r="B46" s="186"/>
      <c r="C46" s="187" t="s">
        <v>139</v>
      </c>
      <c r="D46" s="187" t="s">
        <v>140</v>
      </c>
      <c r="E46" s="187" t="s">
        <v>141</v>
      </c>
      <c r="F46" s="188" t="s">
        <v>142</v>
      </c>
      <c r="G46" s="188" t="s">
        <v>143</v>
      </c>
      <c r="H46" s="188" t="s">
        <v>144</v>
      </c>
      <c r="I46" s="189" t="s">
        <v>207</v>
      </c>
      <c r="L46" s="1720"/>
      <c r="M46" s="1720"/>
      <c r="N46" s="1720"/>
      <c r="O46" s="1720"/>
      <c r="P46" s="1720"/>
      <c r="Q46" s="1720"/>
      <c r="R46" s="1720"/>
      <c r="S46" s="1720"/>
      <c r="T46" s="1720"/>
      <c r="U46" s="1720"/>
      <c r="V46" s="1720"/>
      <c r="AE46" s="343"/>
      <c r="AF46" s="343"/>
      <c r="AG46" s="343"/>
      <c r="AH46" s="343"/>
      <c r="AI46" s="343"/>
      <c r="AJ46" s="343"/>
      <c r="AK46" s="179"/>
      <c r="AL46" s="111"/>
      <c r="AM46" s="111"/>
      <c r="AN46" s="111"/>
      <c r="AO46" s="111"/>
      <c r="AP46" s="111"/>
      <c r="AQ46" s="111"/>
      <c r="AR46" s="111"/>
      <c r="AS46" s="111"/>
      <c r="AT46" s="111"/>
      <c r="AU46" s="111"/>
      <c r="AV46" s="111"/>
      <c r="AW46" s="111"/>
      <c r="AX46" s="111"/>
      <c r="AY46" s="111"/>
      <c r="AZ46" s="111"/>
    </row>
    <row r="47" spans="1:52" ht="14.4" x14ac:dyDescent="0.3">
      <c r="A47" s="190" t="s">
        <v>145</v>
      </c>
      <c r="B47" s="186" t="s">
        <v>146</v>
      </c>
      <c r="C47" s="54">
        <v>40</v>
      </c>
      <c r="D47" s="191">
        <v>50</v>
      </c>
      <c r="E47" s="54">
        <v>50</v>
      </c>
      <c r="F47" s="191">
        <v>60</v>
      </c>
      <c r="G47" s="54">
        <v>65</v>
      </c>
      <c r="H47" s="191">
        <v>14</v>
      </c>
      <c r="I47" s="54">
        <v>70</v>
      </c>
      <c r="L47" s="1720"/>
      <c r="M47" s="1720"/>
      <c r="N47" s="1720"/>
      <c r="O47" s="1720"/>
      <c r="P47" s="1720"/>
      <c r="Q47" s="1720"/>
      <c r="R47" s="1720"/>
      <c r="S47" s="1720"/>
      <c r="T47" s="1720"/>
      <c r="U47" s="1720"/>
      <c r="V47" s="1720"/>
      <c r="AE47" s="343"/>
      <c r="AF47" s="343"/>
      <c r="AG47" s="343"/>
      <c r="AH47" s="343"/>
      <c r="AI47" s="343"/>
      <c r="AJ47" s="343"/>
      <c r="AK47" s="179"/>
      <c r="AL47" s="111"/>
      <c r="AM47" s="111"/>
      <c r="AN47" s="111"/>
      <c r="AO47" s="111"/>
      <c r="AP47" s="111"/>
      <c r="AQ47" s="111"/>
      <c r="AR47" s="111"/>
      <c r="AS47" s="111"/>
      <c r="AT47" s="111"/>
      <c r="AU47" s="111"/>
      <c r="AV47" s="111"/>
      <c r="AW47" s="111"/>
      <c r="AX47" s="111"/>
      <c r="AY47" s="111"/>
      <c r="AZ47" s="111"/>
    </row>
    <row r="48" spans="1:52" ht="14.4" x14ac:dyDescent="0.3">
      <c r="A48" s="190" t="s">
        <v>147</v>
      </c>
      <c r="B48" s="186" t="s">
        <v>148</v>
      </c>
      <c r="C48" s="54">
        <v>40</v>
      </c>
      <c r="D48" s="191">
        <v>50</v>
      </c>
      <c r="E48" s="54">
        <v>50</v>
      </c>
      <c r="F48" s="191">
        <v>65</v>
      </c>
      <c r="G48" s="54">
        <v>70</v>
      </c>
      <c r="H48" s="191">
        <v>14</v>
      </c>
      <c r="I48" s="54">
        <v>70</v>
      </c>
      <c r="L48" s="1720"/>
      <c r="M48" s="1720"/>
      <c r="N48" s="1720"/>
      <c r="O48" s="1720"/>
      <c r="P48" s="1720"/>
      <c r="Q48" s="1720"/>
      <c r="R48" s="1720"/>
      <c r="S48" s="1720"/>
      <c r="T48" s="1720"/>
      <c r="U48" s="1720"/>
      <c r="V48" s="1720"/>
      <c r="AE48" s="343"/>
      <c r="AF48" s="343"/>
      <c r="AG48" s="343"/>
      <c r="AH48" s="343"/>
      <c r="AI48" s="343"/>
      <c r="AJ48" s="343"/>
      <c r="AK48" s="179"/>
      <c r="AL48" s="111"/>
      <c r="AM48" s="111"/>
      <c r="AN48" s="111"/>
      <c r="AO48" s="111"/>
      <c r="AP48" s="111"/>
      <c r="AQ48" s="111"/>
      <c r="AR48" s="111"/>
      <c r="AS48" s="111"/>
      <c r="AT48" s="111"/>
      <c r="AU48" s="111"/>
      <c r="AV48" s="111"/>
      <c r="AW48" s="111"/>
      <c r="AX48" s="111"/>
      <c r="AY48" s="111"/>
      <c r="AZ48" s="111"/>
    </row>
    <row r="49" spans="1:52" ht="14.4" x14ac:dyDescent="0.3">
      <c r="A49" s="190" t="s">
        <v>149</v>
      </c>
      <c r="B49" s="186" t="s">
        <v>150</v>
      </c>
      <c r="C49" s="54">
        <v>40</v>
      </c>
      <c r="D49" s="191">
        <v>55</v>
      </c>
      <c r="E49" s="54">
        <v>60</v>
      </c>
      <c r="F49" s="191">
        <v>70</v>
      </c>
      <c r="G49" s="54">
        <v>75</v>
      </c>
      <c r="H49" s="191">
        <v>14</v>
      </c>
      <c r="I49" s="54">
        <v>70</v>
      </c>
      <c r="L49" s="1720"/>
      <c r="M49" s="1720"/>
      <c r="N49" s="1720"/>
      <c r="O49" s="1720"/>
      <c r="P49" s="1720"/>
      <c r="Q49" s="1720"/>
      <c r="R49" s="1720"/>
      <c r="S49" s="1720"/>
      <c r="T49" s="1720"/>
      <c r="U49" s="1720"/>
      <c r="V49" s="1720"/>
      <c r="AE49" s="343"/>
      <c r="AF49" s="343"/>
      <c r="AG49" s="343"/>
      <c r="AH49" s="343"/>
      <c r="AI49" s="343"/>
      <c r="AJ49" s="343"/>
      <c r="AK49" s="179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</row>
    <row r="50" spans="1:52" ht="14.4" x14ac:dyDescent="0.3">
      <c r="A50" s="190" t="s">
        <v>151</v>
      </c>
      <c r="B50" s="186" t="s">
        <v>152</v>
      </c>
      <c r="C50" s="54">
        <v>40</v>
      </c>
      <c r="D50" s="192">
        <v>55</v>
      </c>
      <c r="E50" s="54">
        <v>60</v>
      </c>
      <c r="F50" s="191">
        <v>75</v>
      </c>
      <c r="G50" s="54">
        <v>80</v>
      </c>
      <c r="H50" s="191">
        <v>20</v>
      </c>
      <c r="I50" s="54">
        <v>80</v>
      </c>
      <c r="L50" s="1720"/>
      <c r="M50" s="1720"/>
      <c r="N50" s="1720"/>
      <c r="O50" s="1720"/>
      <c r="P50" s="1720"/>
      <c r="Q50" s="1720"/>
      <c r="R50" s="1720"/>
      <c r="S50" s="1720"/>
      <c r="T50" s="1720"/>
      <c r="U50" s="1720"/>
      <c r="V50" s="1720"/>
      <c r="AE50" s="343"/>
      <c r="AF50" s="343"/>
      <c r="AG50" s="343"/>
      <c r="AH50" s="343"/>
      <c r="AI50" s="343"/>
      <c r="AJ50" s="343"/>
      <c r="AK50" s="179"/>
      <c r="AL50" s="111"/>
      <c r="AM50" s="111"/>
      <c r="AN50" s="111"/>
      <c r="AO50" s="111"/>
      <c r="AP50" s="111"/>
      <c r="AQ50" s="111"/>
      <c r="AR50" s="111"/>
      <c r="AS50" s="111"/>
      <c r="AT50" s="111"/>
      <c r="AU50" s="111"/>
      <c r="AV50" s="111"/>
      <c r="AW50" s="111"/>
      <c r="AX50" s="111"/>
      <c r="AY50" s="111"/>
      <c r="AZ50" s="111"/>
    </row>
    <row r="51" spans="1:52" ht="14.4" x14ac:dyDescent="0.3">
      <c r="A51" s="190" t="s">
        <v>153</v>
      </c>
      <c r="B51" s="186" t="s">
        <v>154</v>
      </c>
      <c r="C51" s="54">
        <v>45</v>
      </c>
      <c r="D51" s="191">
        <v>60</v>
      </c>
      <c r="E51" s="192">
        <v>65</v>
      </c>
      <c r="F51" s="191">
        <v>85</v>
      </c>
      <c r="G51" s="54">
        <v>95</v>
      </c>
      <c r="H51" s="191">
        <v>20</v>
      </c>
      <c r="I51" s="54">
        <v>80</v>
      </c>
      <c r="L51" s="1720"/>
      <c r="M51" s="1720"/>
      <c r="N51" s="1720"/>
      <c r="O51" s="1720"/>
      <c r="P51" s="1720"/>
      <c r="Q51" s="1720"/>
      <c r="R51" s="1720"/>
      <c r="S51" s="1720"/>
      <c r="T51" s="1720"/>
      <c r="U51" s="1720"/>
      <c r="V51" s="1720"/>
      <c r="AE51" s="343"/>
      <c r="AF51" s="343"/>
      <c r="AG51" s="343"/>
      <c r="AH51" s="343"/>
      <c r="AI51" s="343"/>
      <c r="AJ51" s="343"/>
      <c r="AK51" s="179"/>
      <c r="AL51" s="111"/>
      <c r="AM51" s="111"/>
      <c r="AN51" s="111"/>
      <c r="AO51" s="111"/>
      <c r="AP51" s="111"/>
      <c r="AQ51" s="111"/>
      <c r="AR51" s="111"/>
      <c r="AS51" s="111"/>
      <c r="AT51" s="111"/>
      <c r="AU51" s="111"/>
      <c r="AV51" s="111"/>
      <c r="AW51" s="111"/>
      <c r="AX51" s="111"/>
      <c r="AY51" s="111"/>
      <c r="AZ51" s="111"/>
    </row>
    <row r="52" spans="1:52" ht="14.4" x14ac:dyDescent="0.3">
      <c r="A52" s="190" t="s">
        <v>155</v>
      </c>
      <c r="B52" s="186" t="s">
        <v>156</v>
      </c>
      <c r="C52" s="54">
        <v>45</v>
      </c>
      <c r="D52" s="191">
        <v>60</v>
      </c>
      <c r="E52" s="54">
        <v>65</v>
      </c>
      <c r="F52" s="191">
        <v>90</v>
      </c>
      <c r="G52" s="54">
        <v>100</v>
      </c>
      <c r="H52" s="191">
        <v>20</v>
      </c>
      <c r="I52" s="54">
        <v>80</v>
      </c>
      <c r="L52" s="1720"/>
      <c r="M52" s="1720"/>
      <c r="N52" s="1720"/>
      <c r="O52" s="1720"/>
      <c r="P52" s="1720"/>
      <c r="Q52" s="1720"/>
      <c r="R52" s="1720"/>
      <c r="S52" s="1720"/>
      <c r="T52" s="1720"/>
      <c r="U52" s="1720"/>
      <c r="V52" s="1720"/>
      <c r="AE52" s="343"/>
      <c r="AF52" s="343"/>
      <c r="AG52" s="343"/>
      <c r="AH52" s="343"/>
      <c r="AI52" s="343"/>
      <c r="AJ52" s="343"/>
      <c r="AK52" s="179"/>
      <c r="AL52" s="111"/>
      <c r="AM52" s="111"/>
      <c r="AN52" s="111"/>
      <c r="AO52" s="111"/>
      <c r="AP52" s="111"/>
      <c r="AQ52" s="111"/>
      <c r="AR52" s="111"/>
      <c r="AS52" s="111"/>
      <c r="AT52" s="111"/>
      <c r="AU52" s="111"/>
      <c r="AV52" s="111"/>
      <c r="AW52" s="111"/>
      <c r="AX52" s="111"/>
      <c r="AY52" s="111"/>
      <c r="AZ52" s="111"/>
    </row>
    <row r="53" spans="1:52" ht="14.4" x14ac:dyDescent="0.3">
      <c r="A53" s="190" t="s">
        <v>157</v>
      </c>
      <c r="B53" s="186" t="s">
        <v>158</v>
      </c>
      <c r="C53" s="54">
        <v>50</v>
      </c>
      <c r="D53" s="191">
        <v>60</v>
      </c>
      <c r="E53" s="54">
        <v>65</v>
      </c>
      <c r="F53" s="191">
        <v>100</v>
      </c>
      <c r="G53" s="54">
        <v>110</v>
      </c>
      <c r="H53" s="191">
        <v>20</v>
      </c>
      <c r="I53" s="54">
        <v>80</v>
      </c>
      <c r="L53" s="1720"/>
      <c r="M53" s="1720"/>
      <c r="N53" s="1720"/>
      <c r="O53" s="1720"/>
      <c r="P53" s="1720"/>
      <c r="Q53" s="1720"/>
      <c r="R53" s="1720"/>
      <c r="S53" s="1720"/>
      <c r="T53" s="1720"/>
      <c r="U53" s="1720"/>
      <c r="V53" s="1720"/>
      <c r="AE53" s="343"/>
      <c r="AF53" s="343"/>
      <c r="AG53" s="343"/>
      <c r="AH53" s="343"/>
      <c r="AI53" s="343"/>
      <c r="AJ53" s="343"/>
      <c r="AK53" s="179"/>
      <c r="AL53" s="111"/>
      <c r="AM53" s="111"/>
      <c r="AN53" s="111"/>
      <c r="AO53" s="111"/>
      <c r="AP53" s="111"/>
      <c r="AQ53" s="111"/>
      <c r="AR53" s="111"/>
      <c r="AS53" s="111"/>
      <c r="AT53" s="111"/>
      <c r="AU53" s="111"/>
      <c r="AV53" s="111"/>
      <c r="AW53" s="111"/>
      <c r="AX53" s="111"/>
      <c r="AY53" s="111"/>
      <c r="AZ53" s="111"/>
    </row>
    <row r="54" spans="1:52" ht="14.4" x14ac:dyDescent="0.3">
      <c r="A54" s="190" t="s">
        <v>159</v>
      </c>
      <c r="B54" s="186" t="s">
        <v>160</v>
      </c>
      <c r="C54" s="54">
        <v>50</v>
      </c>
      <c r="D54" s="191">
        <v>65</v>
      </c>
      <c r="E54" s="54">
        <v>65</v>
      </c>
      <c r="F54" s="191">
        <v>110</v>
      </c>
      <c r="G54" s="54">
        <v>120</v>
      </c>
      <c r="H54" s="191">
        <v>20</v>
      </c>
      <c r="I54" s="54">
        <v>80</v>
      </c>
      <c r="L54" s="1720"/>
      <c r="M54" s="1720"/>
      <c r="N54" s="1720"/>
      <c r="O54" s="1720"/>
      <c r="P54" s="1720"/>
      <c r="Q54" s="1720"/>
      <c r="R54" s="1720"/>
      <c r="S54" s="1720"/>
      <c r="T54" s="1720"/>
      <c r="U54" s="1720"/>
      <c r="V54" s="1720"/>
      <c r="AE54" s="1792"/>
      <c r="AF54" s="343"/>
      <c r="AG54" s="343"/>
      <c r="AH54" s="343"/>
      <c r="AI54" s="343"/>
      <c r="AJ54" s="343"/>
      <c r="AK54" s="179"/>
      <c r="AL54" s="111"/>
      <c r="AM54" s="111"/>
      <c r="AN54" s="111"/>
      <c r="AO54" s="111"/>
      <c r="AP54" s="111"/>
      <c r="AQ54" s="111"/>
      <c r="AR54" s="111"/>
      <c r="AS54" s="111"/>
      <c r="AT54" s="111"/>
      <c r="AU54" s="111"/>
      <c r="AV54" s="111"/>
      <c r="AW54" s="111"/>
      <c r="AX54" s="111"/>
      <c r="AY54" s="111"/>
      <c r="AZ54" s="111"/>
    </row>
    <row r="55" spans="1:52" ht="14.4" x14ac:dyDescent="0.3">
      <c r="A55" s="190" t="s">
        <v>161</v>
      </c>
      <c r="B55" s="186" t="s">
        <v>162</v>
      </c>
      <c r="C55" s="54">
        <v>50</v>
      </c>
      <c r="D55" s="191">
        <v>65</v>
      </c>
      <c r="E55" s="54">
        <v>65</v>
      </c>
      <c r="F55" s="191">
        <v>120</v>
      </c>
      <c r="G55" s="54">
        <v>130</v>
      </c>
      <c r="H55" s="191">
        <v>20</v>
      </c>
      <c r="I55" s="54">
        <v>80</v>
      </c>
      <c r="L55" s="1720"/>
      <c r="M55" s="1720"/>
      <c r="N55" s="1720"/>
      <c r="O55" s="1720"/>
      <c r="P55" s="1720"/>
      <c r="Q55" s="1720"/>
      <c r="R55" s="1720"/>
      <c r="S55" s="1720"/>
      <c r="T55" s="1720"/>
      <c r="U55" s="1720"/>
      <c r="V55" s="1720"/>
      <c r="AE55" s="343"/>
      <c r="AF55" s="343"/>
      <c r="AG55" s="343"/>
      <c r="AH55" s="343"/>
      <c r="AI55" s="343"/>
      <c r="AJ55" s="343"/>
      <c r="AK55" s="179"/>
      <c r="AL55" s="111"/>
      <c r="AM55" s="111"/>
      <c r="AN55" s="111"/>
      <c r="AO55" s="111"/>
      <c r="AP55" s="111"/>
      <c r="AQ55" s="111"/>
      <c r="AR55" s="111"/>
      <c r="AS55" s="111"/>
      <c r="AT55" s="111"/>
      <c r="AU55" s="111"/>
      <c r="AV55" s="111"/>
      <c r="AW55" s="111"/>
      <c r="AX55" s="111"/>
      <c r="AY55" s="111"/>
      <c r="AZ55" s="111"/>
    </row>
    <row r="56" spans="1:52" ht="14.4" x14ac:dyDescent="0.3">
      <c r="L56" s="1720"/>
      <c r="M56" s="1720"/>
      <c r="N56" s="1720"/>
      <c r="O56" s="1720"/>
      <c r="P56" s="1720"/>
      <c r="Q56" s="1720"/>
      <c r="R56" s="1720"/>
      <c r="S56" s="1720"/>
      <c r="T56" s="1720"/>
      <c r="U56" s="1720"/>
      <c r="V56" s="1720"/>
      <c r="AE56" s="343"/>
      <c r="AF56" s="343"/>
      <c r="AG56" s="343"/>
      <c r="AH56" s="343"/>
      <c r="AI56" s="343"/>
      <c r="AJ56" s="343"/>
      <c r="AK56" s="179"/>
      <c r="AL56" s="111"/>
      <c r="AM56" s="111"/>
      <c r="AN56" s="111"/>
      <c r="AO56" s="111"/>
      <c r="AP56" s="111"/>
      <c r="AQ56" s="111"/>
      <c r="AR56" s="111"/>
      <c r="AS56" s="111"/>
      <c r="AT56" s="111"/>
      <c r="AU56" s="111"/>
      <c r="AV56" s="111"/>
      <c r="AW56" s="111"/>
      <c r="AX56" s="111"/>
      <c r="AY56" s="111"/>
      <c r="AZ56" s="111"/>
    </row>
    <row r="57" spans="1:52" ht="14.4" x14ac:dyDescent="0.3">
      <c r="L57" s="1720"/>
      <c r="M57" s="1720"/>
      <c r="N57" s="1720"/>
      <c r="O57" s="1720"/>
      <c r="P57" s="1720"/>
      <c r="Q57" s="1720"/>
      <c r="R57" s="1720"/>
      <c r="S57" s="1720"/>
      <c r="T57" s="1720"/>
      <c r="U57" s="1720"/>
      <c r="V57" s="1720"/>
      <c r="AE57" s="343"/>
      <c r="AF57" s="343"/>
      <c r="AG57" s="343"/>
      <c r="AH57" s="343"/>
      <c r="AI57" s="343"/>
      <c r="AJ57" s="343"/>
      <c r="AK57" s="179"/>
      <c r="AL57" s="111"/>
      <c r="AM57" s="111"/>
      <c r="AN57" s="111"/>
      <c r="AO57" s="111"/>
      <c r="AP57" s="111"/>
      <c r="AQ57" s="111"/>
      <c r="AR57" s="111"/>
      <c r="AS57" s="111"/>
      <c r="AT57" s="111"/>
      <c r="AU57" s="111"/>
      <c r="AV57" s="111"/>
      <c r="AW57" s="111"/>
      <c r="AX57" s="111"/>
      <c r="AY57" s="111"/>
      <c r="AZ57" s="111"/>
    </row>
    <row r="58" spans="1:52" ht="14.4" x14ac:dyDescent="0.3">
      <c r="A58" s="193" t="s">
        <v>112</v>
      </c>
      <c r="B58" s="194"/>
      <c r="C58" s="2166" t="s">
        <v>164</v>
      </c>
      <c r="D58" s="2166"/>
      <c r="E58" s="2166"/>
      <c r="F58" s="188"/>
      <c r="G58" s="188" t="s">
        <v>138</v>
      </c>
      <c r="H58" s="187"/>
      <c r="I58" s="187"/>
      <c r="L58" s="1720"/>
      <c r="M58" s="1720"/>
      <c r="N58" s="1720"/>
      <c r="O58" s="1720"/>
      <c r="P58" s="1720"/>
      <c r="Q58" s="1720"/>
      <c r="R58" s="1720"/>
      <c r="S58" s="1720"/>
      <c r="T58" s="1720"/>
      <c r="U58" s="1720"/>
      <c r="V58" s="1720"/>
      <c r="AE58" s="343"/>
      <c r="AF58" s="343"/>
      <c r="AG58" s="343"/>
      <c r="AH58" s="343"/>
      <c r="AI58" s="343"/>
      <c r="AJ58" s="343"/>
      <c r="AK58" s="179"/>
      <c r="AL58" s="111"/>
      <c r="AM58" s="111"/>
      <c r="AN58" s="111"/>
      <c r="AO58" s="111"/>
      <c r="AP58" s="111"/>
      <c r="AQ58" s="111"/>
      <c r="AR58" s="111"/>
      <c r="AS58" s="111"/>
      <c r="AT58" s="111"/>
      <c r="AU58" s="111"/>
      <c r="AV58" s="111"/>
      <c r="AW58" s="111"/>
      <c r="AX58" s="111"/>
      <c r="AY58" s="111"/>
      <c r="AZ58" s="111"/>
    </row>
    <row r="59" spans="1:52" ht="14.4" x14ac:dyDescent="0.3">
      <c r="A59" s="190"/>
      <c r="B59" s="194" t="s">
        <v>1939</v>
      </c>
      <c r="C59" s="187" t="s">
        <v>139</v>
      </c>
      <c r="D59" s="187" t="s">
        <v>140</v>
      </c>
      <c r="E59" s="187" t="s">
        <v>141</v>
      </c>
      <c r="F59" s="188" t="s">
        <v>166</v>
      </c>
      <c r="G59" s="188" t="s">
        <v>167</v>
      </c>
      <c r="H59" s="189" t="s">
        <v>168</v>
      </c>
      <c r="I59" s="189" t="s">
        <v>169</v>
      </c>
      <c r="L59" s="1720"/>
      <c r="M59" s="1720"/>
      <c r="N59" s="1720"/>
      <c r="O59" s="1720"/>
      <c r="P59" s="1720"/>
      <c r="Q59" s="1720"/>
      <c r="R59" s="1720"/>
      <c r="S59" s="1720"/>
      <c r="T59" s="1720"/>
      <c r="U59" s="1720"/>
      <c r="V59" s="1720"/>
      <c r="AE59" s="343"/>
      <c r="AF59" s="343"/>
      <c r="AG59" s="343"/>
      <c r="AH59" s="343"/>
      <c r="AI59" s="343"/>
      <c r="AJ59" s="343"/>
      <c r="AK59" s="179"/>
      <c r="AL59" s="111"/>
      <c r="AM59" s="111"/>
      <c r="AN59" s="111"/>
      <c r="AO59" s="111"/>
      <c r="AP59" s="111"/>
      <c r="AQ59" s="111"/>
      <c r="AR59" s="111"/>
      <c r="AS59" s="111"/>
      <c r="AT59" s="111"/>
      <c r="AU59" s="111"/>
      <c r="AV59" s="111"/>
      <c r="AW59" s="111"/>
      <c r="AX59" s="111"/>
      <c r="AY59" s="111"/>
      <c r="AZ59" s="111"/>
    </row>
    <row r="60" spans="1:52" ht="14.4" x14ac:dyDescent="0.3">
      <c r="A60" s="193" t="s">
        <v>170</v>
      </c>
      <c r="B60" s="184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720"/>
      <c r="M60" s="1720"/>
      <c r="N60" s="1720"/>
      <c r="O60" s="1720"/>
      <c r="P60" s="1720"/>
      <c r="Q60" s="1720"/>
      <c r="R60" s="1720"/>
      <c r="S60" s="1720"/>
      <c r="T60" s="1720"/>
      <c r="U60" s="1720"/>
      <c r="V60" s="1720"/>
      <c r="AE60" s="343"/>
      <c r="AF60" s="343"/>
      <c r="AG60" s="343"/>
      <c r="AH60" s="343"/>
      <c r="AI60" s="343"/>
      <c r="AJ60" s="343"/>
      <c r="AK60" s="179"/>
      <c r="AL60" s="111"/>
      <c r="AM60" s="111"/>
      <c r="AN60" s="111"/>
      <c r="AO60" s="111"/>
      <c r="AP60" s="111"/>
      <c r="AQ60" s="111"/>
      <c r="AR60" s="111"/>
      <c r="AS60" s="111"/>
      <c r="AT60" s="111"/>
      <c r="AU60" s="111"/>
      <c r="AV60" s="111"/>
      <c r="AW60" s="111"/>
      <c r="AX60" s="111"/>
      <c r="AY60" s="111"/>
      <c r="AZ60" s="111"/>
    </row>
    <row r="61" spans="1:52" ht="14.4" x14ac:dyDescent="0.3">
      <c r="A61" s="193" t="s">
        <v>171</v>
      </c>
      <c r="B61" s="184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720"/>
      <c r="M61" s="1720"/>
      <c r="N61" s="1720"/>
      <c r="O61" s="1720"/>
      <c r="P61" s="1720"/>
      <c r="Q61" s="1720"/>
      <c r="R61" s="1720"/>
      <c r="S61" s="1720"/>
      <c r="T61" s="1720"/>
      <c r="U61" s="1720"/>
      <c r="V61" s="1720"/>
      <c r="AE61" s="343"/>
      <c r="AF61" s="343"/>
      <c r="AG61" s="343"/>
      <c r="AH61" s="343"/>
      <c r="AI61" s="343"/>
      <c r="AJ61" s="343"/>
      <c r="AK61" s="179"/>
      <c r="AL61" s="111"/>
      <c r="AM61" s="111"/>
      <c r="AN61" s="111"/>
      <c r="AO61" s="111"/>
      <c r="AP61" s="111"/>
      <c r="AQ61" s="111"/>
      <c r="AR61" s="111"/>
      <c r="AS61" s="111"/>
      <c r="AT61" s="111"/>
      <c r="AU61" s="111"/>
      <c r="AV61" s="111"/>
      <c r="AW61" s="111"/>
      <c r="AX61" s="111"/>
      <c r="AY61" s="111"/>
      <c r="AZ61" s="111"/>
    </row>
    <row r="62" spans="1:52" ht="14.4" x14ac:dyDescent="0.3">
      <c r="A62" s="193" t="s">
        <v>172</v>
      </c>
      <c r="B62" s="184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720"/>
      <c r="M62" s="1720"/>
      <c r="N62" s="1720"/>
      <c r="O62" s="1720"/>
      <c r="P62" s="1720"/>
      <c r="Q62" s="1720"/>
      <c r="R62" s="1720"/>
      <c r="S62" s="1720"/>
      <c r="T62" s="1720"/>
      <c r="U62" s="1720"/>
      <c r="V62" s="1720"/>
      <c r="AE62" s="343"/>
      <c r="AF62" s="1794"/>
      <c r="AG62" s="343"/>
      <c r="AH62" s="343"/>
      <c r="AI62" s="343"/>
      <c r="AJ62" s="343"/>
      <c r="AK62" s="179"/>
      <c r="AL62" s="111"/>
      <c r="AM62" s="111"/>
      <c r="AN62" s="111"/>
      <c r="AO62" s="111"/>
      <c r="AP62" s="111"/>
      <c r="AQ62" s="111"/>
      <c r="AR62" s="111"/>
      <c r="AS62" s="111"/>
      <c r="AT62" s="111"/>
      <c r="AU62" s="111"/>
      <c r="AV62" s="111"/>
      <c r="AW62" s="111"/>
      <c r="AX62" s="111"/>
      <c r="AY62" s="111"/>
      <c r="AZ62" s="111"/>
    </row>
    <row r="63" spans="1:52" ht="14.4" x14ac:dyDescent="0.3">
      <c r="A63" s="193" t="s">
        <v>173</v>
      </c>
      <c r="B63" s="184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720"/>
      <c r="M63" s="1720"/>
      <c r="N63" s="1720"/>
      <c r="O63" s="1720"/>
      <c r="P63" s="1720"/>
      <c r="Q63" s="1720"/>
      <c r="R63" s="1720"/>
      <c r="S63" s="1720"/>
      <c r="T63" s="1720"/>
      <c r="U63" s="1720"/>
      <c r="V63" s="1720"/>
      <c r="AE63" s="343"/>
      <c r="AF63" s="343"/>
      <c r="AG63" s="343"/>
      <c r="AH63" s="343"/>
      <c r="AI63" s="343"/>
      <c r="AJ63" s="343"/>
      <c r="AK63" s="179"/>
      <c r="AL63" s="111"/>
      <c r="AM63" s="111"/>
      <c r="AN63" s="111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1:52" ht="14.4" x14ac:dyDescent="0.3">
      <c r="A64" s="193" t="s">
        <v>174</v>
      </c>
      <c r="B64" s="184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720"/>
      <c r="M64" s="1720"/>
      <c r="N64" s="1720"/>
      <c r="O64" s="1720"/>
      <c r="P64" s="1720"/>
      <c r="Q64" s="1720"/>
      <c r="R64" s="1720"/>
      <c r="S64" s="1720"/>
      <c r="T64" s="1720"/>
      <c r="U64" s="1720"/>
      <c r="V64" s="1720"/>
      <c r="AE64" s="343"/>
      <c r="AF64" s="343"/>
      <c r="AG64" s="343"/>
      <c r="AH64" s="343"/>
      <c r="AI64" s="343"/>
      <c r="AJ64" s="343"/>
      <c r="AK64" s="179"/>
      <c r="AL64" s="111"/>
      <c r="AM64" s="111"/>
      <c r="AN64" s="111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1:52" ht="14.4" x14ac:dyDescent="0.3">
      <c r="A65" s="193" t="s">
        <v>200</v>
      </c>
      <c r="B65" s="184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720"/>
      <c r="M65" s="1720"/>
      <c r="N65" s="1720"/>
      <c r="O65" s="1720"/>
      <c r="P65" s="1720"/>
      <c r="Q65" s="1720"/>
      <c r="R65" s="1720"/>
      <c r="S65" s="1720"/>
      <c r="T65" s="1720"/>
      <c r="U65" s="1720"/>
      <c r="V65" s="1720"/>
      <c r="AE65" s="343"/>
      <c r="AF65" s="343"/>
      <c r="AG65" s="343"/>
      <c r="AH65" s="343"/>
      <c r="AI65" s="343"/>
      <c r="AJ65" s="343"/>
      <c r="AK65" s="179"/>
      <c r="AL65" s="111"/>
      <c r="AM65" s="111"/>
      <c r="AN65" s="111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1:52" ht="14.4" x14ac:dyDescent="0.3">
      <c r="A66" s="193" t="s">
        <v>201</v>
      </c>
      <c r="B66" s="184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720"/>
      <c r="M66" s="1720"/>
      <c r="N66" s="1720"/>
      <c r="O66" s="1720"/>
      <c r="P66" s="1720"/>
      <c r="Q66" s="1720"/>
      <c r="R66" s="1720"/>
      <c r="S66" s="1720"/>
      <c r="T66" s="1720"/>
      <c r="U66" s="1720"/>
      <c r="V66" s="1720"/>
      <c r="AE66" s="343"/>
      <c r="AF66" s="343"/>
      <c r="AG66" s="343"/>
      <c r="AH66" s="343"/>
      <c r="AI66" s="343"/>
      <c r="AJ66" s="343"/>
      <c r="AK66" s="179"/>
      <c r="AL66" s="111"/>
      <c r="AM66" s="111"/>
      <c r="AN66" s="111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1:52" ht="14.4" x14ac:dyDescent="0.3">
      <c r="L67" s="1720"/>
      <c r="M67" s="1720"/>
      <c r="N67" s="1720"/>
      <c r="O67" s="1720"/>
      <c r="P67" s="1720"/>
      <c r="Q67" s="1720"/>
      <c r="R67" s="1720"/>
      <c r="S67" s="1720"/>
      <c r="T67" s="1720"/>
      <c r="U67" s="1720"/>
      <c r="V67" s="1720"/>
      <c r="AE67" s="343"/>
      <c r="AF67" s="343"/>
      <c r="AG67" s="343"/>
      <c r="AH67" s="343"/>
      <c r="AI67" s="343"/>
      <c r="AJ67" s="343"/>
      <c r="AK67" s="179"/>
      <c r="AL67" s="111"/>
      <c r="AM67" s="111"/>
      <c r="AN67" s="111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1:52" ht="14.4" x14ac:dyDescent="0.3">
      <c r="L68" s="1720"/>
      <c r="M68" s="1720"/>
      <c r="N68" s="1720"/>
      <c r="O68" s="1720"/>
      <c r="P68" s="1720"/>
      <c r="Q68" s="1720"/>
      <c r="R68" s="1720"/>
      <c r="S68" s="1720"/>
      <c r="T68" s="1720"/>
      <c r="U68" s="1720"/>
      <c r="V68" s="1720"/>
      <c r="AE68" s="343"/>
      <c r="AF68" s="343"/>
      <c r="AG68" s="1792"/>
      <c r="AH68" s="343"/>
      <c r="AI68" s="343"/>
      <c r="AJ68" s="343"/>
      <c r="AK68" s="179"/>
      <c r="AL68" s="111"/>
      <c r="AM68" s="111"/>
      <c r="AN68" s="111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1:52" ht="14.4" x14ac:dyDescent="0.3">
      <c r="L69" s="1720"/>
      <c r="M69" s="1720"/>
      <c r="N69" s="1720"/>
      <c r="O69" s="1720"/>
      <c r="P69" s="1720"/>
      <c r="Q69" s="1720"/>
      <c r="R69" s="1720"/>
      <c r="S69" s="1720"/>
      <c r="T69" s="1720"/>
      <c r="U69" s="1720"/>
      <c r="V69" s="1720"/>
      <c r="AE69" s="343"/>
      <c r="AF69" s="343"/>
      <c r="AG69" s="1792"/>
      <c r="AH69" s="343"/>
      <c r="AI69" s="343"/>
      <c r="AJ69" s="343"/>
      <c r="AK69" s="179"/>
      <c r="AL69" s="111"/>
      <c r="AM69" s="111"/>
      <c r="AN69" s="111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1:52" ht="14.4" x14ac:dyDescent="0.3">
      <c r="L70" s="1720"/>
      <c r="M70" s="1720"/>
      <c r="N70" s="1720"/>
      <c r="O70" s="1720"/>
      <c r="P70" s="1720"/>
      <c r="Q70" s="1720"/>
      <c r="R70" s="1720"/>
      <c r="S70" s="1720"/>
      <c r="T70" s="1720"/>
      <c r="U70" s="1720"/>
      <c r="V70" s="1720"/>
      <c r="AE70" s="343"/>
      <c r="AF70" s="343"/>
      <c r="AG70" s="343"/>
      <c r="AH70" s="1792"/>
      <c r="AI70" s="343"/>
      <c r="AJ70" s="343"/>
      <c r="AK70" s="179"/>
      <c r="AL70" s="111"/>
      <c r="AM70" s="111"/>
      <c r="AN70" s="111"/>
      <c r="AO70" s="111"/>
      <c r="AP70" s="111"/>
      <c r="AQ70" s="111"/>
      <c r="AR70" s="111"/>
      <c r="AS70" s="111"/>
      <c r="AT70" s="111"/>
      <c r="AU70" s="111"/>
      <c r="AV70" s="111"/>
      <c r="AW70" s="111"/>
      <c r="AX70" s="111"/>
      <c r="AY70" s="111"/>
      <c r="AZ70" s="111"/>
    </row>
    <row r="71" spans="1:52" ht="14.4" x14ac:dyDescent="0.3">
      <c r="L71" s="1720"/>
      <c r="M71" s="1720"/>
      <c r="N71" s="1720"/>
      <c r="O71" s="1720"/>
      <c r="P71" s="1720"/>
      <c r="Q71" s="1720"/>
      <c r="R71" s="1720"/>
      <c r="S71" s="1720"/>
      <c r="T71" s="1720"/>
      <c r="U71" s="1720"/>
      <c r="V71" s="1720"/>
      <c r="AE71" s="343"/>
      <c r="AF71" s="343"/>
      <c r="AG71" s="343"/>
      <c r="AH71" s="1792"/>
      <c r="AI71" s="343"/>
      <c r="AJ71" s="343"/>
      <c r="AK71" s="179"/>
      <c r="AL71" s="111"/>
      <c r="AM71" s="111"/>
      <c r="AN71" s="111"/>
      <c r="AO71" s="111"/>
      <c r="AP71" s="111"/>
      <c r="AQ71" s="111"/>
      <c r="AR71" s="111"/>
      <c r="AS71" s="111"/>
      <c r="AT71" s="111"/>
      <c r="AU71" s="111"/>
      <c r="AV71" s="111"/>
      <c r="AW71" s="111"/>
      <c r="AX71" s="111"/>
      <c r="AY71" s="111"/>
      <c r="AZ71" s="111"/>
    </row>
    <row r="72" spans="1:52" ht="14.4" x14ac:dyDescent="0.3">
      <c r="A72" s="190" t="s">
        <v>121</v>
      </c>
      <c r="B72" s="194" t="s">
        <v>163</v>
      </c>
      <c r="C72" s="2166" t="s">
        <v>164</v>
      </c>
      <c r="D72" s="2166"/>
      <c r="E72" s="2166"/>
      <c r="F72" s="188"/>
      <c r="G72" s="188" t="s">
        <v>138</v>
      </c>
      <c r="H72" s="187"/>
      <c r="I72" s="187"/>
      <c r="J72" s="188" t="s">
        <v>175</v>
      </c>
      <c r="K72" s="188"/>
      <c r="L72" s="1720"/>
      <c r="M72" s="1720"/>
      <c r="N72" s="1720"/>
      <c r="O72" s="1720"/>
      <c r="P72" s="1720"/>
      <c r="Q72" s="1720"/>
      <c r="R72" s="1720"/>
      <c r="S72" s="1720"/>
      <c r="T72" s="1720"/>
      <c r="U72" s="1720"/>
      <c r="V72" s="1720"/>
      <c r="AE72" s="343"/>
      <c r="AF72" s="343"/>
      <c r="AG72" s="343"/>
      <c r="AH72" s="343"/>
      <c r="AI72" s="343"/>
      <c r="AJ72" s="343"/>
      <c r="AK72" s="179"/>
      <c r="AL72" s="111"/>
      <c r="AM72" s="111"/>
      <c r="AN72" s="111"/>
      <c r="AO72" s="111"/>
      <c r="AP72" s="111"/>
      <c r="AQ72" s="111"/>
      <c r="AR72" s="111"/>
      <c r="AS72" s="111"/>
      <c r="AT72" s="111"/>
      <c r="AU72" s="111"/>
      <c r="AV72" s="111"/>
      <c r="AW72" s="111"/>
      <c r="AX72" s="111"/>
      <c r="AY72" s="111"/>
      <c r="AZ72" s="111"/>
    </row>
    <row r="73" spans="1:52" ht="14.4" x14ac:dyDescent="0.3">
      <c r="A73" s="195"/>
      <c r="B73" s="194" t="s">
        <v>165</v>
      </c>
      <c r="C73" s="187" t="s">
        <v>139</v>
      </c>
      <c r="D73" s="187" t="s">
        <v>140</v>
      </c>
      <c r="E73" s="187" t="s">
        <v>141</v>
      </c>
      <c r="F73" s="188" t="s">
        <v>166</v>
      </c>
      <c r="G73" s="188" t="s">
        <v>167</v>
      </c>
      <c r="H73" s="189" t="s">
        <v>168</v>
      </c>
      <c r="I73" s="189" t="s">
        <v>169</v>
      </c>
      <c r="J73" s="188" t="s">
        <v>176</v>
      </c>
      <c r="K73" s="189" t="s">
        <v>177</v>
      </c>
      <c r="L73" s="1720"/>
      <c r="M73" s="1720"/>
      <c r="N73" s="1720"/>
      <c r="O73" s="1720"/>
      <c r="P73" s="1720"/>
      <c r="Q73" s="1720"/>
      <c r="R73" s="1720"/>
      <c r="S73" s="1720"/>
      <c r="T73" s="1720"/>
      <c r="U73" s="1720"/>
      <c r="V73" s="1720"/>
      <c r="AE73" s="343"/>
      <c r="AF73" s="343"/>
      <c r="AG73" s="343"/>
      <c r="AH73" s="343"/>
      <c r="AI73" s="343"/>
      <c r="AJ73" s="343"/>
      <c r="AK73" s="179"/>
      <c r="AL73" s="111"/>
      <c r="AM73" s="111"/>
      <c r="AN73" s="111"/>
      <c r="AO73" s="111"/>
      <c r="AP73" s="111"/>
      <c r="AQ73" s="111"/>
      <c r="AR73" s="111"/>
      <c r="AS73" s="111"/>
      <c r="AT73" s="111"/>
      <c r="AU73" s="111"/>
      <c r="AV73" s="111"/>
      <c r="AW73" s="111"/>
      <c r="AX73" s="111"/>
      <c r="AY73" s="111"/>
      <c r="AZ73" s="111"/>
    </row>
    <row r="74" spans="1:52" ht="14.4" x14ac:dyDescent="0.3">
      <c r="A74" s="195" t="s">
        <v>178</v>
      </c>
      <c r="B74" s="184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720"/>
      <c r="M74" s="1720"/>
      <c r="N74" s="1720"/>
      <c r="O74" s="1720"/>
      <c r="P74" s="1720"/>
      <c r="Q74" s="1720"/>
      <c r="R74" s="1720"/>
      <c r="S74" s="1720"/>
      <c r="T74" s="1720"/>
      <c r="U74" s="1720"/>
      <c r="V74" s="1720"/>
      <c r="AE74" s="343"/>
      <c r="AF74" s="343"/>
      <c r="AG74" s="343"/>
      <c r="AH74" s="343"/>
      <c r="AI74" s="343"/>
      <c r="AJ74" s="343"/>
      <c r="AK74" s="179"/>
      <c r="AL74" s="111"/>
      <c r="AM74" s="111"/>
      <c r="AN74" s="111"/>
      <c r="AO74" s="111"/>
      <c r="AP74" s="111"/>
      <c r="AQ74" s="111"/>
      <c r="AR74" s="111"/>
      <c r="AS74" s="111"/>
      <c r="AT74" s="111"/>
      <c r="AU74" s="111"/>
      <c r="AV74" s="111"/>
      <c r="AW74" s="111"/>
      <c r="AX74" s="111"/>
      <c r="AY74" s="111"/>
      <c r="AZ74" s="111"/>
    </row>
    <row r="75" spans="1:52" ht="14.4" x14ac:dyDescent="0.3">
      <c r="A75" s="195" t="s">
        <v>179</v>
      </c>
      <c r="B75" s="184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720"/>
      <c r="M75" s="1720"/>
      <c r="N75" s="1720"/>
      <c r="O75" s="1720"/>
      <c r="P75" s="1720"/>
      <c r="Q75" s="1720"/>
      <c r="R75" s="1720"/>
      <c r="S75" s="1720"/>
      <c r="T75" s="1720"/>
      <c r="U75" s="1720"/>
      <c r="V75" s="1720"/>
      <c r="AE75" s="343"/>
      <c r="AF75" s="343"/>
      <c r="AG75" s="343"/>
      <c r="AH75" s="343"/>
      <c r="AI75" s="343"/>
      <c r="AJ75" s="343"/>
      <c r="AK75" s="179"/>
      <c r="AL75" s="111"/>
      <c r="AM75" s="111"/>
      <c r="AN75" s="111"/>
      <c r="AO75" s="111"/>
      <c r="AP75" s="111"/>
      <c r="AQ75" s="111"/>
      <c r="AR75" s="111"/>
      <c r="AS75" s="111"/>
      <c r="AT75" s="111"/>
      <c r="AU75" s="111"/>
      <c r="AV75" s="111"/>
      <c r="AW75" s="111"/>
      <c r="AX75" s="111"/>
      <c r="AY75" s="111"/>
      <c r="AZ75" s="111"/>
    </row>
    <row r="76" spans="1:52" ht="14.4" x14ac:dyDescent="0.3">
      <c r="A76" s="195" t="s">
        <v>180</v>
      </c>
      <c r="B76" s="184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720"/>
      <c r="M76" s="1720"/>
      <c r="N76" s="1720"/>
      <c r="O76" s="1720"/>
      <c r="P76" s="1720"/>
      <c r="Q76" s="1720"/>
      <c r="R76" s="1720"/>
      <c r="S76" s="1720"/>
      <c r="T76" s="1720"/>
      <c r="U76" s="1720"/>
      <c r="V76" s="1720"/>
      <c r="AE76" s="343"/>
      <c r="AF76" s="343"/>
      <c r="AG76" s="343"/>
      <c r="AH76" s="343"/>
      <c r="AI76" s="343"/>
      <c r="AJ76" s="343"/>
      <c r="AK76" s="179"/>
      <c r="AL76" s="111"/>
      <c r="AM76" s="111"/>
      <c r="AN76" s="111"/>
      <c r="AO76" s="111"/>
      <c r="AP76" s="111"/>
      <c r="AQ76" s="111"/>
      <c r="AR76" s="111"/>
      <c r="AS76" s="111"/>
      <c r="AT76" s="111"/>
      <c r="AU76" s="111"/>
      <c r="AV76" s="111"/>
      <c r="AW76" s="111"/>
      <c r="AX76" s="111"/>
      <c r="AY76" s="111"/>
      <c r="AZ76" s="111"/>
    </row>
    <row r="77" spans="1:52" ht="14.4" x14ac:dyDescent="0.3">
      <c r="A77" s="195" t="s">
        <v>181</v>
      </c>
      <c r="B77" s="184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720"/>
      <c r="M77" s="1720"/>
      <c r="N77" s="1720"/>
      <c r="O77" s="1720"/>
      <c r="P77" s="1720"/>
      <c r="Q77" s="1720"/>
      <c r="R77" s="1720"/>
      <c r="S77" s="1720"/>
      <c r="T77" s="1720"/>
      <c r="U77" s="1720"/>
      <c r="V77" s="1720"/>
      <c r="AE77" s="343"/>
      <c r="AF77" s="343"/>
      <c r="AG77" s="343"/>
      <c r="AH77" s="343"/>
      <c r="AI77" s="343"/>
      <c r="AJ77" s="343"/>
      <c r="AK77" s="179"/>
      <c r="AL77" s="111"/>
      <c r="AM77" s="111"/>
      <c r="AN77" s="111"/>
      <c r="AO77" s="111"/>
      <c r="AP77" s="111"/>
      <c r="AQ77" s="111"/>
      <c r="AR77" s="111"/>
      <c r="AS77" s="111"/>
      <c r="AT77" s="111"/>
      <c r="AU77" s="111"/>
      <c r="AV77" s="111"/>
      <c r="AW77" s="111"/>
      <c r="AX77" s="111"/>
      <c r="AY77" s="111"/>
      <c r="AZ77" s="111"/>
    </row>
    <row r="78" spans="1:52" ht="14.4" x14ac:dyDescent="0.3">
      <c r="A78" s="195" t="s">
        <v>182</v>
      </c>
      <c r="B78" s="184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720"/>
      <c r="M78" s="1720"/>
      <c r="N78" s="1720"/>
      <c r="O78" s="1720"/>
      <c r="P78" s="1720"/>
      <c r="Q78" s="1720"/>
      <c r="R78" s="1720"/>
      <c r="S78" s="1720"/>
      <c r="T78" s="1720"/>
      <c r="U78" s="1720"/>
      <c r="V78" s="1720"/>
      <c r="AE78" s="343"/>
      <c r="AF78" s="343"/>
      <c r="AG78" s="343"/>
      <c r="AH78" s="343"/>
      <c r="AI78" s="343"/>
      <c r="AJ78" s="343"/>
      <c r="AK78" s="179"/>
      <c r="AL78" s="111"/>
      <c r="AM78" s="111"/>
      <c r="AN78" s="111"/>
      <c r="AO78" s="111"/>
      <c r="AP78" s="111"/>
      <c r="AQ78" s="111"/>
      <c r="AR78" s="111"/>
      <c r="AS78" s="111"/>
      <c r="AT78" s="111"/>
      <c r="AU78" s="111"/>
      <c r="AV78" s="111"/>
      <c r="AW78" s="111"/>
      <c r="AX78" s="111"/>
      <c r="AY78" s="111"/>
      <c r="AZ78" s="111"/>
    </row>
    <row r="79" spans="1:52" ht="14.4" x14ac:dyDescent="0.3">
      <c r="L79" s="1720"/>
      <c r="M79" s="1720"/>
      <c r="N79" s="1720"/>
      <c r="O79" s="1720"/>
      <c r="P79" s="1720"/>
      <c r="Q79" s="1720"/>
      <c r="R79" s="1720"/>
      <c r="S79" s="1720"/>
      <c r="T79" s="1720"/>
      <c r="U79" s="1720"/>
      <c r="V79" s="1720"/>
      <c r="AE79" s="1795"/>
      <c r="AF79" s="1795"/>
      <c r="AG79" s="1795"/>
      <c r="AH79" s="1795"/>
      <c r="AI79" s="1795"/>
      <c r="AJ79" s="1795"/>
      <c r="AK79" s="179"/>
      <c r="AL79" s="111"/>
      <c r="AM79" s="111"/>
      <c r="AN79" s="111"/>
      <c r="AO79" s="111"/>
      <c r="AP79" s="111"/>
      <c r="AQ79" s="111"/>
      <c r="AR79" s="111"/>
      <c r="AS79" s="111"/>
      <c r="AT79" s="111"/>
      <c r="AU79" s="111"/>
      <c r="AV79" s="111"/>
      <c r="AW79" s="111"/>
      <c r="AX79" s="111"/>
      <c r="AY79" s="111"/>
      <c r="AZ79" s="111"/>
    </row>
    <row r="80" spans="1:52" ht="14.4" x14ac:dyDescent="0.3">
      <c r="L80" s="1720"/>
      <c r="M80" s="1720"/>
      <c r="N80" s="1720"/>
      <c r="O80" s="1720"/>
      <c r="P80" s="1720"/>
      <c r="Q80" s="1720"/>
      <c r="R80" s="1720"/>
      <c r="S80" s="1720"/>
      <c r="T80" s="1720"/>
      <c r="U80" s="1720"/>
      <c r="V80" s="1720"/>
      <c r="AE80" s="343"/>
      <c r="AF80" s="343"/>
      <c r="AG80" s="343"/>
      <c r="AH80" s="343"/>
      <c r="AI80" s="343"/>
      <c r="AJ80" s="343"/>
      <c r="AK80" s="179"/>
      <c r="AL80" s="111"/>
      <c r="AM80" s="111"/>
      <c r="AN80" s="111"/>
      <c r="AO80" s="111"/>
      <c r="AP80" s="111"/>
      <c r="AQ80" s="111"/>
      <c r="AR80" s="111"/>
      <c r="AS80" s="111"/>
      <c r="AT80" s="111"/>
      <c r="AU80" s="111"/>
      <c r="AV80" s="111"/>
      <c r="AW80" s="111"/>
      <c r="AX80" s="111"/>
      <c r="AY80" s="111"/>
      <c r="AZ80" s="111"/>
    </row>
    <row r="81" spans="1:52" ht="14.4" x14ac:dyDescent="0.3">
      <c r="A81" s="190" t="s">
        <v>135</v>
      </c>
      <c r="B81" s="194" t="s">
        <v>163</v>
      </c>
      <c r="C81" s="189" t="s">
        <v>164</v>
      </c>
      <c r="D81" s="189"/>
      <c r="E81" s="189"/>
      <c r="F81" s="188"/>
      <c r="G81" s="188" t="s">
        <v>138</v>
      </c>
      <c r="H81" s="187"/>
      <c r="I81" s="187"/>
      <c r="J81" s="188" t="s">
        <v>175</v>
      </c>
      <c r="K81" s="188"/>
      <c r="L81" s="1720"/>
      <c r="M81" s="1720"/>
      <c r="N81" s="1720"/>
      <c r="O81" s="1720"/>
      <c r="P81" s="1720"/>
      <c r="Q81" s="1720"/>
      <c r="R81" s="1720"/>
      <c r="S81" s="1720"/>
      <c r="T81" s="1720"/>
      <c r="U81" s="1720"/>
      <c r="V81" s="1720"/>
      <c r="AE81" s="343"/>
      <c r="AF81" s="343"/>
      <c r="AG81" s="343"/>
      <c r="AH81" s="343"/>
      <c r="AI81" s="343"/>
      <c r="AJ81" s="343"/>
      <c r="AK81" s="179"/>
      <c r="AL81" s="111"/>
      <c r="AM81" s="111"/>
      <c r="AN81" s="111"/>
      <c r="AO81" s="111"/>
      <c r="AP81" s="111"/>
      <c r="AQ81" s="111"/>
      <c r="AR81" s="111"/>
      <c r="AS81" s="111"/>
      <c r="AT81" s="111"/>
      <c r="AU81" s="111"/>
      <c r="AV81" s="111"/>
      <c r="AW81" s="111"/>
      <c r="AX81" s="111"/>
      <c r="AY81" s="111"/>
      <c r="AZ81" s="111"/>
    </row>
    <row r="82" spans="1:52" ht="14.4" x14ac:dyDescent="0.3">
      <c r="A82" s="195"/>
      <c r="B82" s="194" t="s">
        <v>165</v>
      </c>
      <c r="C82" s="187" t="s">
        <v>139</v>
      </c>
      <c r="D82" s="187" t="s">
        <v>140</v>
      </c>
      <c r="E82" s="187" t="s">
        <v>141</v>
      </c>
      <c r="F82" s="188" t="s">
        <v>166</v>
      </c>
      <c r="G82" s="188" t="s">
        <v>167</v>
      </c>
      <c r="H82" s="189" t="s">
        <v>168</v>
      </c>
      <c r="I82" s="189" t="s">
        <v>169</v>
      </c>
      <c r="J82" s="188" t="s">
        <v>176</v>
      </c>
      <c r="K82" s="189" t="s">
        <v>177</v>
      </c>
      <c r="L82" s="1720"/>
      <c r="M82" s="1720"/>
      <c r="N82" s="1720"/>
      <c r="O82" s="1720"/>
      <c r="P82" s="1720"/>
      <c r="Q82" s="1720"/>
      <c r="R82" s="1720"/>
      <c r="S82" s="1720"/>
      <c r="T82" s="1720"/>
      <c r="U82" s="1720"/>
      <c r="V82" s="1720"/>
      <c r="AE82" s="343"/>
      <c r="AF82" s="343"/>
      <c r="AG82" s="343"/>
      <c r="AH82" s="343"/>
      <c r="AI82" s="343"/>
      <c r="AJ82" s="343"/>
      <c r="AK82" s="179"/>
      <c r="AL82" s="111"/>
      <c r="AM82" s="111"/>
      <c r="AN82" s="111"/>
      <c r="AO82" s="111"/>
      <c r="AP82" s="111"/>
      <c r="AQ82" s="111"/>
      <c r="AR82" s="111"/>
      <c r="AS82" s="111"/>
      <c r="AT82" s="111"/>
      <c r="AU82" s="111"/>
      <c r="AV82" s="111"/>
      <c r="AW82" s="111"/>
      <c r="AX82" s="111"/>
      <c r="AY82" s="111"/>
      <c r="AZ82" s="111"/>
    </row>
    <row r="83" spans="1:52" ht="14.4" x14ac:dyDescent="0.3">
      <c r="A83" s="195" t="s">
        <v>183</v>
      </c>
      <c r="B83" s="184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720"/>
      <c r="M83" s="1720"/>
      <c r="N83" s="1720"/>
      <c r="O83" s="1720"/>
      <c r="P83" s="1720"/>
      <c r="Q83" s="1720"/>
      <c r="R83" s="1720"/>
      <c r="S83" s="1720"/>
      <c r="T83" s="1720"/>
      <c r="U83" s="1720"/>
      <c r="V83" s="1720"/>
      <c r="AE83" s="343"/>
      <c r="AF83" s="343"/>
      <c r="AG83" s="343"/>
      <c r="AH83" s="1792"/>
      <c r="AI83" s="343"/>
      <c r="AJ83" s="343"/>
      <c r="AK83" s="179"/>
      <c r="AL83" s="111"/>
      <c r="AM83" s="111"/>
      <c r="AN83" s="111"/>
      <c r="AO83" s="111"/>
      <c r="AP83" s="111"/>
      <c r="AQ83" s="111"/>
      <c r="AR83" s="111"/>
      <c r="AS83" s="111"/>
      <c r="AT83" s="111"/>
      <c r="AU83" s="111"/>
      <c r="AV83" s="111"/>
      <c r="AW83" s="111"/>
      <c r="AX83" s="111"/>
      <c r="AY83" s="111"/>
      <c r="AZ83" s="111"/>
    </row>
    <row r="84" spans="1:52" ht="14.4" x14ac:dyDescent="0.3">
      <c r="A84" s="195" t="s">
        <v>184</v>
      </c>
      <c r="B84" s="184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720"/>
      <c r="M84" s="1720"/>
      <c r="N84" s="1720"/>
      <c r="O84" s="1720"/>
      <c r="P84" s="1720"/>
      <c r="Q84" s="1720"/>
      <c r="R84" s="1720"/>
      <c r="S84" s="1720"/>
      <c r="T84" s="1720"/>
      <c r="U84" s="1720"/>
      <c r="V84" s="1720"/>
      <c r="AE84" s="343"/>
      <c r="AF84" s="343"/>
      <c r="AG84" s="343"/>
      <c r="AH84" s="343"/>
      <c r="AI84" s="343"/>
      <c r="AJ84" s="343"/>
      <c r="AK84" s="179"/>
      <c r="AL84" s="111"/>
      <c r="AM84" s="111"/>
      <c r="AN84" s="111"/>
      <c r="AO84" s="111"/>
      <c r="AP84" s="111"/>
      <c r="AQ84" s="111"/>
      <c r="AR84" s="111"/>
      <c r="AS84" s="111"/>
      <c r="AT84" s="111"/>
      <c r="AU84" s="111"/>
      <c r="AV84" s="111"/>
      <c r="AW84" s="111"/>
      <c r="AX84" s="111"/>
      <c r="AY84" s="111"/>
      <c r="AZ84" s="111"/>
    </row>
    <row r="85" spans="1:52" ht="14.4" x14ac:dyDescent="0.3">
      <c r="A85" s="195" t="s">
        <v>185</v>
      </c>
      <c r="B85" s="184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720"/>
      <c r="M85" s="1720"/>
      <c r="N85" s="1720"/>
      <c r="O85" s="1720"/>
      <c r="P85" s="1720"/>
      <c r="Q85" s="1720"/>
      <c r="R85" s="1720"/>
      <c r="S85" s="1720"/>
      <c r="T85" s="1720"/>
      <c r="U85" s="1720"/>
      <c r="V85" s="1720"/>
      <c r="AE85" s="343"/>
      <c r="AF85" s="343"/>
      <c r="AG85" s="343"/>
      <c r="AH85" s="343"/>
      <c r="AI85" s="343"/>
      <c r="AJ85" s="343"/>
      <c r="AK85" s="179"/>
      <c r="AL85" s="111"/>
      <c r="AM85" s="111"/>
      <c r="AN85" s="111"/>
      <c r="AO85" s="111"/>
      <c r="AP85" s="111"/>
      <c r="AQ85" s="111"/>
      <c r="AR85" s="111"/>
      <c r="AS85" s="111"/>
      <c r="AT85" s="111"/>
      <c r="AU85" s="111"/>
      <c r="AV85" s="111"/>
      <c r="AW85" s="111"/>
      <c r="AX85" s="111"/>
      <c r="AY85" s="111"/>
      <c r="AZ85" s="111"/>
    </row>
    <row r="86" spans="1:52" ht="14.4" x14ac:dyDescent="0.3">
      <c r="A86" s="195" t="s">
        <v>186</v>
      </c>
      <c r="B86" s="184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720"/>
      <c r="M86" s="1720"/>
      <c r="N86" s="1720"/>
      <c r="O86" s="1720"/>
      <c r="P86" s="1720"/>
      <c r="Q86" s="1720"/>
      <c r="R86" s="1720"/>
      <c r="S86" s="1720"/>
      <c r="T86" s="1720"/>
      <c r="U86" s="1720"/>
      <c r="V86" s="1720"/>
      <c r="AE86" s="343"/>
      <c r="AF86" s="343"/>
      <c r="AG86" s="343"/>
      <c r="AH86" s="343"/>
      <c r="AI86" s="343"/>
      <c r="AJ86" s="343"/>
      <c r="AK86" s="179"/>
      <c r="AL86" s="111"/>
      <c r="AM86" s="111"/>
      <c r="AN86" s="111"/>
      <c r="AO86" s="111"/>
      <c r="AP86" s="111"/>
      <c r="AQ86" s="111"/>
      <c r="AR86" s="111"/>
      <c r="AS86" s="111"/>
      <c r="AT86" s="111"/>
      <c r="AU86" s="111"/>
      <c r="AV86" s="111"/>
      <c r="AW86" s="111"/>
      <c r="AX86" s="111"/>
      <c r="AY86" s="111"/>
      <c r="AZ86" s="111"/>
    </row>
    <row r="87" spans="1:52" ht="14.4" x14ac:dyDescent="0.3">
      <c r="A87" s="195" t="s">
        <v>187</v>
      </c>
      <c r="B87" s="184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720"/>
      <c r="M87" s="1720"/>
      <c r="N87" s="1720"/>
      <c r="O87" s="1720"/>
      <c r="P87" s="1720"/>
      <c r="Q87" s="1720"/>
      <c r="R87" s="1720"/>
      <c r="S87" s="1720"/>
      <c r="T87" s="1720"/>
      <c r="U87" s="1720"/>
      <c r="V87" s="1720"/>
      <c r="AE87" s="343"/>
      <c r="AF87" s="343"/>
      <c r="AG87" s="343"/>
      <c r="AH87" s="1792"/>
      <c r="AI87" s="343"/>
      <c r="AJ87" s="343"/>
      <c r="AK87" s="179"/>
      <c r="AL87" s="111"/>
      <c r="AM87" s="111"/>
      <c r="AN87" s="111"/>
      <c r="AO87" s="111"/>
      <c r="AP87" s="111"/>
      <c r="AQ87" s="111"/>
      <c r="AR87" s="111"/>
      <c r="AS87" s="111"/>
      <c r="AT87" s="111"/>
      <c r="AU87" s="111"/>
      <c r="AV87" s="111"/>
      <c r="AW87" s="111"/>
      <c r="AX87" s="111"/>
      <c r="AY87" s="111"/>
      <c r="AZ87" s="111"/>
    </row>
    <row r="88" spans="1:52" ht="14.4" x14ac:dyDescent="0.3">
      <c r="L88" s="1720"/>
      <c r="M88" s="1720"/>
      <c r="N88" s="1720"/>
      <c r="O88" s="1720"/>
      <c r="P88" s="1720"/>
      <c r="Q88" s="1720"/>
      <c r="R88" s="1720"/>
      <c r="S88" s="1720"/>
      <c r="T88" s="1720"/>
      <c r="U88" s="1720"/>
      <c r="V88" s="1720"/>
      <c r="AE88" s="343"/>
      <c r="AF88" s="343"/>
      <c r="AG88" s="343"/>
      <c r="AH88" s="343"/>
      <c r="AI88" s="343"/>
      <c r="AJ88" s="343"/>
      <c r="AK88" s="179"/>
      <c r="AL88" s="111"/>
      <c r="AM88" s="111"/>
      <c r="AN88" s="111"/>
      <c r="AO88" s="111"/>
      <c r="AP88" s="111"/>
      <c r="AQ88" s="111"/>
      <c r="AR88" s="111"/>
      <c r="AS88" s="111"/>
      <c r="AT88" s="111"/>
      <c r="AU88" s="111"/>
      <c r="AV88" s="111"/>
      <c r="AW88" s="111"/>
      <c r="AX88" s="111"/>
      <c r="AY88" s="111"/>
      <c r="AZ88" s="111"/>
    </row>
    <row r="89" spans="1:52" ht="16.2" thickBot="1" x14ac:dyDescent="0.35">
      <c r="A89" s="54" t="s">
        <v>188</v>
      </c>
      <c r="B89" s="198"/>
      <c r="C89" s="198"/>
      <c r="D89" s="198"/>
      <c r="E89" s="199"/>
      <c r="L89" s="1720"/>
      <c r="M89" s="1720"/>
      <c r="N89" s="1720"/>
      <c r="O89" s="1720"/>
      <c r="P89" s="1720"/>
      <c r="Q89" s="1720"/>
      <c r="R89" s="1720"/>
      <c r="S89" s="1720"/>
      <c r="T89" s="1720"/>
      <c r="U89" s="1720"/>
      <c r="V89" s="1720"/>
      <c r="AE89" s="343"/>
      <c r="AF89" s="343"/>
      <c r="AG89" s="343"/>
      <c r="AH89" s="343"/>
      <c r="AI89" s="343"/>
      <c r="AJ89" s="343"/>
      <c r="AK89" s="179"/>
      <c r="AL89" s="111"/>
      <c r="AM89" s="111"/>
      <c r="AN89" s="111"/>
      <c r="AO89" s="111"/>
      <c r="AP89" s="111"/>
      <c r="AQ89" s="111"/>
      <c r="AR89" s="111"/>
      <c r="AS89" s="111"/>
      <c r="AT89" s="111"/>
      <c r="AU89" s="111"/>
      <c r="AV89" s="111"/>
      <c r="AW89" s="111"/>
      <c r="AX89" s="111"/>
      <c r="AY89" s="111"/>
      <c r="AZ89" s="111"/>
    </row>
    <row r="90" spans="1:52" ht="15.6" x14ac:dyDescent="0.3">
      <c r="A90" s="200" t="s">
        <v>189</v>
      </c>
      <c r="B90" s="201"/>
      <c r="C90" s="202" t="s">
        <v>190</v>
      </c>
      <c r="D90" s="201"/>
      <c r="E90" s="202" t="s">
        <v>138</v>
      </c>
      <c r="F90" s="203"/>
      <c r="G90" s="201"/>
      <c r="H90" s="204" t="s">
        <v>191</v>
      </c>
      <c r="I90" s="205"/>
      <c r="L90" s="1720"/>
      <c r="M90" s="1720"/>
      <c r="N90" s="1720"/>
      <c r="O90" s="1720"/>
      <c r="P90" s="1720"/>
      <c r="Q90" s="1720"/>
      <c r="R90" s="1720"/>
      <c r="S90" s="1720"/>
      <c r="T90" s="1720"/>
      <c r="U90" s="1720"/>
      <c r="V90" s="1720"/>
      <c r="AE90" s="343"/>
      <c r="AF90" s="343"/>
      <c r="AG90" s="343"/>
      <c r="AH90" s="343"/>
      <c r="AI90" s="343"/>
      <c r="AJ90" s="343"/>
      <c r="AK90" s="179"/>
      <c r="AL90" s="111"/>
      <c r="AM90" s="111"/>
      <c r="AN90" s="111"/>
      <c r="AO90" s="111"/>
      <c r="AP90" s="111"/>
      <c r="AQ90" s="111"/>
      <c r="AR90" s="111"/>
      <c r="AS90" s="111"/>
      <c r="AT90" s="111"/>
      <c r="AU90" s="111"/>
      <c r="AV90" s="111"/>
      <c r="AW90" s="111"/>
      <c r="AX90" s="111"/>
      <c r="AY90" s="111"/>
      <c r="AZ90" s="111"/>
    </row>
    <row r="91" spans="1:52" ht="15.6" x14ac:dyDescent="0.3">
      <c r="A91" s="206" t="s">
        <v>192</v>
      </c>
      <c r="B91" s="207"/>
      <c r="C91" s="208" t="s">
        <v>139</v>
      </c>
      <c r="D91" s="208"/>
      <c r="E91" s="208" t="s">
        <v>167</v>
      </c>
      <c r="F91" s="209"/>
      <c r="G91" s="208"/>
      <c r="H91" s="210"/>
      <c r="I91" s="111"/>
      <c r="L91" s="1720"/>
      <c r="M91" s="1720"/>
      <c r="N91" s="1720"/>
      <c r="O91" s="1720"/>
      <c r="P91" s="1720"/>
      <c r="Q91" s="1720"/>
      <c r="R91" s="1720"/>
      <c r="S91" s="1720"/>
      <c r="T91" s="1720"/>
      <c r="U91" s="1720"/>
      <c r="V91" s="1720"/>
      <c r="AE91" s="343"/>
      <c r="AF91" s="343"/>
      <c r="AG91" s="343"/>
      <c r="AH91" s="343"/>
      <c r="AI91" s="343"/>
      <c r="AJ91" s="343"/>
      <c r="AK91" s="179"/>
      <c r="AL91" s="111"/>
      <c r="AM91" s="111"/>
      <c r="AN91" s="111"/>
      <c r="AO91" s="111"/>
      <c r="AP91" s="111"/>
      <c r="AQ91" s="111"/>
      <c r="AR91" s="111"/>
      <c r="AS91" s="111"/>
      <c r="AT91" s="111"/>
      <c r="AU91" s="111"/>
      <c r="AV91" s="111"/>
      <c r="AW91" s="111"/>
      <c r="AX91" s="111"/>
      <c r="AY91" s="111"/>
      <c r="AZ91" s="111"/>
    </row>
    <row r="92" spans="1:52" ht="15.6" x14ac:dyDescent="0.3">
      <c r="A92" s="211" t="e">
        <f ca="1">VLOOKUP(B30,A60:I66,6,FALSE)</f>
        <v>#N/A</v>
      </c>
      <c r="B92" s="212" t="e">
        <f ca="1">A92</f>
        <v>#N/A</v>
      </c>
      <c r="C92" s="213" t="e">
        <f ca="1">VLOOKUP(B30,A60:I66,3,FALSE)</f>
        <v>#N/A</v>
      </c>
      <c r="D92" s="209"/>
      <c r="E92" s="213" t="e">
        <f ca="1">VLOOKUP(B30,A60:I66,7,FALSE)</f>
        <v>#N/A</v>
      </c>
      <c r="F92" s="209"/>
      <c r="G92" s="208"/>
      <c r="H92" s="210"/>
      <c r="I92" s="111"/>
      <c r="L92" s="1720"/>
      <c r="M92" s="1720"/>
      <c r="N92" s="1720"/>
      <c r="O92" s="1720"/>
      <c r="P92" s="1720"/>
      <c r="Q92" s="1720"/>
      <c r="R92" s="1720"/>
      <c r="S92" s="1720"/>
      <c r="T92" s="1720"/>
      <c r="U92" s="1720"/>
      <c r="V92" s="1720"/>
      <c r="AE92" s="343"/>
      <c r="AF92" s="343"/>
      <c r="AG92" s="343"/>
      <c r="AH92" s="343"/>
      <c r="AI92" s="343"/>
      <c r="AJ92" s="343"/>
      <c r="AK92" s="179"/>
      <c r="AL92" s="111"/>
      <c r="AM92" s="111"/>
      <c r="AN92" s="111"/>
      <c r="AO92" s="111"/>
      <c r="AP92" s="111"/>
      <c r="AQ92" s="111"/>
      <c r="AR92" s="111"/>
      <c r="AS92" s="111"/>
      <c r="AT92" s="111"/>
      <c r="AU92" s="111"/>
      <c r="AV92" s="111"/>
      <c r="AW92" s="111"/>
      <c r="AX92" s="111"/>
      <c r="AY92" s="111"/>
      <c r="AZ92" s="111"/>
    </row>
    <row r="93" spans="1:52" ht="15.6" x14ac:dyDescent="0.3">
      <c r="A93" s="214"/>
      <c r="B93" s="207"/>
      <c r="C93" s="208" t="s">
        <v>140</v>
      </c>
      <c r="D93" s="208"/>
      <c r="E93" s="208" t="s">
        <v>168</v>
      </c>
      <c r="F93" s="209"/>
      <c r="G93" s="208"/>
      <c r="H93" s="210"/>
      <c r="I93" s="111"/>
      <c r="L93" s="1720"/>
      <c r="M93" s="1720"/>
      <c r="N93" s="1720"/>
      <c r="O93" s="1720"/>
      <c r="P93" s="1720"/>
      <c r="Q93" s="1720"/>
      <c r="R93" s="1720"/>
      <c r="S93" s="1720"/>
      <c r="T93" s="1720"/>
      <c r="U93" s="1720"/>
      <c r="V93" s="1720"/>
      <c r="AE93" s="343"/>
      <c r="AF93" s="343"/>
      <c r="AG93" s="343"/>
      <c r="AH93" s="343"/>
      <c r="AI93" s="343"/>
      <c r="AJ93" s="343"/>
      <c r="AK93" s="179"/>
      <c r="AL93" s="111"/>
      <c r="AM93" s="111"/>
      <c r="AN93" s="111"/>
      <c r="AO93" s="111"/>
      <c r="AP93" s="111"/>
      <c r="AQ93" s="111"/>
      <c r="AR93" s="111"/>
      <c r="AS93" s="111"/>
      <c r="AT93" s="111"/>
      <c r="AU93" s="111"/>
      <c r="AV93" s="111"/>
      <c r="AW93" s="111"/>
      <c r="AX93" s="111"/>
      <c r="AY93" s="111"/>
      <c r="AZ93" s="111"/>
    </row>
    <row r="94" spans="1:52" ht="15.6" x14ac:dyDescent="0.3">
      <c r="A94" s="206" t="s">
        <v>79</v>
      </c>
      <c r="B94" s="207"/>
      <c r="C94" s="213" t="e">
        <f ca="1">VLOOKUP(B30,A60:I66,4,FALSE)</f>
        <v>#N/A</v>
      </c>
      <c r="D94" s="215" t="e">
        <f ca="1">(C92+C94)/2</f>
        <v>#N/A</v>
      </c>
      <c r="E94" s="213" t="e">
        <f ca="1">VLOOKUP(B30,A60:I66,8,FALSE)</f>
        <v>#N/A</v>
      </c>
      <c r="F94" s="208" t="e">
        <f ca="1">(E92+E94)/2</f>
        <v>#N/A</v>
      </c>
      <c r="G94" s="209"/>
      <c r="H94" s="210"/>
      <c r="I94" s="111"/>
      <c r="L94" s="1720"/>
      <c r="M94" s="1720"/>
      <c r="N94" s="1720"/>
      <c r="O94" s="1720"/>
      <c r="P94" s="1720"/>
      <c r="Q94" s="1720"/>
      <c r="R94" s="1720"/>
      <c r="S94" s="1720"/>
      <c r="T94" s="1720"/>
      <c r="U94" s="1720"/>
      <c r="V94" s="1720"/>
      <c r="AE94" s="343"/>
      <c r="AF94" s="343"/>
      <c r="AG94" s="343"/>
      <c r="AH94" s="343"/>
      <c r="AI94" s="343"/>
      <c r="AJ94" s="343"/>
      <c r="AK94" s="179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  <c r="AZ94" s="111"/>
    </row>
    <row r="95" spans="1:52" ht="15.6" x14ac:dyDescent="0.3">
      <c r="A95" s="211">
        <f ca="1">Втулка!R66+Данные!F35</f>
        <v>210</v>
      </c>
      <c r="B95" s="212">
        <f ca="1">A95</f>
        <v>210</v>
      </c>
      <c r="C95" s="208" t="s">
        <v>141</v>
      </c>
      <c r="D95" s="208"/>
      <c r="E95" s="208" t="s">
        <v>193</v>
      </c>
      <c r="F95" s="208"/>
      <c r="G95" s="209"/>
      <c r="H95" s="210"/>
      <c r="I95" s="111"/>
      <c r="L95" s="1720"/>
      <c r="M95" s="1720"/>
      <c r="N95" s="1720"/>
      <c r="O95" s="1720"/>
      <c r="P95" s="1720"/>
      <c r="Q95" s="1720"/>
      <c r="R95" s="1720"/>
      <c r="S95" s="1720"/>
      <c r="T95" s="1720"/>
      <c r="U95" s="1720"/>
      <c r="V95" s="1720"/>
      <c r="AE95" s="343"/>
      <c r="AF95" s="343"/>
      <c r="AG95" s="343"/>
      <c r="AH95" s="343"/>
      <c r="AI95" s="343"/>
      <c r="AJ95" s="343"/>
      <c r="AK95" s="179"/>
      <c r="AL95" s="111"/>
      <c r="AM95" s="111"/>
      <c r="AN95" s="111"/>
      <c r="AO95" s="111"/>
      <c r="AP95" s="111"/>
      <c r="AQ95" s="111"/>
      <c r="AR95" s="111"/>
      <c r="AS95" s="111"/>
      <c r="AT95" s="111"/>
      <c r="AU95" s="111"/>
      <c r="AV95" s="111"/>
      <c r="AW95" s="111"/>
      <c r="AX95" s="111"/>
      <c r="AY95" s="111"/>
      <c r="AZ95" s="111"/>
    </row>
    <row r="96" spans="1:52" ht="15.6" x14ac:dyDescent="0.3">
      <c r="A96" s="214"/>
      <c r="B96" s="216">
        <f>Втулка!R69</f>
        <v>0</v>
      </c>
      <c r="C96" s="213" t="e">
        <f ca="1">VLOOKUP(B30,A60:I66,5,FALSE)</f>
        <v>#N/A</v>
      </c>
      <c r="D96" s="215" t="e">
        <f ca="1">C96</f>
        <v>#N/A</v>
      </c>
      <c r="E96" s="213" t="e">
        <f ca="1">VLOOKUP(B30,A60:I66,9,FALSE)</f>
        <v>#N/A</v>
      </c>
      <c r="F96" s="208" t="e">
        <f ca="1">E96</f>
        <v>#N/A</v>
      </c>
      <c r="G96" s="209"/>
      <c r="H96" s="217"/>
      <c r="I96" s="111"/>
      <c r="L96" s="1720"/>
      <c r="M96" s="1720"/>
      <c r="N96" s="1720"/>
      <c r="O96" s="1720"/>
      <c r="P96" s="1720"/>
      <c r="Q96" s="1720"/>
      <c r="R96" s="1720"/>
      <c r="S96" s="1720"/>
      <c r="T96" s="1720"/>
      <c r="U96" s="1720"/>
      <c r="V96" s="1720"/>
      <c r="AE96" s="343"/>
      <c r="AF96" s="343"/>
      <c r="AG96" s="343"/>
      <c r="AH96" s="343"/>
      <c r="AI96" s="343"/>
      <c r="AJ96" s="343"/>
      <c r="AK96" s="179"/>
      <c r="AL96" s="111"/>
      <c r="AM96" s="111"/>
      <c r="AN96" s="111"/>
      <c r="AO96" s="111"/>
      <c r="AP96" s="111"/>
      <c r="AQ96" s="111"/>
      <c r="AR96" s="111"/>
      <c r="AS96" s="111"/>
      <c r="AT96" s="111"/>
      <c r="AU96" s="111"/>
      <c r="AV96" s="111"/>
      <c r="AW96" s="111"/>
      <c r="AX96" s="111"/>
      <c r="AY96" s="111"/>
      <c r="AZ96" s="111"/>
    </row>
    <row r="97" spans="1:52" ht="15.6" x14ac:dyDescent="0.3">
      <c r="A97" s="214"/>
      <c r="B97" s="218" t="e">
        <f ca="1">B92*B92*3.1415926*B95*B96/4000000</f>
        <v>#N/A</v>
      </c>
      <c r="C97" s="219" t="s">
        <v>79</v>
      </c>
      <c r="D97" s="208"/>
      <c r="E97" s="219" t="s">
        <v>194</v>
      </c>
      <c r="F97" s="208"/>
      <c r="G97" s="209"/>
      <c r="H97" s="217"/>
      <c r="I97" s="111"/>
      <c r="L97" s="1720"/>
      <c r="M97" s="1720"/>
      <c r="N97" s="1720"/>
      <c r="O97" s="1720"/>
      <c r="P97" s="1720"/>
      <c r="Q97" s="1720"/>
      <c r="R97" s="1720"/>
      <c r="S97" s="1720"/>
      <c r="T97" s="1720"/>
      <c r="U97" s="1720"/>
      <c r="V97" s="1720"/>
      <c r="AE97" s="343"/>
      <c r="AF97" s="343"/>
      <c r="AG97" s="343"/>
      <c r="AH97" s="343"/>
      <c r="AI97" s="343"/>
      <c r="AJ97" s="343"/>
      <c r="AK97" s="179"/>
      <c r="AL97" s="111"/>
      <c r="AM97" s="111"/>
      <c r="AN97" s="111"/>
      <c r="AO97" s="111"/>
      <c r="AP97" s="111"/>
      <c r="AQ97" s="111"/>
      <c r="AR97" s="111"/>
      <c r="AS97" s="111"/>
      <c r="AT97" s="111"/>
      <c r="AU97" s="111"/>
      <c r="AV97" s="111"/>
      <c r="AW97" s="111"/>
      <c r="AX97" s="111"/>
      <c r="AY97" s="111"/>
      <c r="AZ97" s="111"/>
    </row>
    <row r="98" spans="1:52" ht="15.6" x14ac:dyDescent="0.3">
      <c r="A98" s="214"/>
      <c r="B98" s="208"/>
      <c r="C98" s="213">
        <v>50</v>
      </c>
      <c r="D98" s="215">
        <f>C98</f>
        <v>50</v>
      </c>
      <c r="E98" s="213">
        <f>Втулка!R64</f>
        <v>0</v>
      </c>
      <c r="F98" s="220" t="e">
        <f ca="1">3.1415926*E101</f>
        <v>#N/A</v>
      </c>
      <c r="G98" s="209"/>
      <c r="H98" s="217"/>
      <c r="I98" s="111"/>
      <c r="L98" s="1720"/>
      <c r="M98" s="1720"/>
      <c r="N98" s="1720"/>
      <c r="O98" s="1720"/>
      <c r="P98" s="1720"/>
      <c r="Q98" s="1720"/>
      <c r="R98" s="1720"/>
      <c r="S98" s="1720"/>
      <c r="T98" s="1720"/>
      <c r="U98" s="1720"/>
      <c r="V98" s="1720"/>
      <c r="AE98" s="343"/>
      <c r="AF98" s="1792"/>
      <c r="AG98" s="343"/>
      <c r="AH98" s="343"/>
      <c r="AI98" s="343"/>
      <c r="AJ98" s="343"/>
      <c r="AK98" s="179"/>
      <c r="AL98" s="111"/>
      <c r="AM98" s="111"/>
      <c r="AN98" s="111"/>
      <c r="AO98" s="111"/>
      <c r="AP98" s="111"/>
      <c r="AQ98" s="111"/>
      <c r="AR98" s="111"/>
      <c r="AS98" s="111"/>
      <c r="AT98" s="111"/>
      <c r="AU98" s="111"/>
      <c r="AV98" s="111"/>
      <c r="AW98" s="111"/>
      <c r="AX98" s="111"/>
      <c r="AY98" s="111"/>
      <c r="AZ98" s="111"/>
    </row>
    <row r="99" spans="1:52" ht="15.6" x14ac:dyDescent="0.3">
      <c r="A99" s="214"/>
      <c r="B99" s="209"/>
      <c r="C99" s="219" t="s">
        <v>163</v>
      </c>
      <c r="D99" s="208"/>
      <c r="E99" s="219" t="s">
        <v>195</v>
      </c>
      <c r="F99" s="208"/>
      <c r="G99" s="219" t="s">
        <v>196</v>
      </c>
      <c r="H99" s="217"/>
      <c r="I99" s="111"/>
      <c r="L99" s="1720"/>
      <c r="M99" s="1720"/>
      <c r="N99" s="1720"/>
      <c r="O99" s="1720"/>
      <c r="P99" s="1720"/>
      <c r="Q99" s="1720"/>
      <c r="R99" s="1720"/>
      <c r="S99" s="1720"/>
      <c r="T99" s="1720"/>
      <c r="U99" s="1720"/>
      <c r="V99" s="1720"/>
      <c r="AE99" s="343"/>
      <c r="AF99" s="343"/>
      <c r="AG99" s="343"/>
      <c r="AH99" s="343"/>
      <c r="AI99" s="343"/>
      <c r="AJ99" s="343"/>
      <c r="AK99" s="179"/>
      <c r="AL99" s="111"/>
      <c r="AM99" s="111"/>
      <c r="AN99" s="111"/>
      <c r="AO99" s="111"/>
      <c r="AP99" s="111"/>
      <c r="AQ99" s="111"/>
      <c r="AR99" s="111"/>
      <c r="AS99" s="111"/>
      <c r="AT99" s="111"/>
      <c r="AU99" s="111"/>
      <c r="AV99" s="111"/>
      <c r="AW99" s="111"/>
      <c r="AX99" s="111"/>
      <c r="AY99" s="111"/>
      <c r="AZ99" s="111"/>
    </row>
    <row r="100" spans="1:52" ht="15.6" x14ac:dyDescent="0.3">
      <c r="A100" s="214"/>
      <c r="B100" s="209"/>
      <c r="C100" s="213" t="e">
        <f ca="1">VLOOKUP(B30,A60:I66,2,FALSE)</f>
        <v>#N/A</v>
      </c>
      <c r="D100" s="215" t="e">
        <f ca="1">C100</f>
        <v>#N/A</v>
      </c>
      <c r="E100" s="219" t="s">
        <v>197</v>
      </c>
      <c r="F100" s="208"/>
      <c r="G100" s="213">
        <v>270</v>
      </c>
      <c r="H100" s="217"/>
      <c r="I100" s="111"/>
      <c r="L100" s="1720"/>
      <c r="M100" s="1720"/>
      <c r="N100" s="1720"/>
      <c r="O100" s="1720"/>
      <c r="P100" s="1720"/>
      <c r="Q100" s="1720"/>
      <c r="R100" s="1720"/>
      <c r="S100" s="1720"/>
      <c r="T100" s="1720"/>
      <c r="U100" s="1720"/>
      <c r="V100" s="1720"/>
      <c r="AE100" s="343"/>
      <c r="AF100" s="343"/>
      <c r="AG100" s="343"/>
      <c r="AH100" s="343"/>
      <c r="AI100" s="343"/>
      <c r="AJ100" s="343"/>
      <c r="AK100" s="179"/>
      <c r="AL100" s="111"/>
      <c r="AM100" s="111"/>
      <c r="AN100" s="111"/>
      <c r="AO100" s="111"/>
      <c r="AP100" s="111"/>
      <c r="AQ100" s="111"/>
      <c r="AR100" s="111"/>
      <c r="AS100" s="111"/>
      <c r="AT100" s="111"/>
      <c r="AU100" s="111"/>
      <c r="AV100" s="111"/>
      <c r="AW100" s="111"/>
      <c r="AX100" s="111"/>
      <c r="AY100" s="111"/>
      <c r="AZ100" s="111"/>
    </row>
    <row r="101" spans="1:52" ht="15.6" x14ac:dyDescent="0.3">
      <c r="A101" s="214"/>
      <c r="B101" s="209"/>
      <c r="C101" s="209"/>
      <c r="D101" s="216">
        <f>Втулка!R69</f>
        <v>0</v>
      </c>
      <c r="E101" s="208" t="e">
        <f ca="1">E98+C98*2+F94</f>
        <v>#N/A</v>
      </c>
      <c r="F101" s="216">
        <f>Втулка!R69</f>
        <v>0</v>
      </c>
      <c r="G101" s="208" t="s">
        <v>198</v>
      </c>
      <c r="H101" s="217"/>
      <c r="I101" s="111"/>
      <c r="L101" s="1720"/>
      <c r="M101" s="1720"/>
      <c r="N101" s="1720"/>
      <c r="O101" s="1720"/>
      <c r="P101" s="1720"/>
      <c r="Q101" s="1720"/>
      <c r="R101" s="1720"/>
      <c r="S101" s="1720"/>
      <c r="T101" s="1720"/>
      <c r="U101" s="1720"/>
      <c r="V101" s="1720"/>
      <c r="AE101" s="343"/>
      <c r="AF101" s="343"/>
      <c r="AG101" s="1792"/>
      <c r="AH101" s="343"/>
      <c r="AI101" s="343"/>
      <c r="AJ101" s="343"/>
      <c r="AK101" s="179"/>
      <c r="AL101" s="111"/>
      <c r="AM101" s="111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11"/>
      <c r="AX101" s="111"/>
      <c r="AY101" s="111"/>
      <c r="AZ101" s="111"/>
    </row>
    <row r="102" spans="1:52" ht="16.2" thickBot="1" x14ac:dyDescent="0.35">
      <c r="A102" s="221"/>
      <c r="B102" s="222"/>
      <c r="C102" s="222"/>
      <c r="D102" s="223" t="e">
        <f ca="1">D94*D96*D98*D100*D101/1000000</f>
        <v>#N/A</v>
      </c>
      <c r="E102" s="222"/>
      <c r="F102" s="224" t="e">
        <f ca="1">F94*F96*F98*F101/1000000</f>
        <v>#N/A</v>
      </c>
      <c r="G102" s="223" t="e">
        <f ca="1">F102/360*G100</f>
        <v>#N/A</v>
      </c>
      <c r="H102" s="225" t="e">
        <f ca="1">B97+D102+G102</f>
        <v>#N/A</v>
      </c>
      <c r="I102" s="226"/>
      <c r="L102" s="1720"/>
      <c r="M102" s="1720"/>
      <c r="N102" s="1720"/>
      <c r="O102" s="1720"/>
      <c r="P102" s="1720"/>
      <c r="Q102" s="1720"/>
      <c r="R102" s="1720"/>
      <c r="S102" s="1720"/>
      <c r="T102" s="1720"/>
      <c r="U102" s="1720"/>
      <c r="V102" s="1720"/>
      <c r="AE102" s="343"/>
      <c r="AF102" s="343"/>
      <c r="AG102" s="343"/>
      <c r="AH102" s="343"/>
      <c r="AI102" s="343"/>
      <c r="AJ102" s="343"/>
      <c r="AK102" s="179"/>
      <c r="AL102" s="111"/>
      <c r="AM102" s="111"/>
      <c r="AN102" s="111"/>
      <c r="AO102" s="111"/>
      <c r="AP102" s="111"/>
      <c r="AQ102" s="111"/>
      <c r="AR102" s="111"/>
      <c r="AS102" s="111"/>
      <c r="AT102" s="111"/>
      <c r="AU102" s="111"/>
      <c r="AV102" s="111"/>
      <c r="AW102" s="111"/>
      <c r="AX102" s="111"/>
      <c r="AY102" s="111"/>
      <c r="AZ102" s="111"/>
    </row>
    <row r="103" spans="1:52" ht="14.4" x14ac:dyDescent="0.3">
      <c r="L103" s="1720"/>
      <c r="M103" s="1720"/>
      <c r="N103" s="1720"/>
      <c r="O103" s="1720"/>
      <c r="P103" s="1720"/>
      <c r="Q103" s="1720"/>
      <c r="R103" s="1720"/>
      <c r="S103" s="1720"/>
      <c r="T103" s="1720"/>
      <c r="U103" s="1720"/>
      <c r="V103" s="1720"/>
      <c r="AE103" s="343"/>
      <c r="AF103" s="343"/>
      <c r="AG103" s="343"/>
      <c r="AH103" s="1792"/>
      <c r="AI103" s="343"/>
      <c r="AJ103" s="343"/>
      <c r="AK103" s="179"/>
      <c r="AL103" s="111"/>
      <c r="AM103" s="111"/>
      <c r="AN103" s="111"/>
      <c r="AO103" s="111"/>
      <c r="AP103" s="111"/>
      <c r="AQ103" s="111"/>
      <c r="AR103" s="111"/>
      <c r="AS103" s="111"/>
      <c r="AT103" s="111"/>
      <c r="AU103" s="111"/>
      <c r="AV103" s="111"/>
      <c r="AW103" s="111"/>
      <c r="AX103" s="111"/>
      <c r="AY103" s="111"/>
      <c r="AZ103" s="111"/>
    </row>
    <row r="104" spans="1:52" ht="15" thickBot="1" x14ac:dyDescent="0.35">
      <c r="A104" s="54" t="s">
        <v>1125</v>
      </c>
      <c r="L104" s="1720"/>
      <c r="M104" s="1720"/>
      <c r="N104" s="1720"/>
      <c r="O104" s="1720"/>
      <c r="P104" s="1720"/>
      <c r="Q104" s="1720"/>
      <c r="R104" s="1720"/>
      <c r="S104" s="1720"/>
      <c r="T104" s="1720"/>
      <c r="U104" s="1720"/>
      <c r="V104" s="1720"/>
      <c r="AE104" s="343"/>
      <c r="AF104" s="343"/>
      <c r="AG104" s="343"/>
      <c r="AH104" s="343"/>
      <c r="AI104" s="343"/>
      <c r="AJ104" s="343"/>
      <c r="AK104" s="179"/>
      <c r="AL104" s="111"/>
      <c r="AM104" s="111"/>
      <c r="AN104" s="111"/>
      <c r="AO104" s="111"/>
      <c r="AP104" s="111"/>
      <c r="AQ104" s="111"/>
      <c r="AR104" s="111"/>
      <c r="AS104" s="111"/>
      <c r="AT104" s="111"/>
      <c r="AU104" s="111"/>
      <c r="AV104" s="111"/>
      <c r="AW104" s="111"/>
      <c r="AX104" s="111"/>
      <c r="AY104" s="111"/>
      <c r="AZ104" s="111"/>
    </row>
    <row r="105" spans="1:52" ht="15.6" x14ac:dyDescent="0.3">
      <c r="A105" s="200" t="s">
        <v>189</v>
      </c>
      <c r="B105" s="201"/>
      <c r="C105" s="202" t="s">
        <v>190</v>
      </c>
      <c r="D105" s="201"/>
      <c r="E105" s="202" t="s">
        <v>138</v>
      </c>
      <c r="F105" s="203"/>
      <c r="G105" s="201"/>
      <c r="H105" s="227" t="s">
        <v>175</v>
      </c>
      <c r="I105" s="204" t="s">
        <v>191</v>
      </c>
      <c r="L105" s="1720"/>
      <c r="M105" s="1720"/>
      <c r="N105" s="1720"/>
      <c r="O105" s="1720"/>
      <c r="P105" s="1720"/>
      <c r="Q105" s="1720"/>
      <c r="R105" s="1720"/>
      <c r="S105" s="1720"/>
      <c r="T105" s="1720"/>
      <c r="U105" s="1720"/>
      <c r="V105" s="1720"/>
      <c r="AE105" s="343"/>
      <c r="AF105" s="343"/>
      <c r="AG105" s="343"/>
      <c r="AH105" s="343"/>
      <c r="AI105" s="343"/>
      <c r="AJ105" s="343"/>
      <c r="AK105" s="179"/>
      <c r="AL105" s="111"/>
      <c r="AM105" s="111"/>
      <c r="AN105" s="111"/>
      <c r="AO105" s="111"/>
      <c r="AP105" s="111"/>
      <c r="AQ105" s="111"/>
      <c r="AR105" s="111"/>
      <c r="AS105" s="111"/>
      <c r="AT105" s="111"/>
      <c r="AU105" s="111"/>
      <c r="AV105" s="111"/>
      <c r="AW105" s="111"/>
      <c r="AX105" s="111"/>
      <c r="AY105" s="111"/>
      <c r="AZ105" s="111"/>
    </row>
    <row r="106" spans="1:52" ht="16.2" thickBot="1" x14ac:dyDescent="0.35">
      <c r="A106" s="850" t="s">
        <v>192</v>
      </c>
      <c r="B106" s="207"/>
      <c r="C106" s="208" t="s">
        <v>139</v>
      </c>
      <c r="D106" s="208"/>
      <c r="E106" s="208" t="s">
        <v>167</v>
      </c>
      <c r="F106" s="209"/>
      <c r="G106" s="208"/>
      <c r="H106" s="228" t="s">
        <v>168</v>
      </c>
      <c r="I106" s="229"/>
      <c r="L106" s="1720"/>
      <c r="M106" s="1720"/>
      <c r="N106" s="1720"/>
      <c r="O106" s="1720"/>
      <c r="P106" s="1720"/>
      <c r="Q106" s="1720"/>
      <c r="R106" s="1720"/>
      <c r="S106" s="1720"/>
      <c r="T106" s="1720"/>
      <c r="U106" s="1720"/>
      <c r="V106" s="1720"/>
      <c r="AE106" s="343"/>
      <c r="AF106" s="343"/>
      <c r="AG106" s="343"/>
      <c r="AH106" s="343"/>
      <c r="AI106" s="343"/>
      <c r="AJ106" s="343"/>
      <c r="AK106" s="179"/>
      <c r="AL106" s="111"/>
      <c r="AM106" s="111"/>
      <c r="AN106" s="111"/>
      <c r="AO106" s="111"/>
      <c r="AP106" s="111"/>
      <c r="AQ106" s="111"/>
      <c r="AR106" s="111"/>
      <c r="AS106" s="111"/>
      <c r="AT106" s="111"/>
      <c r="AU106" s="111"/>
      <c r="AV106" s="111"/>
      <c r="AW106" s="111"/>
      <c r="AX106" s="111"/>
      <c r="AY106" s="111"/>
      <c r="AZ106" s="111"/>
    </row>
    <row r="107" spans="1:52" ht="15.6" x14ac:dyDescent="0.3">
      <c r="A107" s="851" t="e">
        <f ca="1">VLOOKUP(B30,A74:K78,6,FALSE)</f>
        <v>#N/A</v>
      </c>
      <c r="B107" s="848" t="e">
        <f ca="1">IF(A108=0,A107,A108)</f>
        <v>#N/A</v>
      </c>
      <c r="C107" s="213" t="e">
        <f ca="1">VLOOKUP(H30,A74:K78,3,FALSE)</f>
        <v>#N/A</v>
      </c>
      <c r="D107" s="209"/>
      <c r="E107" s="213" t="e">
        <f ca="1">VLOOKUP(H30,A74:K78,7,FALSE)</f>
        <v>#N/A</v>
      </c>
      <c r="F107" s="209"/>
      <c r="G107" s="208"/>
      <c r="H107" s="230" t="e">
        <f ca="1">VLOOKUP(H30,A74:K78,10,FALSE)</f>
        <v>#N/A</v>
      </c>
      <c r="I107" s="229"/>
      <c r="L107" s="1720"/>
      <c r="M107" s="1720"/>
      <c r="N107" s="1720"/>
      <c r="O107" s="1720"/>
      <c r="P107" s="1720"/>
      <c r="Q107" s="1720"/>
      <c r="R107" s="1720"/>
      <c r="S107" s="1720"/>
      <c r="T107" s="1720"/>
      <c r="U107" s="1720"/>
      <c r="V107" s="1720"/>
      <c r="AE107" s="1792"/>
      <c r="AF107" s="343"/>
      <c r="AG107" s="343"/>
      <c r="AH107" s="343"/>
      <c r="AI107" s="343"/>
      <c r="AJ107" s="343"/>
      <c r="AK107" s="179"/>
      <c r="AL107" s="111"/>
      <c r="AM107" s="111"/>
      <c r="AN107" s="111"/>
      <c r="AO107" s="111"/>
      <c r="AP107" s="111"/>
      <c r="AQ107" s="111"/>
      <c r="AR107" s="111"/>
      <c r="AS107" s="111"/>
      <c r="AT107" s="111"/>
      <c r="AU107" s="111"/>
      <c r="AV107" s="111"/>
      <c r="AW107" s="111"/>
      <c r="AX107" s="111"/>
      <c r="AY107" s="111"/>
      <c r="AZ107" s="111"/>
    </row>
    <row r="108" spans="1:52" ht="16.2" thickBot="1" x14ac:dyDescent="0.35">
      <c r="A108" s="852"/>
      <c r="B108" s="849"/>
      <c r="C108" s="208" t="s">
        <v>140</v>
      </c>
      <c r="D108" s="208"/>
      <c r="E108" s="208" t="s">
        <v>168</v>
      </c>
      <c r="F108" s="209"/>
      <c r="G108" s="208"/>
      <c r="H108" s="228" t="s">
        <v>141</v>
      </c>
      <c r="I108" s="229"/>
      <c r="L108" s="1720"/>
      <c r="M108" s="1720"/>
      <c r="N108" s="1720"/>
      <c r="O108" s="1720"/>
      <c r="P108" s="1720"/>
      <c r="Q108" s="1720"/>
      <c r="R108" s="1720"/>
      <c r="S108" s="1720"/>
      <c r="T108" s="1720"/>
      <c r="U108" s="1720"/>
      <c r="V108" s="1720"/>
      <c r="AE108" s="343"/>
      <c r="AF108" s="343"/>
      <c r="AG108" s="343"/>
      <c r="AH108" s="343"/>
      <c r="AI108" s="343"/>
      <c r="AJ108" s="343"/>
      <c r="AK108" s="179"/>
      <c r="AL108" s="111"/>
      <c r="AM108" s="111"/>
      <c r="AN108" s="111"/>
      <c r="AO108" s="111"/>
      <c r="AP108" s="111"/>
      <c r="AQ108" s="111"/>
      <c r="AR108" s="111"/>
      <c r="AS108" s="111"/>
      <c r="AT108" s="111"/>
      <c r="AU108" s="111"/>
      <c r="AV108" s="111"/>
      <c r="AW108" s="111"/>
      <c r="AX108" s="111"/>
      <c r="AY108" s="111"/>
      <c r="AZ108" s="111"/>
    </row>
    <row r="109" spans="1:52" ht="16.2" thickBot="1" x14ac:dyDescent="0.35">
      <c r="A109" s="854" t="s">
        <v>79</v>
      </c>
      <c r="B109" s="207"/>
      <c r="C109" s="213" t="e">
        <f ca="1">VLOOKUP(H30,A74:K78,4,FALSE)</f>
        <v>#N/A</v>
      </c>
      <c r="D109" s="215" t="e">
        <f ca="1">(C107+C109)/2</f>
        <v>#N/A</v>
      </c>
      <c r="E109" s="213" t="e">
        <f ca="1">VLOOKUP(H30,A74:K78,8,FALSE)</f>
        <v>#N/A</v>
      </c>
      <c r="F109" s="208" t="e">
        <f ca="1">(E107+E109)/2</f>
        <v>#N/A</v>
      </c>
      <c r="G109" s="209"/>
      <c r="H109" s="230" t="e">
        <f ca="1">VLOOKUP(H30,A74:K78,11,FALSE)</f>
        <v>#N/A</v>
      </c>
      <c r="I109" s="229"/>
      <c r="L109" s="1720"/>
      <c r="M109" s="1720"/>
      <c r="N109" s="1720"/>
      <c r="O109" s="1720"/>
      <c r="P109" s="1720"/>
      <c r="Q109" s="1720"/>
      <c r="R109" s="1720"/>
      <c r="S109" s="1720"/>
      <c r="T109" s="1720"/>
      <c r="U109" s="1720"/>
      <c r="V109" s="1720"/>
      <c r="AE109" s="343"/>
      <c r="AF109" s="343"/>
      <c r="AG109" s="343"/>
      <c r="AH109" s="343"/>
      <c r="AI109" s="343"/>
      <c r="AJ109" s="343"/>
      <c r="AK109" s="179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1"/>
    </row>
    <row r="110" spans="1:52" ht="15.6" x14ac:dyDescent="0.3">
      <c r="A110" s="851">
        <f ca="1">Втулка!R66+Данные!F35</f>
        <v>210</v>
      </c>
      <c r="B110" s="848">
        <f ca="1">IF(A111=0,A110,A111)</f>
        <v>210</v>
      </c>
      <c r="C110" s="208" t="s">
        <v>141</v>
      </c>
      <c r="D110" s="208"/>
      <c r="E110" s="208" t="s">
        <v>193</v>
      </c>
      <c r="F110" s="208"/>
      <c r="G110" s="209"/>
      <c r="H110" s="231" t="s">
        <v>208</v>
      </c>
      <c r="I110" s="229"/>
      <c r="L110" s="1720"/>
      <c r="M110" s="1720"/>
      <c r="N110" s="1720"/>
      <c r="O110" s="1720"/>
      <c r="P110" s="1720"/>
      <c r="Q110" s="1720"/>
      <c r="R110" s="1720"/>
      <c r="S110" s="1720"/>
      <c r="T110" s="1720"/>
      <c r="U110" s="1720"/>
      <c r="V110" s="1720"/>
      <c r="AE110" s="343"/>
      <c r="AF110" s="343"/>
      <c r="AG110" s="343"/>
      <c r="AH110" s="343"/>
      <c r="AI110" s="343"/>
      <c r="AJ110" s="343"/>
      <c r="AK110" s="179"/>
      <c r="AL110" s="111"/>
      <c r="AM110" s="111"/>
      <c r="AN110" s="111"/>
      <c r="AO110" s="111"/>
      <c r="AP110" s="111"/>
      <c r="AQ110" s="111"/>
      <c r="AR110" s="111"/>
      <c r="AS110" s="111"/>
      <c r="AT110" s="111"/>
      <c r="AU110" s="111"/>
      <c r="AV110" s="111"/>
      <c r="AW110" s="111"/>
      <c r="AX110" s="111"/>
      <c r="AY110" s="111"/>
      <c r="AZ110" s="111"/>
    </row>
    <row r="111" spans="1:52" ht="16.2" thickBot="1" x14ac:dyDescent="0.35">
      <c r="A111" s="852"/>
      <c r="B111" s="853">
        <f>Втулка!R69</f>
        <v>0</v>
      </c>
      <c r="C111" s="213" t="e">
        <f ca="1">VLOOKUP(H30,A74:K78,5,FALSE)</f>
        <v>#N/A</v>
      </c>
      <c r="D111" s="215" t="e">
        <f ca="1">C111</f>
        <v>#N/A</v>
      </c>
      <c r="E111" s="213" t="e">
        <f ca="1">VLOOKUP(H30,A74:K78,9,FALSE)</f>
        <v>#N/A</v>
      </c>
      <c r="F111" s="208" t="e">
        <f ca="1">E111</f>
        <v>#N/A</v>
      </c>
      <c r="G111" s="209"/>
      <c r="H111" s="209" t="e">
        <f ca="1">(H107*H107*3.1415926*H109*B111/4000000)*2</f>
        <v>#N/A</v>
      </c>
      <c r="I111" s="229"/>
      <c r="L111" s="1720"/>
      <c r="M111" s="1720"/>
      <c r="N111" s="1720"/>
      <c r="O111" s="1720"/>
      <c r="P111" s="1720"/>
      <c r="Q111" s="1720"/>
      <c r="R111" s="1720"/>
      <c r="S111" s="1720"/>
      <c r="T111" s="1720"/>
      <c r="U111" s="1720"/>
      <c r="V111" s="1720"/>
      <c r="AE111" s="343"/>
      <c r="AF111" s="343"/>
      <c r="AG111" s="343"/>
      <c r="AH111" s="343"/>
      <c r="AI111" s="343"/>
      <c r="AJ111" s="343"/>
      <c r="AK111" s="179"/>
      <c r="AL111" s="111"/>
      <c r="AM111" s="111"/>
      <c r="AN111" s="111"/>
      <c r="AO111" s="111"/>
      <c r="AP111" s="111"/>
      <c r="AQ111" s="111"/>
      <c r="AR111" s="111"/>
      <c r="AS111" s="111"/>
      <c r="AT111" s="111"/>
      <c r="AU111" s="111"/>
      <c r="AV111" s="111"/>
      <c r="AW111" s="111"/>
      <c r="AX111" s="111"/>
      <c r="AY111" s="111"/>
      <c r="AZ111" s="111"/>
    </row>
    <row r="112" spans="1:52" ht="15.6" x14ac:dyDescent="0.3">
      <c r="A112" s="855"/>
      <c r="B112" s="218" t="e">
        <f ca="1">B107*B107*3.1415926*B110*B111/4000000</f>
        <v>#N/A</v>
      </c>
      <c r="C112" s="219" t="s">
        <v>79</v>
      </c>
      <c r="D112" s="208"/>
      <c r="E112" s="219" t="s">
        <v>194</v>
      </c>
      <c r="F112" s="208"/>
      <c r="G112" s="209"/>
      <c r="H112" s="209"/>
      <c r="I112" s="229"/>
      <c r="L112" s="1720"/>
      <c r="M112" s="1720"/>
      <c r="N112" s="1720"/>
      <c r="O112" s="1720"/>
      <c r="P112" s="1720"/>
      <c r="Q112" s="1720"/>
      <c r="R112" s="1720"/>
      <c r="S112" s="1720"/>
      <c r="T112" s="1720"/>
      <c r="U112" s="1720"/>
      <c r="V112" s="1720"/>
      <c r="AE112" s="343"/>
      <c r="AF112" s="343"/>
      <c r="AG112" s="343"/>
      <c r="AH112" s="343"/>
      <c r="AI112" s="343"/>
      <c r="AJ112" s="343"/>
      <c r="AK112" s="179"/>
      <c r="AL112" s="111"/>
      <c r="AM112" s="111"/>
      <c r="AN112" s="111"/>
      <c r="AO112" s="111"/>
      <c r="AP112" s="111"/>
      <c r="AQ112" s="111"/>
      <c r="AR112" s="111"/>
      <c r="AS112" s="111"/>
      <c r="AT112" s="111"/>
      <c r="AU112" s="111"/>
      <c r="AV112" s="111"/>
      <c r="AW112" s="111"/>
      <c r="AX112" s="111"/>
      <c r="AY112" s="111"/>
      <c r="AZ112" s="111"/>
    </row>
    <row r="113" spans="1:52" ht="15.6" x14ac:dyDescent="0.3">
      <c r="A113" s="214"/>
      <c r="B113" s="208"/>
      <c r="C113" s="213">
        <v>100</v>
      </c>
      <c r="D113" s="215">
        <f>C113</f>
        <v>100</v>
      </c>
      <c r="E113" s="213">
        <f>Втулка!R64</f>
        <v>0</v>
      </c>
      <c r="F113" s="220" t="e">
        <f ca="1">3.1415926*E116</f>
        <v>#N/A</v>
      </c>
      <c r="G113" s="209"/>
      <c r="H113" s="209"/>
      <c r="I113" s="229"/>
      <c r="L113" s="1720"/>
      <c r="M113" s="1720"/>
      <c r="N113" s="1720"/>
      <c r="O113" s="1720"/>
      <c r="P113" s="1720"/>
      <c r="Q113" s="1720"/>
      <c r="R113" s="1720"/>
      <c r="S113" s="1720"/>
      <c r="T113" s="1720"/>
      <c r="U113" s="1720"/>
      <c r="V113" s="1720"/>
      <c r="AE113" s="343"/>
      <c r="AF113" s="343"/>
      <c r="AG113" s="343"/>
      <c r="AH113" s="343"/>
      <c r="AI113" s="343"/>
      <c r="AJ113" s="343"/>
      <c r="AK113" s="179"/>
      <c r="AL113" s="111"/>
      <c r="AM113" s="111"/>
      <c r="AN113" s="111"/>
      <c r="AO113" s="111"/>
      <c r="AP113" s="111"/>
      <c r="AQ113" s="111"/>
      <c r="AR113" s="111"/>
      <c r="AS113" s="111"/>
      <c r="AT113" s="111"/>
      <c r="AU113" s="111"/>
      <c r="AV113" s="111"/>
      <c r="AW113" s="111"/>
      <c r="AX113" s="111"/>
      <c r="AY113" s="111"/>
      <c r="AZ113" s="111"/>
    </row>
    <row r="114" spans="1:52" ht="15.6" x14ac:dyDescent="0.3">
      <c r="A114" s="214"/>
      <c r="B114" s="209"/>
      <c r="C114" s="219" t="s">
        <v>163</v>
      </c>
      <c r="D114" s="208"/>
      <c r="E114" s="219" t="s">
        <v>1127</v>
      </c>
      <c r="F114" s="208"/>
      <c r="G114" s="219" t="s">
        <v>196</v>
      </c>
      <c r="H114" s="209"/>
      <c r="I114" s="229"/>
      <c r="L114" s="1720"/>
      <c r="M114" s="1720"/>
      <c r="N114" s="1720"/>
      <c r="O114" s="1720"/>
      <c r="P114" s="1720"/>
      <c r="Q114" s="1720"/>
      <c r="R114" s="1720"/>
      <c r="S114" s="1720"/>
      <c r="T114" s="1720"/>
      <c r="U114" s="1720"/>
      <c r="V114" s="1720"/>
      <c r="AE114" s="343"/>
      <c r="AF114" s="343"/>
      <c r="AG114" s="343"/>
      <c r="AH114" s="343"/>
      <c r="AI114" s="343"/>
      <c r="AJ114" s="343"/>
      <c r="AK114" s="179"/>
      <c r="AL114" s="111"/>
      <c r="AM114" s="111"/>
      <c r="AN114" s="111"/>
      <c r="AO114" s="111"/>
      <c r="AP114" s="111"/>
      <c r="AQ114" s="111"/>
      <c r="AR114" s="111"/>
      <c r="AS114" s="111"/>
      <c r="AT114" s="111"/>
      <c r="AU114" s="111"/>
      <c r="AV114" s="111"/>
      <c r="AW114" s="111"/>
      <c r="AX114" s="111"/>
      <c r="AY114" s="111"/>
      <c r="AZ114" s="111"/>
    </row>
    <row r="115" spans="1:52" ht="15.6" x14ac:dyDescent="0.3">
      <c r="A115" s="214"/>
      <c r="B115" s="209"/>
      <c r="C115" s="213" t="e">
        <f ca="1">VLOOKUP(H30,A74:K78,2,FALSE)</f>
        <v>#N/A</v>
      </c>
      <c r="D115" s="215" t="e">
        <f ca="1">C115</f>
        <v>#N/A</v>
      </c>
      <c r="E115" s="219" t="s">
        <v>197</v>
      </c>
      <c r="F115" s="208"/>
      <c r="G115" s="213">
        <v>250</v>
      </c>
      <c r="H115" s="209"/>
      <c r="I115" s="229"/>
      <c r="L115" s="1720"/>
      <c r="M115" s="1720"/>
      <c r="N115" s="1720"/>
      <c r="O115" s="1720"/>
      <c r="P115" s="1720"/>
      <c r="Q115" s="1720"/>
      <c r="R115" s="1720"/>
      <c r="S115" s="1720"/>
      <c r="T115" s="1720"/>
      <c r="U115" s="1720"/>
      <c r="V115" s="1720"/>
      <c r="AE115" s="343"/>
      <c r="AF115" s="343"/>
      <c r="AG115" s="343"/>
      <c r="AH115" s="343"/>
      <c r="AI115" s="343"/>
      <c r="AJ115" s="343"/>
      <c r="AK115" s="179"/>
      <c r="AL115" s="111"/>
      <c r="AM115" s="111"/>
      <c r="AN115" s="111"/>
      <c r="AO115" s="111"/>
      <c r="AP115" s="111"/>
      <c r="AQ115" s="111"/>
      <c r="AR115" s="111"/>
      <c r="AS115" s="111"/>
      <c r="AT115" s="111"/>
      <c r="AU115" s="111"/>
      <c r="AV115" s="111"/>
      <c r="AW115" s="111"/>
      <c r="AX115" s="111"/>
      <c r="AY115" s="111"/>
      <c r="AZ115" s="111"/>
    </row>
    <row r="116" spans="1:52" ht="15.6" x14ac:dyDescent="0.3">
      <c r="A116" s="214"/>
      <c r="B116" s="209"/>
      <c r="C116" s="209"/>
      <c r="D116" s="216">
        <f>Втулка!R69</f>
        <v>0</v>
      </c>
      <c r="E116" s="208" t="e">
        <f ca="1">E113+C113*2+F109</f>
        <v>#N/A</v>
      </c>
      <c r="F116" s="216">
        <f>Втулка!R69</f>
        <v>0</v>
      </c>
      <c r="G116" s="208" t="s">
        <v>198</v>
      </c>
      <c r="H116" s="209"/>
      <c r="I116" s="229"/>
      <c r="L116" s="1720"/>
      <c r="M116" s="1720"/>
      <c r="N116" s="1720"/>
      <c r="O116" s="1720"/>
      <c r="P116" s="1720"/>
      <c r="Q116" s="1720"/>
      <c r="R116" s="1720"/>
      <c r="S116" s="1720"/>
      <c r="T116" s="1720"/>
      <c r="U116" s="1720"/>
      <c r="V116" s="1720"/>
      <c r="AE116" s="343"/>
      <c r="AF116" s="343"/>
      <c r="AG116" s="343"/>
      <c r="AH116" s="343"/>
      <c r="AI116" s="343"/>
      <c r="AJ116" s="343"/>
      <c r="AK116" s="179"/>
      <c r="AL116" s="111"/>
      <c r="AM116" s="111"/>
      <c r="AN116" s="111"/>
      <c r="AO116" s="111"/>
      <c r="AP116" s="111"/>
      <c r="AQ116" s="111"/>
      <c r="AR116" s="111"/>
      <c r="AS116" s="111"/>
      <c r="AT116" s="111"/>
      <c r="AU116" s="111"/>
      <c r="AV116" s="111"/>
      <c r="AW116" s="111"/>
      <c r="AX116" s="111"/>
      <c r="AY116" s="111"/>
      <c r="AZ116" s="111"/>
    </row>
    <row r="117" spans="1:52" ht="16.2" thickBot="1" x14ac:dyDescent="0.35">
      <c r="A117" s="221"/>
      <c r="B117" s="222"/>
      <c r="C117" s="222"/>
      <c r="D117" s="223" t="e">
        <f ca="1">D109*D111*D113*D115*D116/1000000</f>
        <v>#N/A</v>
      </c>
      <c r="E117" s="222"/>
      <c r="F117" s="224" t="e">
        <f ca="1">F109*F111*F113*F116/1000000</f>
        <v>#N/A</v>
      </c>
      <c r="G117" s="223" t="e">
        <f ca="1">F117/360*G115</f>
        <v>#N/A</v>
      </c>
      <c r="H117" s="232"/>
      <c r="I117" s="225" t="e">
        <f ca="1">B112+D117+G117+H111</f>
        <v>#N/A</v>
      </c>
      <c r="L117" s="1720"/>
      <c r="M117" s="1720"/>
      <c r="N117" s="1720"/>
      <c r="O117" s="1720"/>
      <c r="P117" s="1720"/>
      <c r="Q117" s="1720"/>
      <c r="R117" s="1720"/>
      <c r="S117" s="1720"/>
      <c r="T117" s="1720"/>
      <c r="U117" s="1720"/>
      <c r="V117" s="1720"/>
      <c r="AE117" s="343"/>
      <c r="AF117" s="343"/>
      <c r="AG117" s="343"/>
      <c r="AH117" s="343"/>
      <c r="AI117" s="343"/>
      <c r="AJ117" s="343"/>
      <c r="AK117" s="179"/>
      <c r="AL117" s="111"/>
      <c r="AM117" s="111"/>
      <c r="AN117" s="111"/>
      <c r="AO117" s="111"/>
      <c r="AP117" s="111"/>
      <c r="AQ117" s="111"/>
      <c r="AR117" s="111"/>
      <c r="AS117" s="111"/>
      <c r="AT117" s="111"/>
      <c r="AU117" s="111"/>
      <c r="AV117" s="111"/>
      <c r="AW117" s="111"/>
      <c r="AX117" s="111"/>
      <c r="AY117" s="111"/>
      <c r="AZ117" s="111"/>
    </row>
    <row r="118" spans="1:52" ht="14.4" x14ac:dyDescent="0.3">
      <c r="L118" s="1720"/>
      <c r="M118" s="1720"/>
      <c r="N118" s="1720"/>
      <c r="O118" s="1720"/>
      <c r="P118" s="1720"/>
      <c r="Q118" s="1720"/>
      <c r="R118" s="1720"/>
      <c r="S118" s="1720"/>
      <c r="T118" s="1720"/>
      <c r="U118" s="1720"/>
      <c r="V118" s="1720"/>
      <c r="AE118" s="343"/>
      <c r="AF118" s="343"/>
      <c r="AG118" s="343"/>
      <c r="AH118" s="343"/>
      <c r="AI118" s="343"/>
      <c r="AJ118" s="343"/>
      <c r="AK118" s="179"/>
      <c r="AL118" s="111"/>
      <c r="AM118" s="111"/>
      <c r="AN118" s="111"/>
      <c r="AO118" s="111"/>
      <c r="AP118" s="111"/>
      <c r="AQ118" s="111"/>
      <c r="AR118" s="111"/>
      <c r="AS118" s="111"/>
      <c r="AT118" s="111"/>
      <c r="AU118" s="111"/>
      <c r="AV118" s="111"/>
      <c r="AW118" s="111"/>
      <c r="AX118" s="111"/>
      <c r="AY118" s="111"/>
      <c r="AZ118" s="111"/>
    </row>
    <row r="119" spans="1:52" ht="15" thickBot="1" x14ac:dyDescent="0.35">
      <c r="A119" s="54" t="s">
        <v>1124</v>
      </c>
      <c r="I119" s="253"/>
      <c r="J119" s="253"/>
      <c r="L119" s="1720"/>
      <c r="M119" s="1720"/>
      <c r="N119" s="1720"/>
      <c r="O119" s="1720"/>
      <c r="P119" s="1720"/>
      <c r="Q119" s="1720"/>
      <c r="R119" s="1720"/>
      <c r="S119" s="1720"/>
      <c r="T119" s="1720"/>
      <c r="U119" s="1720"/>
      <c r="V119" s="1720"/>
      <c r="AE119" s="343"/>
      <c r="AF119" s="343"/>
      <c r="AG119" s="343"/>
      <c r="AH119" s="1792"/>
      <c r="AI119" s="343"/>
      <c r="AJ119" s="343"/>
      <c r="AK119" s="179"/>
      <c r="AL119" s="111"/>
      <c r="AM119" s="111"/>
      <c r="AN119" s="111"/>
      <c r="AO119" s="111"/>
      <c r="AP119" s="111"/>
      <c r="AQ119" s="111"/>
      <c r="AR119" s="111"/>
      <c r="AS119" s="111"/>
      <c r="AT119" s="111"/>
      <c r="AU119" s="111"/>
      <c r="AV119" s="111"/>
      <c r="AW119" s="111"/>
      <c r="AX119" s="111"/>
      <c r="AY119" s="111"/>
      <c r="AZ119" s="111"/>
    </row>
    <row r="120" spans="1:52" ht="15.6" x14ac:dyDescent="0.3">
      <c r="A120" s="200" t="s">
        <v>203</v>
      </c>
      <c r="B120" s="202"/>
      <c r="C120" s="202" t="s">
        <v>138</v>
      </c>
      <c r="D120" s="202"/>
      <c r="E120" s="202" t="s">
        <v>204</v>
      </c>
      <c r="F120" s="202"/>
      <c r="G120" s="233" t="s">
        <v>191</v>
      </c>
      <c r="H120" s="234"/>
      <c r="I120" s="253"/>
      <c r="J120" s="253"/>
      <c r="L120" s="1720"/>
      <c r="M120" s="1720"/>
      <c r="N120" s="1720"/>
      <c r="O120" s="1720"/>
      <c r="P120" s="1720"/>
      <c r="Q120" s="1720"/>
      <c r="R120" s="1720"/>
      <c r="S120" s="1720"/>
      <c r="T120" s="1720"/>
      <c r="U120" s="1720"/>
      <c r="V120" s="1720"/>
      <c r="AE120" s="343"/>
      <c r="AF120" s="343"/>
      <c r="AG120" s="343"/>
      <c r="AH120" s="343"/>
      <c r="AI120" s="343"/>
      <c r="AJ120" s="343"/>
      <c r="AK120" s="179"/>
      <c r="AL120" s="111"/>
      <c r="AM120" s="111"/>
      <c r="AN120" s="111"/>
      <c r="AO120" s="111"/>
      <c r="AP120" s="111"/>
      <c r="AQ120" s="111"/>
      <c r="AR120" s="111"/>
      <c r="AS120" s="111"/>
      <c r="AT120" s="111"/>
      <c r="AU120" s="111"/>
      <c r="AV120" s="111"/>
      <c r="AW120" s="111"/>
      <c r="AX120" s="111"/>
      <c r="AY120" s="111"/>
      <c r="AZ120" s="111"/>
    </row>
    <row r="121" spans="1:52" ht="15.6" x14ac:dyDescent="0.3">
      <c r="A121" s="235" t="s">
        <v>205</v>
      </c>
      <c r="B121" s="236"/>
      <c r="C121" s="208" t="s">
        <v>167</v>
      </c>
      <c r="D121" s="236"/>
      <c r="E121" s="236" t="s">
        <v>139</v>
      </c>
      <c r="F121" s="236"/>
      <c r="G121" s="237"/>
      <c r="H121" s="234"/>
      <c r="I121" s="253"/>
      <c r="J121" s="253"/>
      <c r="L121" s="1720"/>
      <c r="M121" s="1720"/>
      <c r="N121" s="1720"/>
      <c r="O121" s="1720"/>
      <c r="P121" s="1720"/>
      <c r="Q121" s="1720"/>
      <c r="R121" s="1720"/>
      <c r="S121" s="1720"/>
      <c r="T121" s="1720"/>
      <c r="U121" s="1720"/>
      <c r="V121" s="1720"/>
      <c r="AE121" s="343"/>
      <c r="AF121" s="343"/>
      <c r="AG121" s="343"/>
      <c r="AH121" s="343"/>
      <c r="AI121" s="343"/>
      <c r="AJ121" s="343"/>
      <c r="AK121" s="179"/>
      <c r="AL121" s="111"/>
      <c r="AM121" s="111"/>
      <c r="AN121" s="111"/>
      <c r="AO121" s="111"/>
      <c r="AP121" s="111"/>
      <c r="AQ121" s="111"/>
      <c r="AR121" s="111"/>
      <c r="AS121" s="111"/>
      <c r="AT121" s="111"/>
      <c r="AU121" s="111"/>
      <c r="AV121" s="111"/>
      <c r="AW121" s="111"/>
      <c r="AX121" s="111"/>
      <c r="AY121" s="111"/>
      <c r="AZ121" s="111"/>
    </row>
    <row r="122" spans="1:52" ht="15.6" x14ac:dyDescent="0.3">
      <c r="A122" s="238">
        <f ca="1">VLOOKUP(F30,B47:I55,5,FALSE)</f>
        <v>60</v>
      </c>
      <c r="B122" s="236">
        <f ca="1">A122*0.985</f>
        <v>59.1</v>
      </c>
      <c r="C122" s="213">
        <f ca="1">VLOOKUP(F30,B47:I55,2,FALSE)</f>
        <v>40</v>
      </c>
      <c r="D122" s="236"/>
      <c r="E122" s="239">
        <f ca="1">VLOOKUP(F30,B47:I55,7,FALSE)</f>
        <v>14</v>
      </c>
      <c r="F122" s="236"/>
      <c r="G122" s="237"/>
      <c r="H122" s="234"/>
      <c r="I122" s="253"/>
      <c r="J122" s="253"/>
      <c r="L122" s="1720"/>
      <c r="M122" s="1720"/>
      <c r="N122" s="1720"/>
      <c r="O122" s="1720"/>
      <c r="P122" s="1720"/>
      <c r="Q122" s="1720"/>
      <c r="R122" s="1720"/>
      <c r="S122" s="1720"/>
      <c r="T122" s="1720"/>
      <c r="U122" s="1720"/>
      <c r="V122" s="1720"/>
      <c r="AE122" s="1792"/>
      <c r="AF122" s="343"/>
      <c r="AG122" s="1792"/>
      <c r="AH122" s="343"/>
      <c r="AI122" s="343"/>
      <c r="AJ122" s="343"/>
      <c r="AK122" s="179"/>
      <c r="AL122" s="111"/>
      <c r="AM122" s="111"/>
      <c r="AN122" s="111"/>
      <c r="AO122" s="111"/>
      <c r="AP122" s="111"/>
      <c r="AQ122" s="111"/>
      <c r="AR122" s="111"/>
      <c r="AS122" s="111"/>
      <c r="AT122" s="111"/>
      <c r="AU122" s="111"/>
      <c r="AV122" s="111"/>
      <c r="AW122" s="111"/>
      <c r="AX122" s="111"/>
      <c r="AY122" s="111"/>
      <c r="AZ122" s="111"/>
    </row>
    <row r="123" spans="1:52" ht="15.6" x14ac:dyDescent="0.3">
      <c r="A123" s="240"/>
      <c r="B123" s="236"/>
      <c r="C123" s="208" t="s">
        <v>168</v>
      </c>
      <c r="D123" s="236"/>
      <c r="E123" s="236" t="s">
        <v>140</v>
      </c>
      <c r="F123" s="236"/>
      <c r="G123" s="237"/>
      <c r="H123" s="234"/>
      <c r="I123" s="253"/>
      <c r="J123" s="253"/>
      <c r="L123" s="1720"/>
      <c r="M123" s="1720"/>
      <c r="N123" s="1720"/>
      <c r="O123" s="1720"/>
      <c r="P123" s="1720"/>
      <c r="Q123" s="1720"/>
      <c r="R123" s="1720"/>
      <c r="S123" s="1720"/>
      <c r="T123" s="1720"/>
      <c r="U123" s="1720"/>
      <c r="V123" s="1720"/>
      <c r="AE123" s="343"/>
      <c r="AF123" s="343"/>
      <c r="AG123" s="343"/>
      <c r="AH123" s="343"/>
      <c r="AI123" s="343"/>
      <c r="AJ123" s="343"/>
      <c r="AK123" s="179"/>
      <c r="AL123" s="111"/>
      <c r="AM123" s="111"/>
      <c r="AN123" s="111"/>
      <c r="AO123" s="111"/>
      <c r="AP123" s="111"/>
      <c r="AQ123" s="111"/>
      <c r="AR123" s="111"/>
      <c r="AS123" s="111"/>
      <c r="AT123" s="111"/>
      <c r="AU123" s="111"/>
      <c r="AV123" s="111"/>
      <c r="AW123" s="111"/>
      <c r="AX123" s="111"/>
      <c r="AY123" s="111"/>
      <c r="AZ123" s="111"/>
    </row>
    <row r="124" spans="1:52" ht="15.6" x14ac:dyDescent="0.3">
      <c r="A124" s="235" t="s">
        <v>206</v>
      </c>
      <c r="B124" s="236"/>
      <c r="C124" s="213">
        <f ca="1">VLOOKUP(F30,B47:I55,3,FALSE)</f>
        <v>50</v>
      </c>
      <c r="D124" s="236">
        <f ca="1">(C122*0.985+C124*0.985)/2</f>
        <v>44.325000000000003</v>
      </c>
      <c r="E124" s="239">
        <f ca="1">VLOOKUP(F30,B47:I55,8,FALSE)</f>
        <v>70</v>
      </c>
      <c r="F124" s="236"/>
      <c r="G124" s="237"/>
      <c r="H124" s="234"/>
      <c r="I124" s="253"/>
      <c r="J124" s="253"/>
      <c r="L124" s="1720"/>
      <c r="M124" s="1720"/>
      <c r="N124" s="1720"/>
      <c r="O124" s="1720"/>
      <c r="P124" s="1720"/>
      <c r="Q124" s="1720"/>
      <c r="R124" s="1720"/>
      <c r="S124" s="1720"/>
      <c r="T124" s="1720"/>
      <c r="U124" s="1720"/>
      <c r="V124" s="1720"/>
      <c r="AE124" s="343"/>
      <c r="AF124" s="343"/>
      <c r="AG124" s="343"/>
      <c r="AH124" s="343"/>
      <c r="AI124" s="343"/>
      <c r="AJ124" s="343"/>
      <c r="AK124" s="179"/>
      <c r="AL124" s="111"/>
      <c r="AM124" s="111"/>
      <c r="AN124" s="111"/>
      <c r="AO124" s="111"/>
      <c r="AP124" s="111"/>
      <c r="AQ124" s="111"/>
      <c r="AR124" s="111"/>
      <c r="AS124" s="111"/>
      <c r="AT124" s="111"/>
      <c r="AU124" s="111"/>
      <c r="AV124" s="111"/>
      <c r="AW124" s="111"/>
      <c r="AX124" s="111"/>
      <c r="AY124" s="111"/>
      <c r="AZ124" s="111"/>
    </row>
    <row r="125" spans="1:52" ht="15.6" x14ac:dyDescent="0.3">
      <c r="A125" s="238">
        <f ca="1">VLOOKUP(F30,B47:I55,6,FALSE)</f>
        <v>65</v>
      </c>
      <c r="B125" s="236">
        <f ca="1">A125*0.985</f>
        <v>64.025000000000006</v>
      </c>
      <c r="C125" s="208" t="s">
        <v>193</v>
      </c>
      <c r="D125" s="236"/>
      <c r="E125" s="236" t="s">
        <v>141</v>
      </c>
      <c r="F125" s="236"/>
      <c r="G125" s="237"/>
      <c r="H125" s="234"/>
      <c r="I125" s="253"/>
      <c r="J125" s="253"/>
      <c r="L125" s="1720"/>
      <c r="M125" s="1720"/>
      <c r="N125" s="1720"/>
      <c r="O125" s="1720"/>
      <c r="P125" s="1720"/>
      <c r="Q125" s="1720"/>
      <c r="R125" s="1720"/>
      <c r="S125" s="1720"/>
      <c r="T125" s="1720"/>
      <c r="U125" s="1720"/>
      <c r="V125" s="1720"/>
      <c r="AE125" s="343"/>
      <c r="AF125" s="343"/>
      <c r="AG125" s="1792"/>
      <c r="AH125" s="343"/>
      <c r="AI125" s="343"/>
      <c r="AJ125" s="343"/>
      <c r="AK125" s="179"/>
      <c r="AL125" s="111"/>
      <c r="AM125" s="111"/>
      <c r="AN125" s="111"/>
      <c r="AO125" s="111"/>
      <c r="AP125" s="111"/>
      <c r="AQ125" s="111"/>
      <c r="AR125" s="111"/>
      <c r="AS125" s="111"/>
      <c r="AT125" s="111"/>
      <c r="AU125" s="111"/>
      <c r="AV125" s="111"/>
      <c r="AW125" s="111"/>
      <c r="AX125" s="111"/>
      <c r="AY125" s="111"/>
      <c r="AZ125" s="111"/>
    </row>
    <row r="126" spans="1:52" ht="15.6" x14ac:dyDescent="0.3">
      <c r="A126" s="240"/>
      <c r="B126" s="236"/>
      <c r="C126" s="213">
        <f ca="1">VLOOKUP(F30,B47:I55,4,FALSE)</f>
        <v>50</v>
      </c>
      <c r="D126" s="236">
        <f ca="1">C126*0.985</f>
        <v>49.25</v>
      </c>
      <c r="E126" s="239">
        <f ca="1">B128</f>
        <v>970.22500000000002</v>
      </c>
      <c r="F126" s="236"/>
      <c r="G126" s="237"/>
      <c r="H126" s="234"/>
      <c r="I126" s="253"/>
      <c r="J126" s="253"/>
      <c r="L126" s="1720"/>
      <c r="M126" s="1720"/>
      <c r="N126" s="1720"/>
      <c r="O126" s="1720"/>
      <c r="P126" s="1720"/>
      <c r="Q126" s="1720"/>
      <c r="R126" s="1720"/>
      <c r="S126" s="1720"/>
      <c r="T126" s="1720"/>
      <c r="U126" s="1720"/>
      <c r="V126" s="1720"/>
      <c r="AE126" s="343"/>
      <c r="AF126" s="343"/>
      <c r="AG126" s="343"/>
      <c r="AH126" s="343"/>
      <c r="AI126" s="343"/>
      <c r="AJ126" s="343"/>
      <c r="AK126" s="179"/>
      <c r="AL126" s="111"/>
      <c r="AM126" s="111"/>
      <c r="AN126" s="111"/>
      <c r="AO126" s="111"/>
      <c r="AP126" s="111"/>
      <c r="AQ126" s="111"/>
      <c r="AR126" s="111"/>
      <c r="AS126" s="111"/>
      <c r="AT126" s="111"/>
      <c r="AU126" s="111"/>
      <c r="AV126" s="111"/>
      <c r="AW126" s="111"/>
      <c r="AX126" s="111"/>
      <c r="AY126" s="111"/>
      <c r="AZ126" s="111"/>
    </row>
    <row r="127" spans="1:52" ht="14.4" x14ac:dyDescent="0.3">
      <c r="A127" s="241" t="s">
        <v>5</v>
      </c>
      <c r="B127" s="236"/>
      <c r="C127" s="219" t="s">
        <v>870</v>
      </c>
      <c r="D127" s="236"/>
      <c r="E127" s="236"/>
      <c r="F127" s="236"/>
      <c r="G127" s="237"/>
      <c r="H127" s="234"/>
      <c r="I127" s="253"/>
      <c r="J127" s="253"/>
      <c r="L127" s="1720"/>
      <c r="M127" s="1720"/>
      <c r="N127" s="1720"/>
      <c r="O127" s="1720"/>
      <c r="P127" s="1720"/>
      <c r="Q127" s="1720"/>
      <c r="R127" s="1720"/>
      <c r="S127" s="1720"/>
      <c r="T127" s="1720"/>
      <c r="U127" s="1720"/>
      <c r="V127" s="1720"/>
      <c r="AE127" s="343"/>
      <c r="AF127" s="343"/>
      <c r="AG127" s="343"/>
      <c r="AH127" s="343"/>
      <c r="AI127" s="343"/>
      <c r="AJ127" s="343"/>
      <c r="AK127" s="179"/>
      <c r="AL127" s="111"/>
      <c r="AM127" s="111"/>
      <c r="AN127" s="111"/>
      <c r="AO127" s="111"/>
      <c r="AP127" s="111"/>
      <c r="AQ127" s="111"/>
      <c r="AR127" s="111"/>
      <c r="AS127" s="111"/>
      <c r="AT127" s="111"/>
      <c r="AU127" s="111"/>
      <c r="AV127" s="111"/>
      <c r="AW127" s="111"/>
      <c r="AX127" s="111"/>
      <c r="AY127" s="111"/>
      <c r="AZ127" s="111"/>
    </row>
    <row r="128" spans="1:52" ht="15.6" x14ac:dyDescent="0.3">
      <c r="A128" s="242">
        <f ca="1">Втулка!O27+Втулка!O21</f>
        <v>985</v>
      </c>
      <c r="B128" s="236">
        <f ca="1">A128*0.985</f>
        <v>970.22500000000002</v>
      </c>
      <c r="C128" s="213">
        <f ca="1">Втулка!O25</f>
        <v>993</v>
      </c>
      <c r="D128" s="236">
        <f ca="1">3.1415926*C131</f>
        <v>3961.7053482299998</v>
      </c>
      <c r="E128" s="335">
        <f ca="1">B130</f>
        <v>1</v>
      </c>
      <c r="F128" s="236">
        <f ca="1">E122*0.985*E124*0.985*E126*0.985*B129*E128/1000000</f>
        <v>8.2689167680966413</v>
      </c>
      <c r="G128" s="237"/>
      <c r="H128" s="234"/>
      <c r="I128" s="253"/>
      <c r="J128" s="253"/>
      <c r="L128" s="1720"/>
      <c r="M128" s="1720"/>
      <c r="N128" s="1720"/>
      <c r="O128" s="1720"/>
      <c r="P128" s="1720"/>
      <c r="Q128" s="1720"/>
      <c r="R128" s="1720"/>
      <c r="S128" s="1720"/>
      <c r="T128" s="1720"/>
      <c r="U128" s="1720"/>
      <c r="V128" s="1720"/>
      <c r="AE128" s="343"/>
      <c r="AF128" s="343"/>
      <c r="AG128" s="343"/>
      <c r="AH128" s="343"/>
      <c r="AI128" s="343"/>
      <c r="AJ128" s="343"/>
      <c r="AK128" s="179"/>
      <c r="AL128" s="111"/>
      <c r="AM128" s="111"/>
      <c r="AN128" s="111"/>
      <c r="AO128" s="111"/>
      <c r="AP128" s="111"/>
      <c r="AQ128" s="111"/>
      <c r="AR128" s="111"/>
      <c r="AS128" s="111"/>
      <c r="AT128" s="111"/>
      <c r="AU128" s="111"/>
      <c r="AV128" s="111"/>
      <c r="AW128" s="111"/>
      <c r="AX128" s="111"/>
      <c r="AY128" s="111"/>
      <c r="AZ128" s="111"/>
    </row>
    <row r="129" spans="1:52" ht="15.6" x14ac:dyDescent="0.3">
      <c r="A129" s="240"/>
      <c r="B129" s="243">
        <f>Втулка!O9</f>
        <v>9.1</v>
      </c>
      <c r="C129" s="219" t="s">
        <v>195</v>
      </c>
      <c r="D129" s="236">
        <v>200</v>
      </c>
      <c r="E129" s="236"/>
      <c r="F129" s="236"/>
      <c r="G129" s="237"/>
      <c r="H129" s="234"/>
      <c r="I129" s="253"/>
      <c r="J129" s="253"/>
      <c r="L129" s="1720"/>
      <c r="M129" s="1720"/>
      <c r="N129" s="1720"/>
      <c r="O129" s="1720"/>
      <c r="P129" s="1720"/>
      <c r="Q129" s="1720"/>
      <c r="R129" s="1720"/>
      <c r="S129" s="1720"/>
      <c r="T129" s="1720"/>
      <c r="U129" s="1720"/>
      <c r="V129" s="1720"/>
      <c r="AE129" s="343"/>
      <c r="AF129" s="343"/>
      <c r="AG129" s="343"/>
      <c r="AH129" s="343"/>
      <c r="AI129" s="343"/>
      <c r="AJ129" s="343"/>
      <c r="AK129" s="179"/>
      <c r="AL129" s="111"/>
      <c r="AM129" s="111"/>
      <c r="AN129" s="111"/>
      <c r="AO129" s="111"/>
      <c r="AP129" s="111"/>
      <c r="AQ129" s="111"/>
      <c r="AR129" s="111"/>
      <c r="AS129" s="111"/>
      <c r="AT129" s="111"/>
      <c r="AU129" s="111"/>
      <c r="AV129" s="111"/>
      <c r="AW129" s="111"/>
      <c r="AX129" s="111"/>
      <c r="AY129" s="111"/>
      <c r="AZ129" s="111"/>
    </row>
    <row r="130" spans="1:52" ht="15.6" x14ac:dyDescent="0.3">
      <c r="A130" s="240"/>
      <c r="B130" s="244">
        <f ca="1">IF(Втулка!O25&lt;1000,1,2)</f>
        <v>1</v>
      </c>
      <c r="C130" s="219" t="s">
        <v>197</v>
      </c>
      <c r="D130" s="236">
        <f ca="1">IF(B130=1,D129,D128)</f>
        <v>200</v>
      </c>
      <c r="E130" s="236"/>
      <c r="F130" s="236"/>
      <c r="G130" s="237"/>
      <c r="H130" s="234"/>
      <c r="I130" s="253"/>
      <c r="J130" s="253"/>
      <c r="L130" s="1720"/>
      <c r="M130" s="1720"/>
      <c r="N130" s="1720"/>
      <c r="O130" s="1720"/>
      <c r="P130" s="1720"/>
      <c r="Q130" s="1720"/>
      <c r="R130" s="1720"/>
      <c r="S130" s="1720"/>
      <c r="T130" s="1720"/>
      <c r="U130" s="1720"/>
      <c r="V130" s="1720"/>
      <c r="AE130" s="343"/>
      <c r="AF130" s="343"/>
      <c r="AG130" s="343"/>
      <c r="AH130" s="343"/>
      <c r="AI130" s="343"/>
      <c r="AJ130" s="343"/>
      <c r="AK130" s="179"/>
      <c r="AL130" s="111"/>
      <c r="AM130" s="111"/>
      <c r="AN130" s="111"/>
      <c r="AO130" s="111"/>
      <c r="AP130" s="111"/>
      <c r="AQ130" s="111"/>
      <c r="AR130" s="111"/>
      <c r="AS130" s="111"/>
      <c r="AT130" s="111"/>
      <c r="AU130" s="111"/>
      <c r="AV130" s="111"/>
      <c r="AW130" s="111"/>
      <c r="AX130" s="111"/>
      <c r="AY130" s="111"/>
      <c r="AZ130" s="111"/>
    </row>
    <row r="131" spans="1:52" ht="16.2" thickBot="1" x14ac:dyDescent="0.35">
      <c r="A131" s="245"/>
      <c r="B131" s="246">
        <f ca="1">B122*B122*3.1415926*B128*B129/4000000+(B125*B125*3.1415926*B128*B129*B130/4000000)</f>
        <v>52.645412689534268</v>
      </c>
      <c r="C131" s="247">
        <f ca="1">C128+E124*2+B125*2</f>
        <v>1261.05</v>
      </c>
      <c r="D131" s="246">
        <f ca="1">D124*D126*D130*B129/1000000/360*180</f>
        <v>1.9865356875000002</v>
      </c>
      <c r="E131" s="246"/>
      <c r="F131" s="246"/>
      <c r="G131" s="248">
        <f ca="1">B131+D131+F128</f>
        <v>62.900865145130908</v>
      </c>
      <c r="H131" s="234"/>
      <c r="I131" s="253"/>
      <c r="J131" s="253"/>
      <c r="L131" s="1720"/>
      <c r="M131" s="1720"/>
      <c r="N131" s="1720"/>
      <c r="O131" s="1720"/>
      <c r="P131" s="1720"/>
      <c r="Q131" s="1720"/>
      <c r="R131" s="1720"/>
      <c r="S131" s="1720"/>
      <c r="T131" s="1720"/>
      <c r="U131" s="1720"/>
      <c r="V131" s="1720"/>
      <c r="AE131" s="343"/>
      <c r="AF131" s="343"/>
      <c r="AG131" s="343"/>
      <c r="AH131" s="343"/>
      <c r="AI131" s="343"/>
      <c r="AJ131" s="343"/>
      <c r="AK131" s="179"/>
      <c r="AL131" s="111"/>
      <c r="AM131" s="111"/>
      <c r="AN131" s="111"/>
      <c r="AO131" s="111"/>
      <c r="AP131" s="111"/>
      <c r="AQ131" s="111"/>
      <c r="AR131" s="111"/>
      <c r="AS131" s="111"/>
      <c r="AT131" s="111"/>
      <c r="AU131" s="111"/>
      <c r="AV131" s="111"/>
      <c r="AW131" s="111"/>
      <c r="AX131" s="111"/>
      <c r="AY131" s="111"/>
      <c r="AZ131" s="111"/>
    </row>
    <row r="132" spans="1:52" ht="15.6" thickBot="1" x14ac:dyDescent="0.3">
      <c r="A132" s="234"/>
      <c r="B132" s="234"/>
      <c r="C132" s="252"/>
      <c r="D132" s="234"/>
      <c r="E132" s="234"/>
      <c r="F132" s="234"/>
      <c r="G132" s="234"/>
      <c r="H132" s="234"/>
      <c r="I132" s="253"/>
      <c r="J132" s="253"/>
      <c r="AE132" s="343"/>
      <c r="AF132" s="343"/>
      <c r="AG132" s="343"/>
      <c r="AH132" s="343"/>
      <c r="AI132" s="343"/>
      <c r="AJ132" s="343"/>
      <c r="AK132" s="179"/>
      <c r="AL132" s="111"/>
      <c r="AM132" s="111"/>
      <c r="AN132" s="111"/>
      <c r="AO132" s="111"/>
      <c r="AP132" s="111"/>
      <c r="AQ132" s="111"/>
      <c r="AR132" s="111"/>
      <c r="AS132" s="111"/>
      <c r="AT132" s="111"/>
      <c r="AU132" s="111"/>
      <c r="AV132" s="111"/>
      <c r="AW132" s="111"/>
      <c r="AX132" s="111"/>
      <c r="AY132" s="111"/>
      <c r="AZ132" s="111"/>
    </row>
    <row r="133" spans="1:52" ht="14.4" x14ac:dyDescent="0.25">
      <c r="H133" s="253"/>
      <c r="I133" s="253"/>
      <c r="J133" s="253"/>
      <c r="L133" s="663" t="s">
        <v>315</v>
      </c>
      <c r="M133" s="664" t="s">
        <v>313</v>
      </c>
      <c r="N133" s="665" t="s">
        <v>318</v>
      </c>
      <c r="O133" s="664" t="s">
        <v>314</v>
      </c>
      <c r="P133" s="664"/>
      <c r="Q133" s="664" t="s">
        <v>316</v>
      </c>
      <c r="R133" s="1156">
        <f ca="1">IF(R137=TRUE,Планка!M6,Планка!E29/0.985)</f>
        <v>162.43654822335026</v>
      </c>
      <c r="AE133" s="343"/>
      <c r="AF133" s="343"/>
      <c r="AG133" s="343"/>
      <c r="AH133" s="343"/>
      <c r="AI133" s="343"/>
      <c r="AJ133" s="343"/>
      <c r="AK133" s="179"/>
      <c r="AL133" s="111"/>
      <c r="AM133" s="111"/>
      <c r="AN133" s="111"/>
      <c r="AO133" s="111"/>
      <c r="AP133" s="111"/>
      <c r="AQ133" s="111"/>
      <c r="AR133" s="111"/>
      <c r="AS133" s="111"/>
      <c r="AT133" s="111"/>
      <c r="AU133" s="111"/>
      <c r="AV133" s="111"/>
      <c r="AW133" s="111"/>
      <c r="AX133" s="111"/>
      <c r="AY133" s="111"/>
      <c r="AZ133" s="111"/>
    </row>
    <row r="134" spans="1:52" ht="14.4" x14ac:dyDescent="0.25">
      <c r="H134" s="179"/>
      <c r="I134" s="253"/>
      <c r="J134" s="253"/>
      <c r="L134" s="666" t="s">
        <v>395</v>
      </c>
      <c r="M134" s="667" t="b">
        <f ca="1">R133&lt;=300</f>
        <v>1</v>
      </c>
      <c r="N134" s="668">
        <v>5</v>
      </c>
      <c r="O134" s="667">
        <v>2.5</v>
      </c>
      <c r="P134" s="667"/>
      <c r="Q134" s="667" t="s">
        <v>317</v>
      </c>
      <c r="R134" s="669">
        <f ca="1">Планка!I33+Данные!E38*2</f>
        <v>36</v>
      </c>
      <c r="AE134" s="343"/>
      <c r="AF134" s="343"/>
      <c r="AG134" s="343"/>
      <c r="AH134" s="343"/>
      <c r="AI134" s="343"/>
      <c r="AJ134" s="343"/>
      <c r="AK134" s="179"/>
      <c r="AL134" s="111"/>
      <c r="AM134" s="111"/>
      <c r="AN134" s="111"/>
      <c r="AO134" s="111"/>
      <c r="AP134" s="111"/>
      <c r="AQ134" s="111"/>
      <c r="AR134" s="111"/>
      <c r="AS134" s="111"/>
      <c r="AT134" s="111"/>
      <c r="AU134" s="111"/>
      <c r="AV134" s="111"/>
      <c r="AW134" s="111"/>
      <c r="AX134" s="111"/>
      <c r="AY134" s="111"/>
      <c r="AZ134" s="111"/>
    </row>
    <row r="135" spans="1:52" ht="17.399999999999999" x14ac:dyDescent="0.3">
      <c r="H135" s="255"/>
      <c r="I135" s="253"/>
      <c r="J135" s="253"/>
      <c r="L135" s="176">
        <f ca="1">IF(B38=FALSE,ROUNDUP(R134*R135,0),L137)</f>
        <v>90</v>
      </c>
      <c r="M135" s="667" t="b">
        <f ca="1">AND(301&lt;=R133,R133&lt;=600)</f>
        <v>0</v>
      </c>
      <c r="N135" s="668">
        <v>6</v>
      </c>
      <c r="O135" s="667">
        <v>3</v>
      </c>
      <c r="P135" s="667"/>
      <c r="Q135" s="667"/>
      <c r="R135" s="669">
        <f ca="1">VLOOKUP(TRUE,M134:O140,3,FALSE)</f>
        <v>2.5</v>
      </c>
      <c r="AE135" s="343"/>
      <c r="AF135" s="343"/>
      <c r="AG135" s="343"/>
      <c r="AH135" s="343"/>
      <c r="AI135" s="343"/>
      <c r="AJ135" s="343"/>
      <c r="AK135" s="179"/>
      <c r="AL135" s="111"/>
      <c r="AM135" s="111"/>
      <c r="AN135" s="111"/>
      <c r="AO135" s="111"/>
      <c r="AP135" s="111"/>
      <c r="AQ135" s="111"/>
      <c r="AR135" s="111"/>
      <c r="AS135" s="111"/>
      <c r="AT135" s="111"/>
      <c r="AU135" s="111"/>
      <c r="AV135" s="111"/>
      <c r="AW135" s="111"/>
      <c r="AX135" s="111"/>
      <c r="AY135" s="111"/>
      <c r="AZ135" s="111"/>
    </row>
    <row r="136" spans="1:52" ht="14.4" x14ac:dyDescent="0.25">
      <c r="H136" s="179"/>
      <c r="I136" s="253"/>
      <c r="J136" s="253"/>
      <c r="L136" s="176" t="s">
        <v>587</v>
      </c>
      <c r="M136" s="667" t="b">
        <f ca="1">AND(601&lt;=R133,R133&lt;=1000)</f>
        <v>0</v>
      </c>
      <c r="N136" s="668">
        <v>8</v>
      </c>
      <c r="O136" s="667">
        <v>3.5</v>
      </c>
      <c r="P136" s="667"/>
      <c r="Q136" s="1275" t="s">
        <v>1044</v>
      </c>
      <c r="R136" s="1276" t="b">
        <v>0</v>
      </c>
      <c r="AE136" s="343"/>
      <c r="AF136" s="343"/>
      <c r="AG136" s="343"/>
      <c r="AH136" s="343"/>
      <c r="AI136" s="343"/>
      <c r="AJ136" s="343"/>
      <c r="AK136" s="179"/>
      <c r="AL136" s="111"/>
      <c r="AM136" s="111"/>
      <c r="AN136" s="111"/>
      <c r="AO136" s="111"/>
      <c r="AP136" s="111"/>
      <c r="AQ136" s="111"/>
      <c r="AR136" s="111"/>
      <c r="AS136" s="111"/>
      <c r="AT136" s="111"/>
      <c r="AU136" s="111"/>
      <c r="AV136" s="111"/>
      <c r="AW136" s="111"/>
      <c r="AX136" s="111"/>
      <c r="AY136" s="111"/>
      <c r="AZ136" s="111"/>
    </row>
    <row r="137" spans="1:52" ht="14.4" x14ac:dyDescent="0.25">
      <c r="H137" s="179"/>
      <c r="I137" s="253"/>
      <c r="J137" s="253"/>
      <c r="L137" s="176">
        <f ca="1">ROUNDUP(R134*R135*0.841,0)</f>
        <v>76</v>
      </c>
      <c r="M137" s="667" t="b">
        <f ca="1">AND(1001&lt;=R133,R133&lt;=1200)</f>
        <v>0</v>
      </c>
      <c r="N137" s="668">
        <v>8</v>
      </c>
      <c r="O137" s="667">
        <v>4</v>
      </c>
      <c r="P137" s="667"/>
      <c r="Q137" s="667" t="s">
        <v>1053</v>
      </c>
      <c r="R137" s="669" t="b">
        <v>0</v>
      </c>
      <c r="AE137" s="343"/>
      <c r="AF137" s="343"/>
      <c r="AG137" s="343"/>
      <c r="AH137" s="1792"/>
      <c r="AI137" s="343"/>
      <c r="AJ137" s="343"/>
      <c r="AK137" s="179"/>
      <c r="AL137" s="111"/>
      <c r="AM137" s="111"/>
      <c r="AN137" s="111"/>
      <c r="AO137" s="111"/>
      <c r="AP137" s="111"/>
      <c r="AQ137" s="111"/>
      <c r="AR137" s="111"/>
      <c r="AS137" s="111"/>
      <c r="AT137" s="111"/>
      <c r="AU137" s="111"/>
      <c r="AV137" s="111"/>
      <c r="AW137" s="111"/>
      <c r="AX137" s="111"/>
      <c r="AY137" s="111"/>
      <c r="AZ137" s="111"/>
    </row>
    <row r="138" spans="1:52" ht="14.4" x14ac:dyDescent="0.25">
      <c r="H138" s="179"/>
      <c r="I138" s="253"/>
      <c r="J138" s="253"/>
      <c r="L138" s="176" t="s">
        <v>588</v>
      </c>
      <c r="M138" s="667" t="b">
        <f ca="1">AND(1201&lt;=R133,R133&lt;=1350)</f>
        <v>0</v>
      </c>
      <c r="N138" s="668">
        <v>9</v>
      </c>
      <c r="O138" s="667">
        <v>4.5</v>
      </c>
      <c r="P138" s="667"/>
      <c r="Q138" s="667"/>
      <c r="R138" s="669"/>
      <c r="AE138" s="343"/>
      <c r="AF138" s="343"/>
      <c r="AG138" s="343"/>
      <c r="AH138" s="1792"/>
      <c r="AI138" s="343"/>
      <c r="AJ138" s="343"/>
      <c r="AK138" s="179"/>
      <c r="AL138" s="111"/>
      <c r="AM138" s="111"/>
      <c r="AN138" s="111"/>
      <c r="AO138" s="111"/>
      <c r="AP138" s="111"/>
      <c r="AQ138" s="111"/>
      <c r="AR138" s="111"/>
      <c r="AS138" s="111"/>
      <c r="AT138" s="111"/>
      <c r="AU138" s="111"/>
      <c r="AV138" s="111"/>
      <c r="AW138" s="111"/>
      <c r="AX138" s="111"/>
      <c r="AY138" s="111"/>
      <c r="AZ138" s="111"/>
    </row>
    <row r="139" spans="1:52" ht="14.4" x14ac:dyDescent="0.25">
      <c r="H139" s="179"/>
      <c r="I139" s="253"/>
      <c r="J139" s="253"/>
      <c r="L139" s="176"/>
      <c r="M139" s="667" t="b">
        <f ca="1">AND(1351&lt;=R133,R133&lt;=1500)</f>
        <v>0</v>
      </c>
      <c r="N139" s="668">
        <v>10</v>
      </c>
      <c r="O139" s="667">
        <v>5</v>
      </c>
      <c r="P139" s="667"/>
      <c r="Q139" s="667"/>
      <c r="R139" s="669"/>
      <c r="AE139" s="343"/>
      <c r="AF139" s="343"/>
      <c r="AG139" s="343"/>
      <c r="AH139" s="343"/>
      <c r="AI139" s="343"/>
      <c r="AJ139" s="343"/>
      <c r="AK139" s="179"/>
      <c r="AL139" s="111"/>
      <c r="AM139" s="111"/>
      <c r="AN139" s="111"/>
      <c r="AO139" s="111"/>
      <c r="AP139" s="111"/>
      <c r="AQ139" s="111"/>
      <c r="AR139" s="111"/>
      <c r="AS139" s="111"/>
      <c r="AT139" s="111"/>
      <c r="AU139" s="111"/>
      <c r="AV139" s="111"/>
      <c r="AW139" s="111"/>
      <c r="AX139" s="111"/>
      <c r="AY139" s="111"/>
      <c r="AZ139" s="111"/>
    </row>
    <row r="140" spans="1:52" ht="15" thickBot="1" x14ac:dyDescent="0.3">
      <c r="H140" s="179"/>
      <c r="I140" s="253"/>
      <c r="J140" s="253"/>
      <c r="L140" s="249">
        <f ca="1">IF(OR(B38=TRUE,B42=TRUE),L137,L135)</f>
        <v>90</v>
      </c>
      <c r="M140" s="670" t="b">
        <f ca="1">AND(1501&lt;=R133,R133&lt;=1900)</f>
        <v>0</v>
      </c>
      <c r="N140" s="671">
        <v>12</v>
      </c>
      <c r="O140" s="670">
        <v>5.5</v>
      </c>
      <c r="P140" s="670"/>
      <c r="Q140" s="670"/>
      <c r="R140" s="672"/>
      <c r="AE140" s="343"/>
      <c r="AF140" s="343"/>
      <c r="AG140" s="343"/>
      <c r="AH140" s="343"/>
      <c r="AI140" s="343"/>
      <c r="AJ140" s="343"/>
      <c r="AK140" s="179"/>
      <c r="AL140" s="111"/>
      <c r="AM140" s="111"/>
      <c r="AN140" s="111"/>
      <c r="AO140" s="111"/>
      <c r="AP140" s="111"/>
      <c r="AQ140" s="111"/>
      <c r="AR140" s="111"/>
      <c r="AS140" s="111"/>
      <c r="AT140" s="111"/>
      <c r="AU140" s="111"/>
      <c r="AV140" s="111"/>
      <c r="AW140" s="111"/>
      <c r="AX140" s="111"/>
      <c r="AY140" s="111"/>
      <c r="AZ140" s="111"/>
    </row>
    <row r="141" spans="1:52" ht="15" thickBot="1" x14ac:dyDescent="0.3">
      <c r="H141" s="179"/>
      <c r="I141" s="253"/>
      <c r="J141" s="253"/>
      <c r="V141" s="54" t="s">
        <v>747</v>
      </c>
      <c r="AE141" s="343"/>
      <c r="AF141" s="343"/>
      <c r="AG141" s="343"/>
      <c r="AH141" s="343"/>
      <c r="AI141" s="343"/>
      <c r="AJ141" s="343"/>
      <c r="AK141" s="179"/>
      <c r="AL141" s="111"/>
      <c r="AM141" s="111"/>
      <c r="AN141" s="111"/>
      <c r="AO141" s="111"/>
      <c r="AP141" s="111"/>
      <c r="AQ141" s="111"/>
      <c r="AR141" s="111"/>
      <c r="AS141" s="111"/>
      <c r="AT141" s="111"/>
      <c r="AU141" s="111"/>
      <c r="AV141" s="111"/>
      <c r="AW141" s="111"/>
      <c r="AX141" s="111"/>
      <c r="AY141" s="111"/>
      <c r="AZ141" s="111"/>
    </row>
    <row r="142" spans="1:52" ht="15.6" x14ac:dyDescent="0.3">
      <c r="H142" s="179"/>
      <c r="I142" s="253"/>
      <c r="J142" s="253"/>
      <c r="K142" s="663" t="s">
        <v>755</v>
      </c>
      <c r="L142" s="677" t="s">
        <v>343</v>
      </c>
      <c r="M142" s="678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66">
        <f>HLOOKUP(TRUE,K147:S148,2,FALSE)</f>
        <v>10</v>
      </c>
      <c r="O142" s="612">
        <f>HLOOKUP(TRUE,K146:S148,3,FALSE)</f>
        <v>50</v>
      </c>
      <c r="P142" s="2170" t="s">
        <v>760</v>
      </c>
      <c r="Q142" s="2170"/>
      <c r="R142" s="2170"/>
      <c r="S142" s="2170"/>
      <c r="T142" s="692"/>
      <c r="U142" s="684"/>
      <c r="V142" s="684" t="s">
        <v>1169</v>
      </c>
      <c r="W142" s="685"/>
      <c r="X142" s="686" t="s">
        <v>748</v>
      </c>
      <c r="Y142" s="699">
        <f>_xlfn.FLOOR.MATH('цб с буртом'!M5-(S144*2),2.5)</f>
        <v>140</v>
      </c>
      <c r="Z142" s="687"/>
      <c r="AE142" s="343"/>
      <c r="AF142" s="343"/>
      <c r="AG142" s="343"/>
      <c r="AH142" s="343"/>
      <c r="AI142" s="343"/>
      <c r="AJ142" s="343"/>
      <c r="AK142" s="179"/>
      <c r="AL142" s="111"/>
      <c r="AM142" s="111"/>
      <c r="AN142" s="111"/>
      <c r="AO142" s="111"/>
      <c r="AP142" s="111"/>
      <c r="AQ142" s="111"/>
      <c r="AR142" s="111"/>
      <c r="AS142" s="111"/>
      <c r="AT142" s="111"/>
      <c r="AU142" s="111"/>
      <c r="AV142" s="111"/>
      <c r="AW142" s="111"/>
      <c r="AX142" s="111"/>
      <c r="AY142" s="111"/>
      <c r="AZ142" s="111"/>
    </row>
    <row r="143" spans="1:52" ht="17.399999999999999" x14ac:dyDescent="0.3">
      <c r="H143" s="255"/>
      <c r="I143" s="253"/>
      <c r="J143" s="253"/>
      <c r="K143" s="258" t="s">
        <v>756</v>
      </c>
      <c r="L143" s="183">
        <f>('цб с буртом'!M3-'цб с буртом'!M5)/2</f>
        <v>50</v>
      </c>
      <c r="M143" s="649" t="s">
        <v>758</v>
      </c>
      <c r="N143" s="183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300</v>
      </c>
      <c r="O143" s="183">
        <f>N143/100+1</f>
        <v>4</v>
      </c>
      <c r="P143" s="183" t="s">
        <v>761</v>
      </c>
      <c r="Q143" s="183">
        <f>IF(E157=1,HLOOKUP(N143,A161:H171,2,FALSE),IF(E157=2,HLOOKUP(N143,A175:H185,2,FALSE),HLOOKUP(N143,A190:H199,2,FALSE)))</f>
        <v>5.5</v>
      </c>
      <c r="R143" s="183" t="s">
        <v>762</v>
      </c>
      <c r="S143" s="183">
        <f>IF(M142=1,VLOOKUP(O142,A161:H171,O143,FALSE),IF(M142=2,VLOOKUP(O142,A175:H184,O143,FALSE),VLOOKUP(O142,A190:H199,O143,FALSE)))</f>
        <v>13.5</v>
      </c>
      <c r="T143" s="693"/>
      <c r="U143" s="689"/>
      <c r="V143" s="689" t="s">
        <v>1170</v>
      </c>
      <c r="W143" s="690"/>
      <c r="X143" s="688" t="s">
        <v>749</v>
      </c>
      <c r="Y143" s="700">
        <f>_xlfn.FLOOR.MATH('цб с буртом'!M5-(S143*2),2.5)</f>
        <v>122.5</v>
      </c>
      <c r="Z143" s="691"/>
      <c r="AE143" s="343"/>
      <c r="AF143" s="343"/>
      <c r="AG143" s="343"/>
      <c r="AH143" s="343"/>
      <c r="AI143" s="343"/>
      <c r="AJ143" s="343"/>
      <c r="AK143" s="179"/>
      <c r="AL143" s="111"/>
      <c r="AM143" s="111"/>
      <c r="AN143" s="111"/>
      <c r="AO143" s="111"/>
      <c r="AP143" s="111"/>
      <c r="AQ143" s="111"/>
      <c r="AR143" s="111"/>
      <c r="AS143" s="111"/>
      <c r="AT143" s="111"/>
      <c r="AU143" s="111"/>
      <c r="AV143" s="111"/>
      <c r="AW143" s="111"/>
      <c r="AX143" s="111"/>
      <c r="AY143" s="111"/>
      <c r="AZ143" s="111"/>
    </row>
    <row r="144" spans="1:52" ht="16.2" thickBot="1" x14ac:dyDescent="0.35">
      <c r="H144" s="179"/>
      <c r="I144" s="253"/>
      <c r="J144" s="253"/>
      <c r="K144" s="681" t="s">
        <v>757</v>
      </c>
      <c r="L144" s="682">
        <f>('цб с буртом'!M4-'цб с буртом'!M5)/2</f>
        <v>5</v>
      </c>
      <c r="M144" s="683" t="s">
        <v>759</v>
      </c>
      <c r="N144" s="682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200</v>
      </c>
      <c r="O144" s="682">
        <f>N144/100+1</f>
        <v>3</v>
      </c>
      <c r="P144" s="682" t="s">
        <v>761</v>
      </c>
      <c r="Q144" s="682">
        <f>IF(E157=1,HLOOKUP(N144,A161:H171,2,FALSE),IF(E157=2,HLOOKUP(N144,A175:H185,2,FALSE),HLOOKUP(N144,A190:H199,2,FALSE)))</f>
        <v>4.5</v>
      </c>
      <c r="R144" s="682" t="s">
        <v>762</v>
      </c>
      <c r="S144" s="682">
        <f>IF(M142=1,VLOOKUP(N142,A161:H171,O144,FALSE),IF(M142=2,VLOOKUP(N142,A175:H184,O144,FALSE),VLOOKUP(N142,A190:H199,O144,FALSE)))</f>
        <v>5</v>
      </c>
      <c r="T144" s="694"/>
      <c r="U144" s="695"/>
      <c r="V144" s="695" t="s">
        <v>753</v>
      </c>
      <c r="W144" s="696"/>
      <c r="X144" s="697"/>
      <c r="Y144" s="697"/>
      <c r="Z144" s="698"/>
      <c r="AE144" s="343"/>
      <c r="AF144" s="343"/>
      <c r="AG144" s="343"/>
      <c r="AH144" s="1792"/>
      <c r="AI144" s="343"/>
      <c r="AJ144" s="343"/>
      <c r="AK144" s="179"/>
      <c r="AL144" s="111"/>
      <c r="AM144" s="111"/>
      <c r="AN144" s="111"/>
      <c r="AO144" s="111"/>
      <c r="AP144" s="111"/>
      <c r="AQ144" s="111"/>
      <c r="AR144" s="111"/>
      <c r="AS144" s="111"/>
      <c r="AT144" s="111"/>
      <c r="AU144" s="111"/>
      <c r="AV144" s="111"/>
      <c r="AW144" s="111"/>
      <c r="AX144" s="111"/>
      <c r="AY144" s="111"/>
      <c r="AZ144" s="111"/>
    </row>
    <row r="145" spans="1:52" ht="14.4" x14ac:dyDescent="0.25">
      <c r="H145" s="179"/>
      <c r="I145" s="253"/>
      <c r="J145" s="253"/>
      <c r="K145" s="176"/>
      <c r="L145" s="111"/>
      <c r="M145" s="111"/>
      <c r="N145" s="111"/>
      <c r="O145" s="111"/>
      <c r="P145" s="111"/>
      <c r="Q145" s="111"/>
      <c r="R145" s="111"/>
      <c r="S145" s="111"/>
      <c r="T145" s="263" t="s">
        <v>336</v>
      </c>
      <c r="U145" s="54">
        <f>VLOOKUP(M142,I173:O175,W145,FALSE)</f>
        <v>35</v>
      </c>
      <c r="V145" s="54" t="s">
        <v>349</v>
      </c>
      <c r="W145" s="263">
        <f>HLOOKUP(TRUE,T147:Y148,2,FALSE)</f>
        <v>5</v>
      </c>
      <c r="X145" s="54" t="s">
        <v>348</v>
      </c>
      <c r="Z145" s="177">
        <f>('цб с буртом'!D21-'цб с буртом'!E21)/2</f>
        <v>62.75</v>
      </c>
      <c r="AE145" s="343"/>
      <c r="AF145" s="343"/>
      <c r="AG145" s="343"/>
      <c r="AH145" s="1792"/>
      <c r="AI145" s="343"/>
      <c r="AJ145" s="343"/>
      <c r="AK145" s="179"/>
      <c r="AL145" s="111"/>
      <c r="AM145" s="111"/>
      <c r="AN145" s="111"/>
      <c r="AO145" s="111"/>
      <c r="AP145" s="111"/>
      <c r="AQ145" s="111"/>
      <c r="AR145" s="111"/>
      <c r="AS145" s="111"/>
      <c r="AT145" s="111"/>
      <c r="AU145" s="111"/>
      <c r="AV145" s="111"/>
      <c r="AW145" s="111"/>
      <c r="AX145" s="111"/>
      <c r="AY145" s="111"/>
      <c r="AZ145" s="111"/>
    </row>
    <row r="146" spans="1:52" ht="14.4" x14ac:dyDescent="0.25">
      <c r="H146" s="179"/>
      <c r="K146" s="679" t="b">
        <f>L143&lt;=A163</f>
        <v>0</v>
      </c>
      <c r="L146" s="680" t="b">
        <f>L143&lt;=A164</f>
        <v>0</v>
      </c>
      <c r="M146" s="680" t="b">
        <f>L143&lt;=A165</f>
        <v>0</v>
      </c>
      <c r="N146" s="680" t="b">
        <f>L143&lt;=A166</f>
        <v>1</v>
      </c>
      <c r="O146" s="680" t="b">
        <f>L143&lt;=A167</f>
        <v>1</v>
      </c>
      <c r="P146" s="680" t="b">
        <f>L143&lt;=A168</f>
        <v>1</v>
      </c>
      <c r="Q146" s="680" t="b">
        <f>L143&lt;=A169</f>
        <v>1</v>
      </c>
      <c r="R146" s="680" t="b">
        <f>L143&lt;=A170</f>
        <v>1</v>
      </c>
      <c r="S146" s="680" t="b">
        <f>L143&lt;=A171</f>
        <v>1</v>
      </c>
      <c r="T146" s="263">
        <v>15</v>
      </c>
      <c r="U146" s="263">
        <v>25</v>
      </c>
      <c r="V146" s="263">
        <v>35</v>
      </c>
      <c r="W146" s="263">
        <v>60</v>
      </c>
      <c r="X146" s="263">
        <v>100</v>
      </c>
      <c r="Y146" s="263">
        <v>300</v>
      </c>
      <c r="Z146" s="177"/>
      <c r="AE146" s="343"/>
      <c r="AF146" s="1792"/>
      <c r="AG146" s="343"/>
      <c r="AH146" s="343"/>
      <c r="AI146" s="343"/>
      <c r="AJ146" s="343"/>
      <c r="AK146" s="179"/>
      <c r="AL146" s="111"/>
      <c r="AM146" s="111"/>
      <c r="AN146" s="111"/>
      <c r="AO146" s="111"/>
      <c r="AP146" s="111"/>
      <c r="AQ146" s="111"/>
      <c r="AR146" s="111"/>
      <c r="AS146" s="111"/>
      <c r="AT146" s="111"/>
      <c r="AU146" s="111"/>
      <c r="AV146" s="111"/>
      <c r="AW146" s="111"/>
      <c r="AX146" s="111"/>
      <c r="AY146" s="111"/>
      <c r="AZ146" s="111"/>
    </row>
    <row r="147" spans="1:52" ht="14.4" x14ac:dyDescent="0.25">
      <c r="H147" s="179"/>
      <c r="K147" s="679" t="b">
        <f>$L144&lt;=$A163</f>
        <v>1</v>
      </c>
      <c r="L147" s="680" t="b">
        <f>$L144&lt;=$A164</f>
        <v>1</v>
      </c>
      <c r="M147" s="680" t="b">
        <f>$L144&lt;=$A165</f>
        <v>1</v>
      </c>
      <c r="N147" s="680" t="b">
        <f>$L144&lt;=$A166</f>
        <v>1</v>
      </c>
      <c r="O147" s="680" t="b">
        <f>$L144&lt;=$A167</f>
        <v>1</v>
      </c>
      <c r="P147" s="680" t="b">
        <f>$L144&lt;=$A168</f>
        <v>1</v>
      </c>
      <c r="Q147" s="680" t="b">
        <f>$L144&lt;=$A169</f>
        <v>1</v>
      </c>
      <c r="R147" s="680" t="b">
        <f>$L144&lt;=$A170</f>
        <v>1</v>
      </c>
      <c r="S147" s="680" t="b">
        <f>$L144&lt;=$A171</f>
        <v>1</v>
      </c>
      <c r="T147" s="54" t="b">
        <f t="shared" ref="T147:Y147" si="0">T146&gt;$Z$145</f>
        <v>0</v>
      </c>
      <c r="U147" s="54" t="b">
        <f t="shared" si="0"/>
        <v>0</v>
      </c>
      <c r="V147" s="54" t="b">
        <f t="shared" si="0"/>
        <v>0</v>
      </c>
      <c r="W147" s="54" t="b">
        <f t="shared" si="0"/>
        <v>0</v>
      </c>
      <c r="X147" s="54" t="b">
        <f t="shared" si="0"/>
        <v>1</v>
      </c>
      <c r="Y147" s="54" t="b">
        <f t="shared" si="0"/>
        <v>1</v>
      </c>
      <c r="Z147" s="177"/>
      <c r="AE147" s="343"/>
      <c r="AF147" s="343"/>
      <c r="AG147" s="343"/>
      <c r="AH147" s="343"/>
      <c r="AI147" s="343"/>
      <c r="AJ147" s="343"/>
      <c r="AK147" s="179"/>
      <c r="AL147" s="111"/>
      <c r="AM147" s="111"/>
      <c r="AN147" s="111"/>
      <c r="AO147" s="111"/>
      <c r="AP147" s="111"/>
      <c r="AQ147" s="111"/>
      <c r="AR147" s="111"/>
      <c r="AS147" s="111"/>
      <c r="AT147" s="111"/>
      <c r="AU147" s="111"/>
      <c r="AV147" s="111"/>
      <c r="AW147" s="111"/>
      <c r="AX147" s="111"/>
      <c r="AY147" s="111"/>
      <c r="AZ147" s="111"/>
    </row>
    <row r="148" spans="1:52" ht="14.4" x14ac:dyDescent="0.25">
      <c r="H148" s="179"/>
      <c r="K148" s="679">
        <v>10</v>
      </c>
      <c r="L148" s="680">
        <v>20</v>
      </c>
      <c r="M148" s="680">
        <v>30</v>
      </c>
      <c r="N148" s="680">
        <v>50</v>
      </c>
      <c r="O148" s="680">
        <v>80</v>
      </c>
      <c r="P148" s="680">
        <v>120</v>
      </c>
      <c r="Q148" s="680">
        <v>150</v>
      </c>
      <c r="R148" s="680">
        <v>200</v>
      </c>
      <c r="S148" s="680">
        <v>300</v>
      </c>
      <c r="T148" s="111">
        <v>1</v>
      </c>
      <c r="U148" s="111">
        <v>2</v>
      </c>
      <c r="V148" s="111">
        <v>3</v>
      </c>
      <c r="W148" s="111">
        <v>4</v>
      </c>
      <c r="X148" s="111">
        <v>5</v>
      </c>
      <c r="Y148" s="111">
        <v>6</v>
      </c>
      <c r="Z148" s="177"/>
      <c r="AE148" s="1792"/>
      <c r="AF148" s="343"/>
      <c r="AG148" s="343"/>
      <c r="AH148" s="343"/>
      <c r="AI148" s="343"/>
      <c r="AJ148" s="343"/>
      <c r="AK148" s="179"/>
      <c r="AL148" s="111"/>
      <c r="AM148" s="111"/>
      <c r="AN148" s="111"/>
      <c r="AO148" s="111"/>
      <c r="AP148" s="111"/>
      <c r="AQ148" s="111"/>
      <c r="AR148" s="111"/>
      <c r="AS148" s="111"/>
      <c r="AT148" s="111"/>
      <c r="AU148" s="111"/>
      <c r="AV148" s="111"/>
      <c r="AW148" s="111"/>
      <c r="AX148" s="111"/>
      <c r="AY148" s="111"/>
      <c r="AZ148" s="111"/>
    </row>
    <row r="149" spans="1:52" ht="14.4" customHeight="1" x14ac:dyDescent="0.3">
      <c r="H149" s="255"/>
      <c r="K149" s="176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77"/>
      <c r="AE149" s="343"/>
      <c r="AF149" s="343"/>
      <c r="AG149" s="343"/>
      <c r="AH149" s="343"/>
      <c r="AI149" s="343"/>
      <c r="AJ149" s="343"/>
      <c r="AK149" s="179"/>
      <c r="AL149" s="111"/>
      <c r="AM149" s="111"/>
      <c r="AN149" s="111"/>
      <c r="AO149" s="111"/>
      <c r="AP149" s="111"/>
      <c r="AQ149" s="111"/>
      <c r="AR149" s="111"/>
      <c r="AS149" s="111"/>
      <c r="AT149" s="111"/>
      <c r="AU149" s="111"/>
      <c r="AV149" s="111"/>
      <c r="AW149" s="111"/>
      <c r="AX149" s="111"/>
      <c r="AY149" s="111"/>
      <c r="AZ149" s="111"/>
    </row>
    <row r="150" spans="1:52" ht="15" customHeight="1" x14ac:dyDescent="0.3">
      <c r="H150" s="255"/>
      <c r="J150" s="253"/>
      <c r="K150" s="176"/>
      <c r="L150" s="111"/>
      <c r="M150" s="269"/>
      <c r="N150" s="954"/>
      <c r="O150" s="1120"/>
      <c r="P150" s="954"/>
      <c r="Q150" s="111"/>
      <c r="R150" s="954"/>
      <c r="S150" s="111"/>
      <c r="T150" s="111"/>
      <c r="U150" s="111"/>
      <c r="V150" s="111"/>
      <c r="W150" s="111"/>
      <c r="X150" s="111"/>
      <c r="Y150" s="111"/>
      <c r="Z150" s="177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O150" s="111"/>
      <c r="AP150" s="111"/>
      <c r="AQ150" s="111"/>
      <c r="AR150" s="111"/>
      <c r="AS150" s="111"/>
      <c r="AT150" s="111"/>
      <c r="AU150" s="111"/>
      <c r="AV150" s="111"/>
      <c r="AW150" s="111"/>
      <c r="AX150" s="111"/>
      <c r="AY150" s="111"/>
      <c r="AZ150" s="111"/>
    </row>
    <row r="151" spans="1:52" ht="15" customHeight="1" x14ac:dyDescent="0.3">
      <c r="H151" s="255"/>
      <c r="J151" s="253"/>
      <c r="K151" s="176"/>
      <c r="L151" s="111"/>
      <c r="M151" s="954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77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U151" s="111"/>
      <c r="AV151" s="111"/>
      <c r="AW151" s="111"/>
      <c r="AX151" s="111"/>
      <c r="AY151" s="111"/>
      <c r="AZ151" s="111"/>
    </row>
    <row r="152" spans="1:52" ht="14.4" customHeight="1" x14ac:dyDescent="0.3">
      <c r="H152" s="255"/>
      <c r="J152" s="253"/>
      <c r="K152" s="176"/>
      <c r="L152" s="111"/>
      <c r="M152" s="111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  <c r="Z152" s="177"/>
      <c r="AE152" s="111"/>
      <c r="AF152" s="111"/>
      <c r="AG152" s="111"/>
      <c r="AH152" s="111"/>
      <c r="AI152" s="111"/>
      <c r="AJ152" s="111"/>
      <c r="AK152" s="111"/>
      <c r="AL152" s="111"/>
      <c r="AM152" s="111"/>
      <c r="AN152" s="111"/>
      <c r="AO152" s="111"/>
      <c r="AP152" s="111"/>
      <c r="AQ152" s="111"/>
      <c r="AR152" s="111"/>
      <c r="AS152" s="111"/>
      <c r="AT152" s="111"/>
      <c r="AU152" s="111"/>
      <c r="AV152" s="111"/>
      <c r="AW152" s="111"/>
      <c r="AX152" s="111"/>
      <c r="AY152" s="111"/>
      <c r="AZ152" s="111"/>
    </row>
    <row r="153" spans="1:52" x14ac:dyDescent="0.25">
      <c r="H153" s="179"/>
      <c r="J153" s="253"/>
      <c r="K153" s="708"/>
      <c r="L153" s="269"/>
      <c r="M153" s="269"/>
      <c r="N153" s="111"/>
      <c r="O153" s="111"/>
      <c r="P153" s="111"/>
      <c r="Q153" s="111"/>
      <c r="R153" s="111"/>
      <c r="S153" s="111"/>
      <c r="T153" s="111"/>
      <c r="U153" s="111"/>
      <c r="V153" s="111"/>
      <c r="W153" s="111"/>
      <c r="X153" s="111"/>
      <c r="Y153" s="111"/>
      <c r="Z153" s="177"/>
    </row>
    <row r="154" spans="1:52" ht="14.4" thickBot="1" x14ac:dyDescent="0.3">
      <c r="J154" s="253"/>
      <c r="K154" s="661"/>
      <c r="L154" s="662"/>
      <c r="M154" s="662"/>
      <c r="N154" s="662"/>
      <c r="O154" s="662"/>
      <c r="P154" s="662"/>
      <c r="Q154" s="662"/>
      <c r="R154" s="662"/>
      <c r="S154" s="250"/>
      <c r="T154" s="250"/>
      <c r="U154" s="250"/>
      <c r="V154" s="250"/>
      <c r="W154" s="250"/>
      <c r="X154" s="250"/>
      <c r="Y154" s="250"/>
      <c r="Z154" s="251"/>
    </row>
    <row r="155" spans="1:52" ht="14.4" thickBot="1" x14ac:dyDescent="0.3">
      <c r="J155" s="253"/>
      <c r="K155" s="253"/>
      <c r="L155" s="253"/>
      <c r="M155" s="253"/>
      <c r="N155" s="253"/>
      <c r="O155" s="253"/>
      <c r="P155" s="253"/>
      <c r="Q155" s="253"/>
      <c r="R155" s="253"/>
    </row>
    <row r="156" spans="1:52" x14ac:dyDescent="0.25">
      <c r="K156" s="170"/>
      <c r="L156" s="171"/>
      <c r="M156" s="171"/>
      <c r="N156" s="171"/>
      <c r="O156" s="171"/>
      <c r="P156" s="171"/>
      <c r="Q156" s="171">
        <f ca="1">(цб!N18-цб!N19)/2</f>
        <v>44</v>
      </c>
      <c r="R156" s="673" t="b">
        <v>0</v>
      </c>
      <c r="S156" s="172"/>
    </row>
    <row r="157" spans="1:52" x14ac:dyDescent="0.25">
      <c r="A157" s="260" t="s">
        <v>295</v>
      </c>
      <c r="D157" s="184" t="s">
        <v>343</v>
      </c>
      <c r="E157" s="261">
        <f>IF(OR(цб!N10=7.5,цб!N10=7.6,цб!N10=7.7,цб!N10=7.8,цб!N10=7.9,цб!N10=8,цб!N10=8.1),1,IF(цб!N10=8.5,2,3))</f>
        <v>1</v>
      </c>
      <c r="K157" s="660"/>
      <c r="L157" s="179"/>
      <c r="M157" s="179"/>
      <c r="N157" s="111"/>
      <c r="O157" s="111"/>
      <c r="P157" s="111"/>
      <c r="Q157" s="111"/>
      <c r="R157" s="111"/>
      <c r="S157" s="177"/>
    </row>
    <row r="158" spans="1:52" ht="14.4" thickBot="1" x14ac:dyDescent="0.3">
      <c r="A158" s="262" t="s">
        <v>296</v>
      </c>
      <c r="K158" s="2164" t="s">
        <v>334</v>
      </c>
      <c r="L158" s="2165"/>
      <c r="M158" s="2165"/>
      <c r="N158" s="2165"/>
      <c r="O158" s="2165"/>
      <c r="P158" s="2165"/>
      <c r="Q158" s="674"/>
      <c r="R158" s="111"/>
      <c r="S158" s="674">
        <f ca="1">IF(R156=TRUE,32,((цб!N27*0.985-2*M167)-цб!N5)/2)</f>
        <v>-87</v>
      </c>
      <c r="T158" s="179"/>
      <c r="U158" s="179"/>
      <c r="V158" s="179"/>
    </row>
    <row r="159" spans="1:52" ht="16.2" thickBot="1" x14ac:dyDescent="0.35">
      <c r="A159" s="54" t="s">
        <v>304</v>
      </c>
      <c r="K159" s="676" t="s">
        <v>335</v>
      </c>
      <c r="L159" s="674">
        <f>HLOOKUP(TRUE,K161:S162,2,FALSE)</f>
        <v>30</v>
      </c>
      <c r="M159" s="674" t="s">
        <v>338</v>
      </c>
      <c r="N159" s="674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300</v>
      </c>
      <c r="O159" s="674">
        <f>N159/100+1</f>
        <v>4</v>
      </c>
      <c r="P159" s="740" t="s">
        <v>347</v>
      </c>
      <c r="Q159" s="741">
        <f>IF(R156=TRUE,32,((цб!N4-цб!N5)/2))</f>
        <v>26</v>
      </c>
      <c r="R159" s="742"/>
      <c r="S159" s="675"/>
      <c r="T159" s="334"/>
      <c r="U159" s="334"/>
      <c r="V159" s="179"/>
    </row>
    <row r="160" spans="1:52" x14ac:dyDescent="0.25">
      <c r="A160" s="111"/>
      <c r="B160" s="111"/>
      <c r="C160" s="111"/>
      <c r="D160" s="111"/>
      <c r="E160" s="111"/>
      <c r="F160" s="111"/>
      <c r="G160" s="111"/>
      <c r="H160" s="111"/>
      <c r="K160" s="676" t="s">
        <v>337</v>
      </c>
      <c r="L160" s="674">
        <f ca="1">цб!N14</f>
        <v>1</v>
      </c>
      <c r="M160" s="674"/>
      <c r="N160" s="674"/>
      <c r="O160" s="674"/>
      <c r="P160" s="674" t="s">
        <v>348</v>
      </c>
      <c r="Q160" s="674">
        <f ca="1">IF(R156=TRUE,32,(цб!N29*0.99-цб!N19)/2)</f>
        <v>45.162499999999994</v>
      </c>
      <c r="R160" s="611"/>
      <c r="S160" s="675"/>
      <c r="T160" s="179"/>
      <c r="U160" s="179"/>
      <c r="V160" s="179"/>
    </row>
    <row r="161" spans="1:23" x14ac:dyDescent="0.25">
      <c r="A161" s="263"/>
      <c r="B161" s="264">
        <v>100</v>
      </c>
      <c r="C161" s="264">
        <v>200</v>
      </c>
      <c r="D161" s="264">
        <v>300</v>
      </c>
      <c r="E161" s="264">
        <v>400</v>
      </c>
      <c r="F161" s="264">
        <v>500</v>
      </c>
      <c r="G161" s="264">
        <v>600</v>
      </c>
      <c r="H161" s="265">
        <v>700</v>
      </c>
      <c r="K161" s="176" t="b">
        <f>Q159&lt;=A163</f>
        <v>0</v>
      </c>
      <c r="L161" s="111" t="b">
        <f>Q159&lt;=A164</f>
        <v>0</v>
      </c>
      <c r="M161" s="111" t="b">
        <f>Q159&lt;=A165</f>
        <v>1</v>
      </c>
      <c r="N161" s="111" t="b">
        <f>Q159&lt;=A166</f>
        <v>1</v>
      </c>
      <c r="O161" s="111" t="b">
        <f>Q159&lt;=A167</f>
        <v>1</v>
      </c>
      <c r="P161" s="111" t="b">
        <f>Q159&lt;=A168</f>
        <v>1</v>
      </c>
      <c r="Q161" s="111" t="b">
        <f>Q159&lt;=A169</f>
        <v>1</v>
      </c>
      <c r="R161" s="111" t="b">
        <f>Q159&lt;=A170</f>
        <v>1</v>
      </c>
      <c r="S161" s="675" t="b">
        <f>Q159&lt;=A171</f>
        <v>1</v>
      </c>
      <c r="T161" s="179"/>
      <c r="U161" s="179"/>
      <c r="V161" s="179"/>
    </row>
    <row r="162" spans="1:23" ht="14.4" thickBot="1" x14ac:dyDescent="0.3">
      <c r="A162" s="263">
        <v>0</v>
      </c>
      <c r="B162" s="264">
        <v>3.5</v>
      </c>
      <c r="C162" s="264">
        <v>4.5</v>
      </c>
      <c r="D162" s="264">
        <v>5.5</v>
      </c>
      <c r="E162" s="264">
        <v>6.5</v>
      </c>
      <c r="F162" s="264">
        <v>7.5</v>
      </c>
      <c r="G162" s="264">
        <v>10</v>
      </c>
      <c r="H162" s="265">
        <v>10</v>
      </c>
      <c r="K162" s="249">
        <v>10</v>
      </c>
      <c r="L162" s="250">
        <v>20</v>
      </c>
      <c r="M162" s="250">
        <v>30</v>
      </c>
      <c r="N162" s="250">
        <v>50</v>
      </c>
      <c r="O162" s="250">
        <v>80</v>
      </c>
      <c r="P162" s="250">
        <v>120</v>
      </c>
      <c r="Q162" s="250">
        <v>150</v>
      </c>
      <c r="R162" s="250">
        <v>200</v>
      </c>
      <c r="S162" s="251">
        <v>300</v>
      </c>
    </row>
    <row r="163" spans="1:23" x14ac:dyDescent="0.25">
      <c r="A163" s="263">
        <v>10</v>
      </c>
      <c r="B163" s="265">
        <v>4</v>
      </c>
      <c r="C163" s="264">
        <v>5</v>
      </c>
      <c r="D163" s="263">
        <v>6</v>
      </c>
      <c r="E163" s="263">
        <v>7.5</v>
      </c>
      <c r="F163" s="263">
        <v>8</v>
      </c>
      <c r="G163" s="263">
        <v>10</v>
      </c>
      <c r="H163" s="265">
        <v>10</v>
      </c>
    </row>
    <row r="164" spans="1:23" ht="14.4" thickBot="1" x14ac:dyDescent="0.3">
      <c r="A164" s="263">
        <v>20</v>
      </c>
      <c r="B164" s="264">
        <v>7</v>
      </c>
      <c r="C164" s="263">
        <v>8</v>
      </c>
      <c r="D164" s="263">
        <v>10</v>
      </c>
      <c r="E164" s="263">
        <v>11.5</v>
      </c>
      <c r="F164" s="263">
        <v>12.5</v>
      </c>
      <c r="G164" s="263">
        <v>14</v>
      </c>
      <c r="H164" s="265">
        <v>14</v>
      </c>
    </row>
    <row r="165" spans="1:23" ht="14.4" thickBot="1" x14ac:dyDescent="0.3">
      <c r="A165" s="263">
        <v>30</v>
      </c>
      <c r="B165" s="264">
        <v>10</v>
      </c>
      <c r="C165" s="264">
        <v>11</v>
      </c>
      <c r="D165" s="263">
        <v>12</v>
      </c>
      <c r="E165" s="263">
        <v>14</v>
      </c>
      <c r="F165" s="263">
        <v>15</v>
      </c>
      <c r="G165" s="263">
        <v>16.5</v>
      </c>
      <c r="H165" s="265">
        <v>16.5</v>
      </c>
      <c r="S165" s="1159" t="s">
        <v>1051</v>
      </c>
      <c r="T165" s="706"/>
      <c r="U165" s="706"/>
      <c r="V165" s="706"/>
      <c r="W165" s="742"/>
    </row>
    <row r="166" spans="1:23" x14ac:dyDescent="0.25">
      <c r="A166" s="265">
        <v>50</v>
      </c>
      <c r="B166" s="264">
        <v>13</v>
      </c>
      <c r="C166" s="264">
        <v>15</v>
      </c>
      <c r="D166" s="263">
        <v>18</v>
      </c>
      <c r="E166" s="263">
        <v>19.5</v>
      </c>
      <c r="F166" s="263">
        <v>21.5</v>
      </c>
      <c r="G166" s="263">
        <v>23</v>
      </c>
      <c r="H166" s="265">
        <v>23</v>
      </c>
      <c r="K166" s="173" t="s">
        <v>340</v>
      </c>
      <c r="L166" s="173">
        <f>IF(E157=1,HLOOKUP(N159,A161:H171,2,FALSE),IF(E157=2,HLOOKUP(N159,A175:H185,2,FALSE),HLOOKUP(N159,A190:H199,2,FALSE)))</f>
        <v>5.5</v>
      </c>
      <c r="M166" s="254" t="s">
        <v>346</v>
      </c>
      <c r="S166" s="176" t="b">
        <f ca="1">Планка!M27&lt;Данные!N233-50</f>
        <v>1</v>
      </c>
      <c r="T166" s="111">
        <v>700</v>
      </c>
      <c r="U166" s="111">
        <v>700</v>
      </c>
      <c r="V166" s="111">
        <v>350</v>
      </c>
      <c r="W166" s="177">
        <v>200</v>
      </c>
    </row>
    <row r="167" spans="1:23" x14ac:dyDescent="0.25">
      <c r="A167" s="265">
        <v>80</v>
      </c>
      <c r="B167" s="264">
        <v>13</v>
      </c>
      <c r="C167" s="264">
        <v>18</v>
      </c>
      <c r="D167" s="263">
        <v>20</v>
      </c>
      <c r="E167" s="263">
        <v>24.5</v>
      </c>
      <c r="F167" s="263">
        <v>25.5</v>
      </c>
      <c r="G167" s="263">
        <v>27</v>
      </c>
      <c r="H167" s="265">
        <v>27</v>
      </c>
      <c r="K167" s="173" t="s">
        <v>341</v>
      </c>
      <c r="L167" s="173">
        <f>IF(E157=1,VLOOKUP(L159,A161:H171,O159,FALSE),IF(E157=2,VLOOKUP(L159,A175:H184,O159,FALSE),VLOOKUP(L159,A190:H199,O159,FALSE)))</f>
        <v>12</v>
      </c>
      <c r="M167" s="254">
        <f ca="1">L167*L160</f>
        <v>12</v>
      </c>
      <c r="S167" s="176" t="b">
        <f ca="1">Планка!M28&lt;Данные!N234-50</f>
        <v>1</v>
      </c>
      <c r="T167" s="111">
        <v>1000</v>
      </c>
      <c r="U167" s="111">
        <v>700</v>
      </c>
      <c r="V167" s="111">
        <v>350</v>
      </c>
      <c r="W167" s="177">
        <v>200</v>
      </c>
    </row>
    <row r="168" spans="1:23" x14ac:dyDescent="0.25">
      <c r="A168" s="265">
        <v>120</v>
      </c>
      <c r="B168" s="264">
        <v>13</v>
      </c>
      <c r="C168" s="264">
        <v>18</v>
      </c>
      <c r="D168" s="263">
        <v>22</v>
      </c>
      <c r="E168" s="263">
        <v>27.5</v>
      </c>
      <c r="F168" s="263">
        <v>28.5</v>
      </c>
      <c r="G168" s="263">
        <v>30</v>
      </c>
      <c r="H168" s="265">
        <v>30</v>
      </c>
      <c r="S168" s="176" t="b">
        <f>Планка!M29&lt;Данные!N235-50</f>
        <v>1</v>
      </c>
      <c r="T168" s="111">
        <v>1150</v>
      </c>
      <c r="U168" s="111">
        <v>1350</v>
      </c>
      <c r="V168" s="111">
        <v>500</v>
      </c>
      <c r="W168" s="177">
        <v>320</v>
      </c>
    </row>
    <row r="169" spans="1:23" x14ac:dyDescent="0.25">
      <c r="A169" s="265">
        <v>150</v>
      </c>
      <c r="B169" s="264">
        <v>13</v>
      </c>
      <c r="C169" s="264">
        <v>18</v>
      </c>
      <c r="D169" s="263">
        <v>24.5</v>
      </c>
      <c r="E169" s="263">
        <v>27.5</v>
      </c>
      <c r="F169" s="263">
        <v>28.5</v>
      </c>
      <c r="G169" s="265">
        <v>30</v>
      </c>
      <c r="H169" s="265">
        <v>32.5</v>
      </c>
      <c r="J169" s="263" t="s">
        <v>336</v>
      </c>
      <c r="K169" s="54">
        <f ca="1">VLOOKUP(E157,I173:O175,M169,FALSE)</f>
        <v>45</v>
      </c>
      <c r="L169" s="54" t="s">
        <v>349</v>
      </c>
      <c r="M169" s="263">
        <f ca="1">HLOOKUP(TRUE,J171:O172,2,FALSE)</f>
        <v>5</v>
      </c>
      <c r="S169" s="176" t="b">
        <f>Планка!M30&lt;P244-50</f>
        <v>1</v>
      </c>
      <c r="T169" s="111">
        <v>1400</v>
      </c>
      <c r="U169" s="111">
        <v>2000</v>
      </c>
      <c r="V169" s="111">
        <v>500</v>
      </c>
      <c r="W169" s="177">
        <v>330</v>
      </c>
    </row>
    <row r="170" spans="1:23" x14ac:dyDescent="0.25">
      <c r="A170" s="265">
        <v>200</v>
      </c>
      <c r="B170" s="264">
        <v>13</v>
      </c>
      <c r="C170" s="264">
        <v>18</v>
      </c>
      <c r="D170" s="263">
        <v>24.5</v>
      </c>
      <c r="E170" s="263">
        <v>27.5</v>
      </c>
      <c r="F170" s="263">
        <v>28.5</v>
      </c>
      <c r="G170" s="265">
        <v>30</v>
      </c>
      <c r="H170" s="265">
        <v>32.5</v>
      </c>
      <c r="J170" s="263">
        <v>15</v>
      </c>
      <c r="K170" s="263">
        <v>25</v>
      </c>
      <c r="L170" s="263">
        <v>35</v>
      </c>
      <c r="M170" s="263">
        <v>60</v>
      </c>
      <c r="N170" s="263">
        <v>100</v>
      </c>
      <c r="O170" s="263">
        <v>300</v>
      </c>
      <c r="S170" s="176"/>
      <c r="T170" s="111"/>
      <c r="U170" s="111"/>
      <c r="V170" s="111"/>
      <c r="W170" s="177"/>
    </row>
    <row r="171" spans="1:23" x14ac:dyDescent="0.25">
      <c r="A171" s="265">
        <v>300</v>
      </c>
      <c r="B171" s="264">
        <v>13</v>
      </c>
      <c r="C171" s="264">
        <v>18</v>
      </c>
      <c r="D171" s="263">
        <v>24.5</v>
      </c>
      <c r="E171" s="263">
        <v>27.5</v>
      </c>
      <c r="F171" s="263">
        <v>28.5</v>
      </c>
      <c r="G171" s="265">
        <v>30</v>
      </c>
      <c r="H171" s="265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1</v>
      </c>
      <c r="N171" s="54" t="b">
        <f t="shared" ca="1" si="1"/>
        <v>1</v>
      </c>
      <c r="O171" s="54" t="b">
        <f t="shared" ca="1" si="1"/>
        <v>1</v>
      </c>
      <c r="S171" s="176">
        <f ca="1">VLOOKUP(TRUE,S166:W169,2,0)</f>
        <v>700</v>
      </c>
      <c r="T171" s="111">
        <f ca="1">VLOOKUP(TRUE,S166:W169,3,0)</f>
        <v>700</v>
      </c>
      <c r="U171" s="111">
        <f ca="1">VLOOKUP(TRUE,S166:W169,5,0)</f>
        <v>200</v>
      </c>
      <c r="V171" s="111"/>
      <c r="W171" s="177"/>
    </row>
    <row r="172" spans="1:23" x14ac:dyDescent="0.25">
      <c r="A172" s="111"/>
      <c r="B172" s="111"/>
      <c r="C172" s="111"/>
      <c r="D172" s="111"/>
      <c r="E172" s="111"/>
      <c r="F172" s="111"/>
      <c r="G172" s="111"/>
      <c r="H172" s="111"/>
      <c r="J172" s="263">
        <v>2</v>
      </c>
      <c r="K172" s="263">
        <v>3</v>
      </c>
      <c r="L172" s="263">
        <v>4</v>
      </c>
      <c r="M172" s="263">
        <v>5</v>
      </c>
      <c r="N172" s="263">
        <v>6</v>
      </c>
      <c r="O172" s="263">
        <v>7</v>
      </c>
      <c r="S172" s="176">
        <f ca="1">VLOOKUP(TRUE,S166:W169,4,0)</f>
        <v>350</v>
      </c>
      <c r="T172" s="111">
        <f ca="1">INT((Планка!M21+Планка!M28)/Данные!S172)+W172</f>
        <v>0</v>
      </c>
      <c r="U172" s="111" t="s">
        <v>1052</v>
      </c>
      <c r="V172" s="111">
        <f ca="1">Планка!M21+Планка!M28-S172*T172</f>
        <v>252</v>
      </c>
      <c r="W172" s="177">
        <f ca="1">IF(R137=TRUE,1,IF(V172&gt;200,1,0))</f>
        <v>1</v>
      </c>
    </row>
    <row r="173" spans="1:23" x14ac:dyDescent="0.25">
      <c r="A173" s="54" t="s">
        <v>339</v>
      </c>
      <c r="H173" s="111"/>
      <c r="I173" s="54">
        <v>1</v>
      </c>
      <c r="J173" s="263">
        <v>25</v>
      </c>
      <c r="K173" s="263">
        <v>32</v>
      </c>
      <c r="L173" s="263">
        <v>37</v>
      </c>
      <c r="M173" s="263">
        <v>45</v>
      </c>
      <c r="N173" s="263">
        <v>55</v>
      </c>
      <c r="O173" s="263">
        <v>60</v>
      </c>
      <c r="S173" s="176"/>
      <c r="T173" s="111"/>
      <c r="U173" s="111"/>
      <c r="V173" s="111"/>
      <c r="W173" s="177"/>
    </row>
    <row r="174" spans="1:23" x14ac:dyDescent="0.25">
      <c r="A174" s="265"/>
      <c r="B174" s="265"/>
      <c r="C174" s="265"/>
      <c r="D174" s="265"/>
      <c r="E174" s="265"/>
      <c r="F174" s="265"/>
      <c r="G174" s="265"/>
      <c r="H174" s="265"/>
      <c r="I174" s="54">
        <v>2</v>
      </c>
      <c r="J174" s="263">
        <v>20</v>
      </c>
      <c r="K174" s="263">
        <v>28</v>
      </c>
      <c r="L174" s="263">
        <v>32</v>
      </c>
      <c r="M174" s="263">
        <v>40</v>
      </c>
      <c r="N174" s="263">
        <v>45</v>
      </c>
      <c r="O174" s="263">
        <v>50</v>
      </c>
      <c r="S174" s="176"/>
      <c r="T174" s="111"/>
      <c r="U174" s="111"/>
      <c r="V174" s="111"/>
      <c r="W174" s="177"/>
    </row>
    <row r="175" spans="1:23" ht="14.4" thickBot="1" x14ac:dyDescent="0.3">
      <c r="A175" s="263"/>
      <c r="B175" s="264">
        <v>100</v>
      </c>
      <c r="C175" s="264">
        <v>200</v>
      </c>
      <c r="D175" s="264">
        <v>300</v>
      </c>
      <c r="E175" s="264">
        <v>400</v>
      </c>
      <c r="F175" s="264">
        <v>500</v>
      </c>
      <c r="G175" s="264">
        <v>600</v>
      </c>
      <c r="H175" s="263">
        <v>700</v>
      </c>
      <c r="I175" s="54">
        <v>3</v>
      </c>
      <c r="J175" s="263">
        <v>20</v>
      </c>
      <c r="K175" s="263">
        <v>25</v>
      </c>
      <c r="L175" s="263">
        <v>30</v>
      </c>
      <c r="M175" s="263">
        <v>35</v>
      </c>
      <c r="N175" s="263">
        <v>40</v>
      </c>
      <c r="O175" s="263">
        <v>45</v>
      </c>
      <c r="S175" s="249"/>
      <c r="T175" s="250"/>
      <c r="U175" s="250"/>
      <c r="V175" s="250"/>
      <c r="W175" s="251">
        <f ca="1">T172+W172</f>
        <v>1</v>
      </c>
    </row>
    <row r="176" spans="1:23" x14ac:dyDescent="0.25">
      <c r="A176" s="263">
        <v>0</v>
      </c>
      <c r="B176" s="264">
        <v>3.5</v>
      </c>
      <c r="C176" s="264">
        <v>4.5</v>
      </c>
      <c r="D176" s="264">
        <v>5.5</v>
      </c>
      <c r="E176" s="264">
        <v>6.5</v>
      </c>
      <c r="F176" s="264">
        <v>7.5</v>
      </c>
      <c r="G176" s="264">
        <v>10</v>
      </c>
      <c r="H176" s="263">
        <v>10</v>
      </c>
      <c r="J176" s="253"/>
      <c r="K176" s="253"/>
      <c r="L176" s="253"/>
      <c r="M176" s="253"/>
      <c r="N176" s="253"/>
      <c r="O176" s="253"/>
    </row>
    <row r="177" spans="1:26" ht="14.4" thickBot="1" x14ac:dyDescent="0.3">
      <c r="A177" s="263">
        <v>10</v>
      </c>
      <c r="B177" s="265">
        <v>4</v>
      </c>
      <c r="C177" s="264">
        <v>5</v>
      </c>
      <c r="D177" s="263">
        <v>6</v>
      </c>
      <c r="E177" s="263">
        <v>7.5</v>
      </c>
      <c r="F177" s="263">
        <v>8.5</v>
      </c>
      <c r="G177" s="263">
        <v>10</v>
      </c>
      <c r="H177" s="263">
        <v>10</v>
      </c>
      <c r="J177" s="253"/>
      <c r="K177" s="253"/>
      <c r="L177" s="253"/>
      <c r="M177" s="253"/>
      <c r="N177" s="253"/>
      <c r="O177" s="253"/>
    </row>
    <row r="178" spans="1:26" ht="14.4" thickBot="1" x14ac:dyDescent="0.3">
      <c r="A178" s="263">
        <v>20</v>
      </c>
      <c r="B178" s="264">
        <v>6.5</v>
      </c>
      <c r="C178" s="263">
        <v>7.5</v>
      </c>
      <c r="D178" s="263">
        <v>10.5</v>
      </c>
      <c r="E178" s="263">
        <v>10.5</v>
      </c>
      <c r="F178" s="263">
        <v>11.5</v>
      </c>
      <c r="G178" s="263">
        <v>13</v>
      </c>
      <c r="H178" s="263">
        <v>13</v>
      </c>
      <c r="J178" s="253"/>
      <c r="S178" s="1159" t="s">
        <v>1072</v>
      </c>
      <c r="T178" s="706"/>
      <c r="U178" s="742"/>
      <c r="V178" s="171"/>
      <c r="W178" s="171"/>
      <c r="X178" s="171"/>
      <c r="Y178" s="171"/>
      <c r="Z178" s="172"/>
    </row>
    <row r="179" spans="1:26" x14ac:dyDescent="0.25">
      <c r="A179" s="263">
        <v>30</v>
      </c>
      <c r="B179" s="264">
        <v>8.5</v>
      </c>
      <c r="C179" s="264">
        <v>9.5</v>
      </c>
      <c r="D179" s="263">
        <v>10.5</v>
      </c>
      <c r="E179" s="263">
        <v>12.5</v>
      </c>
      <c r="F179" s="263">
        <v>13.5</v>
      </c>
      <c r="G179" s="263">
        <v>15</v>
      </c>
      <c r="H179" s="263">
        <v>15</v>
      </c>
      <c r="K179" s="262"/>
      <c r="L179" s="262" t="s">
        <v>345</v>
      </c>
      <c r="M179" s="262">
        <f>VLOOKUP(TRUE,Данные!J183:Q193,O179,FALSE)</f>
        <v>8</v>
      </c>
      <c r="N179" s="262" t="s">
        <v>752</v>
      </c>
      <c r="O179" s="262">
        <f>HLOOKUP(TRUE,L181:Q182,2,FALSE)+1</f>
        <v>4</v>
      </c>
      <c r="P179" s="262"/>
      <c r="S179" s="176" t="s">
        <v>296</v>
      </c>
      <c r="T179" s="111"/>
      <c r="U179" s="111"/>
      <c r="V179" s="111"/>
      <c r="W179" s="111"/>
      <c r="X179" s="111"/>
      <c r="Y179" s="111"/>
      <c r="Z179" s="177"/>
    </row>
    <row r="180" spans="1:26" x14ac:dyDescent="0.25">
      <c r="A180" s="265">
        <v>50</v>
      </c>
      <c r="B180" s="264">
        <v>8.5</v>
      </c>
      <c r="C180" s="264">
        <v>13</v>
      </c>
      <c r="D180" s="263">
        <v>15</v>
      </c>
      <c r="E180" s="263">
        <v>17.5</v>
      </c>
      <c r="F180" s="263">
        <v>19.5</v>
      </c>
      <c r="G180" s="263">
        <v>21</v>
      </c>
      <c r="H180" s="263">
        <v>21</v>
      </c>
      <c r="K180" s="262"/>
      <c r="L180" s="262">
        <v>15</v>
      </c>
      <c r="M180" s="262">
        <v>30</v>
      </c>
      <c r="N180" s="262">
        <v>45</v>
      </c>
      <c r="O180" s="262">
        <v>75</v>
      </c>
      <c r="P180" s="262">
        <v>100</v>
      </c>
      <c r="Q180" s="262">
        <v>300</v>
      </c>
      <c r="S180" s="176" t="s">
        <v>1073</v>
      </c>
      <c r="T180" s="611">
        <f>IF(Втулка!R64&gt;1200,0.73,1)</f>
        <v>1</v>
      </c>
      <c r="U180" s="111"/>
      <c r="V180" s="111"/>
      <c r="W180" s="111"/>
      <c r="X180" s="111"/>
      <c r="Y180" s="111"/>
      <c r="Z180" s="177"/>
    </row>
    <row r="181" spans="1:26" x14ac:dyDescent="0.25">
      <c r="A181" s="265">
        <v>80</v>
      </c>
      <c r="B181" s="264">
        <v>8.5</v>
      </c>
      <c r="C181" s="264">
        <v>13</v>
      </c>
      <c r="D181" s="263">
        <v>17.5</v>
      </c>
      <c r="E181" s="263">
        <v>21</v>
      </c>
      <c r="F181" s="263">
        <v>22</v>
      </c>
      <c r="G181" s="263">
        <v>23.5</v>
      </c>
      <c r="H181" s="263">
        <v>23.5</v>
      </c>
      <c r="K181" s="254"/>
      <c r="L181" s="266" t="b">
        <f t="shared" ref="L181:Q181" si="2">$Q159&lt;L180</f>
        <v>0</v>
      </c>
      <c r="M181" s="266" t="b">
        <f t="shared" si="2"/>
        <v>1</v>
      </c>
      <c r="N181" s="266" t="b">
        <f t="shared" si="2"/>
        <v>1</v>
      </c>
      <c r="O181" s="266" t="b">
        <f t="shared" si="2"/>
        <v>1</v>
      </c>
      <c r="P181" s="266" t="b">
        <f t="shared" si="2"/>
        <v>1</v>
      </c>
      <c r="Q181" s="266" t="b">
        <f t="shared" si="2"/>
        <v>1</v>
      </c>
      <c r="S181" s="176"/>
      <c r="T181" s="111"/>
      <c r="U181" s="111"/>
      <c r="V181" s="111"/>
      <c r="W181" s="111"/>
      <c r="X181" s="111"/>
      <c r="Y181" s="111"/>
      <c r="Z181" s="177"/>
    </row>
    <row r="182" spans="1:26" x14ac:dyDescent="0.25">
      <c r="A182" s="265">
        <v>120</v>
      </c>
      <c r="B182" s="264">
        <v>8.5</v>
      </c>
      <c r="C182" s="264">
        <v>13</v>
      </c>
      <c r="D182" s="263">
        <v>18.5</v>
      </c>
      <c r="E182" s="263">
        <v>23.5</v>
      </c>
      <c r="F182" s="263">
        <v>24.5</v>
      </c>
      <c r="G182" s="263">
        <v>26</v>
      </c>
      <c r="H182" s="263">
        <v>26</v>
      </c>
      <c r="K182" s="263">
        <v>1</v>
      </c>
      <c r="L182" s="263">
        <v>2</v>
      </c>
      <c r="M182" s="263">
        <v>3</v>
      </c>
      <c r="N182" s="263">
        <v>4</v>
      </c>
      <c r="O182" s="263">
        <v>5</v>
      </c>
      <c r="P182" s="263">
        <v>6</v>
      </c>
      <c r="Q182" s="263">
        <v>7</v>
      </c>
      <c r="S182" s="176"/>
      <c r="T182" s="111"/>
      <c r="U182" s="111"/>
      <c r="V182" s="111"/>
      <c r="W182" s="111"/>
      <c r="X182" s="111"/>
      <c r="Y182" s="111"/>
      <c r="Z182" s="177"/>
    </row>
    <row r="183" spans="1:26" x14ac:dyDescent="0.25">
      <c r="A183" s="265">
        <v>150</v>
      </c>
      <c r="B183" s="264">
        <v>8.5</v>
      </c>
      <c r="C183" s="264">
        <v>13</v>
      </c>
      <c r="D183" s="263">
        <v>18.5</v>
      </c>
      <c r="E183" s="263">
        <v>23.5</v>
      </c>
      <c r="F183" s="263">
        <v>24.5</v>
      </c>
      <c r="G183" s="265">
        <v>28</v>
      </c>
      <c r="H183" s="263">
        <v>28</v>
      </c>
      <c r="J183" s="54" t="b">
        <f>цб!$N$4&lt;=Данные!K183</f>
        <v>0</v>
      </c>
      <c r="K183" s="263">
        <v>100</v>
      </c>
      <c r="L183" s="263">
        <v>6</v>
      </c>
      <c r="M183" s="263">
        <v>8</v>
      </c>
      <c r="N183" s="263">
        <v>10</v>
      </c>
      <c r="O183" s="263">
        <v>12</v>
      </c>
      <c r="P183" s="263">
        <v>12</v>
      </c>
      <c r="Q183" s="263">
        <v>14</v>
      </c>
      <c r="S183" s="176"/>
      <c r="T183" s="111"/>
      <c r="U183" s="111"/>
      <c r="V183" s="111"/>
      <c r="W183" s="111"/>
      <c r="X183" s="111"/>
      <c r="Y183" s="111"/>
      <c r="Z183" s="177"/>
    </row>
    <row r="184" spans="1:26" x14ac:dyDescent="0.25">
      <c r="A184" s="265">
        <v>200</v>
      </c>
      <c r="B184" s="264">
        <v>8.5</v>
      </c>
      <c r="C184" s="264">
        <v>13</v>
      </c>
      <c r="D184" s="263">
        <v>18.5</v>
      </c>
      <c r="E184" s="263">
        <v>23.5</v>
      </c>
      <c r="F184" s="263">
        <v>24.5</v>
      </c>
      <c r="G184" s="265">
        <v>28</v>
      </c>
      <c r="H184" s="263">
        <v>28</v>
      </c>
      <c r="J184" s="54" t="b">
        <f>цб!$N$4&lt;=Данные!K184</f>
        <v>0</v>
      </c>
      <c r="K184" s="263">
        <v>150</v>
      </c>
      <c r="L184" s="263">
        <v>6</v>
      </c>
      <c r="M184" s="263">
        <v>8</v>
      </c>
      <c r="N184" s="263">
        <v>10</v>
      </c>
      <c r="O184" s="263">
        <v>12</v>
      </c>
      <c r="P184" s="263">
        <v>12</v>
      </c>
      <c r="Q184" s="263">
        <v>14</v>
      </c>
      <c r="S184" s="176"/>
      <c r="T184" s="111"/>
      <c r="U184" s="111"/>
      <c r="V184" s="111"/>
      <c r="W184" s="111"/>
      <c r="X184" s="111"/>
      <c r="Y184" s="111"/>
      <c r="Z184" s="177"/>
    </row>
    <row r="185" spans="1:26" x14ac:dyDescent="0.25">
      <c r="A185" s="265"/>
      <c r="B185" s="264"/>
      <c r="C185" s="264"/>
      <c r="D185" s="263"/>
      <c r="E185" s="263"/>
      <c r="F185" s="263"/>
      <c r="G185" s="265"/>
      <c r="H185" s="263"/>
      <c r="J185" s="54" t="b">
        <f>цб!$N$4&lt;=Данные!K185</f>
        <v>0</v>
      </c>
      <c r="K185" s="263">
        <v>200</v>
      </c>
      <c r="L185" s="263">
        <v>6</v>
      </c>
      <c r="M185" s="263">
        <v>8</v>
      </c>
      <c r="N185" s="263">
        <v>10</v>
      </c>
      <c r="O185" s="263">
        <v>12</v>
      </c>
      <c r="P185" s="263">
        <v>12</v>
      </c>
      <c r="Q185" s="263">
        <v>14</v>
      </c>
      <c r="S185" s="176"/>
      <c r="T185" s="111"/>
      <c r="U185" s="111"/>
      <c r="V185" s="111"/>
      <c r="W185" s="111"/>
      <c r="X185" s="111"/>
      <c r="Y185" s="111"/>
      <c r="Z185" s="177"/>
    </row>
    <row r="186" spans="1:26" x14ac:dyDescent="0.25">
      <c r="A186" s="179"/>
      <c r="J186" s="54" t="b">
        <f>цб!$N$4&lt;=Данные!K186</f>
        <v>1</v>
      </c>
      <c r="K186" s="263">
        <v>250</v>
      </c>
      <c r="L186" s="263">
        <v>6</v>
      </c>
      <c r="M186" s="263">
        <v>8</v>
      </c>
      <c r="N186" s="263">
        <v>10</v>
      </c>
      <c r="O186" s="263">
        <v>12</v>
      </c>
      <c r="P186" s="263">
        <v>12</v>
      </c>
      <c r="Q186" s="263">
        <v>14</v>
      </c>
      <c r="S186" s="176"/>
      <c r="T186" s="111"/>
      <c r="U186" s="111"/>
      <c r="V186" s="111"/>
      <c r="W186" s="111"/>
      <c r="X186" s="111"/>
      <c r="Y186" s="111"/>
      <c r="Z186" s="177"/>
    </row>
    <row r="187" spans="1:26" x14ac:dyDescent="0.25">
      <c r="A187" s="179"/>
      <c r="J187" s="54" t="b">
        <f>цб!$N$4&lt;=Данные!K187</f>
        <v>1</v>
      </c>
      <c r="K187" s="263">
        <v>300</v>
      </c>
      <c r="L187" s="263">
        <v>6</v>
      </c>
      <c r="M187" s="263">
        <v>8</v>
      </c>
      <c r="N187" s="263">
        <v>10</v>
      </c>
      <c r="O187" s="263">
        <v>12</v>
      </c>
      <c r="P187" s="263">
        <v>14</v>
      </c>
      <c r="Q187" s="263">
        <v>14</v>
      </c>
      <c r="S187" s="176"/>
      <c r="T187" s="111"/>
      <c r="U187" s="111"/>
      <c r="V187" s="111"/>
      <c r="W187" s="111"/>
      <c r="X187" s="111"/>
      <c r="Y187" s="111"/>
      <c r="Z187" s="177"/>
    </row>
    <row r="188" spans="1:26" x14ac:dyDescent="0.25">
      <c r="A188" s="54" t="s">
        <v>342</v>
      </c>
      <c r="J188" s="54" t="b">
        <f>цб!$N$4&lt;=Данные!K188</f>
        <v>1</v>
      </c>
      <c r="K188" s="263">
        <v>350</v>
      </c>
      <c r="L188" s="263">
        <v>6</v>
      </c>
      <c r="M188" s="263">
        <v>8</v>
      </c>
      <c r="N188" s="263">
        <v>10</v>
      </c>
      <c r="O188" s="263">
        <v>12</v>
      </c>
      <c r="P188" s="263">
        <v>14</v>
      </c>
      <c r="Q188" s="263">
        <v>14</v>
      </c>
      <c r="S188" s="176"/>
      <c r="T188" s="111"/>
      <c r="U188" s="111"/>
      <c r="V188" s="111"/>
      <c r="W188" s="111"/>
      <c r="X188" s="111"/>
      <c r="Y188" s="111"/>
      <c r="Z188" s="177"/>
    </row>
    <row r="189" spans="1:26" x14ac:dyDescent="0.25">
      <c r="A189" s="265"/>
      <c r="B189" s="265"/>
      <c r="C189" s="265"/>
      <c r="D189" s="265"/>
      <c r="E189" s="265"/>
      <c r="F189" s="265"/>
      <c r="G189" s="265"/>
      <c r="H189" s="263"/>
      <c r="J189" s="54" t="b">
        <f>цб!$N$4&lt;=Данные!K189</f>
        <v>1</v>
      </c>
      <c r="K189" s="263">
        <v>400</v>
      </c>
      <c r="L189" s="263">
        <v>6</v>
      </c>
      <c r="M189" s="263">
        <v>10</v>
      </c>
      <c r="N189" s="263">
        <v>10</v>
      </c>
      <c r="O189" s="263">
        <v>12</v>
      </c>
      <c r="P189" s="263">
        <v>14</v>
      </c>
      <c r="Q189" s="263">
        <v>14</v>
      </c>
      <c r="S189" s="176"/>
      <c r="T189" s="111"/>
      <c r="U189" s="111"/>
      <c r="V189" s="111"/>
      <c r="W189" s="111"/>
      <c r="X189" s="111"/>
      <c r="Y189" s="111"/>
      <c r="Z189" s="177"/>
    </row>
    <row r="190" spans="1:26" x14ac:dyDescent="0.25">
      <c r="A190" s="263"/>
      <c r="B190" s="264">
        <v>100</v>
      </c>
      <c r="C190" s="264">
        <v>200</v>
      </c>
      <c r="D190" s="264">
        <v>300</v>
      </c>
      <c r="E190" s="264">
        <v>400</v>
      </c>
      <c r="F190" s="264">
        <v>500</v>
      </c>
      <c r="G190" s="264">
        <v>600</v>
      </c>
      <c r="H190" s="263">
        <v>700</v>
      </c>
      <c r="J190" s="54" t="b">
        <f>цб!$N$4&lt;=Данные!K190</f>
        <v>1</v>
      </c>
      <c r="K190" s="263">
        <v>600</v>
      </c>
      <c r="L190" s="263">
        <v>10</v>
      </c>
      <c r="M190" s="263">
        <v>10</v>
      </c>
      <c r="N190" s="263">
        <v>12</v>
      </c>
      <c r="O190" s="263">
        <v>14</v>
      </c>
      <c r="P190" s="263">
        <v>14</v>
      </c>
      <c r="Q190" s="263">
        <v>14</v>
      </c>
      <c r="S190" s="176"/>
      <c r="T190" s="111"/>
      <c r="U190" s="111"/>
      <c r="V190" s="111"/>
      <c r="W190" s="111"/>
      <c r="X190" s="111"/>
      <c r="Y190" s="111"/>
      <c r="Z190" s="177"/>
    </row>
    <row r="191" spans="1:26" x14ac:dyDescent="0.25">
      <c r="A191" s="263">
        <v>0</v>
      </c>
      <c r="B191" s="264">
        <v>3.5</v>
      </c>
      <c r="C191" s="264">
        <v>4.5</v>
      </c>
      <c r="D191" s="264">
        <v>5.5</v>
      </c>
      <c r="E191" s="264">
        <v>6.5</v>
      </c>
      <c r="F191" s="264">
        <v>7.5</v>
      </c>
      <c r="G191" s="264">
        <v>10</v>
      </c>
      <c r="H191" s="263">
        <v>10</v>
      </c>
      <c r="J191" s="54" t="b">
        <f>цб!$N$4&lt;=Данные!K191</f>
        <v>1</v>
      </c>
      <c r="K191" s="264">
        <v>800</v>
      </c>
      <c r="L191" s="264">
        <v>12</v>
      </c>
      <c r="M191" s="264">
        <v>12</v>
      </c>
      <c r="N191" s="264">
        <v>15</v>
      </c>
      <c r="O191" s="264">
        <v>17</v>
      </c>
      <c r="P191" s="264">
        <v>17</v>
      </c>
      <c r="Q191" s="264">
        <v>17</v>
      </c>
      <c r="S191" s="176"/>
      <c r="T191" s="111"/>
      <c r="U191" s="111"/>
      <c r="V191" s="111"/>
      <c r="W191" s="111"/>
      <c r="X191" s="111"/>
      <c r="Y191" s="111"/>
      <c r="Z191" s="177"/>
    </row>
    <row r="192" spans="1:26" x14ac:dyDescent="0.25">
      <c r="A192" s="263">
        <v>10</v>
      </c>
      <c r="B192" s="265">
        <v>4</v>
      </c>
      <c r="C192" s="264">
        <v>5</v>
      </c>
      <c r="D192" s="263">
        <v>6</v>
      </c>
      <c r="E192" s="263">
        <v>7.5</v>
      </c>
      <c r="F192" s="263">
        <v>8.5</v>
      </c>
      <c r="G192" s="263">
        <v>10</v>
      </c>
      <c r="H192" s="263">
        <v>10</v>
      </c>
      <c r="J192" s="54" t="b">
        <f>цб!$N$4&lt;=Данные!K192</f>
        <v>1</v>
      </c>
      <c r="K192" s="264">
        <v>1200</v>
      </c>
      <c r="L192" s="264">
        <v>16</v>
      </c>
      <c r="M192" s="264">
        <v>16</v>
      </c>
      <c r="N192" s="264">
        <v>18</v>
      </c>
      <c r="O192" s="264">
        <v>20</v>
      </c>
      <c r="P192" s="264">
        <v>20</v>
      </c>
      <c r="Q192" s="264">
        <v>20</v>
      </c>
      <c r="S192" s="176"/>
      <c r="T192" s="111"/>
      <c r="U192" s="111"/>
      <c r="V192" s="111"/>
      <c r="W192" s="111"/>
      <c r="X192" s="111"/>
      <c r="Y192" s="111"/>
      <c r="Z192" s="177"/>
    </row>
    <row r="193" spans="1:27" ht="14.4" thickBot="1" x14ac:dyDescent="0.3">
      <c r="A193" s="263">
        <v>20</v>
      </c>
      <c r="B193" s="264">
        <v>5.5</v>
      </c>
      <c r="C193" s="263">
        <v>6.5</v>
      </c>
      <c r="D193" s="263">
        <v>7.5</v>
      </c>
      <c r="E193" s="263">
        <v>10</v>
      </c>
      <c r="F193" s="263">
        <v>11</v>
      </c>
      <c r="G193" s="263">
        <v>12.5</v>
      </c>
      <c r="H193" s="263">
        <v>15</v>
      </c>
      <c r="J193" s="54" t="b">
        <f>цб!$N$4&lt;=Данные!K193</f>
        <v>1</v>
      </c>
      <c r="K193" s="263">
        <v>1500</v>
      </c>
      <c r="L193" s="263">
        <v>20</v>
      </c>
      <c r="M193" s="263">
        <v>20</v>
      </c>
      <c r="N193" s="263">
        <v>25</v>
      </c>
      <c r="O193" s="263">
        <v>25</v>
      </c>
      <c r="P193" s="263">
        <v>25</v>
      </c>
      <c r="Q193" s="263">
        <v>25</v>
      </c>
      <c r="S193" s="249"/>
      <c r="T193" s="250"/>
      <c r="U193" s="250"/>
      <c r="V193" s="250"/>
      <c r="W193" s="250"/>
      <c r="X193" s="250"/>
      <c r="Y193" s="250"/>
      <c r="Z193" s="251"/>
    </row>
    <row r="194" spans="1:27" ht="14.4" thickBot="1" x14ac:dyDescent="0.3">
      <c r="A194" s="263">
        <v>30</v>
      </c>
      <c r="B194" s="264">
        <v>7.5</v>
      </c>
      <c r="C194" s="264">
        <v>8.5</v>
      </c>
      <c r="D194" s="263">
        <v>9.5</v>
      </c>
      <c r="E194" s="263">
        <v>11.5</v>
      </c>
      <c r="F194" s="263">
        <v>12.5</v>
      </c>
      <c r="G194" s="263">
        <v>14</v>
      </c>
      <c r="H194" s="263">
        <v>14</v>
      </c>
    </row>
    <row r="195" spans="1:27" x14ac:dyDescent="0.25">
      <c r="A195" s="265">
        <v>50</v>
      </c>
      <c r="B195" s="264">
        <v>7.5</v>
      </c>
      <c r="C195" s="264">
        <v>11</v>
      </c>
      <c r="D195" s="263">
        <v>13.5</v>
      </c>
      <c r="E195" s="263">
        <v>15</v>
      </c>
      <c r="F195" s="263">
        <v>16.5</v>
      </c>
      <c r="G195" s="263">
        <v>18</v>
      </c>
      <c r="H195" s="263">
        <v>18</v>
      </c>
      <c r="J195" s="253"/>
      <c r="K195" s="253"/>
      <c r="L195" s="253"/>
      <c r="M195" s="975" t="s">
        <v>939</v>
      </c>
      <c r="N195" s="976"/>
      <c r="O195" s="976" t="s">
        <v>1129</v>
      </c>
      <c r="P195" s="976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2"/>
    </row>
    <row r="196" spans="1:27" ht="14.4" thickBot="1" x14ac:dyDescent="0.3">
      <c r="A196" s="265">
        <v>80</v>
      </c>
      <c r="B196" s="264">
        <v>7.5</v>
      </c>
      <c r="C196" s="263">
        <v>15</v>
      </c>
      <c r="D196" s="263">
        <v>14.5</v>
      </c>
      <c r="E196" s="263">
        <v>18</v>
      </c>
      <c r="F196" s="263">
        <v>19</v>
      </c>
      <c r="G196" s="263">
        <v>20.5</v>
      </c>
      <c r="H196" s="263">
        <v>20.5</v>
      </c>
      <c r="J196" s="253"/>
      <c r="K196" s="253"/>
      <c r="L196" s="253"/>
      <c r="M196" s="176"/>
      <c r="N196" s="111"/>
      <c r="O196" s="111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177"/>
    </row>
    <row r="197" spans="1:27" ht="14.4" thickBot="1" x14ac:dyDescent="0.3">
      <c r="A197" s="265">
        <v>120</v>
      </c>
      <c r="B197" s="264">
        <v>7.5</v>
      </c>
      <c r="C197" s="263">
        <v>15</v>
      </c>
      <c r="D197" s="263">
        <v>16</v>
      </c>
      <c r="E197" s="263">
        <v>19.5</v>
      </c>
      <c r="F197" s="263">
        <v>20.5</v>
      </c>
      <c r="G197" s="263">
        <v>30</v>
      </c>
      <c r="H197" s="263">
        <v>30</v>
      </c>
      <c r="J197" s="253"/>
      <c r="K197" s="253"/>
      <c r="L197" s="253"/>
      <c r="M197" s="971" t="s">
        <v>940</v>
      </c>
      <c r="N197" s="972">
        <f>Бандаж!P5</f>
        <v>240</v>
      </c>
      <c r="O197" s="973" t="s">
        <v>288</v>
      </c>
      <c r="P197" s="972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972" t="s">
        <v>242</v>
      </c>
      <c r="R197" s="974">
        <f>ROUND(VLOOKUP(P197,Q5:V22,6,FALSE),0)</f>
        <v>3</v>
      </c>
      <c r="S197" s="111"/>
      <c r="T197" s="111"/>
      <c r="U197" s="111"/>
      <c r="V197" s="111"/>
      <c r="W197" s="111"/>
      <c r="X197" s="111"/>
      <c r="Y197" s="111"/>
      <c r="Z197" s="111"/>
      <c r="AA197" s="177"/>
    </row>
    <row r="198" spans="1:27" x14ac:dyDescent="0.25">
      <c r="A198" s="265">
        <v>150</v>
      </c>
      <c r="B198" s="264">
        <v>7.5</v>
      </c>
      <c r="C198" s="263">
        <v>15</v>
      </c>
      <c r="D198" s="263">
        <v>16</v>
      </c>
      <c r="E198" s="263">
        <v>19.5</v>
      </c>
      <c r="F198" s="263">
        <v>20.5</v>
      </c>
      <c r="G198" s="265">
        <v>32.5</v>
      </c>
      <c r="H198" s="263">
        <v>32.5</v>
      </c>
      <c r="J198" s="253"/>
      <c r="K198" s="253"/>
      <c r="L198" s="253"/>
      <c r="M198" s="1059" t="s">
        <v>941</v>
      </c>
      <c r="N198" s="1060">
        <f>ROUND(Кольцо!J18/0.985,0)</f>
        <v>101</v>
      </c>
      <c r="O198" s="1061" t="s">
        <v>288</v>
      </c>
      <c r="P198" s="106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60" t="s">
        <v>242</v>
      </c>
      <c r="R198" s="1062">
        <f>ROUND(VLOOKUP(P198,Q5:V22,6,FALSE),0)</f>
        <v>3</v>
      </c>
      <c r="S198" s="111"/>
      <c r="T198" s="111"/>
      <c r="U198" s="111"/>
      <c r="V198" s="111"/>
      <c r="W198" s="111"/>
      <c r="X198" s="111"/>
      <c r="Y198" s="111"/>
      <c r="Z198" s="111"/>
      <c r="AA198" s="177"/>
    </row>
    <row r="199" spans="1:27" x14ac:dyDescent="0.25">
      <c r="A199" s="263">
        <v>200</v>
      </c>
      <c r="B199" s="264">
        <v>7.5</v>
      </c>
      <c r="C199" s="263">
        <v>15</v>
      </c>
      <c r="D199" s="263">
        <v>16</v>
      </c>
      <c r="E199" s="263">
        <v>19.5</v>
      </c>
      <c r="F199" s="263">
        <v>20.5</v>
      </c>
      <c r="G199" s="263">
        <v>32.5</v>
      </c>
      <c r="H199" s="263">
        <v>32.5</v>
      </c>
      <c r="J199" s="253"/>
      <c r="K199" s="253"/>
      <c r="L199" s="253"/>
      <c r="M199" s="1063" t="s">
        <v>963</v>
      </c>
      <c r="N199" s="1064">
        <f>Болваны!G26</f>
        <v>433.4</v>
      </c>
      <c r="O199" s="239" t="s">
        <v>288</v>
      </c>
      <c r="P199" s="106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63" t="s">
        <v>242</v>
      </c>
      <c r="R199" s="1063">
        <f>VLOOKUP(P199,Q5:V22,4,FALSE)</f>
        <v>3</v>
      </c>
      <c r="S199" s="111"/>
      <c r="T199" s="111"/>
      <c r="U199" s="111"/>
      <c r="V199" s="111"/>
      <c r="W199" s="111"/>
      <c r="X199" s="111"/>
      <c r="Y199" s="111"/>
      <c r="Z199" s="111"/>
      <c r="AA199" s="177"/>
    </row>
    <row r="200" spans="1:27" x14ac:dyDescent="0.25">
      <c r="M200" s="176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77"/>
    </row>
    <row r="201" spans="1:27" ht="14.4" thickBot="1" x14ac:dyDescent="0.3">
      <c r="A201" s="267"/>
      <c r="B201" s="268"/>
      <c r="C201" s="267"/>
      <c r="M201" s="54" t="s">
        <v>1130</v>
      </c>
      <c r="N201" s="184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242.04.461-4</v>
      </c>
      <c r="P201" s="54" t="s">
        <v>1131</v>
      </c>
      <c r="Q201" s="54">
        <f>Бандаж!I9+Бандаж!I10</f>
        <v>2393</v>
      </c>
      <c r="V201" s="111"/>
      <c r="W201" s="111"/>
      <c r="X201" s="111"/>
      <c r="Y201" s="111"/>
      <c r="Z201" s="111"/>
      <c r="AA201" s="177"/>
    </row>
    <row r="202" spans="1:27" ht="16.2" thickBot="1" x14ac:dyDescent="0.35">
      <c r="A202" s="1161"/>
      <c r="B202" s="1162"/>
      <c r="C202" s="707"/>
      <c r="D202" s="171"/>
      <c r="E202" s="171"/>
      <c r="F202" s="171"/>
      <c r="G202" s="171"/>
      <c r="H202" s="171"/>
      <c r="I202" s="171"/>
      <c r="J202" s="171"/>
      <c r="K202" s="172"/>
      <c r="M202" s="200" t="s">
        <v>189</v>
      </c>
      <c r="N202" s="201"/>
      <c r="O202" s="202" t="s">
        <v>190</v>
      </c>
      <c r="P202" s="201"/>
      <c r="Q202" s="202" t="s">
        <v>138</v>
      </c>
      <c r="R202" s="203"/>
      <c r="S202" s="201"/>
      <c r="T202" s="227" t="s">
        <v>175</v>
      </c>
      <c r="U202" s="204" t="s">
        <v>191</v>
      </c>
      <c r="V202" s="111"/>
      <c r="W202" s="111"/>
      <c r="X202" s="111"/>
      <c r="Y202" s="111"/>
      <c r="Z202" s="111"/>
      <c r="AA202" s="177"/>
    </row>
    <row r="203" spans="1:27" ht="15.6" thickBot="1" x14ac:dyDescent="0.3">
      <c r="A203" s="1163" t="s">
        <v>763</v>
      </c>
      <c r="B203" s="701"/>
      <c r="C203" s="701"/>
      <c r="D203" s="954" t="s">
        <v>343</v>
      </c>
      <c r="E203" s="1120">
        <f>IF(AND(Втулка!O9&gt;=7.5,Втулка!O9&lt;=8.5),2,1)</f>
        <v>1</v>
      </c>
      <c r="F203" s="954" t="s">
        <v>768</v>
      </c>
      <c r="G203" s="111">
        <f ca="1">HLOOKUP(TRUE,A231:J233,2,FALSE)</f>
        <v>1000</v>
      </c>
      <c r="H203" s="954" t="s">
        <v>349</v>
      </c>
      <c r="I203" s="111">
        <f ca="1">HLOOKUP(TRUE,A234:J236,3,FALSE)</f>
        <v>8</v>
      </c>
      <c r="J203" s="744" t="s">
        <v>831</v>
      </c>
      <c r="K203" s="742" t="b">
        <v>0</v>
      </c>
      <c r="M203" s="850" t="s">
        <v>192</v>
      </c>
      <c r="N203" s="207"/>
      <c r="O203" s="208" t="s">
        <v>139</v>
      </c>
      <c r="P203" s="208"/>
      <c r="Q203" s="208" t="s">
        <v>167</v>
      </c>
      <c r="R203" s="209"/>
      <c r="S203" s="208"/>
      <c r="T203" s="228" t="s">
        <v>168</v>
      </c>
      <c r="U203" s="229"/>
      <c r="V203" s="111"/>
      <c r="W203" s="111"/>
      <c r="X203" s="111"/>
      <c r="Y203" s="111"/>
      <c r="Z203" s="111"/>
      <c r="AA203" s="177"/>
    </row>
    <row r="204" spans="1:27" ht="15.6" customHeight="1" thickBot="1" x14ac:dyDescent="0.3">
      <c r="A204" s="176" t="s">
        <v>766</v>
      </c>
      <c r="B204" s="111">
        <f ca="1">Втулка!O25</f>
        <v>993</v>
      </c>
      <c r="C204" s="954" t="s">
        <v>769</v>
      </c>
      <c r="D204" s="111" t="str">
        <f ca="1">(IF(AND(Втулка!O9&gt;=7.5,Втулка!O9&lt;=8.5),VLOOKUP(G203,A220:K229,I203,0),VLOOKUP(G203,A208:K217,I203,0)))</f>
        <v>9 10 9</v>
      </c>
      <c r="E204" s="703" t="s">
        <v>770</v>
      </c>
      <c r="F204" s="704" t="s">
        <v>771</v>
      </c>
      <c r="G204" s="705" t="s">
        <v>772</v>
      </c>
      <c r="H204" s="111"/>
      <c r="I204" s="111"/>
      <c r="J204" s="111"/>
      <c r="K204" s="177"/>
      <c r="M204" s="851">
        <f>VLOOKUP(O201,A83:K87,6,FALSE)</f>
        <v>70</v>
      </c>
      <c r="N204" s="848">
        <f>IF(M205=0,M204,M205)</f>
        <v>70</v>
      </c>
      <c r="O204" s="213">
        <f>VLOOKUP(O201,A83:K87,3,FALSE)</f>
        <v>60</v>
      </c>
      <c r="P204" s="209"/>
      <c r="Q204" s="213">
        <f>VLOOKUP(O201,A83:K87,7,FALSE)</f>
        <v>65</v>
      </c>
      <c r="R204" s="209"/>
      <c r="S204" s="208"/>
      <c r="T204" s="230">
        <f>VLOOKUP(O201,A83:K87,10,FALSE)</f>
        <v>120</v>
      </c>
      <c r="U204" s="229"/>
      <c r="V204" s="111"/>
      <c r="W204" s="111"/>
      <c r="X204" s="111"/>
      <c r="Y204" s="111"/>
      <c r="Z204" s="111"/>
      <c r="AA204" s="177"/>
    </row>
    <row r="205" spans="1:27" ht="15.6" customHeight="1" thickBot="1" x14ac:dyDescent="0.3">
      <c r="A205" s="176" t="s">
        <v>767</v>
      </c>
      <c r="B205" s="111">
        <f ca="1">IF(K203=TRUE,500,Втулка!O27)</f>
        <v>775</v>
      </c>
      <c r="C205" s="111"/>
      <c r="D205" s="111"/>
      <c r="E205" s="702" t="str">
        <f ca="1">LEFT(D204,SEARCH(" ",D204,1))</f>
        <v xml:space="preserve">9 </v>
      </c>
      <c r="F205" s="706" t="str">
        <f ca="1">LEFT(F206,SEARCH(" ",F206,2))</f>
        <v xml:space="preserve">10 </v>
      </c>
      <c r="G205" s="702" t="str">
        <f ca="1">RIGHT(F206,SEARCH(" ",D204,1))</f>
        <v xml:space="preserve"> 9</v>
      </c>
      <c r="H205" s="111"/>
      <c r="I205" s="111"/>
      <c r="J205" s="179"/>
      <c r="K205" s="177"/>
      <c r="M205" s="852"/>
      <c r="N205" s="849"/>
      <c r="O205" s="208" t="s">
        <v>140</v>
      </c>
      <c r="P205" s="208"/>
      <c r="Q205" s="208" t="s">
        <v>168</v>
      </c>
      <c r="R205" s="209"/>
      <c r="S205" s="208"/>
      <c r="T205" s="228" t="s">
        <v>141</v>
      </c>
      <c r="U205" s="229"/>
      <c r="V205" s="111"/>
      <c r="W205" s="111"/>
      <c r="X205" s="111"/>
      <c r="Y205" s="111"/>
      <c r="Z205" s="111"/>
      <c r="AA205" s="177"/>
    </row>
    <row r="206" spans="1:27" ht="16.2" thickBot="1" x14ac:dyDescent="0.35">
      <c r="A206" s="1164" t="s">
        <v>764</v>
      </c>
      <c r="B206" s="1165"/>
      <c r="C206" s="1165"/>
      <c r="D206" s="250"/>
      <c r="E206" s="250"/>
      <c r="F206" s="702" t="str">
        <f ca="1">RIGHT(D204,LEN(D204)-SEARCH("",D204,2))</f>
        <v>10 9</v>
      </c>
      <c r="G206" s="250"/>
      <c r="H206" s="250"/>
      <c r="I206" s="250"/>
      <c r="J206" s="250"/>
      <c r="K206" s="251"/>
      <c r="M206" s="854" t="s">
        <v>79</v>
      </c>
      <c r="N206" s="207"/>
      <c r="O206" s="213">
        <f>VLOOKUP(O201,A83:K87,4,FALSE)</f>
        <v>50</v>
      </c>
      <c r="P206" s="215">
        <f>(O204+O206)/2</f>
        <v>55</v>
      </c>
      <c r="Q206" s="213">
        <f>VLOOKUP(O201,A83:K87,8,FALSE)</f>
        <v>55</v>
      </c>
      <c r="R206" s="208">
        <f>(Q204+Q206)/2</f>
        <v>60</v>
      </c>
      <c r="S206" s="209"/>
      <c r="T206" s="230">
        <f>VLOOKUP(O201,A83:K87,11,FALSE)</f>
        <v>100</v>
      </c>
      <c r="U206" s="229"/>
      <c r="V206" s="111"/>
      <c r="W206" s="111"/>
      <c r="X206" s="111"/>
      <c r="Y206" s="111"/>
      <c r="Z206" s="111"/>
      <c r="AA206" s="177"/>
    </row>
    <row r="207" spans="1:27" ht="15" x14ac:dyDescent="0.25">
      <c r="A207" s="170"/>
      <c r="B207" s="707">
        <v>50</v>
      </c>
      <c r="C207" s="707">
        <v>100</v>
      </c>
      <c r="D207" s="171">
        <v>200</v>
      </c>
      <c r="E207" s="171">
        <v>300</v>
      </c>
      <c r="F207" s="171">
        <v>400</v>
      </c>
      <c r="G207" s="171">
        <v>600</v>
      </c>
      <c r="H207" s="171">
        <v>800</v>
      </c>
      <c r="I207" s="171">
        <v>1200</v>
      </c>
      <c r="J207" s="171">
        <v>1500</v>
      </c>
      <c r="K207" s="172">
        <v>2000</v>
      </c>
      <c r="M207" s="851">
        <f>Бандаж!P12+Бандаж!P15</f>
        <v>558</v>
      </c>
      <c r="N207" s="848">
        <f>IF(M208=0,M207,M208)</f>
        <v>558</v>
      </c>
      <c r="O207" s="208" t="s">
        <v>141</v>
      </c>
      <c r="P207" s="208"/>
      <c r="Q207" s="208" t="s">
        <v>141</v>
      </c>
      <c r="R207" s="208"/>
      <c r="S207" s="209"/>
      <c r="T207" s="231" t="s">
        <v>208</v>
      </c>
      <c r="U207" s="229"/>
      <c r="V207" s="111"/>
      <c r="W207" s="111"/>
      <c r="X207" s="111"/>
      <c r="Y207" s="111"/>
      <c r="Z207" s="111"/>
      <c r="AA207" s="177"/>
    </row>
    <row r="208" spans="1:27" ht="16.2" thickBot="1" x14ac:dyDescent="0.35">
      <c r="A208" s="708">
        <v>100</v>
      </c>
      <c r="B208" s="269" t="s">
        <v>774</v>
      </c>
      <c r="C208" s="269" t="s">
        <v>774</v>
      </c>
      <c r="D208" s="111" t="s">
        <v>998</v>
      </c>
      <c r="E208" s="111" t="s">
        <v>784</v>
      </c>
      <c r="F208" s="111" t="s">
        <v>1023</v>
      </c>
      <c r="G208" s="111" t="s">
        <v>1024</v>
      </c>
      <c r="H208" s="111" t="s">
        <v>773</v>
      </c>
      <c r="I208" s="111" t="s">
        <v>1013</v>
      </c>
      <c r="J208" s="111" t="s">
        <v>1025</v>
      </c>
      <c r="K208" s="177" t="s">
        <v>1026</v>
      </c>
      <c r="M208" s="852"/>
      <c r="N208" s="853">
        <f>Бандаж!P8</f>
        <v>7.5</v>
      </c>
      <c r="O208" s="213">
        <f>VLOOKUP(O201,A83:K87,5,FALSE)</f>
        <v>55</v>
      </c>
      <c r="P208" s="215">
        <f>O208</f>
        <v>55</v>
      </c>
      <c r="Q208" s="213">
        <f>VLOOKUP(O201,A83:K87,9,FALSE)</f>
        <v>65</v>
      </c>
      <c r="R208" s="208">
        <f>Q208</f>
        <v>65</v>
      </c>
      <c r="S208" s="209"/>
      <c r="T208" s="209">
        <f>(T204*T204*3.1415926*T206*N208/4000000)*2</f>
        <v>16.964600040000004</v>
      </c>
      <c r="U208" s="229"/>
      <c r="V208" s="111"/>
      <c r="W208" s="111"/>
      <c r="X208" s="111"/>
      <c r="Y208" s="111"/>
      <c r="Z208" s="111"/>
      <c r="AA208" s="177"/>
    </row>
    <row r="209" spans="1:27" ht="15.6" x14ac:dyDescent="0.3">
      <c r="A209" s="708">
        <v>200</v>
      </c>
      <c r="B209" s="269" t="s">
        <v>778</v>
      </c>
      <c r="C209" s="269" t="s">
        <v>778</v>
      </c>
      <c r="D209" s="111" t="s">
        <v>779</v>
      </c>
      <c r="E209" s="111" t="s">
        <v>784</v>
      </c>
      <c r="F209" s="111" t="s">
        <v>1023</v>
      </c>
      <c r="G209" s="111" t="s">
        <v>1024</v>
      </c>
      <c r="H209" s="111" t="s">
        <v>792</v>
      </c>
      <c r="I209" s="111" t="s">
        <v>786</v>
      </c>
      <c r="J209" s="111" t="s">
        <v>1027</v>
      </c>
      <c r="K209" s="177" t="s">
        <v>1028</v>
      </c>
      <c r="M209" s="855"/>
      <c r="N209" s="218">
        <f>N204*N204*3.1415926*N207*N208/4000000</f>
        <v>16.105767162975003</v>
      </c>
      <c r="O209" s="219" t="s">
        <v>79</v>
      </c>
      <c r="P209" s="208"/>
      <c r="Q209" s="219" t="s">
        <v>194</v>
      </c>
      <c r="R209" s="208"/>
      <c r="S209" s="209"/>
      <c r="T209" s="209"/>
      <c r="U209" s="229"/>
      <c r="V209" s="111"/>
      <c r="W209" s="111"/>
      <c r="X209" s="111"/>
      <c r="Y209" s="111"/>
      <c r="Z209" s="111"/>
      <c r="AA209" s="177"/>
    </row>
    <row r="210" spans="1:27" ht="15.6" x14ac:dyDescent="0.3">
      <c r="A210" s="708">
        <v>300</v>
      </c>
      <c r="B210" s="269" t="s">
        <v>778</v>
      </c>
      <c r="C210" s="269" t="s">
        <v>780</v>
      </c>
      <c r="D210" s="111" t="s">
        <v>779</v>
      </c>
      <c r="E210" s="111" t="s">
        <v>781</v>
      </c>
      <c r="F210" s="111" t="s">
        <v>999</v>
      </c>
      <c r="G210" s="111" t="s">
        <v>1013</v>
      </c>
      <c r="H210" s="111" t="s">
        <v>1025</v>
      </c>
      <c r="I210" s="111" t="s">
        <v>1026</v>
      </c>
      <c r="J210" s="111" t="s">
        <v>1029</v>
      </c>
      <c r="K210" s="177" t="s">
        <v>1030</v>
      </c>
      <c r="M210" s="214"/>
      <c r="N210" s="208"/>
      <c r="O210" s="213">
        <v>100</v>
      </c>
      <c r="P210" s="215">
        <f>O210</f>
        <v>100</v>
      </c>
      <c r="Q210" s="213">
        <f>Бандаж!R3</f>
        <v>1626</v>
      </c>
      <c r="R210" s="220">
        <f>3.1415926*Q213</f>
        <v>5925.0436436</v>
      </c>
      <c r="S210" s="209"/>
      <c r="T210" s="209"/>
      <c r="U210" s="229"/>
      <c r="V210" s="111"/>
      <c r="W210" s="111"/>
      <c r="X210" s="111"/>
      <c r="Y210" s="111"/>
      <c r="Z210" s="111"/>
      <c r="AA210" s="177"/>
    </row>
    <row r="211" spans="1:27" ht="15" x14ac:dyDescent="0.25">
      <c r="A211" s="708">
        <v>400</v>
      </c>
      <c r="B211" s="269" t="s">
        <v>779</v>
      </c>
      <c r="C211" s="269" t="s">
        <v>779</v>
      </c>
      <c r="D211" s="111" t="s">
        <v>782</v>
      </c>
      <c r="E211" s="111" t="s">
        <v>781</v>
      </c>
      <c r="F211" s="111" t="s">
        <v>785</v>
      </c>
      <c r="G211" s="111" t="s">
        <v>773</v>
      </c>
      <c r="H211" s="111" t="s">
        <v>788</v>
      </c>
      <c r="I211" s="111" t="s">
        <v>1014</v>
      </c>
      <c r="J211" s="111" t="s">
        <v>1031</v>
      </c>
      <c r="K211" s="177" t="s">
        <v>1032</v>
      </c>
      <c r="M211" s="214"/>
      <c r="N211" s="209"/>
      <c r="O211" s="219" t="s">
        <v>163</v>
      </c>
      <c r="P211" s="208"/>
      <c r="Q211" s="219" t="s">
        <v>1127</v>
      </c>
      <c r="R211" s="208"/>
      <c r="S211" s="219" t="s">
        <v>196</v>
      </c>
      <c r="T211" s="209"/>
      <c r="U211" s="229"/>
      <c r="V211" s="111"/>
      <c r="W211" s="111"/>
      <c r="X211" s="111"/>
      <c r="Y211" s="111"/>
      <c r="Z211" s="111"/>
      <c r="AA211" s="177"/>
    </row>
    <row r="212" spans="1:27" ht="15.6" x14ac:dyDescent="0.3">
      <c r="A212" s="708">
        <v>600</v>
      </c>
      <c r="B212" s="269" t="s">
        <v>782</v>
      </c>
      <c r="C212" s="269" t="s">
        <v>784</v>
      </c>
      <c r="D212" s="111" t="s">
        <v>785</v>
      </c>
      <c r="E212" s="111" t="s">
        <v>785</v>
      </c>
      <c r="F212" s="111" t="s">
        <v>787</v>
      </c>
      <c r="G212" s="111" t="s">
        <v>773</v>
      </c>
      <c r="H212" s="111" t="s">
        <v>1014</v>
      </c>
      <c r="I212" s="111" t="s">
        <v>777</v>
      </c>
      <c r="J212" s="111" t="s">
        <v>803</v>
      </c>
      <c r="K212" s="177" t="s">
        <v>1033</v>
      </c>
      <c r="M212" s="214"/>
      <c r="N212" s="209"/>
      <c r="O212" s="213">
        <f>VLOOKUP(O201,A83:K87,2,FALSE)</f>
        <v>6</v>
      </c>
      <c r="P212" s="215">
        <f>O212</f>
        <v>6</v>
      </c>
      <c r="Q212" s="219" t="s">
        <v>197</v>
      </c>
      <c r="R212" s="208"/>
      <c r="S212" s="213">
        <v>140</v>
      </c>
      <c r="T212" s="209"/>
      <c r="U212" s="229"/>
      <c r="V212" s="111"/>
      <c r="W212" s="111"/>
      <c r="X212" s="111"/>
      <c r="Y212" s="111"/>
      <c r="Z212" s="111"/>
      <c r="AA212" s="177"/>
    </row>
    <row r="213" spans="1:27" ht="15" x14ac:dyDescent="0.25">
      <c r="A213" s="708">
        <v>800</v>
      </c>
      <c r="B213" s="269" t="s">
        <v>782</v>
      </c>
      <c r="C213" s="269" t="s">
        <v>784</v>
      </c>
      <c r="D213" s="111" t="s">
        <v>785</v>
      </c>
      <c r="E213" s="111" t="s">
        <v>787</v>
      </c>
      <c r="F213" s="111" t="s">
        <v>773</v>
      </c>
      <c r="G213" s="111" t="s">
        <v>792</v>
      </c>
      <c r="H213" s="111" t="s">
        <v>1164</v>
      </c>
      <c r="I213" s="111" t="s">
        <v>777</v>
      </c>
      <c r="J213" s="736" t="s">
        <v>791</v>
      </c>
      <c r="K213" s="1222" t="s">
        <v>791</v>
      </c>
      <c r="M213" s="214"/>
      <c r="N213" s="209"/>
      <c r="O213" s="209"/>
      <c r="P213" s="216">
        <f>N208</f>
        <v>7.5</v>
      </c>
      <c r="Q213" s="208">
        <f>Q210+O210*2+R206</f>
        <v>1886</v>
      </c>
      <c r="R213" s="216">
        <f>N208</f>
        <v>7.5</v>
      </c>
      <c r="S213" s="208" t="s">
        <v>198</v>
      </c>
      <c r="T213" s="209"/>
      <c r="U213" s="229"/>
      <c r="V213" s="111"/>
      <c r="W213" s="111"/>
      <c r="X213" s="111"/>
      <c r="Y213" s="111"/>
      <c r="Z213" s="111"/>
      <c r="AA213" s="177"/>
    </row>
    <row r="214" spans="1:27" ht="16.2" thickBot="1" x14ac:dyDescent="0.35">
      <c r="A214" s="708">
        <v>1000</v>
      </c>
      <c r="B214" s="269" t="s">
        <v>783</v>
      </c>
      <c r="C214" s="269" t="s">
        <v>773</v>
      </c>
      <c r="D214" s="111" t="s">
        <v>786</v>
      </c>
      <c r="E214" s="111" t="s">
        <v>788</v>
      </c>
      <c r="F214" s="111" t="s">
        <v>788</v>
      </c>
      <c r="G214" s="111" t="s">
        <v>775</v>
      </c>
      <c r="H214" s="111" t="s">
        <v>775</v>
      </c>
      <c r="I214" s="111" t="s">
        <v>777</v>
      </c>
      <c r="J214" s="736" t="s">
        <v>791</v>
      </c>
      <c r="K214" s="1222" t="s">
        <v>791</v>
      </c>
      <c r="M214" s="221"/>
      <c r="N214" s="222"/>
      <c r="O214" s="222"/>
      <c r="P214" s="223">
        <f>P206*P208*P210*P212*P213/1000000</f>
        <v>13.612500000000001</v>
      </c>
      <c r="Q214" s="222"/>
      <c r="R214" s="224">
        <f>R206*R208*R210*R213/1000000</f>
        <v>173.30752657530002</v>
      </c>
      <c r="S214" s="223">
        <f>R214/360*S212</f>
        <v>67.397371445950014</v>
      </c>
      <c r="T214" s="232"/>
      <c r="U214" s="225">
        <f>N209+P214+S214+T208</f>
        <v>114.08023864892503</v>
      </c>
      <c r="V214" s="111"/>
      <c r="W214" s="111"/>
      <c r="X214" s="111"/>
      <c r="Y214" s="111"/>
      <c r="Z214" s="111"/>
      <c r="AA214" s="177"/>
    </row>
    <row r="215" spans="1:27" x14ac:dyDescent="0.25">
      <c r="A215" s="708">
        <v>1500</v>
      </c>
      <c r="B215" s="269" t="s">
        <v>775</v>
      </c>
      <c r="C215" s="269" t="s">
        <v>775</v>
      </c>
      <c r="D215" s="111" t="s">
        <v>777</v>
      </c>
      <c r="E215" s="111" t="s">
        <v>789</v>
      </c>
      <c r="F215" s="111" t="s">
        <v>789</v>
      </c>
      <c r="G215" s="111" t="s">
        <v>790</v>
      </c>
      <c r="H215" s="111" t="s">
        <v>790</v>
      </c>
      <c r="I215" s="111" t="s">
        <v>791</v>
      </c>
      <c r="J215" s="111" t="s">
        <v>828</v>
      </c>
      <c r="K215" s="177" t="s">
        <v>823</v>
      </c>
      <c r="M215" s="176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77"/>
    </row>
    <row r="216" spans="1:27" x14ac:dyDescent="0.25">
      <c r="A216" s="708">
        <v>2000</v>
      </c>
      <c r="B216" s="269" t="s">
        <v>775</v>
      </c>
      <c r="C216" s="269" t="s">
        <v>775</v>
      </c>
      <c r="D216" s="111" t="s">
        <v>777</v>
      </c>
      <c r="E216" s="111" t="s">
        <v>790</v>
      </c>
      <c r="F216" s="111" t="s">
        <v>791</v>
      </c>
      <c r="G216" s="111" t="s">
        <v>776</v>
      </c>
      <c r="H216" s="111" t="s">
        <v>776</v>
      </c>
      <c r="I216" s="111" t="s">
        <v>793</v>
      </c>
      <c r="J216" s="111" t="s">
        <v>829</v>
      </c>
      <c r="K216" s="177" t="s">
        <v>823</v>
      </c>
      <c r="M216" s="176"/>
      <c r="N216" s="111"/>
      <c r="O216" s="111"/>
      <c r="P216" s="111"/>
      <c r="Q216" s="111">
        <f>Q213*3.1415926/360*140</f>
        <v>2304.1836391777779</v>
      </c>
      <c r="R216" s="111"/>
      <c r="S216" s="111"/>
      <c r="T216" s="111"/>
      <c r="U216" s="111"/>
      <c r="V216" s="111"/>
      <c r="W216" s="111"/>
      <c r="X216" s="111"/>
      <c r="Y216" s="111"/>
      <c r="Z216" s="111"/>
      <c r="AA216" s="177"/>
    </row>
    <row r="217" spans="1:27" ht="14.4" thickBot="1" x14ac:dyDescent="0.3">
      <c r="A217" s="709">
        <v>2500</v>
      </c>
      <c r="B217" s="250" t="s">
        <v>791</v>
      </c>
      <c r="C217" s="250" t="s">
        <v>776</v>
      </c>
      <c r="D217" s="250" t="s">
        <v>776</v>
      </c>
      <c r="E217" s="250" t="s">
        <v>793</v>
      </c>
      <c r="F217" s="250" t="s">
        <v>801</v>
      </c>
      <c r="G217" s="250" t="s">
        <v>822</v>
      </c>
      <c r="H217" s="250" t="s">
        <v>822</v>
      </c>
      <c r="I217" s="250" t="s">
        <v>822</v>
      </c>
      <c r="J217" s="250" t="s">
        <v>823</v>
      </c>
      <c r="K217" s="251" t="s">
        <v>823</v>
      </c>
      <c r="M217" s="176"/>
      <c r="N217" s="111"/>
      <c r="O217" s="111"/>
      <c r="P217" s="111"/>
      <c r="Q217" s="111"/>
      <c r="R217" s="180">
        <f>Q216*R206*R208*R213/1000000</f>
        <v>67.39737144595</v>
      </c>
      <c r="S217" s="111"/>
      <c r="T217" s="111"/>
      <c r="U217" s="111"/>
      <c r="V217" s="111"/>
      <c r="W217" s="111"/>
      <c r="X217" s="111"/>
      <c r="Y217" s="111"/>
      <c r="Z217" s="111"/>
      <c r="AA217" s="177"/>
    </row>
    <row r="218" spans="1:27" ht="14.4" thickBot="1" x14ac:dyDescent="0.3">
      <c r="A218" s="267" t="s">
        <v>765</v>
      </c>
      <c r="B218" s="269"/>
      <c r="C218" s="267"/>
      <c r="M218" s="176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77"/>
    </row>
    <row r="219" spans="1:27" x14ac:dyDescent="0.25">
      <c r="A219" s="170"/>
      <c r="B219" s="707">
        <v>50</v>
      </c>
      <c r="C219" s="707">
        <v>100</v>
      </c>
      <c r="D219" s="171">
        <v>200</v>
      </c>
      <c r="E219" s="171">
        <v>300</v>
      </c>
      <c r="F219" s="171">
        <v>400</v>
      </c>
      <c r="G219" s="171">
        <v>600</v>
      </c>
      <c r="H219" s="171">
        <v>800</v>
      </c>
      <c r="I219" s="171">
        <v>1200</v>
      </c>
      <c r="J219" s="171">
        <v>1500</v>
      </c>
      <c r="K219" s="172">
        <v>2000</v>
      </c>
      <c r="M219" s="176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77"/>
    </row>
    <row r="220" spans="1:27" x14ac:dyDescent="0.25">
      <c r="A220" s="708">
        <v>100</v>
      </c>
      <c r="B220" s="269" t="s">
        <v>821</v>
      </c>
      <c r="C220" s="269" t="s">
        <v>821</v>
      </c>
      <c r="D220" s="269" t="s">
        <v>821</v>
      </c>
      <c r="E220" s="269" t="s">
        <v>821</v>
      </c>
      <c r="F220" s="269" t="s">
        <v>821</v>
      </c>
      <c r="G220" s="269" t="s">
        <v>821</v>
      </c>
      <c r="H220" s="269" t="s">
        <v>821</v>
      </c>
      <c r="I220" s="269" t="s">
        <v>821</v>
      </c>
      <c r="J220" s="269" t="s">
        <v>821</v>
      </c>
      <c r="K220" s="1220" t="s">
        <v>821</v>
      </c>
      <c r="M220" s="176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77"/>
    </row>
    <row r="221" spans="1:27" x14ac:dyDescent="0.25">
      <c r="A221" s="708">
        <v>200</v>
      </c>
      <c r="B221" s="269" t="s">
        <v>821</v>
      </c>
      <c r="C221" s="269" t="s">
        <v>821</v>
      </c>
      <c r="D221" s="269" t="s">
        <v>821</v>
      </c>
      <c r="E221" s="269" t="s">
        <v>821</v>
      </c>
      <c r="F221" s="269" t="s">
        <v>821</v>
      </c>
      <c r="G221" s="269" t="s">
        <v>821</v>
      </c>
      <c r="H221" s="269" t="s">
        <v>821</v>
      </c>
      <c r="I221" s="269" t="s">
        <v>821</v>
      </c>
      <c r="J221" s="269" t="s">
        <v>821</v>
      </c>
      <c r="K221" s="1220" t="s">
        <v>821</v>
      </c>
      <c r="M221" s="176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77"/>
    </row>
    <row r="222" spans="1:27" x14ac:dyDescent="0.25">
      <c r="A222" s="708">
        <v>300</v>
      </c>
      <c r="B222" s="269" t="s">
        <v>821</v>
      </c>
      <c r="C222" s="269" t="s">
        <v>821</v>
      </c>
      <c r="D222" s="269" t="s">
        <v>821</v>
      </c>
      <c r="E222" s="269" t="s">
        <v>821</v>
      </c>
      <c r="F222" s="269" t="s">
        <v>821</v>
      </c>
      <c r="G222" s="269" t="s">
        <v>821</v>
      </c>
      <c r="H222" s="269" t="s">
        <v>821</v>
      </c>
      <c r="I222" s="269" t="s">
        <v>821</v>
      </c>
      <c r="J222" s="269" t="s">
        <v>821</v>
      </c>
      <c r="K222" s="1220" t="s">
        <v>821</v>
      </c>
      <c r="M222" s="176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77"/>
    </row>
    <row r="223" spans="1:27" x14ac:dyDescent="0.25">
      <c r="A223" s="708">
        <v>400</v>
      </c>
      <c r="B223" s="269" t="s">
        <v>821</v>
      </c>
      <c r="C223" s="269" t="s">
        <v>821</v>
      </c>
      <c r="D223" s="269" t="s">
        <v>821</v>
      </c>
      <c r="E223" s="269" t="s">
        <v>821</v>
      </c>
      <c r="F223" s="269" t="s">
        <v>821</v>
      </c>
      <c r="G223" s="269" t="s">
        <v>821</v>
      </c>
      <c r="H223" s="269" t="s">
        <v>821</v>
      </c>
      <c r="I223" s="269" t="s">
        <v>821</v>
      </c>
      <c r="J223" s="269" t="s">
        <v>821</v>
      </c>
      <c r="K223" s="1220" t="s">
        <v>821</v>
      </c>
      <c r="M223" s="176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77"/>
    </row>
    <row r="224" spans="1:27" x14ac:dyDescent="0.25">
      <c r="A224" s="708">
        <v>600</v>
      </c>
      <c r="B224" s="269" t="s">
        <v>821</v>
      </c>
      <c r="C224" s="269" t="s">
        <v>821</v>
      </c>
      <c r="D224" s="269" t="s">
        <v>821</v>
      </c>
      <c r="E224" s="269" t="s">
        <v>821</v>
      </c>
      <c r="F224" s="269" t="s">
        <v>821</v>
      </c>
      <c r="G224" s="269" t="s">
        <v>821</v>
      </c>
      <c r="H224" s="269" t="s">
        <v>821</v>
      </c>
      <c r="I224" s="269" t="s">
        <v>821</v>
      </c>
      <c r="J224" s="269" t="s">
        <v>821</v>
      </c>
      <c r="K224" s="1220" t="s">
        <v>821</v>
      </c>
      <c r="M224" s="176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77"/>
    </row>
    <row r="225" spans="1:27" x14ac:dyDescent="0.25">
      <c r="A225" s="708">
        <v>800</v>
      </c>
      <c r="B225" s="269" t="s">
        <v>821</v>
      </c>
      <c r="C225" s="269" t="s">
        <v>821</v>
      </c>
      <c r="D225" s="269" t="s">
        <v>821</v>
      </c>
      <c r="E225" s="269" t="s">
        <v>821</v>
      </c>
      <c r="F225" s="269" t="s">
        <v>821</v>
      </c>
      <c r="G225" s="269" t="s">
        <v>821</v>
      </c>
      <c r="H225" s="269" t="s">
        <v>821</v>
      </c>
      <c r="I225" s="269" t="s">
        <v>821</v>
      </c>
      <c r="J225" s="269" t="s">
        <v>821</v>
      </c>
      <c r="K225" s="1220" t="s">
        <v>821</v>
      </c>
      <c r="M225" s="176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77"/>
    </row>
    <row r="226" spans="1:27" x14ac:dyDescent="0.25">
      <c r="A226" s="708">
        <v>1000</v>
      </c>
      <c r="B226" s="269" t="s">
        <v>821</v>
      </c>
      <c r="C226" s="269" t="s">
        <v>821</v>
      </c>
      <c r="D226" s="269" t="s">
        <v>821</v>
      </c>
      <c r="E226" s="269" t="s">
        <v>821</v>
      </c>
      <c r="F226" s="269" t="s">
        <v>821</v>
      </c>
      <c r="G226" s="269" t="s">
        <v>821</v>
      </c>
      <c r="H226" s="269" t="s">
        <v>821</v>
      </c>
      <c r="I226" s="269" t="s">
        <v>821</v>
      </c>
      <c r="J226" s="269" t="s">
        <v>821</v>
      </c>
      <c r="K226" s="1220" t="s">
        <v>821</v>
      </c>
      <c r="M226" s="176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77"/>
    </row>
    <row r="227" spans="1:27" x14ac:dyDescent="0.25">
      <c r="A227" s="708">
        <v>1500</v>
      </c>
      <c r="B227" s="269" t="s">
        <v>821</v>
      </c>
      <c r="C227" s="269" t="s">
        <v>821</v>
      </c>
      <c r="D227" s="269" t="s">
        <v>821</v>
      </c>
      <c r="E227" s="269" t="s">
        <v>821</v>
      </c>
      <c r="F227" s="269" t="s">
        <v>821</v>
      </c>
      <c r="G227" s="269" t="s">
        <v>821</v>
      </c>
      <c r="H227" s="269" t="s">
        <v>821</v>
      </c>
      <c r="I227" s="269" t="s">
        <v>821</v>
      </c>
      <c r="J227" s="269" t="s">
        <v>821</v>
      </c>
      <c r="K227" s="1220" t="s">
        <v>821</v>
      </c>
      <c r="M227" s="176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77"/>
    </row>
    <row r="228" spans="1:27" x14ac:dyDescent="0.25">
      <c r="A228" s="708">
        <v>2000</v>
      </c>
      <c r="B228" s="269" t="s">
        <v>821</v>
      </c>
      <c r="C228" s="269" t="s">
        <v>821</v>
      </c>
      <c r="D228" s="269" t="s">
        <v>821</v>
      </c>
      <c r="E228" s="269" t="s">
        <v>821</v>
      </c>
      <c r="F228" s="269" t="s">
        <v>821</v>
      </c>
      <c r="G228" s="269" t="s">
        <v>821</v>
      </c>
      <c r="H228" s="269" t="s">
        <v>821</v>
      </c>
      <c r="I228" s="269" t="s">
        <v>821</v>
      </c>
      <c r="J228" s="269" t="s">
        <v>821</v>
      </c>
      <c r="K228" s="1220" t="s">
        <v>821</v>
      </c>
      <c r="M228" s="176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77"/>
    </row>
    <row r="229" spans="1:27" ht="14.4" thickBot="1" x14ac:dyDescent="0.3">
      <c r="A229" s="249">
        <v>2500</v>
      </c>
      <c r="B229" s="1165" t="s">
        <v>821</v>
      </c>
      <c r="C229" s="1165" t="s">
        <v>821</v>
      </c>
      <c r="D229" s="1165" t="s">
        <v>821</v>
      </c>
      <c r="E229" s="1165" t="s">
        <v>821</v>
      </c>
      <c r="F229" s="1165" t="s">
        <v>821</v>
      </c>
      <c r="G229" s="1165" t="s">
        <v>821</v>
      </c>
      <c r="H229" s="1165" t="s">
        <v>821</v>
      </c>
      <c r="I229" s="1165" t="s">
        <v>821</v>
      </c>
      <c r="J229" s="1165" t="s">
        <v>821</v>
      </c>
      <c r="K229" s="1221" t="s">
        <v>821</v>
      </c>
      <c r="M229" s="249"/>
      <c r="N229" s="250"/>
      <c r="O229" s="250"/>
      <c r="P229" s="250"/>
      <c r="Q229" s="250"/>
      <c r="R229" s="250"/>
      <c r="S229" s="250"/>
      <c r="T229" s="250"/>
      <c r="U229" s="250"/>
      <c r="V229" s="250"/>
      <c r="W229" s="250"/>
      <c r="X229" s="250"/>
      <c r="Y229" s="250"/>
      <c r="Z229" s="250"/>
      <c r="AA229" s="251"/>
    </row>
    <row r="231" spans="1:27" ht="14.4" thickBot="1" x14ac:dyDescent="0.3">
      <c r="A231" s="54" t="b">
        <f ca="1">$B204&lt;=A208</f>
        <v>0</v>
      </c>
      <c r="B231" s="54" t="b">
        <f ca="1">$B204&lt;=A209</f>
        <v>0</v>
      </c>
      <c r="C231" s="54" t="b">
        <f ca="1">$B204&lt;=A210</f>
        <v>0</v>
      </c>
      <c r="D231" s="54" t="b">
        <f ca="1">$B204&lt;=A211</f>
        <v>0</v>
      </c>
      <c r="E231" s="54" t="b">
        <f ca="1">$B204&lt;=A212</f>
        <v>0</v>
      </c>
      <c r="F231" s="54" t="b">
        <f ca="1">$B204&lt;=A213</f>
        <v>0</v>
      </c>
      <c r="G231" s="54" t="b">
        <f ca="1">$B204&lt;=A214</f>
        <v>1</v>
      </c>
      <c r="H231" s="54" t="b">
        <f ca="1">$B204&lt;=A215</f>
        <v>1</v>
      </c>
      <c r="I231" s="54" t="b">
        <f ca="1">$B204&lt;=A216</f>
        <v>1</v>
      </c>
      <c r="J231" s="54" t="b">
        <f ca="1">$B204&lt;=A217</f>
        <v>1</v>
      </c>
    </row>
    <row r="232" spans="1:27" ht="16.2" thickBot="1" x14ac:dyDescent="0.35">
      <c r="A232" s="54">
        <v>100</v>
      </c>
      <c r="B232" s="184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59" t="s">
        <v>1055</v>
      </c>
      <c r="M232" s="1281" t="s">
        <v>1054</v>
      </c>
      <c r="N232" s="533"/>
      <c r="O232" s="532"/>
      <c r="P232" s="1946" t="s">
        <v>1002</v>
      </c>
      <c r="Q232" s="1947"/>
      <c r="R232" s="1119" t="s">
        <v>1000</v>
      </c>
      <c r="S232" s="1117" t="s">
        <v>1001</v>
      </c>
      <c r="T232" s="1118"/>
      <c r="U232" s="1119"/>
    </row>
    <row r="233" spans="1:27" ht="15.6" x14ac:dyDescent="0.3">
      <c r="A233" s="54">
        <v>1</v>
      </c>
      <c r="B233" s="184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76" t="b">
        <f ca="1">$R$247&lt;=N233</f>
        <v>0</v>
      </c>
      <c r="M233" s="336" t="b">
        <f t="shared" ref="M233:M242" ca="1" si="3">$N$247&lt;=N233</f>
        <v>0</v>
      </c>
      <c r="N233" s="336">
        <f>IF(MAX(O234:O244)&lt;ROW(Втулка!1:1),"",VLOOKUP(ROW(Втулка!1:1),O233:P242,2))</f>
        <v>700</v>
      </c>
      <c r="O233" s="336">
        <f>IF(COUNTIF(P$232:P233,P233)=1,MAX(O$232:O232)+1,"")</f>
        <v>1</v>
      </c>
      <c r="P233" s="336">
        <v>700</v>
      </c>
      <c r="Q233" s="336">
        <v>700</v>
      </c>
      <c r="R233" s="111">
        <v>200</v>
      </c>
      <c r="S233" s="336">
        <v>200</v>
      </c>
      <c r="T233" s="336">
        <v>350</v>
      </c>
      <c r="U233" s="498">
        <v>150</v>
      </c>
    </row>
    <row r="234" spans="1:27" ht="15.6" x14ac:dyDescent="0.3">
      <c r="A234" s="54" t="b">
        <f ca="1">$B205&lt;=B207</f>
        <v>0</v>
      </c>
      <c r="B234" s="54" t="b">
        <f t="shared" ref="B234:H234" ca="1" si="4">$B205&lt;=C207</f>
        <v>0</v>
      </c>
      <c r="C234" s="54" t="b">
        <f ca="1">$B205&lt;=D207</f>
        <v>0</v>
      </c>
      <c r="D234" s="54" t="b">
        <f t="shared" ca="1" si="4"/>
        <v>0</v>
      </c>
      <c r="E234" s="54" t="b">
        <f t="shared" ca="1" si="4"/>
        <v>0</v>
      </c>
      <c r="F234" s="54" t="b">
        <f t="shared" ca="1" si="4"/>
        <v>0</v>
      </c>
      <c r="G234" s="54" t="b">
        <f t="shared" ca="1" si="4"/>
        <v>1</v>
      </c>
      <c r="H234" s="54" t="b">
        <f t="shared" ca="1" si="4"/>
        <v>1</v>
      </c>
      <c r="I234" s="54" t="b">
        <f ca="1">$B205&lt;=J207</f>
        <v>1</v>
      </c>
      <c r="J234" s="54" t="b">
        <f ca="1">$B205&lt;=K207</f>
        <v>1</v>
      </c>
      <c r="L234" s="176" t="b">
        <f t="shared" ref="L234:L242" ca="1" si="5">$R$247&lt;=N234</f>
        <v>1</v>
      </c>
      <c r="M234" s="336" t="b">
        <f t="shared" ca="1" si="3"/>
        <v>0</v>
      </c>
      <c r="N234" s="336">
        <f>IF(MAX(O234:O244)&lt;ROW(Втулка!2:2),"",VLOOKUP(ROW(Втулка!2:2),O234:P244,2))</f>
        <v>1000</v>
      </c>
      <c r="O234" s="336">
        <f>IF(COUNTIF(P$232:P234,P234)=1,MAX(O$232:O233)+1,"")</f>
        <v>2</v>
      </c>
      <c r="P234" s="336">
        <v>1000</v>
      </c>
      <c r="Q234" s="336">
        <v>1000</v>
      </c>
      <c r="R234" s="111">
        <v>200</v>
      </c>
      <c r="S234" s="336">
        <v>200</v>
      </c>
      <c r="T234" s="336">
        <v>350</v>
      </c>
      <c r="U234" s="498"/>
    </row>
    <row r="235" spans="1:27" ht="15.6" x14ac:dyDescent="0.3">
      <c r="A235" s="54">
        <v>50</v>
      </c>
      <c r="B235" s="184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76" t="b">
        <f t="shared" ca="1" si="5"/>
        <v>1</v>
      </c>
      <c r="M235" s="336" t="b">
        <f t="shared" ca="1" si="3"/>
        <v>0</v>
      </c>
      <c r="N235" s="336">
        <f>IF(MAX(O234:O244)&lt;ROW(Втулка!3:3),"",VLOOKUP(ROW(Втулка!3:3),O234:P244,2))</f>
        <v>1150</v>
      </c>
      <c r="O235" s="336">
        <f>IF(COUNTIF(P$232:P235,P235)=1,MAX(O$232:O234)+1,"")</f>
        <v>3</v>
      </c>
      <c r="P235" s="336">
        <v>1150</v>
      </c>
      <c r="Q235" s="336">
        <v>1350</v>
      </c>
      <c r="R235" s="111">
        <v>320</v>
      </c>
      <c r="S235" s="336">
        <v>320</v>
      </c>
      <c r="T235" s="336">
        <v>500</v>
      </c>
      <c r="U235" s="498"/>
    </row>
    <row r="236" spans="1:27" ht="15.6" x14ac:dyDescent="0.3">
      <c r="A236" s="54">
        <v>2</v>
      </c>
      <c r="B236" s="184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76" t="b">
        <f t="shared" ca="1" si="5"/>
        <v>1</v>
      </c>
      <c r="M236" s="336" t="b">
        <f t="shared" ca="1" si="3"/>
        <v>1</v>
      </c>
      <c r="N236" s="336">
        <f>IF(MAX(O235:O244)&lt;ROW(Втулка!4:4),"",VLOOKUP(ROW(Втулка!4:4),O234:P244,2))</f>
        <v>1200</v>
      </c>
      <c r="O236" s="336">
        <f>IF(COUNTIF(P$232:P236,P236)=1,MAX(O$232:O235)+1,"")</f>
        <v>4</v>
      </c>
      <c r="P236" s="336">
        <v>1200</v>
      </c>
      <c r="Q236" s="336">
        <v>1200</v>
      </c>
      <c r="R236" s="111">
        <v>200</v>
      </c>
      <c r="S236" s="336">
        <v>200</v>
      </c>
      <c r="T236" s="336">
        <v>350</v>
      </c>
      <c r="U236" s="498"/>
    </row>
    <row r="237" spans="1:27" ht="15.6" x14ac:dyDescent="0.3">
      <c r="L237" s="176" t="b">
        <f t="shared" ca="1" si="5"/>
        <v>1</v>
      </c>
      <c r="M237" s="336" t="b">
        <f t="shared" ca="1" si="3"/>
        <v>1</v>
      </c>
      <c r="N237" s="336">
        <f>IF(MAX(O235:O244)&lt;ROW(Втулка!5:5),"",VLOOKUP(ROW(Втулка!5:5),O235:P244,2))</f>
        <v>1500</v>
      </c>
      <c r="O237" s="336">
        <f>IF(COUNTIF(P$232:P237,P237)=1,MAX(O$232:O236)+1,"")</f>
        <v>5</v>
      </c>
      <c r="P237" s="336">
        <v>1500</v>
      </c>
      <c r="Q237" s="336">
        <v>1500</v>
      </c>
      <c r="R237" s="111">
        <v>70</v>
      </c>
      <c r="S237" s="336">
        <v>200</v>
      </c>
      <c r="T237" s="336">
        <v>300</v>
      </c>
      <c r="U237" s="498"/>
    </row>
    <row r="238" spans="1:27" ht="15.6" x14ac:dyDescent="0.3">
      <c r="A238" s="54" t="s">
        <v>818</v>
      </c>
      <c r="B238" s="262">
        <f ca="1">(Втулка!J29-Втулка!I29)/2</f>
        <v>45.5</v>
      </c>
      <c r="C238" s="262" t="s">
        <v>345</v>
      </c>
      <c r="D238" s="262">
        <f ca="1">VLOOKUP(TRUE,Данные!A242:I253,F238,FALSE)</f>
        <v>20</v>
      </c>
      <c r="E238" s="262" t="s">
        <v>752</v>
      </c>
      <c r="F238" s="262">
        <f ca="1">_xlfn.IFNA(HLOOKUP(TRUE,C240:H241,2,FALSE)+1,9)</f>
        <v>6</v>
      </c>
      <c r="G238" s="262"/>
      <c r="K238" s="262">
        <f>(Конусная!D28-Конусная!C28)/2</f>
        <v>0</v>
      </c>
      <c r="L238" s="176" t="b">
        <f t="shared" ca="1" si="5"/>
        <v>1</v>
      </c>
      <c r="M238" s="336" t="b">
        <f t="shared" ca="1" si="3"/>
        <v>1</v>
      </c>
      <c r="N238" s="336">
        <f>IF(MAX(O236:O244)&lt;ROW(Втулка!6:6),"",VLOOKUP(ROW(Втулка!6:6),O235:P244,2))</f>
        <v>1800</v>
      </c>
      <c r="O238" s="336">
        <f>IF(COUNTIF(P$232:P238,P238)=1,MAX(O$232:O237)+1,"")</f>
        <v>6</v>
      </c>
      <c r="P238" s="336">
        <v>1800</v>
      </c>
      <c r="Q238" s="336">
        <v>1800</v>
      </c>
      <c r="R238" s="111">
        <v>225</v>
      </c>
      <c r="S238" s="336">
        <v>225</v>
      </c>
      <c r="T238" s="336">
        <v>360</v>
      </c>
      <c r="U238" s="498"/>
    </row>
    <row r="239" spans="1:27" ht="15.6" x14ac:dyDescent="0.3">
      <c r="B239" s="262"/>
      <c r="C239" s="262">
        <v>15</v>
      </c>
      <c r="D239" s="262">
        <v>30</v>
      </c>
      <c r="E239" s="262">
        <v>45</v>
      </c>
      <c r="F239" s="262">
        <v>75</v>
      </c>
      <c r="G239" s="262">
        <v>100</v>
      </c>
      <c r="H239" s="262">
        <v>300</v>
      </c>
      <c r="I239" s="54" t="s">
        <v>863</v>
      </c>
      <c r="L239" s="176" t="b">
        <f t="shared" ca="1" si="5"/>
        <v>1</v>
      </c>
      <c r="M239" s="336" t="b">
        <f t="shared" ca="1" si="3"/>
        <v>1</v>
      </c>
      <c r="N239" s="336">
        <f>IF(MAX(O236:O244)&lt;ROW(Втулка!7:7),"",VLOOKUP(ROW(Втулка!7:7),O236:P244,2))</f>
        <v>2000</v>
      </c>
      <c r="O239" s="336" t="str">
        <f>IF(COUNTIF(P$232:P239,P239)=1,MAX(O$232:O238)+1,"")</f>
        <v/>
      </c>
      <c r="P239" s="336">
        <v>1800</v>
      </c>
      <c r="Q239" s="336">
        <v>1800</v>
      </c>
      <c r="R239" s="111">
        <v>340</v>
      </c>
      <c r="S239" s="336">
        <v>340</v>
      </c>
      <c r="T239" s="336">
        <v>300</v>
      </c>
      <c r="U239" s="498">
        <v>500</v>
      </c>
    </row>
    <row r="240" spans="1:27" ht="15.6" x14ac:dyDescent="0.3">
      <c r="B240" s="254"/>
      <c r="C240" s="266" t="b">
        <f t="shared" ref="C240:H240" ca="1" si="6">$B238&lt;C239</f>
        <v>0</v>
      </c>
      <c r="D240" s="266" t="b">
        <f t="shared" ca="1" si="6"/>
        <v>0</v>
      </c>
      <c r="E240" s="266" t="b">
        <f t="shared" ca="1" si="6"/>
        <v>0</v>
      </c>
      <c r="F240" s="266" t="b">
        <f t="shared" ca="1" si="6"/>
        <v>1</v>
      </c>
      <c r="G240" s="266" t="b">
        <f t="shared" ca="1" si="6"/>
        <v>1</v>
      </c>
      <c r="H240" s="266" t="b">
        <f t="shared" ca="1" si="6"/>
        <v>1</v>
      </c>
      <c r="L240" s="176" t="b">
        <f t="shared" ca="1" si="5"/>
        <v>1</v>
      </c>
      <c r="M240" s="336" t="b">
        <f t="shared" ca="1" si="3"/>
        <v>1</v>
      </c>
      <c r="N240" s="336">
        <f>IF(MAX(O237:O244)&lt;ROW(Втулка!8:8),"",VLOOKUP(ROW(Втулка!8:8),O236:P244,2))</f>
        <v>2500</v>
      </c>
      <c r="O240" s="336">
        <f>IF(COUNTIF(P$232:P240,P240)=1,MAX(O$232:O239)+1,"")</f>
        <v>7</v>
      </c>
      <c r="P240" s="336">
        <v>2000</v>
      </c>
      <c r="Q240" s="336">
        <v>2500</v>
      </c>
      <c r="R240" s="111">
        <v>300</v>
      </c>
      <c r="S240" s="336">
        <v>300</v>
      </c>
      <c r="T240" s="336">
        <v>700</v>
      </c>
      <c r="U240" s="498">
        <v>500</v>
      </c>
    </row>
    <row r="241" spans="1:23" ht="15.6" x14ac:dyDescent="0.3">
      <c r="B241" s="263">
        <v>1</v>
      </c>
      <c r="C241" s="263">
        <v>2</v>
      </c>
      <c r="D241" s="263">
        <v>3</v>
      </c>
      <c r="E241" s="263">
        <v>4</v>
      </c>
      <c r="F241" s="263">
        <v>5</v>
      </c>
      <c r="G241" s="263">
        <v>6</v>
      </c>
      <c r="H241" s="263">
        <v>7</v>
      </c>
      <c r="I241" s="54">
        <v>0</v>
      </c>
      <c r="L241" s="176" t="b">
        <f t="shared" ca="1" si="5"/>
        <v>1</v>
      </c>
      <c r="M241" s="336" t="b">
        <f t="shared" ca="1" si="3"/>
        <v>1</v>
      </c>
      <c r="N241" s="336">
        <f>IF(MAX(O237:O244)&lt;ROW(Втулка!9:9),"",VLOOKUP(ROW(Втулка!9:9),O237:P244,2))</f>
        <v>3500</v>
      </c>
      <c r="O241" s="336">
        <f>IF(COUNTIF(P$232:P241,P241)=1,MAX(O$232:O240)+1,"")</f>
        <v>8</v>
      </c>
      <c r="P241" s="336">
        <v>2500</v>
      </c>
      <c r="Q241" s="336">
        <v>2500</v>
      </c>
      <c r="R241" s="111">
        <v>320</v>
      </c>
      <c r="S241" s="336">
        <v>320</v>
      </c>
      <c r="T241" s="336">
        <v>700</v>
      </c>
      <c r="U241" s="498">
        <v>380</v>
      </c>
    </row>
    <row r="242" spans="1:23" ht="15.6" x14ac:dyDescent="0.3">
      <c r="A242" s="54" t="b">
        <f ca="1">Втулка!$O$17&lt;=Данные!$B242</f>
        <v>0</v>
      </c>
      <c r="B242" s="263">
        <v>100</v>
      </c>
      <c r="C242" s="263">
        <v>6</v>
      </c>
      <c r="D242" s="263">
        <v>8</v>
      </c>
      <c r="E242" s="263">
        <v>10</v>
      </c>
      <c r="F242" s="263">
        <v>12</v>
      </c>
      <c r="G242" s="263">
        <v>12</v>
      </c>
      <c r="H242" s="263">
        <v>14</v>
      </c>
      <c r="I242" s="54">
        <v>0</v>
      </c>
      <c r="L242" s="176" t="b">
        <f t="shared" ca="1" si="5"/>
        <v>1</v>
      </c>
      <c r="M242" s="336" t="b">
        <f t="shared" ca="1" si="3"/>
        <v>1</v>
      </c>
      <c r="N242" s="336" t="str">
        <f>IF(MAX(O237:O244)&lt;ROW(Втулка!10:10),"",VLOOKUP(ROW(Втулка!10:10),O237:P244,2))</f>
        <v/>
      </c>
      <c r="O242" s="336">
        <f>IF(COUNTIF(P$232:P242,P242)=1,MAX(O$232:O241)+1,"")</f>
        <v>9</v>
      </c>
      <c r="P242" s="336">
        <v>3500</v>
      </c>
      <c r="Q242" s="336">
        <v>2500</v>
      </c>
      <c r="R242" s="111">
        <v>500</v>
      </c>
      <c r="S242" s="336">
        <v>500</v>
      </c>
      <c r="T242" s="336"/>
      <c r="U242" s="498"/>
    </row>
    <row r="243" spans="1:23" ht="15.6" x14ac:dyDescent="0.3">
      <c r="A243" s="54" t="b">
        <f ca="1">Втулка!$O$17&lt;=Данные!$B243</f>
        <v>0</v>
      </c>
      <c r="B243" s="263">
        <v>150</v>
      </c>
      <c r="C243" s="263">
        <v>6</v>
      </c>
      <c r="D243" s="263">
        <v>8</v>
      </c>
      <c r="E243" s="263">
        <v>10</v>
      </c>
      <c r="F243" s="263">
        <v>12</v>
      </c>
      <c r="G243" s="263">
        <v>12</v>
      </c>
      <c r="H243" s="263">
        <v>14</v>
      </c>
      <c r="I243" s="54">
        <v>0</v>
      </c>
      <c r="L243" s="176"/>
      <c r="M243" s="336"/>
      <c r="N243" s="336" t="str">
        <f>IF(MAX(O237:O244)&lt;ROW(Втулка!11:11),"",VLOOKUP(ROW(Втулка!11:11),O237:P244,2))</f>
        <v/>
      </c>
      <c r="O243" s="336"/>
      <c r="P243" s="336"/>
      <c r="Q243" s="336"/>
      <c r="R243" s="111"/>
      <c r="S243" s="336"/>
      <c r="T243" s="336"/>
      <c r="U243" s="498"/>
    </row>
    <row r="244" spans="1:23" ht="15.6" x14ac:dyDescent="0.3">
      <c r="A244" s="54" t="b">
        <f ca="1">Втулка!$O$17&lt;=Данные!$B244</f>
        <v>0</v>
      </c>
      <c r="B244" s="263">
        <v>200</v>
      </c>
      <c r="C244" s="263">
        <v>6</v>
      </c>
      <c r="D244" s="263">
        <v>8</v>
      </c>
      <c r="E244" s="263">
        <v>10</v>
      </c>
      <c r="F244" s="263">
        <v>12</v>
      </c>
      <c r="G244" s="263">
        <v>12</v>
      </c>
      <c r="H244" s="263">
        <v>14</v>
      </c>
      <c r="I244" s="54">
        <v>0</v>
      </c>
      <c r="L244" s="176"/>
      <c r="M244" s="336" t="s">
        <v>1011</v>
      </c>
      <c r="N244" s="336"/>
      <c r="O244" s="336"/>
      <c r="P244" s="336">
        <v>1400</v>
      </c>
      <c r="Q244" s="336">
        <v>2000</v>
      </c>
      <c r="R244" s="336">
        <v>330</v>
      </c>
      <c r="S244" s="336">
        <v>500</v>
      </c>
      <c r="T244" s="336"/>
      <c r="U244" s="498"/>
    </row>
    <row r="245" spans="1:23" ht="16.2" thickBot="1" x14ac:dyDescent="0.35">
      <c r="A245" s="54" t="b">
        <f ca="1">Втулка!$O$17&lt;=Данные!$B245</f>
        <v>0</v>
      </c>
      <c r="B245" s="263">
        <v>250</v>
      </c>
      <c r="C245" s="263">
        <v>6</v>
      </c>
      <c r="D245" s="263">
        <v>8</v>
      </c>
      <c r="E245" s="263">
        <v>10</v>
      </c>
      <c r="F245" s="263">
        <v>12</v>
      </c>
      <c r="G245" s="263">
        <v>12</v>
      </c>
      <c r="H245" s="263">
        <v>14</v>
      </c>
      <c r="I245" s="54">
        <v>0</v>
      </c>
      <c r="L245" s="176"/>
      <c r="M245" s="111"/>
      <c r="N245" s="111"/>
      <c r="O245" s="111"/>
      <c r="P245" s="111"/>
      <c r="Q245" s="111"/>
      <c r="R245" s="336"/>
      <c r="S245" s="336"/>
      <c r="T245" s="336"/>
      <c r="U245" s="498"/>
    </row>
    <row r="246" spans="1:23" ht="15.6" x14ac:dyDescent="0.3">
      <c r="A246" s="54" t="b">
        <f ca="1">Втулка!$O$17&lt;=Данные!$B246</f>
        <v>0</v>
      </c>
      <c r="B246" s="263">
        <v>300</v>
      </c>
      <c r="C246" s="263">
        <v>6</v>
      </c>
      <c r="D246" s="263">
        <v>8</v>
      </c>
      <c r="E246" s="263">
        <v>10</v>
      </c>
      <c r="F246" s="263">
        <v>12</v>
      </c>
      <c r="G246" s="263">
        <v>14</v>
      </c>
      <c r="H246" s="263">
        <v>14</v>
      </c>
      <c r="I246" s="54">
        <v>0</v>
      </c>
      <c r="L246" s="170"/>
      <c r="M246" s="495" t="s">
        <v>995</v>
      </c>
      <c r="N246" s="1130">
        <f ca="1">IF(Данные!$F$33=TRUE,Втулка!J29/0.985+80,Втулка!J29/0.985)</f>
        <v>993.90862944162438</v>
      </c>
      <c r="O246" s="495"/>
      <c r="P246" s="502"/>
      <c r="Q246" s="1129" t="s">
        <v>995</v>
      </c>
      <c r="R246" s="1130">
        <f ca="1">IF(Данные!$F$33=TRUE,'Втулка с буртом'!M20+80,'Втулка с буртом'!M20)</f>
        <v>742</v>
      </c>
      <c r="S246" s="495"/>
      <c r="T246" s="495"/>
      <c r="U246" s="502"/>
    </row>
    <row r="247" spans="1:23" ht="15.6" x14ac:dyDescent="0.3">
      <c r="A247" s="54" t="b">
        <f ca="1">Втулка!$O$17&lt;=Данные!$B247</f>
        <v>0</v>
      </c>
      <c r="B247" s="263">
        <v>350</v>
      </c>
      <c r="C247" s="263">
        <v>6</v>
      </c>
      <c r="D247" s="263">
        <v>8</v>
      </c>
      <c r="E247" s="263">
        <v>10</v>
      </c>
      <c r="F247" s="263">
        <v>12</v>
      </c>
      <c r="G247" s="263">
        <v>14</v>
      </c>
      <c r="H247" s="263">
        <v>14</v>
      </c>
      <c r="I247" s="54">
        <v>0</v>
      </c>
      <c r="L247" s="176"/>
      <c r="M247" s="336" t="s">
        <v>987</v>
      </c>
      <c r="N247" s="1106">
        <f ca="1">ROUNDUP((N246+200)/100,0)*100</f>
        <v>1200</v>
      </c>
      <c r="O247" s="336"/>
      <c r="P247" s="498"/>
      <c r="Q247" s="1114" t="s">
        <v>987</v>
      </c>
      <c r="R247" s="1106">
        <f ca="1">ROUNDUP((R246+200)/100,0)*100</f>
        <v>1000</v>
      </c>
      <c r="S247" s="336"/>
      <c r="T247" s="336"/>
      <c r="U247" s="498"/>
    </row>
    <row r="248" spans="1:23" ht="15.6" x14ac:dyDescent="0.3">
      <c r="A248" s="54" t="b">
        <f ca="1">Втулка!$O$17&lt;=Данные!$B248</f>
        <v>0</v>
      </c>
      <c r="B248" s="263">
        <v>400</v>
      </c>
      <c r="C248" s="263">
        <v>6</v>
      </c>
      <c r="D248" s="263">
        <v>10</v>
      </c>
      <c r="E248" s="263">
        <v>10</v>
      </c>
      <c r="F248" s="263">
        <v>12</v>
      </c>
      <c r="G248" s="263">
        <v>14</v>
      </c>
      <c r="H248" s="263">
        <v>14</v>
      </c>
      <c r="I248" s="54">
        <v>0</v>
      </c>
      <c r="L248" s="176"/>
      <c r="M248" s="336" t="s">
        <v>988</v>
      </c>
      <c r="N248" s="1107">
        <f ca="1">VLOOKUP(TRUE,M233:N242,2,0)</f>
        <v>1200</v>
      </c>
      <c r="O248" s="1107">
        <f ca="1">VLOOKUP(N248,P233:U242,2,0)</f>
        <v>1200</v>
      </c>
      <c r="P248" s="1131">
        <f ca="1">VLOOKUP(N248,P233:U242,IF(Втулка!H27&lt;120,3,4),0)</f>
        <v>200</v>
      </c>
      <c r="Q248" s="1113" t="s">
        <v>988</v>
      </c>
      <c r="R248" s="1107">
        <f ca="1">VLOOKUP(TRUE,L233:N242,3,0)</f>
        <v>1000</v>
      </c>
      <c r="S248" s="1107">
        <f ca="1">VLOOKUP(R248,P233:U242,2,0)</f>
        <v>1000</v>
      </c>
      <c r="T248" s="1105">
        <f ca="1">VLOOKUP(R248,P233:U242,IF('Втулка с буртом'!H25&lt;120,3,5),0)</f>
        <v>200</v>
      </c>
      <c r="U248" s="498"/>
    </row>
    <row r="249" spans="1:23" ht="16.2" thickBot="1" x14ac:dyDescent="0.35">
      <c r="A249" s="54" t="b">
        <f ca="1">Втулка!$O$17&lt;=Данные!$B249</f>
        <v>0</v>
      </c>
      <c r="B249" s="263">
        <v>600</v>
      </c>
      <c r="C249" s="263">
        <v>10</v>
      </c>
      <c r="D249" s="263">
        <v>10</v>
      </c>
      <c r="E249" s="263">
        <v>12</v>
      </c>
      <c r="F249" s="263">
        <v>14</v>
      </c>
      <c r="G249" s="263">
        <v>14</v>
      </c>
      <c r="H249" s="263">
        <v>14</v>
      </c>
      <c r="I249" s="54">
        <v>0</v>
      </c>
      <c r="L249" s="249"/>
      <c r="M249" s="513" t="s">
        <v>991</v>
      </c>
      <c r="N249" s="1282">
        <f ca="1">ROUNDUP(Втулка!F23+15+Втулка!D23/0.985,0)</f>
        <v>989</v>
      </c>
      <c r="O249" s="513"/>
      <c r="P249" s="535"/>
      <c r="Q249" s="1114" t="s">
        <v>991</v>
      </c>
      <c r="R249" s="1106">
        <f ca="1">ROUNDUP('Втулка с буртом'!E21+'Втулка с буртом'!C21/0.985,0)</f>
        <v>1109</v>
      </c>
      <c r="S249" s="336"/>
      <c r="T249" s="336"/>
      <c r="U249" s="498"/>
    </row>
    <row r="250" spans="1:23" ht="16.2" thickBot="1" x14ac:dyDescent="0.35">
      <c r="A250" s="54" t="b">
        <f ca="1">Втулка!$O$17&lt;=Данные!$B250</f>
        <v>0</v>
      </c>
      <c r="B250" s="264">
        <v>800</v>
      </c>
      <c r="C250" s="264">
        <v>12</v>
      </c>
      <c r="D250" s="264">
        <v>12</v>
      </c>
      <c r="E250" s="264">
        <v>15</v>
      </c>
      <c r="F250" s="264">
        <v>17</v>
      </c>
      <c r="G250" s="264">
        <v>17</v>
      </c>
      <c r="H250" s="264">
        <v>17</v>
      </c>
      <c r="I250" s="54">
        <v>0</v>
      </c>
      <c r="L250" s="1159"/>
      <c r="M250" s="533" t="s">
        <v>996</v>
      </c>
      <c r="N250" s="533">
        <f ca="1">VLOOKUP(N248,P233:U242,4,0)</f>
        <v>200</v>
      </c>
      <c r="O250" s="533">
        <f ca="1">VLOOKUP(N248,P233:U242,5,0)</f>
        <v>350</v>
      </c>
      <c r="P250" s="532">
        <f ca="1">VLOOKUP(N248,P233:U242,6,0)</f>
        <v>0</v>
      </c>
      <c r="Q250" s="501" t="s">
        <v>996</v>
      </c>
      <c r="R250" s="495">
        <f ca="1">VLOOKUP(R248,P233:U242,4,0)</f>
        <v>200</v>
      </c>
      <c r="S250" s="495">
        <f ca="1">VLOOKUP(R248,P233:U242,5,0)</f>
        <v>350</v>
      </c>
      <c r="T250" s="502">
        <f ca="1">VLOOKUP(R248,P233:U242,6,0)</f>
        <v>0</v>
      </c>
      <c r="U250" s="498"/>
    </row>
    <row r="251" spans="1:23" ht="15.6" x14ac:dyDescent="0.3">
      <c r="A251" s="54" t="b">
        <f ca="1">Втулка!$O$17&lt;=Данные!$B251</f>
        <v>1</v>
      </c>
      <c r="B251" s="264">
        <v>1200</v>
      </c>
      <c r="C251" s="264">
        <v>16</v>
      </c>
      <c r="D251" s="264">
        <v>16</v>
      </c>
      <c r="E251" s="264">
        <v>18</v>
      </c>
      <c r="F251" s="264">
        <v>20</v>
      </c>
      <c r="G251" s="264">
        <v>20</v>
      </c>
      <c r="H251" s="264">
        <v>20</v>
      </c>
      <c r="I251" s="54">
        <v>0</v>
      </c>
      <c r="L251" s="170"/>
      <c r="M251" s="495"/>
      <c r="N251" s="495">
        <f ca="1">LARGE(N250:P250,1)</f>
        <v>350</v>
      </c>
      <c r="O251" s="495">
        <f ca="1">IF(QUOTIENT(N249,LARGE(N250:P250,1))=0,1,QUOTIENT(N249,LARGE(N250:P250,1)))</f>
        <v>2</v>
      </c>
      <c r="P251" s="1108">
        <f ca="1">N249-N251*O251</f>
        <v>289</v>
      </c>
      <c r="Q251" s="494"/>
      <c r="R251" s="501">
        <f ca="1">LARGE(R250:T250,1)</f>
        <v>350</v>
      </c>
      <c r="S251" s="495">
        <f ca="1">QUOTIENT(R249,LARGE(R250:T250,1))</f>
        <v>3</v>
      </c>
      <c r="T251" s="1108">
        <f ca="1">R249-R251*S251</f>
        <v>59</v>
      </c>
      <c r="U251" s="498"/>
    </row>
    <row r="252" spans="1:23" ht="15.6" x14ac:dyDescent="0.3">
      <c r="A252" s="54" t="b">
        <f ca="1">Втулка!$O$17&lt;=Данные!$B252</f>
        <v>1</v>
      </c>
      <c r="B252" s="263">
        <v>1500</v>
      </c>
      <c r="C252" s="263">
        <v>20</v>
      </c>
      <c r="D252" s="263">
        <v>20</v>
      </c>
      <c r="E252" s="263">
        <v>25</v>
      </c>
      <c r="F252" s="263">
        <v>25</v>
      </c>
      <c r="G252" s="263">
        <v>25</v>
      </c>
      <c r="H252" s="263">
        <v>25</v>
      </c>
      <c r="I252" s="54">
        <v>0</v>
      </c>
      <c r="L252" s="176"/>
      <c r="M252" s="336"/>
      <c r="N252" s="336">
        <f ca="1">LARGE(N250:P250,2)</f>
        <v>200</v>
      </c>
      <c r="O252" s="336">
        <f ca="1">IF(P252=1,1,0)</f>
        <v>1</v>
      </c>
      <c r="P252" s="498">
        <f ca="1">IF(P251&gt;60,1,0)</f>
        <v>1</v>
      </c>
      <c r="Q252" s="494"/>
      <c r="R252" s="494">
        <f ca="1">LARGE(R250:T250,2)</f>
        <v>200</v>
      </c>
      <c r="S252" s="336">
        <f ca="1">IF(T252=1,1,0)</f>
        <v>1</v>
      </c>
      <c r="T252" s="498">
        <f ca="1">IF(T251&gt;40,1,0)</f>
        <v>1</v>
      </c>
      <c r="U252" s="498"/>
    </row>
    <row r="253" spans="1:23" ht="16.2" thickBot="1" x14ac:dyDescent="0.35">
      <c r="A253" s="54" t="b">
        <f ca="1">Втулка!$O$17&lt;=Данные!$B253</f>
        <v>1</v>
      </c>
      <c r="B253" s="264">
        <v>2500</v>
      </c>
      <c r="C253" s="263">
        <v>25</v>
      </c>
      <c r="D253" s="263">
        <v>25</v>
      </c>
      <c r="E253" s="263">
        <v>25</v>
      </c>
      <c r="F253" s="263">
        <v>25</v>
      </c>
      <c r="G253" s="263">
        <v>25</v>
      </c>
      <c r="H253" s="263">
        <v>25</v>
      </c>
      <c r="I253" s="54">
        <v>0</v>
      </c>
      <c r="L253" s="249"/>
      <c r="M253" s="513"/>
      <c r="N253" s="513">
        <f ca="1">LARGE(N250:P250,3)</f>
        <v>0</v>
      </c>
      <c r="O253" s="513">
        <f ca="1">IF(AND(P252=0,P251&gt;60),2,0)</f>
        <v>0</v>
      </c>
      <c r="P253" s="535">
        <f ca="1">N253*O253</f>
        <v>0</v>
      </c>
      <c r="Q253" s="494"/>
      <c r="R253" s="494">
        <f ca="1">LARGE(R250:T250,3)</f>
        <v>0</v>
      </c>
      <c r="S253" s="336">
        <f ca="1">IF(AND(T252=0,T251&gt;45),2,0)</f>
        <v>0</v>
      </c>
      <c r="T253" s="498">
        <f ca="1">R253*S253</f>
        <v>0</v>
      </c>
      <c r="U253" s="498"/>
      <c r="W253" s="111"/>
    </row>
    <row r="254" spans="1:23" ht="16.2" thickBot="1" x14ac:dyDescent="0.35">
      <c r="L254" s="170"/>
      <c r="M254" s="495" t="s">
        <v>994</v>
      </c>
      <c r="N254" s="495">
        <f t="shared" ref="N254:O256" ca="1" si="7">N251</f>
        <v>350</v>
      </c>
      <c r="O254" s="495">
        <f t="shared" ca="1" si="7"/>
        <v>2</v>
      </c>
      <c r="P254" s="502"/>
      <c r="Q254" s="501" t="s">
        <v>994</v>
      </c>
      <c r="R254" s="495">
        <f t="shared" ref="R254:S256" ca="1" si="8">R251</f>
        <v>350</v>
      </c>
      <c r="S254" s="495">
        <f t="shared" ca="1" si="8"/>
        <v>3</v>
      </c>
      <c r="T254" s="502"/>
      <c r="U254" s="498"/>
    </row>
    <row r="255" spans="1:23" ht="16.2" thickBot="1" x14ac:dyDescent="0.35">
      <c r="A255" s="1128" t="b">
        <v>0</v>
      </c>
      <c r="B255" s="677"/>
      <c r="C255" s="171"/>
      <c r="D255" s="171"/>
      <c r="E255" s="171"/>
      <c r="F255" s="171"/>
      <c r="G255" s="171"/>
      <c r="H255" s="171"/>
      <c r="I255" s="171"/>
      <c r="J255" s="171"/>
      <c r="K255" s="171"/>
      <c r="L255" s="176"/>
      <c r="M255" s="336"/>
      <c r="N255" s="336">
        <f t="shared" ca="1" si="7"/>
        <v>200</v>
      </c>
      <c r="O255" s="336">
        <f t="shared" ca="1" si="7"/>
        <v>1</v>
      </c>
      <c r="P255" s="498"/>
      <c r="Q255" s="494"/>
      <c r="R255" s="336">
        <f t="shared" ca="1" si="8"/>
        <v>200</v>
      </c>
      <c r="S255" s="336">
        <f t="shared" ca="1" si="8"/>
        <v>1</v>
      </c>
      <c r="T255" s="498"/>
      <c r="U255" s="498"/>
    </row>
    <row r="256" spans="1:23" ht="16.2" thickBot="1" x14ac:dyDescent="0.35">
      <c r="A256" s="1126" t="s">
        <v>924</v>
      </c>
      <c r="B256" s="62" t="s">
        <v>1007</v>
      </c>
      <c r="C256" s="1127">
        <f ca="1">IF(A255=TRUE,2500,'Втулка с буртом'!M28+'Втулка с буртом'!M29)</f>
        <v>1722</v>
      </c>
      <c r="D256" s="62" t="s">
        <v>108</v>
      </c>
      <c r="E256" s="62" t="s">
        <v>112</v>
      </c>
      <c r="F256" s="62" t="s">
        <v>121</v>
      </c>
      <c r="G256" s="111"/>
      <c r="H256" s="615" t="s">
        <v>738</v>
      </c>
      <c r="I256" s="628">
        <f>VLOOKUP('Втулка с буртом'!F8,Марка_металла[],9,FALSE())</f>
        <v>8.1</v>
      </c>
      <c r="J256" s="111"/>
      <c r="K256" s="111"/>
      <c r="L256" s="249"/>
      <c r="M256" s="513"/>
      <c r="N256" s="513">
        <f t="shared" ca="1" si="7"/>
        <v>0</v>
      </c>
      <c r="O256" s="513">
        <f t="shared" ca="1" si="7"/>
        <v>0</v>
      </c>
      <c r="P256" s="535"/>
      <c r="Q256" s="512"/>
      <c r="R256" s="513">
        <f t="shared" ca="1" si="8"/>
        <v>0</v>
      </c>
      <c r="S256" s="513">
        <f t="shared" ca="1" si="8"/>
        <v>0</v>
      </c>
      <c r="T256" s="535"/>
      <c r="U256" s="498"/>
    </row>
    <row r="257" spans="1:21" ht="16.2" thickBot="1" x14ac:dyDescent="0.35">
      <c r="A257" s="66" t="s">
        <v>136</v>
      </c>
      <c r="B257" s="1125" t="str">
        <f ca="1">_xlfn.IFNA(_xlfn.IFS(C257=D256,D257,C257=E256,E257,C257=F256,F257),H23)</f>
        <v>242.04.464-3</v>
      </c>
      <c r="C257" s="64" t="str">
        <f>IF(VLOOKUP('Втулка с буртом'!F8,Марка_металла[],8,0)=FALSE,I257,VLOOKUP('Втулка с буртом'!F8,Марка_металла[],8,FALSE()))</f>
        <v>242.04.464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/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>242.04.464-3</v>
      </c>
      <c r="G257" s="111"/>
      <c r="H257" s="611" t="s">
        <v>739</v>
      </c>
      <c r="I257" s="610" t="b">
        <f>IF(I256=8.88,IF(AND(C256&lt;=1500,'Втулка с буртом'!M24+'Втулка с буртом'!M25&lt;=700),"242.04.463","242.04.462"))</f>
        <v>0</v>
      </c>
      <c r="J257" s="111"/>
      <c r="K257" s="111"/>
      <c r="L257" s="249"/>
      <c r="M257" s="513" t="s">
        <v>997</v>
      </c>
      <c r="N257" s="513">
        <f ca="1">N254*O254+N255*O255+N256*O256+P248</f>
        <v>1100</v>
      </c>
      <c r="O257" s="513"/>
      <c r="P257" s="535"/>
      <c r="Q257" s="531" t="s">
        <v>997</v>
      </c>
      <c r="R257" s="533">
        <f ca="1">R254*S254+R255*S255+R256*S256+T248</f>
        <v>1450</v>
      </c>
      <c r="S257" s="533"/>
      <c r="T257" s="532"/>
      <c r="U257" s="535"/>
    </row>
    <row r="258" spans="1:21" ht="14.4" thickBot="1" x14ac:dyDescent="0.3">
      <c r="A258" s="932" t="s">
        <v>22</v>
      </c>
      <c r="B258" s="933">
        <f ca="1">ROUND(_xlfn.IFS(C257=D256,D258,C257=E256,E258,C257=F256,F258),2)</f>
        <v>68.05</v>
      </c>
      <c r="C258" s="67"/>
      <c r="D258" s="67" t="e">
        <f ca="1">G303</f>
        <v>#N/A</v>
      </c>
      <c r="E258" s="182" t="e">
        <f ca="1">H274</f>
        <v>#N/A</v>
      </c>
      <c r="F258" s="182">
        <f ca="1">I289</f>
        <v>68.048616434162398</v>
      </c>
      <c r="G258" s="111"/>
      <c r="H258" s="617" t="s">
        <v>740</v>
      </c>
      <c r="I258" s="629"/>
      <c r="J258" s="111"/>
      <c r="K258" s="177"/>
    </row>
    <row r="259" spans="1:21" ht="14.4" thickBot="1" x14ac:dyDescent="0.3">
      <c r="A259" s="953" t="s">
        <v>1172</v>
      </c>
      <c r="B259" s="934">
        <f ca="1">ROUNDUP(('Втулка с буртом'!M24+'Втулка с буртом'!M25)*0.985,0)</f>
        <v>1104</v>
      </c>
      <c r="C259" s="111"/>
      <c r="D259" s="111"/>
      <c r="E259" s="111"/>
      <c r="F259" s="111"/>
      <c r="G259" s="111"/>
      <c r="H259" s="111"/>
      <c r="I259" s="111"/>
      <c r="J259" s="111"/>
      <c r="K259" s="177"/>
      <c r="L259" s="111"/>
      <c r="M259" s="111"/>
      <c r="N259" s="1138"/>
      <c r="O259" s="1138"/>
      <c r="P259" s="1138"/>
      <c r="Q259" s="111"/>
      <c r="R259" s="111"/>
    </row>
    <row r="260" spans="1:21" ht="15.6" x14ac:dyDescent="0.3">
      <c r="A260" s="176"/>
      <c r="B260" s="954"/>
      <c r="C260" s="111"/>
      <c r="D260" s="111"/>
      <c r="E260" s="111"/>
      <c r="F260" s="111"/>
      <c r="G260" s="111"/>
      <c r="H260" s="111"/>
      <c r="I260" s="111"/>
      <c r="J260" s="111"/>
      <c r="K260" s="177"/>
      <c r="L260" s="111"/>
      <c r="M260" s="170"/>
      <c r="N260" s="495"/>
      <c r="O260" s="495"/>
      <c r="P260" s="502"/>
      <c r="Q260" s="111"/>
    </row>
    <row r="261" spans="1:21" ht="16.2" thickBot="1" x14ac:dyDescent="0.35">
      <c r="A261" s="176" t="s">
        <v>188</v>
      </c>
      <c r="B261" s="174"/>
      <c r="C261" s="174"/>
      <c r="D261" s="174"/>
      <c r="E261" s="955"/>
      <c r="F261" s="111"/>
      <c r="G261" s="111"/>
      <c r="H261" s="111"/>
      <c r="I261" s="111"/>
      <c r="J261" s="111"/>
      <c r="K261" s="177"/>
      <c r="L261" s="111"/>
      <c r="M261" s="4"/>
      <c r="N261" s="607" t="s">
        <v>350</v>
      </c>
      <c r="O261" s="608"/>
      <c r="P261" s="10" t="s">
        <v>1034</v>
      </c>
      <c r="Q261" s="111"/>
    </row>
    <row r="262" spans="1:21" ht="16.2" thickBot="1" x14ac:dyDescent="0.35">
      <c r="A262" s="200" t="s">
        <v>189</v>
      </c>
      <c r="B262" s="201"/>
      <c r="C262" s="202" t="s">
        <v>190</v>
      </c>
      <c r="D262" s="201"/>
      <c r="E262" s="202" t="s">
        <v>138</v>
      </c>
      <c r="F262" s="203"/>
      <c r="G262" s="201"/>
      <c r="H262" s="204" t="s">
        <v>191</v>
      </c>
      <c r="I262" s="205"/>
      <c r="J262" s="111"/>
      <c r="K262" s="177"/>
      <c r="L262" s="111"/>
      <c r="M262" s="4"/>
      <c r="N262" s="153"/>
      <c r="O262" s="154"/>
      <c r="P262" s="68">
        <f>IF(цб!N29&gt;цб!N25,P263,0)</f>
        <v>0</v>
      </c>
      <c r="Q262" s="111"/>
    </row>
    <row r="263" spans="1:21" ht="15.6" x14ac:dyDescent="0.3">
      <c r="A263" s="206" t="s">
        <v>192</v>
      </c>
      <c r="B263" s="207"/>
      <c r="C263" s="208" t="s">
        <v>139</v>
      </c>
      <c r="D263" s="208"/>
      <c r="E263" s="208" t="s">
        <v>167</v>
      </c>
      <c r="F263" s="209"/>
      <c r="G263" s="208"/>
      <c r="H263" s="210"/>
      <c r="I263" s="111"/>
      <c r="J263" s="111"/>
      <c r="K263" s="177"/>
      <c r="L263" s="111"/>
      <c r="M263" s="4">
        <f t="array" ref="M263">IF(MAX(N263:N306)&lt;ROW(цб!1:1),"",VLOOKUP(ROW(цб!1:1),N263:O306,2))</f>
        <v>320</v>
      </c>
      <c r="N263" s="155">
        <f t="array" ref="N263">IF(COUNTIF(O$262:O263,O263)=1,MAX(N$262:N262)+1,"")</f>
        <v>1</v>
      </c>
      <c r="O263" s="156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(внутренний)])-ROW(Таблицы!BU2)+1),ROW()-ROW($O$263)+1)),"")</f>
        <v>320</v>
      </c>
      <c r="P263" s="10">
        <f>ROUND(цб!N29*0.99-цб!N12*2,0)</f>
        <v>204</v>
      </c>
      <c r="Q263" s="57"/>
    </row>
    <row r="264" spans="1:21" ht="15.6" x14ac:dyDescent="0.3">
      <c r="A264" s="211" t="e">
        <f ca="1">VLOOKUP(B257,A60:I66,6,FALSE)</f>
        <v>#N/A</v>
      </c>
      <c r="B264" s="212" t="e">
        <f ca="1">A264</f>
        <v>#N/A</v>
      </c>
      <c r="C264" s="213" t="e">
        <f ca="1">VLOOKUP(B257,A60:I66,3,FALSE)</f>
        <v>#N/A</v>
      </c>
      <c r="D264" s="209"/>
      <c r="E264" s="213" t="e">
        <f ca="1">VLOOKUP(B257,A60:I66,7,FALSE)</f>
        <v>#N/A</v>
      </c>
      <c r="F264" s="209"/>
      <c r="G264" s="208"/>
      <c r="H264" s="210"/>
      <c r="I264" s="111"/>
      <c r="J264" s="111"/>
      <c r="K264" s="177"/>
      <c r="L264" s="111"/>
      <c r="M264" s="4">
        <f>IF(MAX(N264:N306)&lt;ROW(цб!2:2),"",VLOOKUP(ROW(цб!2:2),N264:O306,2))</f>
        <v>315</v>
      </c>
      <c r="N264" s="155" t="str">
        <f t="array" ref="N264">IF(COUNTIF(O$262:O264,O264)=1,MAX(N$262:N263)+1,"")</f>
        <v/>
      </c>
      <c r="O264" s="156">
        <v>320</v>
      </c>
      <c r="P264" s="10"/>
      <c r="Q264" s="57"/>
    </row>
    <row r="265" spans="1:21" ht="15.6" x14ac:dyDescent="0.3">
      <c r="A265" s="214"/>
      <c r="B265" s="207"/>
      <c r="C265" s="208" t="s">
        <v>140</v>
      </c>
      <c r="D265" s="208"/>
      <c r="E265" s="208" t="s">
        <v>168</v>
      </c>
      <c r="F265" s="209"/>
      <c r="G265" s="208"/>
      <c r="H265" s="210"/>
      <c r="I265" s="111"/>
      <c r="J265" s="111"/>
      <c r="K265" s="177"/>
      <c r="L265" s="111"/>
      <c r="M265" s="4">
        <f>IF(MAX(N265:N306)&lt;ROW(цб!3:3),"",VLOOKUP(ROW(цб!3:3),N265:O306,2))</f>
        <v>400</v>
      </c>
      <c r="N265" s="155">
        <f t="array" ref="N265">IF(COUNTIF(O$262:O265,O265)=1,MAX(N$262:N264)+1,"")</f>
        <v>2</v>
      </c>
      <c r="O265" s="156">
        <v>315</v>
      </c>
      <c r="P265" s="10"/>
      <c r="Q265" s="57"/>
    </row>
    <row r="266" spans="1:21" ht="15.6" x14ac:dyDescent="0.3">
      <c r="A266" s="206" t="s">
        <v>79</v>
      </c>
      <c r="B266" s="207"/>
      <c r="C266" s="213" t="e">
        <f ca="1">VLOOKUP(B257,A60:I66,4,FALSE)</f>
        <v>#N/A</v>
      </c>
      <c r="D266" s="215" t="e">
        <f ca="1">(C264+C266)/2</f>
        <v>#N/A</v>
      </c>
      <c r="E266" s="213" t="e">
        <f ca="1">VLOOKUP(B257,A60:I66,8,FALSE)</f>
        <v>#N/A</v>
      </c>
      <c r="F266" s="208" t="e">
        <f ca="1">(E264+E266)/2</f>
        <v>#N/A</v>
      </c>
      <c r="G266" s="209"/>
      <c r="H266" s="210"/>
      <c r="I266" s="111"/>
      <c r="J266" s="111"/>
      <c r="K266" s="177"/>
      <c r="L266" s="111"/>
      <c r="M266" s="4">
        <f>IF(MAX(N266:N306)&lt;ROW(цб!4:4),"",VLOOKUP(ROW(цб!4:4),N266:O306,2))</f>
        <v>255</v>
      </c>
      <c r="N266" s="155">
        <f t="array" ref="N266">IF(COUNTIF(O$262:O266,O266)=1,MAX(N$262:N265)+1,"")</f>
        <v>3</v>
      </c>
      <c r="O266" s="156">
        <v>400</v>
      </c>
      <c r="P266" s="10"/>
      <c r="Q266" s="57"/>
    </row>
    <row r="267" spans="1:21" ht="15.6" x14ac:dyDescent="0.3">
      <c r="A267" s="211">
        <f ca="1">'Втулка с буртом'!M24+'Втулка с буртом'!M25</f>
        <v>1120</v>
      </c>
      <c r="B267" s="212">
        <f ca="1">A267</f>
        <v>1120</v>
      </c>
      <c r="C267" s="208" t="s">
        <v>141</v>
      </c>
      <c r="D267" s="208"/>
      <c r="E267" s="208" t="s">
        <v>193</v>
      </c>
      <c r="F267" s="208"/>
      <c r="G267" s="209"/>
      <c r="H267" s="210"/>
      <c r="I267" s="111"/>
      <c r="J267" s="111"/>
      <c r="K267" s="177"/>
      <c r="L267" s="111"/>
      <c r="M267" s="4">
        <f>IF(MAX(N267:N306)&lt;ROW(цб!5:5),"",VLOOKUP(ROW(цб!5:5),N267:O306,2))</f>
        <v>455</v>
      </c>
      <c r="N267" s="155">
        <f t="array" ref="N267">IF(COUNTIF(O$262:O267,O267)=1,MAX(N$262:N266)+1,"")</f>
        <v>4</v>
      </c>
      <c r="O267" s="156">
        <v>255</v>
      </c>
      <c r="P267" s="10"/>
      <c r="Q267" s="57"/>
    </row>
    <row r="268" spans="1:21" ht="15.6" x14ac:dyDescent="0.3">
      <c r="A268" s="214"/>
      <c r="B268" s="216">
        <f>'Втулка с буртом'!M16</f>
        <v>8.1</v>
      </c>
      <c r="C268" s="213" t="e">
        <f ca="1">VLOOKUP(B257,A60:I66,5,FALSE)</f>
        <v>#N/A</v>
      </c>
      <c r="D268" s="215" t="e">
        <f ca="1">C268</f>
        <v>#N/A</v>
      </c>
      <c r="E268" s="213" t="e">
        <f ca="1">VLOOKUP(B257,A60:I66,9,FALSE)</f>
        <v>#N/A</v>
      </c>
      <c r="F268" s="208" t="e">
        <f ca="1">E268</f>
        <v>#N/A</v>
      </c>
      <c r="G268" s="209"/>
      <c r="H268" s="217"/>
      <c r="I268" s="111"/>
      <c r="J268" s="111"/>
      <c r="K268" s="177"/>
      <c r="L268" s="111"/>
      <c r="M268" s="4">
        <f>IF(MAX(N268:N306)&lt;ROW(цб!6:6),"",VLOOKUP(ROW(цб!6:6),N268:O306,2))</f>
        <v>260</v>
      </c>
      <c r="N268" s="155" t="str">
        <f t="array" ref="N268">IF(COUNTIF(O$262:O268,O268)=1,MAX(N$262:N267)+1,"")</f>
        <v/>
      </c>
      <c r="O268" s="156">
        <v>400</v>
      </c>
      <c r="P268" s="10"/>
      <c r="Q268" s="57"/>
    </row>
    <row r="269" spans="1:21" ht="15.6" x14ac:dyDescent="0.3">
      <c r="A269" s="214"/>
      <c r="B269" s="218" t="e">
        <f ca="1">B264*B264*3.1415926*B267*B268/4000000</f>
        <v>#N/A</v>
      </c>
      <c r="C269" s="219" t="s">
        <v>79</v>
      </c>
      <c r="D269" s="208"/>
      <c r="E269" s="219" t="s">
        <v>194</v>
      </c>
      <c r="F269" s="208"/>
      <c r="G269" s="209"/>
      <c r="H269" s="217"/>
      <c r="I269" s="111"/>
      <c r="J269" s="111"/>
      <c r="K269" s="177"/>
      <c r="L269" s="111"/>
      <c r="M269" s="4" t="str">
        <f>IF(MAX(N269:N306)&lt;ROW(цб!7:7),"",VLOOKUP(ROW(цб!7:7),N269:O306,2))</f>
        <v/>
      </c>
      <c r="N269" s="155" t="str">
        <f t="array" ref="N269">IF(COUNTIF(O$262:O269,O269)=1,MAX(N$262:N268)+1,"")</f>
        <v/>
      </c>
      <c r="O269" s="156">
        <v>320</v>
      </c>
      <c r="P269" s="10"/>
      <c r="Q269" s="57">
        <f t="array" aca="1" ref="Q269" ca="1">IF(MAX(Данные!N268:N312)&lt;ROW(7:7),"",VLOOKUP(ROW(7:7),Данные!N268:O312,2))</f>
        <v>260</v>
      </c>
    </row>
    <row r="270" spans="1:21" ht="15.6" x14ac:dyDescent="0.3">
      <c r="A270" s="214"/>
      <c r="B270" s="208"/>
      <c r="C270" s="213">
        <v>50</v>
      </c>
      <c r="D270" s="215">
        <f>C270</f>
        <v>50</v>
      </c>
      <c r="E270" s="213">
        <f ca="1">'Втулка с буртом'!M21</f>
        <v>650</v>
      </c>
      <c r="F270" s="220" t="e">
        <f ca="1">2*3.1415926*E273/2</f>
        <v>#N/A</v>
      </c>
      <c r="G270" s="209"/>
      <c r="H270" s="217"/>
      <c r="I270" s="111"/>
      <c r="J270" s="111"/>
      <c r="K270" s="177"/>
      <c r="L270" s="111"/>
      <c r="M270" s="4" t="str">
        <f>IF(MAX(N270:N306)&lt;ROW(цб!8:8),"",VLOOKUP(ROW(цб!8:8),N270:O306,2))</f>
        <v/>
      </c>
      <c r="N270" s="155">
        <f t="array" ref="N270">IF(COUNTIF(O$262:O270,O270)=1,MAX(N$262:N269)+1,"")</f>
        <v>5</v>
      </c>
      <c r="O270" s="156">
        <v>455</v>
      </c>
      <c r="P270" s="10"/>
      <c r="Q270" s="1348">
        <f t="array" aca="1" ref="Q270" ca="1">IF(MAX(Данные!N269:N313)&lt;ROW(8:8),"",VLOOKUP(ROW(8:8),Данные!N269:O313,2))</f>
        <v>260</v>
      </c>
    </row>
    <row r="271" spans="1:21" ht="15.6" x14ac:dyDescent="0.3">
      <c r="A271" s="214"/>
      <c r="B271" s="209"/>
      <c r="C271" s="219" t="s">
        <v>163</v>
      </c>
      <c r="D271" s="208"/>
      <c r="E271" s="219" t="s">
        <v>195</v>
      </c>
      <c r="F271" s="208"/>
      <c r="G271" s="219" t="s">
        <v>196</v>
      </c>
      <c r="H271" s="217"/>
      <c r="I271" s="111"/>
      <c r="J271" s="111"/>
      <c r="K271" s="177"/>
      <c r="L271" s="111"/>
      <c r="M271" s="4" t="str">
        <f>IF(MAX(N271:N306)&lt;ROW(цб!9:9),"",VLOOKUP(ROW(цб!9:9),N271:O306,2))</f>
        <v/>
      </c>
      <c r="N271" s="155">
        <f t="array" ref="N271">IF(COUNTIF(O$262:O271,O271)=1,MAX(N$262:N270)+1,"")</f>
        <v>6</v>
      </c>
      <c r="O271" s="156">
        <v>260</v>
      </c>
      <c r="P271" s="10"/>
      <c r="Q271" s="1348">
        <f t="array" aca="1" ref="Q271" ca="1">IF(MAX(Данные!N270:N314)&lt;ROW(9:9),"",VLOOKUP(ROW(9:9),Данные!N270:O314,2))</f>
        <v>260</v>
      </c>
    </row>
    <row r="272" spans="1:21" ht="15.6" x14ac:dyDescent="0.3">
      <c r="A272" s="214"/>
      <c r="B272" s="209"/>
      <c r="C272" s="213" t="e">
        <f ca="1">VLOOKUP(B257,A60:I66,2,FALSE)</f>
        <v>#N/A</v>
      </c>
      <c r="D272" s="215" t="e">
        <f ca="1">C272</f>
        <v>#N/A</v>
      </c>
      <c r="E272" s="219" t="s">
        <v>197</v>
      </c>
      <c r="F272" s="208"/>
      <c r="G272" s="213">
        <v>270</v>
      </c>
      <c r="H272" s="217"/>
      <c r="I272" s="111"/>
      <c r="J272" s="111"/>
      <c r="K272" s="177"/>
      <c r="L272" s="111"/>
      <c r="M272" s="4" t="str">
        <f>IF(MAX(N272:N306)&lt;ROW(цб!10:10),"",VLOOKUP(ROW(цб!10:10),N272:O306,2))</f>
        <v/>
      </c>
      <c r="N272" s="155" t="str">
        <f t="array" ref="N272">IF(COUNTIF(O$262:O272,O272)=1,MAX(N$262:N271)+1,"")</f>
        <v/>
      </c>
      <c r="O272" s="152" t="str">
        <v/>
      </c>
      <c r="P272" s="10"/>
      <c r="Q272" s="1348">
        <f t="array" aca="1" ref="Q272" ca="1">IF(MAX(Данные!N271:N315)&lt;ROW(10:10),"",VLOOKUP(ROW(10:10),Данные!N271:O315,2))</f>
        <v>260</v>
      </c>
    </row>
    <row r="273" spans="1:21" ht="15.6" x14ac:dyDescent="0.3">
      <c r="A273" s="214"/>
      <c r="B273" s="209"/>
      <c r="C273" s="209"/>
      <c r="D273" s="216">
        <f>B268</f>
        <v>8.1</v>
      </c>
      <c r="E273" s="208" t="e">
        <f ca="1">E270+C270+E268</f>
        <v>#N/A</v>
      </c>
      <c r="F273" s="216">
        <f>B268</f>
        <v>8.1</v>
      </c>
      <c r="G273" s="208" t="s">
        <v>198</v>
      </c>
      <c r="H273" s="217"/>
      <c r="I273" s="111"/>
      <c r="J273" s="111"/>
      <c r="K273" s="177"/>
      <c r="L273" s="111"/>
      <c r="M273" s="4" t="str">
        <f>IF(MAX(N273:N306)&lt;ROW(цб!11:11),"",VLOOKUP(ROW(цб!11:11),N273:O306,2))</f>
        <v/>
      </c>
      <c r="N273" s="155" t="str">
        <f t="array" ref="N273">IF(COUNTIF(O$262:O273,O273)=1,MAX(N$262:N272)+1,"")</f>
        <v/>
      </c>
      <c r="O273" s="152" t="str">
        <v/>
      </c>
      <c r="P273" s="10"/>
      <c r="Q273" s="1348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21"/>
      <c r="B274" s="222"/>
      <c r="C274" s="222"/>
      <c r="D274" s="223" t="e">
        <f ca="1">D266*D268*D270*D272*D273/1000000</f>
        <v>#N/A</v>
      </c>
      <c r="E274" s="222"/>
      <c r="F274" s="224" t="e">
        <f ca="1">F266*F268*F270*F273/1000000</f>
        <v>#N/A</v>
      </c>
      <c r="G274" s="223" t="e">
        <f ca="1">F274/360*G272</f>
        <v>#N/A</v>
      </c>
      <c r="H274" s="225" t="e">
        <f ca="1">B269+D274+G274</f>
        <v>#N/A</v>
      </c>
      <c r="I274" s="226"/>
      <c r="J274" s="111"/>
      <c r="K274" s="177"/>
      <c r="L274" s="111"/>
      <c r="M274" s="4" t="str">
        <f>IF(MAX(N274:N306)&lt;ROW(цб!12:12),"",VLOOKUP(ROW(цб!12:12),N274:O306,2))</f>
        <v/>
      </c>
      <c r="N274" s="155" t="str">
        <f t="array" ref="N274">IF(COUNTIF(O$262:O274,O274)=1,MAX(N$262:N273)+1,"")</f>
        <v/>
      </c>
      <c r="O274" s="152" t="str">
        <f t="array" ref="O274">IFERROR(INDEX(Данные!#REF!,SMALL(IF(Данные!#REF!=цб!$N$29,ROW(Данные!#REF!)-ROW(Данные!#REF!)+1),ROW()-ROW($O$263)+1)),"")</f>
        <v/>
      </c>
      <c r="P274" s="10"/>
      <c r="Q274" s="1348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76"/>
      <c r="B275" s="954"/>
      <c r="C275" s="111"/>
      <c r="D275" s="111"/>
      <c r="E275" s="111"/>
      <c r="F275" s="111"/>
      <c r="G275" s="111"/>
      <c r="H275" s="111"/>
      <c r="I275" s="111"/>
      <c r="J275" s="111"/>
      <c r="K275" s="177"/>
      <c r="L275" s="111"/>
      <c r="M275" s="4" t="str">
        <f>IF(MAX(N275:N306)&lt;ROW(цб!13:13),"",VLOOKUP(ROW(цб!13:13),N275:O306,2))</f>
        <v/>
      </c>
      <c r="N275" s="155" t="str">
        <f t="array" ref="N275">IF(COUNTIF(O$262:O275,O275)=1,MAX(N$262:N274)+1,"")</f>
        <v/>
      </c>
      <c r="O275" s="152" t="str">
        <f t="array" ref="O275">IFERROR(INDEX(Данные!#REF!,SMALL(IF(Данные!#REF!=цб!$N$29,ROW(Данные!#REF!)-ROW(Данные!#REF!)+1),ROW()-ROW($O$263)+1)),"")</f>
        <v/>
      </c>
      <c r="P275" s="10"/>
      <c r="Q275" s="1348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76" t="s">
        <v>199</v>
      </c>
      <c r="B276" s="954"/>
      <c r="C276" s="111"/>
      <c r="D276" s="111"/>
      <c r="E276" s="111"/>
      <c r="F276" s="111"/>
      <c r="G276" s="111"/>
      <c r="H276" s="111"/>
      <c r="I276" s="111"/>
      <c r="J276" s="111"/>
      <c r="K276" s="177"/>
      <c r="L276" s="111"/>
      <c r="M276" s="4" t="str">
        <f>IF(MAX(N276:N306)&lt;ROW(цб!14:14),"",VLOOKUP(ROW(цб!14:14),N276:O306,2))</f>
        <v/>
      </c>
      <c r="N276" s="155" t="str">
        <f t="array" ref="N276">IF(COUNTIF(O$262:O276,O276)=1,MAX(N$262:N275)+1,"")</f>
        <v/>
      </c>
      <c r="O276" s="152" t="str">
        <f t="array" ref="O276">IFERROR(INDEX(Данные!#REF!,SMALL(IF(Данные!#REF!=цб!$N$29,ROW(Данные!#REF!)-ROW(Данные!#REF!)+1),ROW()-ROW($O$263)+1)),"")</f>
        <v/>
      </c>
      <c r="P276" s="10"/>
      <c r="Q276" s="1348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200" t="s">
        <v>189</v>
      </c>
      <c r="B277" s="201"/>
      <c r="C277" s="202" t="s">
        <v>190</v>
      </c>
      <c r="D277" s="201"/>
      <c r="E277" s="202" t="s">
        <v>138</v>
      </c>
      <c r="F277" s="203"/>
      <c r="G277" s="201"/>
      <c r="H277" s="227" t="s">
        <v>175</v>
      </c>
      <c r="I277" s="204" t="s">
        <v>191</v>
      </c>
      <c r="J277" s="111"/>
      <c r="K277" s="177"/>
      <c r="L277" s="111"/>
      <c r="M277" s="4" t="str">
        <f>IF(MAX(N277:N306)&lt;ROW(цб!15:15),"",VLOOKUP(ROW(цб!15:15),N277:O306,2))</f>
        <v/>
      </c>
      <c r="N277" s="155" t="str">
        <f t="array" ref="N277">IF(COUNTIF(O$262:O277,O277)=1,MAX(N$262:N276)+1,"")</f>
        <v/>
      </c>
      <c r="O277" s="152" t="str">
        <f t="array" ref="O277">IFERROR(INDEX(Данные!#REF!,SMALL(IF(Данные!#REF!=цб!$N$29,ROW(Данные!#REF!)-ROW(Данные!#REF!)+1),ROW()-ROW($O$263)+1)),"")</f>
        <v/>
      </c>
      <c r="P277" s="10"/>
      <c r="Q277" s="1348" t="e">
        <f t="array" aca="1" ref="Q277" ca="1">IF(MAX(Данные!N276:N320)&lt;ROW(15:15),"",VLOOKUP(ROW(15:15),Данные!N276:O320,2))</f>
        <v>#N/A</v>
      </c>
      <c r="R277" s="111"/>
    </row>
    <row r="278" spans="1:21" ht="16.2" thickBot="1" x14ac:dyDescent="0.35">
      <c r="A278" s="850" t="s">
        <v>192</v>
      </c>
      <c r="B278" s="207"/>
      <c r="C278" s="208" t="s">
        <v>139</v>
      </c>
      <c r="D278" s="208"/>
      <c r="E278" s="208" t="s">
        <v>167</v>
      </c>
      <c r="F278" s="209"/>
      <c r="G278" s="208"/>
      <c r="H278" s="228" t="s">
        <v>168</v>
      </c>
      <c r="I278" s="229"/>
      <c r="J278" s="111"/>
      <c r="K278" s="177"/>
      <c r="L278" s="111"/>
      <c r="M278" s="4" t="str">
        <f>IF(MAX(N278:N306)&lt;ROW(цб!16:16),"",VLOOKUP(ROW(цб!16:16),N278:O306,2))</f>
        <v/>
      </c>
      <c r="N278" s="155" t="str">
        <f t="array" ref="N278">IF(COUNTIF(O$262:O278,O278)=1,MAX(N$262:N277)+1,"")</f>
        <v/>
      </c>
      <c r="O278" s="152" t="str">
        <f t="array" ref="O278">IFERROR(INDEX(Данные!#REF!,SMALL(IF(Данные!#REF!=цб!$N$29,ROW(Данные!#REF!)-ROW(Данные!#REF!)+1),ROW()-ROW($O$263)+1)),"")</f>
        <v/>
      </c>
      <c r="P278" s="10"/>
      <c r="Q278" s="1348" t="e">
        <f t="array" aca="1" ref="Q278" ca="1">IF(MAX(Данные!N277:N321)&lt;ROW(16:16),"",VLOOKUP(ROW(16:16),Данные!N277:O321,2))</f>
        <v>#N/A</v>
      </c>
      <c r="R278" s="111"/>
    </row>
    <row r="279" spans="1:21" ht="15.6" x14ac:dyDescent="0.3">
      <c r="A279" s="851">
        <f ca="1">VLOOKUP(B257,A74:K78,6,FALSE)</f>
        <v>65</v>
      </c>
      <c r="B279" s="848">
        <f ca="1">IF(A280=0,A279,A280)</f>
        <v>65</v>
      </c>
      <c r="C279" s="213">
        <f ca="1">VLOOKUP(B257,A74:K78,3,FALSE)</f>
        <v>22</v>
      </c>
      <c r="D279" s="209"/>
      <c r="E279" s="213">
        <f ca="1">VLOOKUP(B257,A74:K78,7,FALSE)</f>
        <v>38</v>
      </c>
      <c r="F279" s="209"/>
      <c r="G279" s="208"/>
      <c r="H279" s="230">
        <f ca="1">VLOOKUP(B257,A74:K78,10,FALSE)</f>
        <v>120</v>
      </c>
      <c r="I279" s="229"/>
      <c r="J279" s="111"/>
      <c r="K279" s="177"/>
      <c r="L279" s="111"/>
      <c r="M279" s="4" t="str">
        <f>IF(MAX(N279:N306)&lt;ROW(цб!17:17),"",VLOOKUP(ROW(цб!17:17),N279:O306,2))</f>
        <v/>
      </c>
      <c r="N279" s="155" t="str">
        <f t="array" ref="N279">IF(COUNTIF(O$262:O279,O279)=1,MAX(N$262:N278)+1,"")</f>
        <v/>
      </c>
      <c r="O279" s="152" t="str">
        <f t="array" ref="O279">IFERROR(INDEX(Данные!#REF!,SMALL(IF(Данные!#REF!=цб!$N$29,ROW(Данные!#REF!)-ROW(Данные!#REF!)+1),ROW()-ROW($O$263)+1)),"")</f>
        <v/>
      </c>
      <c r="P279" s="10"/>
      <c r="Q279" s="1348" t="e">
        <f t="array" aca="1" ref="Q279" ca="1">IF(MAX(Данные!N278:N322)&lt;ROW(17:17),"",VLOOKUP(ROW(17:17),Данные!N278:O322,2))</f>
        <v>#N/A</v>
      </c>
      <c r="R279" s="111"/>
    </row>
    <row r="280" spans="1:21" ht="16.2" thickBot="1" x14ac:dyDescent="0.35">
      <c r="A280" s="852"/>
      <c r="B280" s="849"/>
      <c r="C280" s="208" t="s">
        <v>140</v>
      </c>
      <c r="D280" s="208"/>
      <c r="E280" s="208" t="s">
        <v>168</v>
      </c>
      <c r="F280" s="209"/>
      <c r="G280" s="208"/>
      <c r="H280" s="228" t="s">
        <v>141</v>
      </c>
      <c r="I280" s="229"/>
      <c r="J280" s="111"/>
      <c r="K280" s="177"/>
      <c r="L280" s="111"/>
      <c r="M280" s="4" t="str">
        <f>IF(MAX(N280:N306)&lt;ROW(цб!18:18),"",VLOOKUP(ROW(цб!18:18),N280:O306,2))</f>
        <v/>
      </c>
      <c r="N280" s="155" t="str">
        <f t="array" ref="N280">IF(COUNTIF(O$262:O280,O280)=1,MAX(N$262:N279)+1,"")</f>
        <v/>
      </c>
      <c r="O280" s="152" t="str">
        <f t="array" ref="O280">IFERROR(INDEX(Данные!#REF!,SMALL(IF(Данные!#REF!=цб!$N$29,ROW(Данные!#REF!)-ROW(Данные!#REF!)+1),ROW()-ROW($O$263)+1)),"")</f>
        <v/>
      </c>
      <c r="P280" s="10"/>
      <c r="Q280" s="1348" t="e">
        <f t="array" aca="1" ref="Q280" ca="1">IF(MAX(Данные!N279:N323)&lt;ROW(18:18),"",VLOOKUP(ROW(18:18),Данные!N279:O323,2))</f>
        <v>#N/A</v>
      </c>
      <c r="R280" s="111"/>
    </row>
    <row r="281" spans="1:21" ht="16.2" thickBot="1" x14ac:dyDescent="0.35">
      <c r="A281" s="854" t="s">
        <v>79</v>
      </c>
      <c r="B281" s="207"/>
      <c r="C281" s="213">
        <f ca="1">VLOOKUP(B257,A74:K78,4,FALSE)</f>
        <v>16</v>
      </c>
      <c r="D281" s="215">
        <f ca="1">(C279+C281)/2</f>
        <v>19</v>
      </c>
      <c r="E281" s="213">
        <f ca="1">VLOOKUP(B257,A74:K78,8,FALSE)</f>
        <v>32</v>
      </c>
      <c r="F281" s="208">
        <f ca="1">(E279+E281)/2</f>
        <v>35</v>
      </c>
      <c r="G281" s="209"/>
      <c r="H281" s="230">
        <f ca="1">VLOOKUP(B257,A74:K78,11,FALSE)</f>
        <v>100</v>
      </c>
      <c r="I281" s="229"/>
      <c r="J281" s="111"/>
      <c r="K281" s="177"/>
      <c r="L281" s="111"/>
      <c r="M281" s="4" t="str">
        <f>IF(MAX(N281:N306)&lt;ROW(цб!19:19),"",VLOOKUP(ROW(цб!19:19),N281:O306,2))</f>
        <v/>
      </c>
      <c r="N281" s="155" t="str">
        <f t="array" ref="N281">IF(COUNTIF(O$262:O281,O281)=1,MAX(N$262:N280)+1,"")</f>
        <v/>
      </c>
      <c r="O281" s="152" t="str">
        <f t="array" ref="O281">IFERROR(INDEX(Данные!#REF!,SMALL(IF(Данные!#REF!=цб!$N$29,ROW(Данные!#REF!)-ROW(Данные!#REF!)+1),ROW()-ROW($O$263)+1)),"")</f>
        <v/>
      </c>
      <c r="P281" s="10"/>
      <c r="Q281" s="1348" t="e">
        <f t="array" aca="1" ref="Q281" ca="1">IF(MAX(Данные!N280:N324)&lt;ROW(19:19),"",VLOOKUP(ROW(19:19),Данные!N280:O324,2))</f>
        <v>#N/A</v>
      </c>
      <c r="R281" s="111"/>
    </row>
    <row r="282" spans="1:21" ht="15.6" x14ac:dyDescent="0.3">
      <c r="A282" s="851">
        <f ca="1">'Втулка с буртом'!M24+'Втулка с буртом'!M25</f>
        <v>1120</v>
      </c>
      <c r="B282" s="848">
        <f ca="1">IF(A283=0,A282,A283)</f>
        <v>1120</v>
      </c>
      <c r="C282" s="208" t="s">
        <v>141</v>
      </c>
      <c r="D282" s="208"/>
      <c r="E282" s="208" t="s">
        <v>193</v>
      </c>
      <c r="F282" s="208"/>
      <c r="G282" s="209"/>
      <c r="H282" s="231" t="s">
        <v>208</v>
      </c>
      <c r="I282" s="229"/>
      <c r="J282" s="111"/>
      <c r="K282" s="177"/>
      <c r="L282" s="111"/>
      <c r="M282" s="4" t="str">
        <f>IF(MAX(N282:N306)&lt;ROW(цб!20:20),"",VLOOKUP(ROW(цб!20:20),N282:O306,2))</f>
        <v/>
      </c>
      <c r="N282" s="155" t="str">
        <f t="array" ref="N282">IF(COUNTIF(O$262:O282,O282)=1,MAX(N$262:N281)+1,"")</f>
        <v/>
      </c>
      <c r="O282" s="152" t="str">
        <f t="array" ref="O282">IFERROR(INDEX(Данные!#REF!,SMALL(IF(Данные!#REF!=цб!$N$29,ROW(Данные!#REF!)-ROW(Данные!#REF!)+1),ROW()-ROW($O$263)+1)),"")</f>
        <v/>
      </c>
      <c r="P282" s="10"/>
      <c r="Q282" s="1348" t="e">
        <f t="array" aca="1" ref="Q282" ca="1">IF(MAX(Данные!N281:N325)&lt;ROW(20:20),"",VLOOKUP(ROW(20:20),Данные!N281:O325,2))</f>
        <v>#N/A</v>
      </c>
      <c r="R282" s="111"/>
    </row>
    <row r="283" spans="1:21" ht="16.2" thickBot="1" x14ac:dyDescent="0.35">
      <c r="A283" s="852"/>
      <c r="B283" s="853">
        <f>'Втулка с буртом'!M16</f>
        <v>8.1</v>
      </c>
      <c r="C283" s="213">
        <f ca="1">VLOOKUP(B257,A74:K78,5,FALSE)</f>
        <v>21</v>
      </c>
      <c r="D283" s="215">
        <f ca="1">C283</f>
        <v>21</v>
      </c>
      <c r="E283" s="213">
        <f ca="1">VLOOKUP(B257,A74:K78,9,FALSE)</f>
        <v>48</v>
      </c>
      <c r="F283" s="208">
        <f ca="1">E283</f>
        <v>48</v>
      </c>
      <c r="G283" s="209"/>
      <c r="H283" s="209">
        <f ca="1">(H279*H279*3.1415926*H281*B283/4000000)*2</f>
        <v>18.321768043200002</v>
      </c>
      <c r="I283" s="229"/>
      <c r="J283" s="111"/>
      <c r="K283" s="177"/>
      <c r="L283" s="111"/>
      <c r="M283" s="4" t="str">
        <f>IF(MAX(N283:N306)&lt;ROW(цб!21:21),"",VLOOKUP(ROW(цб!21:21),N283:O306,2))</f>
        <v/>
      </c>
      <c r="N283" s="155" t="str">
        <f t="array" ref="N283">IF(COUNTIF(O$262:O283,O283)=1,MAX(N$262:N282)+1,"")</f>
        <v/>
      </c>
      <c r="O283" s="152" t="str">
        <f t="array" ref="O283">IFERROR(INDEX(Данные!#REF!,SMALL(IF(Данные!#REF!=цб!$N$29,ROW(Данные!#REF!)-ROW(Данные!#REF!)+1),ROW()-ROW($O$263)+1)),"")</f>
        <v/>
      </c>
      <c r="P283" s="10"/>
      <c r="Q283" s="1348" t="e">
        <f t="array" aca="1" ref="Q283" ca="1">IF(MAX(Данные!N282:N326)&lt;ROW(21:21),"",VLOOKUP(ROW(21:21),Данные!N282:O326,2))</f>
        <v>#N/A</v>
      </c>
      <c r="R283" s="111"/>
    </row>
    <row r="284" spans="1:21" ht="15.6" x14ac:dyDescent="0.3">
      <c r="A284" s="855"/>
      <c r="B284" s="218">
        <f ca="1">B279*B279*3.1415926*B282*B283/4000000</f>
        <v>30.103682770979997</v>
      </c>
      <c r="C284" s="219" t="s">
        <v>79</v>
      </c>
      <c r="D284" s="208"/>
      <c r="E284" s="219" t="s">
        <v>194</v>
      </c>
      <c r="F284" s="208"/>
      <c r="G284" s="209"/>
      <c r="H284" s="209"/>
      <c r="I284" s="229"/>
      <c r="J284" s="111"/>
      <c r="K284" s="177"/>
      <c r="L284" s="111"/>
      <c r="M284" s="4" t="str">
        <f>IF(MAX(N284:N306)&lt;ROW(цб!22:22),"",VLOOKUP(ROW(цб!22:22),N284:O306,2))</f>
        <v/>
      </c>
      <c r="N284" s="155" t="str">
        <f t="array" ref="N284">IF(COUNTIF(O$262:O284,O284)=1,MAX(N$262:N283)+1,"")</f>
        <v/>
      </c>
      <c r="O284" s="152" t="str">
        <f t="array" ref="O284">IFERROR(INDEX(Данные!#REF!,SMALL(IF(Данные!#REF!=цб!$N$29,ROW(Данные!#REF!)-ROW(Данные!#REF!)+1),ROW()-ROW($O$263)+1)),"")</f>
        <v/>
      </c>
      <c r="P284" s="10"/>
      <c r="Q284" s="1348" t="e">
        <f t="array" aca="1" ref="Q284" ca="1">IF(MAX(Данные!N283:N327)&lt;ROW(22:22),"",VLOOKUP(ROW(22:22),Данные!N283:O327,2))</f>
        <v>#N/A</v>
      </c>
      <c r="R284" s="111"/>
    </row>
    <row r="285" spans="1:21" ht="15.6" x14ac:dyDescent="0.3">
      <c r="A285" s="214"/>
      <c r="B285" s="208"/>
      <c r="C285" s="213">
        <v>50</v>
      </c>
      <c r="D285" s="215">
        <f>C285</f>
        <v>50</v>
      </c>
      <c r="E285" s="213">
        <f ca="1">'Втулка с буртом'!M21</f>
        <v>650</v>
      </c>
      <c r="F285" s="220">
        <f ca="1">2*3.1415926*E288/2</f>
        <v>2349.9112648</v>
      </c>
      <c r="G285" s="209"/>
      <c r="H285" s="209"/>
      <c r="I285" s="229"/>
      <c r="J285" s="111"/>
      <c r="K285" s="177"/>
      <c r="L285" s="111"/>
      <c r="M285" s="4" t="str">
        <f>IF(MAX(N285:N306)&lt;ROW(цб!23:23),"",VLOOKUP(ROW(цб!23:23),N285:O306,2))</f>
        <v/>
      </c>
      <c r="N285" s="155" t="str">
        <f t="array" ref="N285">IF(COUNTIF(O$262:O285,O285)=1,MAX(N$262:N284)+1,"")</f>
        <v/>
      </c>
      <c r="O285" s="152" t="str">
        <f t="array" ref="O285">IFERROR(INDEX(Данные!#REF!,SMALL(IF(Данные!#REF!=цб!$N$29,ROW(Данные!#REF!)-ROW(Данные!#REF!)+1),ROW()-ROW($O$263)+1)),"")</f>
        <v/>
      </c>
      <c r="P285" s="10"/>
      <c r="Q285" s="1348" t="e">
        <f t="array" aca="1" ref="Q285" ca="1">IF(MAX(Данные!N284:N328)&lt;ROW(23:23),"",VLOOKUP(ROW(23:23),Данные!N284:O328,2))</f>
        <v>#N/A</v>
      </c>
      <c r="R285" s="111"/>
    </row>
    <row r="286" spans="1:21" ht="15.6" x14ac:dyDescent="0.3">
      <c r="A286" s="214"/>
      <c r="B286" s="209"/>
      <c r="C286" s="219" t="s">
        <v>163</v>
      </c>
      <c r="D286" s="208"/>
      <c r="E286" s="219" t="s">
        <v>195</v>
      </c>
      <c r="F286" s="208"/>
      <c r="G286" s="219" t="s">
        <v>196</v>
      </c>
      <c r="H286" s="209"/>
      <c r="I286" s="229"/>
      <c r="J286" s="111"/>
      <c r="K286" s="177"/>
      <c r="L286" s="111"/>
      <c r="M286" s="1319" t="str">
        <f>IF(MAX(N286:N306)&lt;ROW(цб!24:24),"",VLOOKUP(ROW(цб!24:24),N286:O306,2))</f>
        <v/>
      </c>
      <c r="N286" s="155" t="str">
        <f t="array" ref="N286">IF(COUNTIF(O$262:O286,O286)=1,MAX(N$262:N285)+1,"")</f>
        <v/>
      </c>
      <c r="O286" s="152" t="str">
        <f t="array" ref="O286">IFERROR(INDEX(Данные!#REF!,SMALL(IF(Данные!#REF!=цб!$N$29,ROW(Данные!#REF!)-ROW(Данные!#REF!)+1),ROW()-ROW($O$263)+1)),"")</f>
        <v/>
      </c>
      <c r="P286" s="10"/>
      <c r="Q286" s="111"/>
      <c r="R286" s="111"/>
    </row>
    <row r="287" spans="1:21" ht="15.6" x14ac:dyDescent="0.3">
      <c r="A287" s="214"/>
      <c r="B287" s="209"/>
      <c r="C287" s="213">
        <f ca="1">VLOOKUP(B257,A74:K78,2,FALSE)</f>
        <v>6</v>
      </c>
      <c r="D287" s="215">
        <f ca="1">C287</f>
        <v>6</v>
      </c>
      <c r="E287" s="219" t="s">
        <v>197</v>
      </c>
      <c r="F287" s="208"/>
      <c r="G287" s="213">
        <v>210</v>
      </c>
      <c r="H287" s="209"/>
      <c r="I287" s="229"/>
      <c r="J287" s="111"/>
      <c r="K287" s="177"/>
      <c r="L287" s="111"/>
      <c r="M287" s="4" t="str">
        <f>IF(MAX(N287:N306)&lt;ROW(цб!25:25),"",VLOOKUP(ROW(цб!25:25),N287:O306,2))</f>
        <v/>
      </c>
      <c r="N287" s="155" t="str">
        <f t="array" ref="N287">IF(COUNTIF(O$262:O287,O287)=1,MAX(N$262:N286)+1,"")</f>
        <v/>
      </c>
      <c r="O287" s="152" t="str">
        <f t="array" ref="O287">IFERROR(INDEX(Данные!#REF!,SMALL(IF(Данные!#REF!=цб!$N$29,ROW(Данные!#REF!)-ROW(Данные!#REF!)+1),ROW()-ROW($O$263)+1)),"")</f>
        <v/>
      </c>
      <c r="P287" s="10"/>
      <c r="Q287" s="111"/>
      <c r="R287" s="111"/>
    </row>
    <row r="288" spans="1:21" ht="15.6" x14ac:dyDescent="0.3">
      <c r="A288" s="214"/>
      <c r="B288" s="209"/>
      <c r="C288" s="209"/>
      <c r="D288" s="216">
        <f>B283</f>
        <v>8.1</v>
      </c>
      <c r="E288" s="208">
        <f ca="1">E285+C285+E283</f>
        <v>748</v>
      </c>
      <c r="F288" s="216">
        <f>B283</f>
        <v>8.1</v>
      </c>
      <c r="G288" s="208" t="s">
        <v>198</v>
      </c>
      <c r="H288" s="209"/>
      <c r="I288" s="229"/>
      <c r="J288" s="111"/>
      <c r="K288" s="177"/>
      <c r="L288" s="111"/>
      <c r="M288" s="4" t="str">
        <f>IF(MAX(N288:N306)&lt;ROW(цб!26:26),"",VLOOKUP(ROW(цб!26:26),N288:O306,2))</f>
        <v/>
      </c>
      <c r="N288" s="155" t="str">
        <f t="array" ref="N288">IF(COUNTIF(O$262:O288,O288)=1,MAX(N$262:N287)+1,"")</f>
        <v/>
      </c>
      <c r="O288" s="152" t="str">
        <f t="array" ref="O288">IFERROR(INDEX(Данные!#REF!,SMALL(IF(Данные!#REF!=цб!$N$29,ROW(Данные!#REF!)-ROW(Данные!#REF!)+1),ROW()-ROW($O$263)+1)),"")</f>
        <v/>
      </c>
      <c r="P288" s="10"/>
      <c r="Q288" s="111"/>
      <c r="R288" s="111"/>
    </row>
    <row r="289" spans="1:18" ht="16.2" thickBot="1" x14ac:dyDescent="0.35">
      <c r="A289" s="221"/>
      <c r="B289" s="222"/>
      <c r="C289" s="222"/>
      <c r="D289" s="223">
        <f ca="1">D281*D283*D285*D287*D288/1000000</f>
        <v>0.96957000000000004</v>
      </c>
      <c r="E289" s="222"/>
      <c r="F289" s="224">
        <f ca="1">F281*F283*F285*F288/1000000</f>
        <v>31.977592491398401</v>
      </c>
      <c r="G289" s="223">
        <f ca="1">F289/360*G287</f>
        <v>18.653595619982401</v>
      </c>
      <c r="H289" s="232"/>
      <c r="I289" s="225">
        <f ca="1">B284+D289+G289+H283</f>
        <v>68.048616434162398</v>
      </c>
      <c r="J289" s="111"/>
      <c r="K289" s="177"/>
      <c r="L289" s="111"/>
      <c r="M289" s="4" t="str">
        <f>IF(MAX(N289:N306)&lt;ROW(цб!27:27),"",VLOOKUP(ROW(цб!27:27),N289:O306,2))</f>
        <v/>
      </c>
      <c r="N289" s="155" t="str">
        <f t="array" ref="N289">IF(COUNTIF(O$262:O289,O289)=1,MAX(N$262:N288)+1,"")</f>
        <v/>
      </c>
      <c r="O289" s="152" t="str">
        <f t="array" ref="O289">IFERROR(INDEX(Данные!#REF!,SMALL(IF(Данные!#REF!=цб!$N$29,ROW(Данные!#REF!)-ROW(Данные!#REF!)+1),ROW()-ROW($O$263)+1)),"")</f>
        <v/>
      </c>
      <c r="P289" s="10"/>
      <c r="Q289" s="111"/>
      <c r="R289" s="111"/>
    </row>
    <row r="290" spans="1:18" ht="14.4" x14ac:dyDescent="0.3">
      <c r="A290" s="176"/>
      <c r="B290" s="954"/>
      <c r="C290" s="111"/>
      <c r="D290" s="111"/>
      <c r="E290" s="111"/>
      <c r="F290" s="111"/>
      <c r="G290" s="111"/>
      <c r="H290" s="111"/>
      <c r="I290" s="111"/>
      <c r="J290" s="111"/>
      <c r="K290" s="177"/>
      <c r="L290" s="111"/>
      <c r="M290" s="4" t="str">
        <f>IF(MAX(N290:N306)&lt;ROW(цб!28:28),"",VLOOKUP(ROW(цб!28:28),N290:O306,2))</f>
        <v/>
      </c>
      <c r="N290" s="155" t="str">
        <f t="array" ref="N290">IF(COUNTIF(O$262:O290,O290)=1,MAX(N$262:N289)+1,"")</f>
        <v/>
      </c>
      <c r="O290" s="152" t="str">
        <f t="array" ref="O290">IFERROR(INDEX(Данные!#REF!,SMALL(IF(Данные!#REF!=цб!$N$29,ROW(Данные!#REF!)-ROW(Данные!#REF!)+1),ROW()-ROW($O$263)+1)),"")</f>
        <v/>
      </c>
      <c r="P290" s="10"/>
      <c r="Q290" s="111"/>
      <c r="R290" s="111"/>
    </row>
    <row r="291" spans="1:18" ht="15" thickBot="1" x14ac:dyDescent="0.35">
      <c r="A291" s="176" t="s">
        <v>202</v>
      </c>
      <c r="B291" s="954"/>
      <c r="C291" s="111"/>
      <c r="D291" s="111"/>
      <c r="E291" s="111"/>
      <c r="F291" s="111"/>
      <c r="G291" s="111"/>
      <c r="H291" s="111"/>
      <c r="I291" s="179"/>
      <c r="J291" s="179"/>
      <c r="K291" s="177"/>
      <c r="L291" s="111"/>
      <c r="M291" s="4" t="str">
        <f>IF(MAX(N291:N306)&lt;ROW(цб!29:29),"",VLOOKUP(ROW(цб!29:29),N291:O306,2))</f>
        <v/>
      </c>
      <c r="N291" s="155" t="str">
        <f t="array" ref="N291">IF(COUNTIF(O$262:O291,O291)=1,MAX(N$262:N290)+1,"")</f>
        <v/>
      </c>
      <c r="O291" s="152" t="str">
        <f t="array" ref="O291">IFERROR(INDEX(Данные!#REF!,SMALL(IF(Данные!#REF!=цб!$N$29,ROW(Данные!#REF!)-ROW(Данные!#REF!)+1),ROW()-ROW($O$263)+1)),"")</f>
        <v/>
      </c>
      <c r="P291" s="10"/>
      <c r="Q291" s="111"/>
      <c r="R291" s="111"/>
    </row>
    <row r="292" spans="1:18" ht="15.6" x14ac:dyDescent="0.3">
      <c r="A292" s="200" t="s">
        <v>203</v>
      </c>
      <c r="B292" s="202"/>
      <c r="C292" s="202" t="s">
        <v>138</v>
      </c>
      <c r="D292" s="202"/>
      <c r="E292" s="202" t="s">
        <v>204</v>
      </c>
      <c r="F292" s="202"/>
      <c r="G292" s="233" t="s">
        <v>191</v>
      </c>
      <c r="H292" s="1116"/>
      <c r="I292" s="179"/>
      <c r="J292" s="179"/>
      <c r="K292" s="177"/>
      <c r="L292" s="111"/>
      <c r="M292" s="4" t="str">
        <f>IF(MAX(N292:N306)&lt;ROW(цб!30:30),"",VLOOKUP(ROW(цб!30:30),N292:O306,2))</f>
        <v/>
      </c>
      <c r="N292" s="155" t="str">
        <f t="array" ref="N292">IF(COUNTIF(O$262:O292,O292)=1,MAX(N$262:N291)+1,"")</f>
        <v/>
      </c>
      <c r="O292" s="152" t="str">
        <f t="array" ref="O292">IFERROR(INDEX(Данные!#REF!,SMALL(IF(Данные!#REF!=цб!$N$29,ROW(Данные!#REF!)-ROW(Данные!#REF!)+1),ROW()-ROW($O$263)+1)),"")</f>
        <v/>
      </c>
      <c r="P292" s="10"/>
      <c r="Q292" s="111"/>
      <c r="R292" s="111"/>
    </row>
    <row r="293" spans="1:18" ht="15.6" x14ac:dyDescent="0.3">
      <c r="A293" s="235" t="s">
        <v>205</v>
      </c>
      <c r="B293" s="236"/>
      <c r="C293" s="208" t="s">
        <v>167</v>
      </c>
      <c r="D293" s="236"/>
      <c r="E293" s="236" t="s">
        <v>139</v>
      </c>
      <c r="F293" s="236"/>
      <c r="G293" s="237"/>
      <c r="H293" s="1116"/>
      <c r="I293" s="179"/>
      <c r="J293" s="179"/>
      <c r="K293" s="177"/>
      <c r="L293" s="111"/>
      <c r="M293" s="4" t="str">
        <f>IF(MAX(N293:N306)&lt;ROW(цб!31:31),"",VLOOKUP(ROW(цб!31:31),N293:O306,2))</f>
        <v/>
      </c>
      <c r="N293" s="155" t="str">
        <f t="array" ref="N293">IF(COUNTIF(O$262:O293,O293)=1,MAX(N$262:N292)+1,"")</f>
        <v/>
      </c>
      <c r="O293" s="152" t="str">
        <f t="array" ref="O293">IFERROR(INDEX(Данные!#REF!,SMALL(IF(Данные!#REF!=цб!$N$29,ROW(Данные!#REF!)-ROW(Данные!#REF!)+1),ROW()-ROW($O$263)+1)),"")</f>
        <v/>
      </c>
      <c r="P293" s="10"/>
      <c r="Q293" s="111"/>
      <c r="R293" s="111"/>
    </row>
    <row r="294" spans="1:18" ht="15.6" x14ac:dyDescent="0.3">
      <c r="A294" s="238" t="e">
        <f ca="1">VLOOKUP(B257,B47:I55,5,FALSE)</f>
        <v>#N/A</v>
      </c>
      <c r="B294" s="236" t="e">
        <f ca="1">A294</f>
        <v>#N/A</v>
      </c>
      <c r="C294" s="213" t="e">
        <f ca="1">VLOOKUP(B257,B47:I55,2,FALSE)</f>
        <v>#N/A</v>
      </c>
      <c r="D294" s="236"/>
      <c r="E294" s="239" t="e">
        <f ca="1">VLOOKUP(B257,B47:I55,7,FALSE)</f>
        <v>#N/A</v>
      </c>
      <c r="F294" s="236"/>
      <c r="G294" s="237"/>
      <c r="H294" s="1116"/>
      <c r="I294" s="179"/>
      <c r="J294" s="179"/>
      <c r="K294" s="177"/>
      <c r="L294" s="111"/>
      <c r="M294" s="4" t="str">
        <f>IF(MAX(N294:N306)&lt;ROW(цб!32:32),"",VLOOKUP(ROW(цб!32:32),N294:O306,2))</f>
        <v/>
      </c>
      <c r="N294" s="155" t="str">
        <f t="array" ref="N294">IF(COUNTIF(O$262:O294,O294)=1,MAX(N$262:N293)+1,"")</f>
        <v/>
      </c>
      <c r="O294" s="152" t="str">
        <f t="array" ref="O294">IFERROR(INDEX(Данные!#REF!,SMALL(IF(Данные!#REF!=цб!$N$29,ROW(Данные!#REF!)-ROW(Данные!#REF!)+1),ROW()-ROW($O$263)+1)),"")</f>
        <v/>
      </c>
      <c r="P294" s="10"/>
      <c r="Q294" s="111"/>
      <c r="R294" s="111"/>
    </row>
    <row r="295" spans="1:18" ht="15.6" x14ac:dyDescent="0.3">
      <c r="A295" s="240"/>
      <c r="B295" s="236"/>
      <c r="C295" s="208" t="s">
        <v>168</v>
      </c>
      <c r="D295" s="236"/>
      <c r="E295" s="236" t="s">
        <v>140</v>
      </c>
      <c r="F295" s="236"/>
      <c r="G295" s="237"/>
      <c r="H295" s="1116"/>
      <c r="I295" s="179"/>
      <c r="J295" s="179"/>
      <c r="K295" s="177"/>
      <c r="L295" s="111"/>
      <c r="M295" s="4" t="str">
        <f>IF(MAX(N295:N306)&lt;ROW(цб!33:33),"",VLOOKUP(ROW(цб!33:33),N295:O306,2))</f>
        <v/>
      </c>
      <c r="N295" s="155" t="str">
        <f t="array" ref="N295">IF(COUNTIF(O$262:O295,O295)=1,MAX(N$262:N294)+1,"")</f>
        <v/>
      </c>
      <c r="O295" s="152" t="str">
        <f t="array" ref="O295">IFERROR(INDEX(Данные!#REF!,SMALL(IF(Данные!#REF!=цб!$N$29,ROW(Данные!#REF!)-ROW(Данные!#REF!)+1),ROW()-ROW($O$263)+1)),"")</f>
        <v/>
      </c>
      <c r="P295" s="10"/>
      <c r="Q295" s="111"/>
      <c r="R295" s="111"/>
    </row>
    <row r="296" spans="1:18" ht="15.6" x14ac:dyDescent="0.3">
      <c r="A296" s="235" t="s">
        <v>206</v>
      </c>
      <c r="B296" s="236"/>
      <c r="C296" s="213" t="e">
        <f ca="1">VLOOKUP(B257,B47:I55,3,FALSE)</f>
        <v>#N/A</v>
      </c>
      <c r="D296" s="236" t="e">
        <f ca="1">(C294+C296)/2</f>
        <v>#N/A</v>
      </c>
      <c r="E296" s="239" t="e">
        <f ca="1">VLOOKUP(B257,B47:I55,8,FALSE)</f>
        <v>#N/A</v>
      </c>
      <c r="F296" s="236"/>
      <c r="G296" s="237"/>
      <c r="H296" s="1116"/>
      <c r="I296" s="179"/>
      <c r="J296" s="179"/>
      <c r="K296" s="177"/>
      <c r="L296" s="111"/>
      <c r="M296" s="4" t="str">
        <f>IF(MAX(N296:N306)&lt;ROW(цб!34:34),"",VLOOKUP(ROW(цб!34:34),N296:O306,2))</f>
        <v/>
      </c>
      <c r="N296" s="155" t="str">
        <f t="array" ref="N296">IF(COUNTIF(O$262:O296,O296)=1,MAX(N$262:N295)+1,"")</f>
        <v/>
      </c>
      <c r="O296" s="152" t="str">
        <f t="array" ref="O296">IFERROR(INDEX(Данные!#REF!,SMALL(IF(Данные!#REF!=цб!$N$29,ROW(Данные!#REF!)-ROW(Данные!#REF!)+1),ROW()-ROW($O$263)+1)),"")</f>
        <v/>
      </c>
      <c r="P296" s="10"/>
      <c r="Q296" s="111"/>
      <c r="R296" s="111"/>
    </row>
    <row r="297" spans="1:18" ht="15.6" x14ac:dyDescent="0.3">
      <c r="A297" s="238" t="e">
        <f ca="1">VLOOKUP(B257,B47:I55,6,FALSE)</f>
        <v>#N/A</v>
      </c>
      <c r="B297" s="236" t="e">
        <f ca="1">A297</f>
        <v>#N/A</v>
      </c>
      <c r="C297" s="208" t="s">
        <v>193</v>
      </c>
      <c r="D297" s="236"/>
      <c r="E297" s="236" t="s">
        <v>141</v>
      </c>
      <c r="F297" s="236"/>
      <c r="G297" s="237"/>
      <c r="H297" s="1116"/>
      <c r="I297" s="179"/>
      <c r="J297" s="179"/>
      <c r="K297" s="177"/>
      <c r="L297" s="111"/>
      <c r="M297" s="4" t="str">
        <f>IF(MAX(N297:N306)&lt;ROW(цб!35:35),"",VLOOKUP(ROW(цб!35:35),N297:O306,2))</f>
        <v/>
      </c>
      <c r="N297" s="155" t="str">
        <f t="array" ref="N297">IF(COUNTIF(O$262:O297,O297)=1,MAX(N$262:N296)+1,"")</f>
        <v/>
      </c>
      <c r="O297" s="152" t="str">
        <f t="array" ref="O297">IFERROR(INDEX(Данные!#REF!,SMALL(IF(Данные!#REF!=цб!$N$29,ROW(Данные!#REF!)-ROW(Данные!#REF!)+1),ROW()-ROW($O$263)+1)),"")</f>
        <v/>
      </c>
      <c r="P297" s="10"/>
      <c r="Q297" s="111"/>
      <c r="R297" s="111"/>
    </row>
    <row r="298" spans="1:18" ht="15.6" x14ac:dyDescent="0.3">
      <c r="A298" s="240"/>
      <c r="B298" s="236"/>
      <c r="C298" s="213" t="e">
        <f ca="1">VLOOKUP(B257,B47:I55,4,FALSE)</f>
        <v>#N/A</v>
      </c>
      <c r="D298" s="236" t="e">
        <f ca="1">C298</f>
        <v>#N/A</v>
      </c>
      <c r="E298" s="239">
        <f ca="1">B300</f>
        <v>1120</v>
      </c>
      <c r="F298" s="236"/>
      <c r="G298" s="237"/>
      <c r="H298" s="1116"/>
      <c r="I298" s="179"/>
      <c r="J298" s="179"/>
      <c r="K298" s="177"/>
      <c r="L298" s="111"/>
      <c r="M298" s="4" t="str">
        <f>IF(MAX(N298:N306)&lt;ROW(цб!36:36),"",VLOOKUP(ROW(цб!36:36),N298:O306,2))</f>
        <v/>
      </c>
      <c r="N298" s="155" t="str">
        <f t="array" ref="N298">IF(COUNTIF(O$262:O298,O298)=1,MAX(N$262:N297)+1,"")</f>
        <v/>
      </c>
      <c r="O298" s="152" t="str">
        <f t="array" ref="O298">IFERROR(INDEX(Данные!#REF!,SMALL(IF(Данные!#REF!=цб!$N$29,ROW(Данные!#REF!)-ROW(Данные!#REF!)+1),ROW()-ROW($O$263)+1)),"")</f>
        <v/>
      </c>
      <c r="P298" s="10"/>
      <c r="Q298" s="111"/>
      <c r="R298" s="111"/>
    </row>
    <row r="299" spans="1:18" ht="14.4" x14ac:dyDescent="0.3">
      <c r="A299" s="241" t="s">
        <v>5</v>
      </c>
      <c r="B299" s="236"/>
      <c r="C299" s="219" t="s">
        <v>870</v>
      </c>
      <c r="D299" s="236"/>
      <c r="E299" s="236"/>
      <c r="F299" s="236"/>
      <c r="G299" s="237"/>
      <c r="H299" s="1116"/>
      <c r="I299" s="179"/>
      <c r="J299" s="179"/>
      <c r="K299" s="177"/>
      <c r="M299" s="4" t="str">
        <f>IF(MAX(N299:N306)&lt;ROW(цб!37:37),"",VLOOKUP(ROW(цб!37:37),N299:O306,2))</f>
        <v/>
      </c>
      <c r="N299" s="155" t="str">
        <f t="array" ref="N299">IF(COUNTIF(O$262:O299,O299)=1,MAX(N$262:N298)+1,"")</f>
        <v/>
      </c>
      <c r="O299" s="152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42">
        <f ca="1">'Втулка с буртом'!M24+'Втулка с буртом'!M25</f>
        <v>1120</v>
      </c>
      <c r="B300" s="236">
        <f ca="1">A300</f>
        <v>1120</v>
      </c>
      <c r="C300" s="213">
        <v>210</v>
      </c>
      <c r="D300" s="236" t="e">
        <f ca="1">3.1415926*C303</f>
        <v>#N/A</v>
      </c>
      <c r="E300" s="335">
        <f ca="1">B302</f>
        <v>1</v>
      </c>
      <c r="F300" s="236" t="e">
        <f ca="1">E294*E296*E298*B301*E300/1000000</f>
        <v>#N/A</v>
      </c>
      <c r="G300" s="237"/>
      <c r="H300" s="1116"/>
      <c r="I300" s="179"/>
      <c r="J300" s="179"/>
      <c r="K300" s="177"/>
      <c r="M300" s="4" t="str">
        <f>IF(MAX(N300:N306)&lt;ROW(цб!38:38),"",VLOOKUP(ROW(цб!38:38),N300:O306,2))</f>
        <v/>
      </c>
      <c r="N300" s="155" t="str">
        <f t="array" ref="N300">IF(COUNTIF(O$262:O300,O300)=1,MAX(N$262:N299)+1,"")</f>
        <v/>
      </c>
      <c r="O300" s="152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40"/>
      <c r="B301" s="243">
        <f>'Втулка с буртом'!M16</f>
        <v>8.1</v>
      </c>
      <c r="C301" s="219" t="s">
        <v>195</v>
      </c>
      <c r="D301" s="236">
        <v>250</v>
      </c>
      <c r="E301" s="236"/>
      <c r="F301" s="236"/>
      <c r="G301" s="237"/>
      <c r="H301" s="1116"/>
      <c r="I301" s="179"/>
      <c r="J301" s="179"/>
      <c r="K301" s="177"/>
      <c r="M301" s="4" t="str">
        <f>IF(MAX(N301:N306)&lt;ROW(цб!39:39),"",VLOOKUP(ROW(цб!39:39),N301:O306,2))</f>
        <v/>
      </c>
      <c r="N301" s="155" t="str">
        <f t="array" ref="N301">IF(COUNTIF(O$262:O301,O301)=1,MAX(N$262:N300)+1,"")</f>
        <v/>
      </c>
      <c r="O301" s="152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40"/>
      <c r="B302" s="244">
        <f ca="1">IF('Втулка с буртом'!M21&gt;1000,2,1)</f>
        <v>1</v>
      </c>
      <c r="C302" s="219" t="s">
        <v>197</v>
      </c>
      <c r="D302" s="236">
        <f ca="1">IF(B302=1,D301,D300)</f>
        <v>250</v>
      </c>
      <c r="E302" s="236"/>
      <c r="F302" s="236"/>
      <c r="G302" s="237"/>
      <c r="H302" s="1116"/>
      <c r="I302" s="179"/>
      <c r="J302" s="179"/>
      <c r="K302" s="177"/>
      <c r="M302" s="4" t="str">
        <f>IF(MAX(N302:N306)&lt;ROW(цб!40:40),"",VLOOKUP(ROW(цб!40:40),N302:O306,2))</f>
        <v/>
      </c>
      <c r="N302" s="155" t="str">
        <f t="array" ref="N302">IF(COUNTIF(O$262:O302,O302)=1,MAX(N$262:N301)+1,"")</f>
        <v/>
      </c>
      <c r="O302" s="152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45"/>
      <c r="B303" s="246" t="e">
        <f ca="1">B294*B294*3.1415926*B300*B301/4000000+(B297*B297*3.1415926*B300*B301*B302/4000000)</f>
        <v>#N/A</v>
      </c>
      <c r="C303" s="247" t="e">
        <f ca="1">C300+E296+B297</f>
        <v>#N/A</v>
      </c>
      <c r="D303" s="246" t="e">
        <f ca="1">D296*D298*D302*B301/1000000/360*180</f>
        <v>#N/A</v>
      </c>
      <c r="E303" s="246"/>
      <c r="F303" s="246"/>
      <c r="G303" s="248" t="e">
        <f ca="1">B303+D303+F300</f>
        <v>#N/A</v>
      </c>
      <c r="H303" s="1116"/>
      <c r="I303" s="179"/>
      <c r="J303" s="179"/>
      <c r="K303" s="177"/>
      <c r="M303" s="4" t="str">
        <f>IF(MAX(N303:N306)&lt;ROW(цб!41:41),"",VLOOKUP(ROW(цб!41:41),N303:O306,2))</f>
        <v/>
      </c>
      <c r="N303" s="155" t="str">
        <f t="array" ref="N303">IF(COUNTIF(O$262:O303,O303)=1,MAX(N$262:N302)+1,"")</f>
        <v/>
      </c>
      <c r="O303" s="152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61"/>
      <c r="B304" s="956"/>
      <c r="C304" s="250"/>
      <c r="D304" s="250"/>
      <c r="E304" s="250"/>
      <c r="F304" s="250"/>
      <c r="G304" s="250"/>
      <c r="H304" s="250"/>
      <c r="I304" s="250"/>
      <c r="J304" s="250"/>
      <c r="K304" s="251"/>
      <c r="M304" s="4" t="str">
        <f>IF(MAX(N304:N306)&lt;ROW(цб!42:42),"",VLOOKUP(ROW(цб!42:42),N304:O306,2))</f>
        <v/>
      </c>
      <c r="N304" s="155" t="str">
        <f t="array" ref="N304">IF(COUNTIF(O$262:O304,O304)=1,MAX(N$262:N303)+1,"")</f>
        <v/>
      </c>
      <c r="O304" s="152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61"/>
      <c r="B305" s="707"/>
      <c r="C305" s="707"/>
      <c r="D305" s="1641"/>
      <c r="E305" s="1642"/>
      <c r="F305" s="1641"/>
      <c r="G305" s="976"/>
      <c r="H305" s="1641"/>
      <c r="I305" s="976"/>
      <c r="J305" s="976"/>
      <c r="K305" s="976"/>
      <c r="L305" s="177"/>
      <c r="M305" s="4" t="str">
        <f>IF(MAX(N305:N306)&lt;ROW(цб!43:43),"",VLOOKUP(ROW(цб!43:43),N305:O306,2))</f>
        <v/>
      </c>
      <c r="N305" s="155" t="str">
        <f t="array" ref="N305">IF(COUNTIF(O$262:O305,O305)=1,MAX(N$262:N304)+1,"")</f>
        <v/>
      </c>
      <c r="O305" s="152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75" t="s">
        <v>1215</v>
      </c>
      <c r="B306" s="976"/>
      <c r="C306" s="1641"/>
      <c r="D306" s="976"/>
      <c r="E306" s="976"/>
      <c r="F306" s="976"/>
      <c r="G306" s="976"/>
      <c r="H306" s="976"/>
      <c r="I306" s="976"/>
      <c r="J306" s="976"/>
      <c r="K306" s="1761"/>
      <c r="M306" s="19" t="str">
        <f>IF(MAX(N306:N306)&lt;ROW(цб!44:44),"",VLOOKUP(ROW(цб!44:44),N306:O306,2))</f>
        <v/>
      </c>
      <c r="N306" s="1244" t="str">
        <f t="array" ref="N306">IF(COUNTIF(O$262:O306,O306)=1,MAX(N$262:N305)+1,"")</f>
        <v/>
      </c>
      <c r="O306" s="1245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60" t="s">
        <v>1216</v>
      </c>
      <c r="B307" s="179">
        <f>(Конусная!F29-Конусная!E23)/2</f>
        <v>59.5</v>
      </c>
      <c r="C307" s="179"/>
      <c r="D307" s="179"/>
      <c r="E307" s="179"/>
      <c r="F307" s="179"/>
      <c r="G307" s="179"/>
      <c r="H307" s="179"/>
      <c r="I307" s="179"/>
      <c r="J307" s="179"/>
      <c r="K307" s="675"/>
      <c r="M307" s="1303" t="s">
        <v>1111</v>
      </c>
      <c r="N307" s="54">
        <f t="array" ref="N307">IF(цб!N27=0,MIN(IF(Таблицы!BS77:BS258&gt;=цб!N25,Таблицы!BS77:BS258)),цб!N27)</f>
        <v>217.5</v>
      </c>
    </row>
    <row r="308" spans="1:16" ht="14.4" x14ac:dyDescent="0.3">
      <c r="A308" s="708" t="s">
        <v>257</v>
      </c>
      <c r="B308" s="269" t="str">
        <f>_xlfn.IFS(B307&lt;16,VLOOKUP(Конусная!G8,Данные!A3:E27,2,FALSE),OR(B307&gt;=16,B307&lt;40),VLOOKUP(Конусная!G8,Данные!A3:E27,3,FALSE),B307&gt;=40,VLOOKUP(Конусная!G8,Данные!A3:E27,4,FALSE))</f>
        <v>1060-1080</v>
      </c>
      <c r="C308" s="269"/>
      <c r="G308" s="179"/>
      <c r="H308" s="179"/>
      <c r="I308" s="179"/>
      <c r="J308" s="179"/>
      <c r="K308" s="675"/>
      <c r="M308" s="1304" t="s">
        <v>742</v>
      </c>
      <c r="N308" s="54">
        <f t="array" aca="1" ref="N308" ca="1">IF(цб!N28=0,MIN(IF(Данные!M263:M306&gt;=цб!N26,Данные!M263:M306)),цб!N28)</f>
        <v>455</v>
      </c>
    </row>
    <row r="309" spans="1:16" ht="14.4" thickBot="1" x14ac:dyDescent="0.3">
      <c r="A309" s="660" t="s">
        <v>1220</v>
      </c>
      <c r="B309" s="179" t="e">
        <f>Конусная!#REF!</f>
        <v>#REF!</v>
      </c>
      <c r="C309" s="179"/>
      <c r="D309" s="179"/>
      <c r="E309" s="179"/>
      <c r="F309" s="179"/>
      <c r="G309" s="179"/>
      <c r="H309" s="179"/>
      <c r="I309" s="179"/>
      <c r="J309" s="179"/>
      <c r="K309" s="675"/>
    </row>
    <row r="310" spans="1:16" x14ac:dyDescent="0.25">
      <c r="A310" s="975" t="s">
        <v>1221</v>
      </c>
      <c r="B310" s="172">
        <f>VLOOKUP(Конусная!G8,Данные!A3:J27,10,0)</f>
        <v>3</v>
      </c>
      <c r="C310" s="179"/>
      <c r="D310" s="179"/>
      <c r="E310" s="179"/>
      <c r="F310" s="179"/>
      <c r="G310" s="179"/>
      <c r="H310" s="179"/>
      <c r="I310" s="179"/>
      <c r="J310" s="179"/>
      <c r="K310" s="675"/>
    </row>
    <row r="311" spans="1:16" ht="14.4" thickBot="1" x14ac:dyDescent="0.3">
      <c r="A311" s="1764" t="e">
        <f>_xlfn.IFS(B309&gt;=700,4,B309&gt;=500,3.5,B309&lt;500,3)</f>
        <v>#REF!</v>
      </c>
      <c r="B311" s="1765" t="e">
        <f>IF(B309&gt;=900,2.7,2.6)</f>
        <v>#REF!</v>
      </c>
      <c r="C311" s="179"/>
      <c r="D311" s="179"/>
      <c r="E311" s="179"/>
      <c r="F311" s="179"/>
      <c r="G311" s="179"/>
      <c r="H311" s="179"/>
      <c r="I311" s="179"/>
      <c r="J311" s="179"/>
      <c r="K311" s="675"/>
    </row>
    <row r="312" spans="1:16" x14ac:dyDescent="0.25">
      <c r="A312" s="660" t="s">
        <v>11</v>
      </c>
      <c r="B312" s="179" t="e">
        <f>IF(B310=3,_xlfn.CEILING.MATH(B307*A311,5),IF(B310=2.6,_xlfn.CEILING.MATH(B307*B311,5),_xlfn.CEILING.MATH(B307*B310,5)))</f>
        <v>#REF!</v>
      </c>
      <c r="C312" s="179"/>
      <c r="D312" s="179"/>
      <c r="E312" s="179"/>
      <c r="F312" s="179"/>
      <c r="G312" s="179"/>
      <c r="H312" s="179"/>
      <c r="I312" s="179"/>
      <c r="J312" s="179"/>
      <c r="K312" s="675"/>
    </row>
    <row r="313" spans="1:16" x14ac:dyDescent="0.25">
      <c r="A313" s="660"/>
      <c r="B313" s="1121"/>
      <c r="C313" s="179"/>
      <c r="D313" s="179"/>
      <c r="E313" s="179"/>
      <c r="F313" s="179"/>
      <c r="G313" s="179"/>
      <c r="H313" s="179"/>
      <c r="I313" s="179"/>
      <c r="J313" s="179"/>
      <c r="K313" s="675"/>
      <c r="M313" s="54" t="s">
        <v>1217</v>
      </c>
    </row>
    <row r="314" spans="1:16" x14ac:dyDescent="0.25">
      <c r="A314" s="660"/>
      <c r="B314" s="1121"/>
      <c r="C314" s="179"/>
      <c r="D314" s="179"/>
      <c r="E314" s="179"/>
      <c r="F314" s="179"/>
      <c r="G314" s="179"/>
      <c r="H314" s="179"/>
      <c r="I314" s="179"/>
      <c r="J314" s="179"/>
      <c r="K314" s="675"/>
    </row>
    <row r="315" spans="1:16" x14ac:dyDescent="0.25">
      <c r="A315" s="660"/>
      <c r="B315" s="1121"/>
      <c r="C315" s="179"/>
      <c r="D315" s="179"/>
      <c r="E315" s="179"/>
      <c r="F315" s="179"/>
      <c r="G315" s="179"/>
      <c r="H315" s="179"/>
      <c r="I315" s="179"/>
      <c r="J315" s="179"/>
      <c r="K315" s="675"/>
    </row>
    <row r="316" spans="1:16" ht="14.4" thickBot="1" x14ac:dyDescent="0.3">
      <c r="A316" s="661"/>
      <c r="B316" s="956"/>
      <c r="C316" s="250"/>
      <c r="D316" s="250"/>
      <c r="E316" s="250"/>
      <c r="F316" s="250"/>
      <c r="G316" s="250"/>
      <c r="H316" s="250"/>
      <c r="I316" s="250"/>
      <c r="J316" s="250"/>
      <c r="K316" s="251"/>
    </row>
    <row r="317" spans="1:16" x14ac:dyDescent="0.25">
      <c r="A317" s="253"/>
      <c r="B317" s="935"/>
    </row>
    <row r="318" spans="1:16" ht="14.4" thickBot="1" x14ac:dyDescent="0.3">
      <c r="A318" s="267" t="s">
        <v>1022</v>
      </c>
      <c r="B318" s="269"/>
      <c r="C318" s="267"/>
    </row>
    <row r="319" spans="1:16" x14ac:dyDescent="0.25">
      <c r="A319" s="170"/>
      <c r="B319" s="707">
        <v>50</v>
      </c>
      <c r="C319" s="707">
        <v>100</v>
      </c>
      <c r="D319" s="171">
        <v>200</v>
      </c>
      <c r="E319" s="171">
        <v>300</v>
      </c>
      <c r="F319" s="171">
        <v>400</v>
      </c>
      <c r="G319" s="171">
        <v>600</v>
      </c>
      <c r="H319" s="171">
        <v>800</v>
      </c>
      <c r="I319" s="171">
        <v>1200</v>
      </c>
      <c r="J319" s="171">
        <v>1500</v>
      </c>
      <c r="K319" s="172">
        <v>2000</v>
      </c>
    </row>
    <row r="320" spans="1:16" x14ac:dyDescent="0.25">
      <c r="A320" s="708">
        <v>100</v>
      </c>
      <c r="B320" s="269" t="s">
        <v>779</v>
      </c>
      <c r="C320" s="269" t="s">
        <v>782</v>
      </c>
      <c r="D320" s="111" t="s">
        <v>785</v>
      </c>
      <c r="E320" s="111"/>
      <c r="F320" s="111"/>
      <c r="G320" s="111"/>
      <c r="H320" s="111"/>
      <c r="I320" s="111"/>
      <c r="J320" s="111"/>
      <c r="K320" s="177"/>
    </row>
    <row r="321" spans="1:11" x14ac:dyDescent="0.25">
      <c r="A321" s="708">
        <v>200</v>
      </c>
      <c r="B321" s="269" t="s">
        <v>779</v>
      </c>
      <c r="C321" s="269" t="s">
        <v>782</v>
      </c>
      <c r="D321" s="111" t="s">
        <v>784</v>
      </c>
      <c r="E321" s="111" t="s">
        <v>788</v>
      </c>
      <c r="F321" s="111"/>
      <c r="G321" s="111"/>
      <c r="H321" s="111"/>
      <c r="I321" s="111"/>
      <c r="J321" s="111"/>
      <c r="K321" s="177"/>
    </row>
    <row r="322" spans="1:11" x14ac:dyDescent="0.25">
      <c r="A322" s="708">
        <v>300</v>
      </c>
      <c r="B322" s="269" t="s">
        <v>794</v>
      </c>
      <c r="C322" s="269" t="s">
        <v>781</v>
      </c>
      <c r="D322" s="111" t="s">
        <v>785</v>
      </c>
      <c r="E322" s="111" t="s">
        <v>773</v>
      </c>
      <c r="F322" s="111" t="s">
        <v>789</v>
      </c>
      <c r="G322" s="111"/>
      <c r="H322" s="111"/>
      <c r="I322" s="111"/>
      <c r="J322" s="111"/>
      <c r="K322" s="177"/>
    </row>
    <row r="323" spans="1:11" x14ac:dyDescent="0.25">
      <c r="A323" s="708">
        <v>400</v>
      </c>
      <c r="B323" s="269" t="s">
        <v>785</v>
      </c>
      <c r="C323" s="269" t="s">
        <v>773</v>
      </c>
      <c r="D323" s="111" t="s">
        <v>792</v>
      </c>
      <c r="E323" s="111" t="s">
        <v>799</v>
      </c>
      <c r="F323" s="111" t="s">
        <v>802</v>
      </c>
      <c r="G323" s="111" t="s">
        <v>830</v>
      </c>
      <c r="H323" s="111" t="s">
        <v>1003</v>
      </c>
      <c r="I323" s="111" t="s">
        <v>1005</v>
      </c>
      <c r="J323" s="111" t="s">
        <v>1006</v>
      </c>
      <c r="K323" s="177"/>
    </row>
    <row r="324" spans="1:11" x14ac:dyDescent="0.25">
      <c r="A324" s="708">
        <v>600</v>
      </c>
      <c r="B324" s="269" t="s">
        <v>788</v>
      </c>
      <c r="C324" s="269" t="s">
        <v>788</v>
      </c>
      <c r="D324" s="111" t="s">
        <v>799</v>
      </c>
      <c r="E324" s="111" t="s">
        <v>799</v>
      </c>
      <c r="F324" s="111" t="s">
        <v>802</v>
      </c>
      <c r="G324" s="111" t="s">
        <v>797</v>
      </c>
      <c r="H324" s="111" t="s">
        <v>801</v>
      </c>
      <c r="I324" s="111" t="s">
        <v>1004</v>
      </c>
      <c r="J324" s="111" t="s">
        <v>993</v>
      </c>
      <c r="K324" s="177"/>
    </row>
    <row r="325" spans="1:11" x14ac:dyDescent="0.25">
      <c r="A325" s="708">
        <v>800</v>
      </c>
      <c r="B325" s="269" t="s">
        <v>775</v>
      </c>
      <c r="C325" s="269" t="s">
        <v>777</v>
      </c>
      <c r="D325" s="111" t="s">
        <v>777</v>
      </c>
      <c r="E325" s="111" t="s">
        <v>797</v>
      </c>
      <c r="F325" s="111" t="s">
        <v>803</v>
      </c>
      <c r="G325" s="111" t="s">
        <v>790</v>
      </c>
      <c r="H325" s="111" t="s">
        <v>791</v>
      </c>
      <c r="I325" s="111" t="s">
        <v>801</v>
      </c>
      <c r="J325" s="111" t="s">
        <v>992</v>
      </c>
      <c r="K325" s="177"/>
    </row>
    <row r="326" spans="1:11" x14ac:dyDescent="0.25">
      <c r="A326" s="708">
        <v>1000</v>
      </c>
      <c r="B326" s="269" t="s">
        <v>777</v>
      </c>
      <c r="C326" s="269" t="s">
        <v>797</v>
      </c>
      <c r="D326" s="111" t="s">
        <v>797</v>
      </c>
      <c r="E326" s="111" t="s">
        <v>790</v>
      </c>
      <c r="F326" s="111" t="s">
        <v>804</v>
      </c>
      <c r="G326" s="111" t="s">
        <v>804</v>
      </c>
      <c r="H326" s="111" t="s">
        <v>796</v>
      </c>
      <c r="I326" s="111" t="s">
        <v>798</v>
      </c>
      <c r="J326" s="111" t="s">
        <v>821</v>
      </c>
      <c r="K326" s="177"/>
    </row>
    <row r="327" spans="1:11" x14ac:dyDescent="0.25">
      <c r="A327" s="708">
        <v>1500</v>
      </c>
      <c r="B327" s="269" t="s">
        <v>795</v>
      </c>
      <c r="C327" s="269" t="s">
        <v>796</v>
      </c>
      <c r="D327" s="111" t="s">
        <v>796</v>
      </c>
      <c r="E327" s="111" t="s">
        <v>798</v>
      </c>
      <c r="F327" s="111" t="s">
        <v>800</v>
      </c>
      <c r="G327" s="111" t="s">
        <v>800</v>
      </c>
      <c r="H327" s="111" t="s">
        <v>801</v>
      </c>
      <c r="I327" s="111" t="s">
        <v>801</v>
      </c>
      <c r="J327" s="111" t="s">
        <v>821</v>
      </c>
      <c r="K327" s="177" t="s">
        <v>821</v>
      </c>
    </row>
    <row r="328" spans="1:11" x14ac:dyDescent="0.25">
      <c r="A328" s="708">
        <v>2000</v>
      </c>
      <c r="B328" s="269" t="s">
        <v>796</v>
      </c>
      <c r="C328" s="269" t="s">
        <v>798</v>
      </c>
      <c r="D328" s="111" t="s">
        <v>800</v>
      </c>
      <c r="E328" s="111" t="s">
        <v>801</v>
      </c>
      <c r="F328" s="111" t="s">
        <v>801</v>
      </c>
      <c r="G328" s="111" t="s">
        <v>805</v>
      </c>
      <c r="H328" s="111" t="s">
        <v>806</v>
      </c>
      <c r="I328" s="111" t="s">
        <v>806</v>
      </c>
      <c r="J328" s="111" t="s">
        <v>821</v>
      </c>
      <c r="K328" s="177" t="s">
        <v>821</v>
      </c>
    </row>
    <row r="329" spans="1:11" ht="14.4" thickBot="1" x14ac:dyDescent="0.3">
      <c r="A329" s="249">
        <v>2500</v>
      </c>
      <c r="B329" s="250" t="s">
        <v>800</v>
      </c>
      <c r="C329" s="250" t="s">
        <v>801</v>
      </c>
      <c r="D329" s="250" t="s">
        <v>801</v>
      </c>
      <c r="E329" s="250" t="s">
        <v>805</v>
      </c>
      <c r="F329" s="250" t="s">
        <v>806</v>
      </c>
      <c r="G329" s="250" t="s">
        <v>806</v>
      </c>
      <c r="H329" s="250" t="s">
        <v>820</v>
      </c>
      <c r="I329" s="250" t="s">
        <v>820</v>
      </c>
      <c r="J329" s="250" t="s">
        <v>821</v>
      </c>
      <c r="K329" s="251" t="s">
        <v>821</v>
      </c>
    </row>
    <row r="330" spans="1:11" x14ac:dyDescent="0.25">
      <c r="A330" s="253"/>
      <c r="B330" s="935"/>
    </row>
    <row r="331" spans="1:11" ht="14.4" thickBot="1" x14ac:dyDescent="0.3">
      <c r="A331" s="253"/>
      <c r="B331" s="935"/>
    </row>
    <row r="332" spans="1:11" ht="14.4" thickBot="1" x14ac:dyDescent="0.3">
      <c r="A332" s="1646" t="s">
        <v>924</v>
      </c>
      <c r="B332" s="1162"/>
      <c r="C332" s="707"/>
      <c r="D332" s="171"/>
      <c r="E332" s="171"/>
      <c r="F332" s="677" t="s">
        <v>1158</v>
      </c>
      <c r="G332" s="171">
        <f ca="1">HLOOKUP(TRUE,A339:J343,4,FALSE)</f>
        <v>800</v>
      </c>
      <c r="H332" s="677" t="s">
        <v>1160</v>
      </c>
      <c r="I332" s="171">
        <f ca="1">HLOOKUP(TRUE,A346:J350,5,FALSE)</f>
        <v>4</v>
      </c>
      <c r="J332" s="171"/>
      <c r="K332" s="172"/>
    </row>
    <row r="333" spans="1:11" ht="14.4" thickBot="1" x14ac:dyDescent="0.3">
      <c r="A333" s="1163" t="s">
        <v>763</v>
      </c>
      <c r="B333" s="701"/>
      <c r="C333" s="701"/>
      <c r="D333" s="954" t="s">
        <v>343</v>
      </c>
      <c r="E333" s="1120">
        <f>IF(AND('Втулка с буртом'!M16&gt;=7.5,'Втулка с буртом'!M16&lt;=8.5),2,1)</f>
        <v>2</v>
      </c>
      <c r="F333" s="954" t="s">
        <v>1159</v>
      </c>
      <c r="G333" s="111">
        <f ca="1">HLOOKUP(TRUE,A341:J343,2,FALSE)</f>
        <v>800</v>
      </c>
      <c r="H333" s="954" t="s">
        <v>1161</v>
      </c>
      <c r="I333" s="111">
        <f ca="1">HLOOKUP(TRUE,A348:J350,3,FALSE)</f>
        <v>8</v>
      </c>
      <c r="J333" s="744" t="s">
        <v>831</v>
      </c>
      <c r="K333" s="742" t="b">
        <f>A255</f>
        <v>0</v>
      </c>
    </row>
    <row r="334" spans="1:11" ht="14.4" thickBot="1" x14ac:dyDescent="0.3">
      <c r="A334" s="176" t="s">
        <v>1155</v>
      </c>
      <c r="B334" s="111">
        <f ca="1">IF(K333=TRUE,100,'Втулка с буртом'!M20)</f>
        <v>742</v>
      </c>
      <c r="C334" s="954" t="s">
        <v>769</v>
      </c>
      <c r="D334" s="265" t="str">
        <f ca="1">(IF(AND('Втулка с буртом'!M16&gt;=7.5,'Втулка с буртом'!M16&lt;=8.5),VLOOKUP(G332,A220:K229,I332,0),VLOOKUP(G332,A208:K217,I332,0)))</f>
        <v>20 20 20</v>
      </c>
      <c r="E334" s="703" t="s">
        <v>770</v>
      </c>
      <c r="F334" s="704" t="s">
        <v>771</v>
      </c>
      <c r="G334" s="705" t="s">
        <v>772</v>
      </c>
      <c r="H334" s="265" t="str">
        <f ca="1">(IF(AND('Втулка с буртом'!M16&gt;=7.5,'Втулка с буртом'!M16&lt;=8.5),VLOOKUP(G333,A220:K229,I333,0),VLOOKUP(G333,A208:K217,I333,0)))</f>
        <v>20 20 20</v>
      </c>
      <c r="I334" s="703" t="s">
        <v>770</v>
      </c>
      <c r="J334" s="704" t="s">
        <v>771</v>
      </c>
      <c r="K334" s="705" t="s">
        <v>772</v>
      </c>
    </row>
    <row r="335" spans="1:11" ht="14.4" thickBot="1" x14ac:dyDescent="0.3">
      <c r="A335" s="176" t="s">
        <v>1154</v>
      </c>
      <c r="B335" s="111">
        <f ca="1">IF(K333=TRUE,100,'Втулка с буртом'!M21)</f>
        <v>650</v>
      </c>
      <c r="C335" s="111"/>
      <c r="D335" s="111" t="s">
        <v>749</v>
      </c>
      <c r="E335" s="702" t="str">
        <f ca="1">LEFT(D334,SEARCH(" ",D334,1))</f>
        <v xml:space="preserve">20 </v>
      </c>
      <c r="F335" s="706" t="str">
        <f ca="1">LEFT(F336,SEARCH(" ",F336,2))</f>
        <v xml:space="preserve"> 20 </v>
      </c>
      <c r="G335" s="702" t="str">
        <f ca="1">RIGHT(F336,SEARCH(" ",D334,1))</f>
        <v xml:space="preserve"> 20</v>
      </c>
      <c r="H335" s="111" t="s">
        <v>748</v>
      </c>
      <c r="I335" s="702" t="str">
        <f ca="1">LEFT(H334,SEARCH(" ",H334,1))</f>
        <v xml:space="preserve">20 </v>
      </c>
      <c r="J335" s="706" t="str">
        <f ca="1">LEFT(J336,SEARCH(" ",J336,2))</f>
        <v xml:space="preserve"> 20 </v>
      </c>
      <c r="K335" s="702" t="str">
        <f ca="1">RIGHT(J336,SEARCH(" ",H334,1))</f>
        <v xml:space="preserve"> 20</v>
      </c>
    </row>
    <row r="336" spans="1:11" ht="14.4" thickBot="1" x14ac:dyDescent="0.3">
      <c r="A336" s="1164" t="s">
        <v>79</v>
      </c>
      <c r="B336" s="1165">
        <f ca="1">IF(K333=TRUE,100,'Втулка с буртом'!M23)</f>
        <v>142</v>
      </c>
      <c r="C336" s="1165">
        <f ca="1">IF(K333=TRUE,100,'Втулка с буртом'!M24-'Втулка с буртом'!M23)</f>
        <v>688</v>
      </c>
      <c r="D336" s="250"/>
      <c r="E336" s="250"/>
      <c r="F336" s="702" t="str">
        <f ca="1">RIGHT(D334,LEN(D334)-SEARCH("",D334,2))</f>
        <v xml:space="preserve"> 20 20</v>
      </c>
      <c r="G336" s="250"/>
      <c r="H336" s="250"/>
      <c r="I336" s="250"/>
      <c r="J336" s="702" t="str">
        <f ca="1">RIGHT(H334,LEN(H334)-SEARCH("",H334,2))</f>
        <v xml:space="preserve"> 20 20</v>
      </c>
      <c r="K336" s="251"/>
    </row>
    <row r="337" spans="1:11" x14ac:dyDescent="0.25">
      <c r="A337" s="660"/>
      <c r="B337" s="1121"/>
      <c r="C337" s="111"/>
      <c r="D337" s="111"/>
      <c r="E337" s="111"/>
      <c r="F337" s="111"/>
      <c r="G337" s="111"/>
      <c r="H337" s="111"/>
      <c r="I337" s="111"/>
      <c r="J337" s="111"/>
      <c r="K337" s="177"/>
    </row>
    <row r="338" spans="1:11" x14ac:dyDescent="0.25">
      <c r="A338" s="1643" t="s">
        <v>1156</v>
      </c>
      <c r="B338" s="1635"/>
      <c r="C338" s="1122"/>
      <c r="D338" s="1122"/>
      <c r="E338" s="1122"/>
      <c r="F338" s="1122"/>
      <c r="G338" s="1122"/>
      <c r="H338" s="1122"/>
      <c r="I338" s="1122"/>
      <c r="J338" s="1123"/>
      <c r="K338" s="177"/>
    </row>
    <row r="339" spans="1:11" x14ac:dyDescent="0.25">
      <c r="A339" s="660" t="b">
        <f ca="1">$B$334&lt;=A342</f>
        <v>0</v>
      </c>
      <c r="B339" s="179" t="b">
        <f t="shared" ref="B339:J339" ca="1" si="9">$B$334&lt;=B342</f>
        <v>0</v>
      </c>
      <c r="C339" s="179" t="b">
        <f t="shared" ca="1" si="9"/>
        <v>0</v>
      </c>
      <c r="D339" s="179" t="b">
        <f t="shared" ca="1" si="9"/>
        <v>0</v>
      </c>
      <c r="E339" s="179" t="b">
        <f t="shared" ca="1" si="9"/>
        <v>0</v>
      </c>
      <c r="F339" s="179" t="b">
        <f t="shared" ca="1" si="9"/>
        <v>1</v>
      </c>
      <c r="G339" s="179" t="b">
        <f t="shared" ca="1" si="9"/>
        <v>1</v>
      </c>
      <c r="H339" s="179" t="b">
        <f t="shared" ca="1" si="9"/>
        <v>1</v>
      </c>
      <c r="I339" s="179" t="b">
        <f t="shared" ca="1" si="9"/>
        <v>1</v>
      </c>
      <c r="J339" s="1636" t="b">
        <f t="shared" ca="1" si="9"/>
        <v>1</v>
      </c>
      <c r="K339" s="177"/>
    </row>
    <row r="340" spans="1:11" x14ac:dyDescent="0.25">
      <c r="A340" s="258" t="s">
        <v>1157</v>
      </c>
      <c r="B340" s="1121"/>
      <c r="C340" s="111"/>
      <c r="D340" s="111"/>
      <c r="E340" s="111"/>
      <c r="F340" s="111"/>
      <c r="G340" s="111"/>
      <c r="H340" s="111"/>
      <c r="I340" s="111"/>
      <c r="J340" s="1124"/>
      <c r="K340" s="177"/>
    </row>
    <row r="341" spans="1:11" x14ac:dyDescent="0.25">
      <c r="A341" s="660" t="b">
        <f ca="1">$B$335&lt;=A342</f>
        <v>0</v>
      </c>
      <c r="B341" s="179" t="b">
        <f t="shared" ref="B341:J341" ca="1" si="10">$B$335&lt;=B342</f>
        <v>0</v>
      </c>
      <c r="C341" s="179" t="b">
        <f t="shared" ca="1" si="10"/>
        <v>0</v>
      </c>
      <c r="D341" s="179" t="b">
        <f t="shared" ca="1" si="10"/>
        <v>0</v>
      </c>
      <c r="E341" s="179" t="b">
        <f t="shared" ca="1" si="10"/>
        <v>0</v>
      </c>
      <c r="F341" s="179" t="b">
        <f t="shared" ca="1" si="10"/>
        <v>1</v>
      </c>
      <c r="G341" s="179" t="b">
        <f t="shared" ca="1" si="10"/>
        <v>1</v>
      </c>
      <c r="H341" s="179" t="b">
        <f t="shared" ca="1" si="10"/>
        <v>1</v>
      </c>
      <c r="I341" s="179" t="b">
        <f t="shared" ca="1" si="10"/>
        <v>1</v>
      </c>
      <c r="J341" s="1636" t="b">
        <f t="shared" ca="1" si="10"/>
        <v>1</v>
      </c>
      <c r="K341" s="177"/>
    </row>
    <row r="342" spans="1:11" x14ac:dyDescent="0.25">
      <c r="A342" s="1644">
        <v>100</v>
      </c>
      <c r="B342" s="1634">
        <v>200</v>
      </c>
      <c r="C342" s="1633">
        <v>300</v>
      </c>
      <c r="D342" s="1633">
        <v>400</v>
      </c>
      <c r="E342" s="1633">
        <v>600</v>
      </c>
      <c r="F342" s="1633">
        <v>800</v>
      </c>
      <c r="G342" s="1633">
        <v>1000</v>
      </c>
      <c r="H342" s="1633">
        <v>1500</v>
      </c>
      <c r="I342" s="1633">
        <v>2000</v>
      </c>
      <c r="J342" s="1637">
        <v>2500</v>
      </c>
      <c r="K342" s="177"/>
    </row>
    <row r="343" spans="1:11" x14ac:dyDescent="0.25">
      <c r="A343" s="1645">
        <v>1</v>
      </c>
      <c r="B343" s="1638">
        <v>2</v>
      </c>
      <c r="C343" s="1639">
        <v>3</v>
      </c>
      <c r="D343" s="1639">
        <v>4</v>
      </c>
      <c r="E343" s="1639">
        <v>5</v>
      </c>
      <c r="F343" s="1639">
        <v>6</v>
      </c>
      <c r="G343" s="1639">
        <v>7</v>
      </c>
      <c r="H343" s="1639">
        <v>8</v>
      </c>
      <c r="I343" s="1639">
        <v>9</v>
      </c>
      <c r="J343" s="1640">
        <v>10</v>
      </c>
      <c r="K343" s="177"/>
    </row>
    <row r="344" spans="1:11" x14ac:dyDescent="0.25">
      <c r="A344" s="660"/>
      <c r="B344" s="1121"/>
      <c r="C344" s="111"/>
      <c r="D344" s="111"/>
      <c r="E344" s="111"/>
      <c r="F344" s="111"/>
      <c r="G344" s="111"/>
      <c r="H344" s="111"/>
      <c r="I344" s="111"/>
      <c r="J344" s="111"/>
      <c r="K344" s="177"/>
    </row>
    <row r="345" spans="1:11" x14ac:dyDescent="0.25">
      <c r="A345" s="1643" t="s">
        <v>1160</v>
      </c>
      <c r="B345" s="1635"/>
      <c r="C345" s="1122"/>
      <c r="D345" s="1122"/>
      <c r="E345" s="1122"/>
      <c r="F345" s="1122"/>
      <c r="G345" s="1122"/>
      <c r="H345" s="1122"/>
      <c r="I345" s="1122"/>
      <c r="J345" s="1123"/>
      <c r="K345" s="177"/>
    </row>
    <row r="346" spans="1:11" x14ac:dyDescent="0.25">
      <c r="A346" s="660" t="b">
        <f ca="1">$B$336&lt;=A349</f>
        <v>0</v>
      </c>
      <c r="B346" s="179" t="b">
        <f t="shared" ref="B346:J346" ca="1" si="11">$B$336&lt;=B349</f>
        <v>0</v>
      </c>
      <c r="C346" s="179" t="b">
        <f t="shared" ca="1" si="11"/>
        <v>1</v>
      </c>
      <c r="D346" s="179" t="b">
        <f t="shared" ca="1" si="11"/>
        <v>1</v>
      </c>
      <c r="E346" s="179" t="b">
        <f t="shared" ca="1" si="11"/>
        <v>1</v>
      </c>
      <c r="F346" s="179" t="b">
        <f t="shared" ca="1" si="11"/>
        <v>1</v>
      </c>
      <c r="G346" s="179" t="b">
        <f t="shared" ca="1" si="11"/>
        <v>1</v>
      </c>
      <c r="H346" s="179" t="b">
        <f t="shared" ca="1" si="11"/>
        <v>1</v>
      </c>
      <c r="I346" s="179" t="b">
        <f t="shared" ca="1" si="11"/>
        <v>1</v>
      </c>
      <c r="J346" s="1636" t="b">
        <f t="shared" ca="1" si="11"/>
        <v>1</v>
      </c>
      <c r="K346" s="177"/>
    </row>
    <row r="347" spans="1:11" x14ac:dyDescent="0.25">
      <c r="A347" s="258" t="s">
        <v>1161</v>
      </c>
      <c r="B347" s="1121"/>
      <c r="C347" s="111"/>
      <c r="D347" s="111"/>
      <c r="E347" s="111"/>
      <c r="F347" s="111"/>
      <c r="G347" s="111"/>
      <c r="H347" s="111"/>
      <c r="I347" s="111"/>
      <c r="J347" s="1124"/>
      <c r="K347" s="177"/>
    </row>
    <row r="348" spans="1:11" x14ac:dyDescent="0.25">
      <c r="A348" s="660" t="b">
        <f ca="1">$C$336&lt;=A349</f>
        <v>0</v>
      </c>
      <c r="B348" s="179" t="b">
        <f t="shared" ref="B348:J348" ca="1" si="12">$C$336&lt;=B349</f>
        <v>0</v>
      </c>
      <c r="C348" s="179" t="b">
        <f t="shared" ca="1" si="12"/>
        <v>0</v>
      </c>
      <c r="D348" s="179" t="b">
        <f t="shared" ca="1" si="12"/>
        <v>0</v>
      </c>
      <c r="E348" s="179" t="b">
        <f t="shared" ca="1" si="12"/>
        <v>0</v>
      </c>
      <c r="F348" s="179" t="b">
        <f t="shared" ca="1" si="12"/>
        <v>0</v>
      </c>
      <c r="G348" s="179" t="b">
        <f t="shared" ca="1" si="12"/>
        <v>1</v>
      </c>
      <c r="H348" s="179" t="b">
        <f t="shared" ca="1" si="12"/>
        <v>1</v>
      </c>
      <c r="I348" s="179" t="b">
        <f t="shared" ca="1" si="12"/>
        <v>1</v>
      </c>
      <c r="J348" s="1636" t="b">
        <f t="shared" ca="1" si="12"/>
        <v>1</v>
      </c>
      <c r="K348" s="177"/>
    </row>
    <row r="349" spans="1:11" x14ac:dyDescent="0.25">
      <c r="A349" s="1644">
        <v>50</v>
      </c>
      <c r="B349" s="1634">
        <v>100</v>
      </c>
      <c r="C349" s="1633">
        <v>200</v>
      </c>
      <c r="D349" s="1633">
        <v>300</v>
      </c>
      <c r="E349" s="1633">
        <v>400</v>
      </c>
      <c r="F349" s="1633">
        <v>600</v>
      </c>
      <c r="G349" s="1633">
        <v>800</v>
      </c>
      <c r="H349" s="1633">
        <v>1200</v>
      </c>
      <c r="I349" s="1633">
        <v>1500</v>
      </c>
      <c r="J349" s="1637">
        <v>2000</v>
      </c>
      <c r="K349" s="177"/>
    </row>
    <row r="350" spans="1:11" x14ac:dyDescent="0.25">
      <c r="A350" s="1645">
        <v>2</v>
      </c>
      <c r="B350" s="1638">
        <v>3</v>
      </c>
      <c r="C350" s="1639">
        <v>4</v>
      </c>
      <c r="D350" s="1639">
        <v>5</v>
      </c>
      <c r="E350" s="1639">
        <v>6</v>
      </c>
      <c r="F350" s="1639">
        <v>7</v>
      </c>
      <c r="G350" s="1639">
        <v>8</v>
      </c>
      <c r="H350" s="1639">
        <v>9</v>
      </c>
      <c r="I350" s="1639">
        <v>10</v>
      </c>
      <c r="J350" s="1640">
        <v>11</v>
      </c>
      <c r="K350" s="177"/>
    </row>
    <row r="351" spans="1:11" x14ac:dyDescent="0.25">
      <c r="A351" s="660"/>
      <c r="B351" s="1121"/>
      <c r="C351" s="111"/>
      <c r="D351" s="111"/>
      <c r="E351" s="111"/>
      <c r="F351" s="111"/>
      <c r="G351" s="111"/>
      <c r="H351" s="111"/>
      <c r="I351" s="111"/>
      <c r="J351" s="111"/>
      <c r="K351" s="177"/>
    </row>
    <row r="352" spans="1:11" x14ac:dyDescent="0.25">
      <c r="C352" s="111"/>
      <c r="D352" s="111"/>
      <c r="E352" s="111"/>
      <c r="F352" s="111"/>
      <c r="G352" s="111"/>
      <c r="H352" s="111"/>
      <c r="I352" s="111"/>
      <c r="J352" s="111"/>
      <c r="K352" s="177"/>
    </row>
    <row r="353" spans="1:11" x14ac:dyDescent="0.25">
      <c r="A353" s="660" t="s">
        <v>1216</v>
      </c>
      <c r="B353" s="179">
        <f ca="1">'Втулка с буртом'!M27</f>
        <v>111</v>
      </c>
      <c r="C353" s="111"/>
      <c r="D353" s="111"/>
      <c r="E353" s="111"/>
      <c r="F353" s="111"/>
      <c r="G353" s="111"/>
      <c r="H353" s="111"/>
      <c r="I353" s="111"/>
      <c r="J353" s="111"/>
      <c r="K353" s="177"/>
    </row>
    <row r="354" spans="1:11" ht="14.4" thickBot="1" x14ac:dyDescent="0.3">
      <c r="A354" s="660" t="s">
        <v>1220</v>
      </c>
      <c r="B354" s="179">
        <f ca="1">'Втулка с буртом'!M24</f>
        <v>830</v>
      </c>
      <c r="C354" s="111"/>
      <c r="D354" s="111"/>
      <c r="E354" s="111"/>
      <c r="F354" s="111"/>
      <c r="G354" s="111"/>
      <c r="H354" s="111"/>
      <c r="I354" s="111"/>
      <c r="J354" s="111"/>
      <c r="K354" s="177"/>
    </row>
    <row r="355" spans="1:11" x14ac:dyDescent="0.25">
      <c r="A355" s="975" t="s">
        <v>1221</v>
      </c>
      <c r="B355" s="172">
        <f>VLOOKUP('Втулка с буртом'!F8,Данные!A3:J27,10,0)</f>
        <v>2.6</v>
      </c>
      <c r="C355" s="111"/>
      <c r="D355" s="111"/>
      <c r="E355" s="111"/>
      <c r="F355" s="111"/>
      <c r="G355" s="111"/>
      <c r="H355" s="111"/>
      <c r="I355" s="111"/>
      <c r="J355" s="111"/>
      <c r="K355" s="177"/>
    </row>
    <row r="356" spans="1:11" ht="14.4" thickBot="1" x14ac:dyDescent="0.3">
      <c r="A356" s="1764">
        <f ca="1">_xlfn.IFS(B354&gt;=700,4,B354&gt;=500,3.5,B354&lt;500,3)</f>
        <v>4</v>
      </c>
      <c r="B356" s="1765">
        <f ca="1">IF(B354&gt;=900,2.7,2.6)</f>
        <v>2.6</v>
      </c>
      <c r="C356" s="111"/>
      <c r="D356" s="111"/>
      <c r="E356" s="111"/>
      <c r="F356" s="111"/>
      <c r="G356" s="111"/>
      <c r="H356" s="111"/>
      <c r="I356" s="111"/>
      <c r="J356" s="111"/>
      <c r="K356" s="177"/>
    </row>
    <row r="357" spans="1:11" x14ac:dyDescent="0.25">
      <c r="A357" s="660" t="s">
        <v>11</v>
      </c>
      <c r="B357" s="179">
        <f ca="1">IF(B355=3,_xlfn.CEILING.MATH(B353*A356,5),IF(B355=2.6,_xlfn.CEILING.MATH(B353*B356,5),_xlfn.CEILING.MATH(B353*B355,5)))</f>
        <v>290</v>
      </c>
      <c r="C357" s="111"/>
      <c r="D357" s="111"/>
      <c r="E357" s="111"/>
      <c r="F357" s="111"/>
      <c r="G357" s="111"/>
      <c r="H357" s="111"/>
      <c r="I357" s="111"/>
      <c r="J357" s="111"/>
      <c r="K357" s="177"/>
    </row>
    <row r="358" spans="1:11" x14ac:dyDescent="0.25">
      <c r="A358" s="660"/>
      <c r="B358" s="1121"/>
      <c r="C358" s="111"/>
      <c r="D358" s="111"/>
      <c r="E358" s="111"/>
      <c r="F358" s="111"/>
      <c r="G358" s="111"/>
      <c r="H358" s="111"/>
      <c r="I358" s="111"/>
      <c r="J358" s="111"/>
      <c r="K358" s="177"/>
    </row>
    <row r="359" spans="1:11" ht="14.4" thickBot="1" x14ac:dyDescent="0.3">
      <c r="A359" s="661"/>
      <c r="B359" s="956"/>
      <c r="C359" s="250"/>
      <c r="D359" s="250"/>
      <c r="E359" s="250"/>
      <c r="F359" s="250"/>
      <c r="G359" s="250"/>
      <c r="H359" s="250"/>
      <c r="I359" s="250"/>
      <c r="J359" s="250"/>
      <c r="K359" s="251"/>
    </row>
    <row r="360" spans="1:11" x14ac:dyDescent="0.25">
      <c r="A360" s="253"/>
      <c r="B360" s="935"/>
    </row>
    <row r="361" spans="1:11" x14ac:dyDescent="0.25">
      <c r="A361" s="253"/>
      <c r="B361" s="935"/>
      <c r="C361" s="111"/>
    </row>
    <row r="362" spans="1:11" x14ac:dyDescent="0.25">
      <c r="A362" s="253"/>
      <c r="B362" s="1121"/>
      <c r="C362" s="111"/>
    </row>
    <row r="363" spans="1:11" x14ac:dyDescent="0.25">
      <c r="A363" s="253"/>
      <c r="B363" s="935"/>
      <c r="C363" s="111"/>
    </row>
    <row r="364" spans="1:11" x14ac:dyDescent="0.25">
      <c r="A364" s="253"/>
      <c r="B364" s="935"/>
    </row>
    <row r="365" spans="1:11" x14ac:dyDescent="0.25">
      <c r="A365" s="253"/>
      <c r="B365" s="935"/>
    </row>
    <row r="366" spans="1:11" x14ac:dyDescent="0.25">
      <c r="A366" s="253"/>
      <c r="B366" s="935"/>
    </row>
    <row r="367" spans="1:11" x14ac:dyDescent="0.25">
      <c r="A367" s="253"/>
      <c r="B367" s="935"/>
    </row>
    <row r="368" spans="1:11" x14ac:dyDescent="0.25">
      <c r="A368" s="253"/>
      <c r="B368" s="935"/>
    </row>
    <row r="369" spans="1:2" x14ac:dyDescent="0.25">
      <c r="A369" s="253"/>
      <c r="B369" s="935"/>
    </row>
    <row r="370" spans="1:2" x14ac:dyDescent="0.25">
      <c r="A370" s="253"/>
      <c r="B370" s="935"/>
    </row>
    <row r="371" spans="1:2" x14ac:dyDescent="0.25">
      <c r="A371" s="253"/>
      <c r="B371" s="935"/>
    </row>
    <row r="372" spans="1:2" x14ac:dyDescent="0.25">
      <c r="A372" s="253"/>
      <c r="B372" s="935"/>
    </row>
    <row r="373" spans="1:2" x14ac:dyDescent="0.25">
      <c r="A373" s="253"/>
      <c r="B373" s="935"/>
    </row>
    <row r="374" spans="1:2" x14ac:dyDescent="0.25">
      <c r="A374" s="253"/>
      <c r="B374" s="935"/>
    </row>
    <row r="375" spans="1:2" x14ac:dyDescent="0.25">
      <c r="A375" s="253"/>
      <c r="B375" s="935"/>
    </row>
    <row r="376" spans="1:2" x14ac:dyDescent="0.25">
      <c r="A376" s="253"/>
      <c r="B376" s="935"/>
    </row>
    <row r="377" spans="1:2" x14ac:dyDescent="0.25">
      <c r="A377" s="253"/>
      <c r="B377" s="935"/>
    </row>
    <row r="378" spans="1:2" x14ac:dyDescent="0.25">
      <c r="A378" s="253"/>
      <c r="B378" s="935"/>
    </row>
    <row r="379" spans="1:2" x14ac:dyDescent="0.25">
      <c r="A379" s="253"/>
      <c r="B379" s="935"/>
    </row>
    <row r="380" spans="1:2" x14ac:dyDescent="0.25">
      <c r="A380" s="253"/>
      <c r="B380" s="935"/>
    </row>
    <row r="381" spans="1:2" x14ac:dyDescent="0.25">
      <c r="A381" s="253"/>
      <c r="B381" s="935"/>
    </row>
    <row r="382" spans="1:2" x14ac:dyDescent="0.25">
      <c r="A382" s="253"/>
      <c r="B382" s="935"/>
    </row>
    <row r="383" spans="1:2" x14ac:dyDescent="0.25">
      <c r="A383" s="253"/>
      <c r="B383" s="935"/>
    </row>
    <row r="384" spans="1:2" x14ac:dyDescent="0.25">
      <c r="A384" s="253"/>
      <c r="B384" s="935"/>
    </row>
    <row r="385" spans="1:2" x14ac:dyDescent="0.25">
      <c r="A385" s="253"/>
      <c r="B385" s="935"/>
    </row>
    <row r="386" spans="1:2" x14ac:dyDescent="0.25">
      <c r="A386" s="253"/>
      <c r="B386" s="935"/>
    </row>
    <row r="387" spans="1:2" x14ac:dyDescent="0.25">
      <c r="A387" s="253"/>
      <c r="B387" s="935"/>
    </row>
    <row r="388" spans="1:2" x14ac:dyDescent="0.25">
      <c r="A388" s="253"/>
      <c r="B388" s="935"/>
    </row>
    <row r="389" spans="1:2" x14ac:dyDescent="0.25">
      <c r="A389" s="253"/>
      <c r="B389" s="935"/>
    </row>
    <row r="390" spans="1:2" x14ac:dyDescent="0.25">
      <c r="A390" s="253"/>
      <c r="B390" s="935"/>
    </row>
    <row r="391" spans="1:2" x14ac:dyDescent="0.25">
      <c r="A391" s="253"/>
      <c r="B391" s="935"/>
    </row>
    <row r="392" spans="1:2" x14ac:dyDescent="0.25">
      <c r="A392" s="253"/>
      <c r="B392" s="935"/>
    </row>
    <row r="393" spans="1:2" x14ac:dyDescent="0.25">
      <c r="A393" s="253"/>
      <c r="B393" s="935"/>
    </row>
    <row r="394" spans="1:2" x14ac:dyDescent="0.25">
      <c r="A394" s="253"/>
      <c r="B394" s="935"/>
    </row>
    <row r="395" spans="1:2" x14ac:dyDescent="0.25">
      <c r="A395" s="253"/>
      <c r="B395" s="935"/>
    </row>
    <row r="396" spans="1:2" x14ac:dyDescent="0.25">
      <c r="A396" s="253"/>
      <c r="B396" s="935"/>
    </row>
    <row r="397" spans="1:2" x14ac:dyDescent="0.25">
      <c r="A397" s="253"/>
      <c r="B397" s="935"/>
    </row>
    <row r="398" spans="1:2" x14ac:dyDescent="0.25">
      <c r="A398" s="253"/>
      <c r="B398" s="935"/>
    </row>
    <row r="399" spans="1:2" x14ac:dyDescent="0.25">
      <c r="A399" s="253"/>
      <c r="B399" s="935"/>
    </row>
    <row r="400" spans="1:2" x14ac:dyDescent="0.25">
      <c r="A400" s="253"/>
      <c r="B400" s="935"/>
    </row>
    <row r="401" spans="1:2" x14ac:dyDescent="0.25">
      <c r="A401" s="253"/>
      <c r="B401" s="935"/>
    </row>
    <row r="402" spans="1:2" x14ac:dyDescent="0.25">
      <c r="A402" s="253"/>
      <c r="B402" s="935"/>
    </row>
    <row r="403" spans="1:2" x14ac:dyDescent="0.25">
      <c r="A403" s="253"/>
      <c r="B403" s="935"/>
    </row>
  </sheetData>
  <sheetProtection selectLockedCells="1" selectUnlockedCells="1"/>
  <mergeCells count="7">
    <mergeCell ref="P232:Q232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4"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Q1156"/>
  <sheetViews>
    <sheetView topLeftCell="CA15" zoomScale="55" zoomScaleNormal="55" workbookViewId="0">
      <selection activeCell="CN65" sqref="CN65"/>
    </sheetView>
  </sheetViews>
  <sheetFormatPr defaultRowHeight="14.4" x14ac:dyDescent="0.3"/>
  <cols>
    <col min="1" max="1" width="6.5546875" style="1720" bestFit="1" customWidth="1"/>
    <col min="2" max="2" width="24.88671875" bestFit="1" customWidth="1"/>
    <col min="3" max="3" width="17.6640625" bestFit="1" customWidth="1"/>
    <col min="4" max="4" width="12.33203125" bestFit="1" customWidth="1"/>
    <col min="5" max="5" width="9.6640625" bestFit="1" customWidth="1"/>
    <col min="6" max="6" width="9.88671875" bestFit="1" customWidth="1"/>
    <col min="7" max="7" width="13.44140625" bestFit="1" customWidth="1"/>
    <col min="8" max="8" width="10.77734375" bestFit="1" customWidth="1"/>
    <col min="9" max="9" width="11.109375" bestFit="1" customWidth="1"/>
    <col min="10" max="12" width="10.44140625" bestFit="1" customWidth="1"/>
    <col min="13" max="13" width="80.88671875" bestFit="1" customWidth="1"/>
    <col min="14" max="14" width="10.109375" bestFit="1" customWidth="1"/>
    <col min="15" max="15" width="14" bestFit="1" customWidth="1"/>
    <col min="17" max="17" width="2" style="1771" customWidth="1"/>
    <col min="18" max="18" width="8.77734375" bestFit="1" customWidth="1"/>
    <col min="19" max="19" width="13.77734375" bestFit="1" customWidth="1"/>
    <col min="20" max="21" width="9.33203125" bestFit="1" customWidth="1"/>
    <col min="22" max="22" width="12.88671875" style="1770" bestFit="1" customWidth="1"/>
    <col min="23" max="23" width="14.33203125" bestFit="1" customWidth="1"/>
    <col min="24" max="24" width="14.33203125" style="113" bestFit="1" customWidth="1"/>
    <col min="25" max="26" width="17.88671875" bestFit="1" customWidth="1"/>
    <col min="27" max="27" width="18.77734375" bestFit="1" customWidth="1"/>
    <col min="28" max="28" width="2.109375" style="1771" customWidth="1"/>
    <col min="29" max="29" width="17.88671875" bestFit="1" customWidth="1"/>
    <col min="30" max="30" width="13.88671875" bestFit="1" customWidth="1"/>
    <col min="31" max="31" width="23.33203125" bestFit="1" customWidth="1"/>
    <col min="32" max="32" width="22.33203125" bestFit="1" customWidth="1"/>
    <col min="33" max="35" width="15.44140625" bestFit="1" customWidth="1"/>
    <col min="36" max="38" width="16.109375" bestFit="1" customWidth="1"/>
    <col min="39" max="39" width="67.6640625" style="1770" bestFit="1" customWidth="1"/>
    <col min="41" max="41" width="2.44140625" style="1771" customWidth="1"/>
    <col min="42" max="42" width="15.5546875" bestFit="1" customWidth="1"/>
    <col min="43" max="43" width="15.109375" bestFit="1" customWidth="1"/>
    <col min="44" max="44" width="16.88671875" bestFit="1" customWidth="1"/>
    <col min="45" max="45" width="11.44140625" bestFit="1" customWidth="1"/>
    <col min="46" max="46" width="13" bestFit="1" customWidth="1"/>
    <col min="47" max="47" width="11.44140625" bestFit="1" customWidth="1"/>
    <col min="48" max="48" width="12.21875" bestFit="1" customWidth="1"/>
    <col min="49" max="49" width="9" bestFit="1" customWidth="1"/>
    <col min="50" max="50" width="22.21875" bestFit="1" customWidth="1"/>
    <col min="51" max="54" width="16.109375" bestFit="1" customWidth="1"/>
    <col min="55" max="57" width="17.109375" bestFit="1" customWidth="1"/>
    <col min="58" max="58" width="9.6640625" bestFit="1" customWidth="1"/>
    <col min="59" max="59" width="13.109375" bestFit="1" customWidth="1"/>
    <col min="60" max="60" width="12" bestFit="1" customWidth="1"/>
    <col min="61" max="61" width="13" bestFit="1" customWidth="1"/>
    <col min="62" max="62" width="12.6640625" bestFit="1" customWidth="1"/>
    <col min="63" max="63" width="10.44140625" bestFit="1" customWidth="1"/>
    <col min="64" max="64" width="36.21875" style="1770" bestFit="1" customWidth="1"/>
    <col min="66" max="66" width="1.44140625" style="1771" customWidth="1"/>
    <col min="67" max="67" width="11.33203125" customWidth="1"/>
    <col min="68" max="68" width="18.77734375" customWidth="1"/>
    <col min="71" max="71" width="12.88671875" style="1720" customWidth="1"/>
    <col min="72" max="72" width="8.88671875" style="1720"/>
    <col min="73" max="73" width="20" bestFit="1" customWidth="1"/>
    <col min="74" max="74" width="12.44140625" bestFit="1" customWidth="1"/>
    <col min="75" max="75" width="21.33203125" bestFit="1" customWidth="1"/>
    <col min="76" max="76" width="16.88671875" bestFit="1" customWidth="1"/>
    <col min="77" max="77" width="80.88671875" style="1720" bestFit="1" customWidth="1"/>
    <col min="78" max="78" width="9.21875" customWidth="1"/>
    <col min="79" max="79" width="1.88671875" style="1771" customWidth="1"/>
    <col min="80" max="80" width="16.21875" bestFit="1" customWidth="1"/>
    <col min="81" max="81" width="17.77734375" bestFit="1" customWidth="1"/>
    <col min="82" max="82" width="11.88671875" bestFit="1" customWidth="1"/>
    <col min="83" max="83" width="6.21875" bestFit="1" customWidth="1"/>
    <col min="84" max="84" width="21.6640625" bestFit="1" customWidth="1"/>
    <col min="85" max="85" width="17.21875" customWidth="1"/>
    <col min="86" max="86" width="16.88671875" customWidth="1"/>
    <col min="88" max="88" width="1.44140625" style="1771" customWidth="1"/>
    <col min="89" max="89" width="15.109375" bestFit="1" customWidth="1"/>
    <col min="90" max="90" width="13.88671875" bestFit="1" customWidth="1"/>
    <col min="91" max="91" width="21.109375" bestFit="1" customWidth="1"/>
    <col min="92" max="92" width="22.33203125" bestFit="1" customWidth="1"/>
    <col min="93" max="93" width="24" style="1770" bestFit="1" customWidth="1"/>
    <col min="94" max="94" width="15.44140625" style="1770" bestFit="1" customWidth="1"/>
    <col min="95" max="95" width="32.6640625" bestFit="1" customWidth="1"/>
    <col min="96" max="96" width="48.21875" bestFit="1" customWidth="1"/>
  </cols>
  <sheetData>
    <row r="1" spans="1:94" x14ac:dyDescent="0.3">
      <c r="A1" s="1720" t="s">
        <v>591</v>
      </c>
      <c r="B1" t="s">
        <v>3</v>
      </c>
      <c r="C1" t="s">
        <v>673</v>
      </c>
      <c r="D1" t="s">
        <v>192</v>
      </c>
      <c r="E1" t="s">
        <v>953</v>
      </c>
      <c r="F1" t="s">
        <v>631</v>
      </c>
      <c r="G1" t="s">
        <v>1353</v>
      </c>
      <c r="H1" t="s">
        <v>1224</v>
      </c>
      <c r="I1" t="s">
        <v>1354</v>
      </c>
      <c r="J1" t="s">
        <v>1355</v>
      </c>
      <c r="K1" t="s">
        <v>1356</v>
      </c>
      <c r="L1" t="s">
        <v>1213</v>
      </c>
      <c r="M1" t="s">
        <v>1214</v>
      </c>
      <c r="N1" t="s">
        <v>1088</v>
      </c>
      <c r="O1" t="s">
        <v>1357</v>
      </c>
      <c r="R1" t="s">
        <v>591</v>
      </c>
      <c r="S1" t="s">
        <v>673</v>
      </c>
      <c r="T1" t="s">
        <v>192</v>
      </c>
      <c r="U1" t="s">
        <v>5</v>
      </c>
      <c r="V1" s="1770" t="s">
        <v>1176</v>
      </c>
      <c r="W1" t="s">
        <v>1214</v>
      </c>
      <c r="AC1" t="s">
        <v>95</v>
      </c>
      <c r="AD1" t="s">
        <v>96</v>
      </c>
      <c r="AE1" t="s">
        <v>97</v>
      </c>
      <c r="AF1" t="s">
        <v>98</v>
      </c>
      <c r="AG1" t="s">
        <v>99</v>
      </c>
      <c r="AH1" t="s">
        <v>100</v>
      </c>
      <c r="AI1" t="s">
        <v>101</v>
      </c>
      <c r="AJ1" t="s">
        <v>102</v>
      </c>
      <c r="AK1" t="s">
        <v>103</v>
      </c>
      <c r="AL1" t="s">
        <v>104</v>
      </c>
      <c r="AM1" s="1770" t="s">
        <v>105</v>
      </c>
      <c r="AP1" t="s">
        <v>1465</v>
      </c>
      <c r="AQ1" t="s">
        <v>96</v>
      </c>
      <c r="AR1" t="s">
        <v>97</v>
      </c>
      <c r="AS1" t="s">
        <v>98</v>
      </c>
      <c r="AT1" t="s">
        <v>99</v>
      </c>
      <c r="AU1" t="s">
        <v>100</v>
      </c>
      <c r="AV1" t="s">
        <v>101</v>
      </c>
      <c r="AW1" t="s">
        <v>102</v>
      </c>
      <c r="AX1" t="s">
        <v>103</v>
      </c>
      <c r="AY1" t="s">
        <v>104</v>
      </c>
      <c r="AZ1" t="s">
        <v>1187</v>
      </c>
      <c r="BA1" t="s">
        <v>1188</v>
      </c>
      <c r="BB1" t="s">
        <v>1189</v>
      </c>
      <c r="BC1" t="s">
        <v>1190</v>
      </c>
      <c r="BD1" t="s">
        <v>1191</v>
      </c>
      <c r="BE1" t="s">
        <v>1192</v>
      </c>
      <c r="BF1" t="s">
        <v>275</v>
      </c>
      <c r="BG1" t="s">
        <v>1193</v>
      </c>
      <c r="BH1" t="s">
        <v>1194</v>
      </c>
      <c r="BI1" t="s">
        <v>333</v>
      </c>
      <c r="BJ1" t="s">
        <v>1195</v>
      </c>
      <c r="BK1" t="s">
        <v>1196</v>
      </c>
      <c r="BL1" s="1770" t="s">
        <v>1466</v>
      </c>
      <c r="BU1" t="s">
        <v>1846</v>
      </c>
      <c r="BV1" t="s">
        <v>400</v>
      </c>
      <c r="BW1" t="s">
        <v>402</v>
      </c>
      <c r="BX1" t="s">
        <v>1847</v>
      </c>
      <c r="BY1" t="s">
        <v>1859</v>
      </c>
      <c r="CB1" t="s">
        <v>176</v>
      </c>
      <c r="CC1" t="s">
        <v>399</v>
      </c>
      <c r="CD1" t="s">
        <v>400</v>
      </c>
      <c r="CE1" t="s">
        <v>401</v>
      </c>
      <c r="CF1" t="s">
        <v>402</v>
      </c>
      <c r="CG1" t="s">
        <v>403</v>
      </c>
      <c r="CH1" t="s">
        <v>1901</v>
      </c>
      <c r="CK1" t="s">
        <v>1111</v>
      </c>
      <c r="CL1" t="s">
        <v>1910</v>
      </c>
      <c r="CM1" t="s">
        <v>79</v>
      </c>
      <c r="CN1" t="s">
        <v>1911</v>
      </c>
      <c r="CO1" t="s">
        <v>921</v>
      </c>
      <c r="CP1" t="s">
        <v>374</v>
      </c>
    </row>
    <row r="2" spans="1:94" x14ac:dyDescent="0.3">
      <c r="A2" s="1720">
        <v>1</v>
      </c>
      <c r="B2" s="328" t="s">
        <v>1385</v>
      </c>
      <c r="C2" s="1720" t="s">
        <v>1177</v>
      </c>
      <c r="D2" s="1720"/>
      <c r="E2" s="1720"/>
      <c r="F2" s="1720"/>
      <c r="G2" s="1720">
        <v>180</v>
      </c>
      <c r="H2" s="1720">
        <v>48.5</v>
      </c>
      <c r="I2" s="1720">
        <v>965</v>
      </c>
      <c r="J2" s="1720">
        <v>375</v>
      </c>
      <c r="K2" s="1720">
        <v>405</v>
      </c>
      <c r="L2" s="1720">
        <v>140</v>
      </c>
      <c r="M2" s="1720" t="s">
        <v>1358</v>
      </c>
      <c r="N2" s="328"/>
      <c r="O2" s="1720"/>
      <c r="R2" s="1720">
        <v>1</v>
      </c>
      <c r="S2" s="1720" t="s">
        <v>1942</v>
      </c>
      <c r="T2" s="1720">
        <v>170</v>
      </c>
      <c r="U2" s="1720">
        <v>600</v>
      </c>
      <c r="V2" s="1720">
        <v>80</v>
      </c>
      <c r="W2" s="1720" t="s">
        <v>1943</v>
      </c>
      <c r="AC2" s="1720" t="s">
        <v>2029</v>
      </c>
      <c r="AD2" s="1720">
        <v>480</v>
      </c>
      <c r="AE2" s="1720">
        <v>100</v>
      </c>
      <c r="AF2" s="1720">
        <v>380</v>
      </c>
      <c r="AG2" s="1720">
        <v>1720</v>
      </c>
      <c r="AH2" s="1720">
        <v>1740</v>
      </c>
      <c r="AI2" s="1720">
        <v>1760</v>
      </c>
      <c r="AJ2" s="1720">
        <v>26</v>
      </c>
      <c r="AK2" s="1720">
        <v>40</v>
      </c>
      <c r="AL2" s="1720">
        <v>65</v>
      </c>
      <c r="AM2" s="1770" t="s">
        <v>1292</v>
      </c>
      <c r="AP2" s="1720">
        <v>125</v>
      </c>
      <c r="AQ2" s="1720">
        <v>890</v>
      </c>
      <c r="AR2" s="1720">
        <v>255</v>
      </c>
      <c r="AS2" s="1720">
        <v>635</v>
      </c>
      <c r="AT2" s="1720">
        <v>243</v>
      </c>
      <c r="AU2" s="1720">
        <v>260</v>
      </c>
      <c r="AV2" s="1720">
        <v>310</v>
      </c>
      <c r="AW2" s="1720">
        <v>30</v>
      </c>
      <c r="AX2" s="1720">
        <v>55</v>
      </c>
      <c r="AY2" s="1720">
        <v>63</v>
      </c>
      <c r="AZ2" s="1720">
        <v>100</v>
      </c>
      <c r="BA2" s="1720">
        <v>160</v>
      </c>
      <c r="BB2" s="1720">
        <v>90</v>
      </c>
      <c r="BC2" s="1720">
        <v>220</v>
      </c>
      <c r="BD2" s="1720">
        <v>180</v>
      </c>
      <c r="BE2" s="1720">
        <v>106</v>
      </c>
      <c r="BF2" s="1720">
        <v>44622</v>
      </c>
      <c r="BG2" s="328" t="s">
        <v>24</v>
      </c>
      <c r="BH2" s="1720">
        <v>110</v>
      </c>
      <c r="BI2" s="1720">
        <v>65.650000000000006</v>
      </c>
      <c r="BJ2" s="1720">
        <v>175.65</v>
      </c>
      <c r="BK2" s="1720">
        <v>182.67600000000002</v>
      </c>
      <c r="BL2" s="1772"/>
      <c r="BO2" s="1720" t="s">
        <v>192</v>
      </c>
      <c r="BP2" s="1720" t="s">
        <v>1845</v>
      </c>
      <c r="BU2" s="1720">
        <v>55</v>
      </c>
      <c r="BV2" s="1720">
        <v>245</v>
      </c>
      <c r="BW2" s="1720">
        <v>140</v>
      </c>
      <c r="BX2" s="1720">
        <v>7211867</v>
      </c>
      <c r="BY2" s="1772"/>
      <c r="CB2" s="1720">
        <v>132</v>
      </c>
      <c r="CC2" s="1720">
        <v>85</v>
      </c>
      <c r="CD2" s="1720">
        <v>200</v>
      </c>
      <c r="CE2" s="1720">
        <v>155</v>
      </c>
      <c r="CF2" s="1720">
        <v>185</v>
      </c>
      <c r="CG2" s="1720" t="s">
        <v>1236</v>
      </c>
      <c r="CH2" s="328"/>
      <c r="CK2" s="1720">
        <v>800</v>
      </c>
      <c r="CL2" s="1720">
        <v>825</v>
      </c>
      <c r="CM2" s="1720">
        <v>550</v>
      </c>
      <c r="CN2" s="1720">
        <v>920</v>
      </c>
      <c r="CO2" s="328"/>
      <c r="CP2" s="328"/>
    </row>
    <row r="3" spans="1:94" x14ac:dyDescent="0.3">
      <c r="A3" s="1720">
        <v>2</v>
      </c>
      <c r="B3" s="328" t="s">
        <v>1385</v>
      </c>
      <c r="C3" s="1720" t="s">
        <v>1178</v>
      </c>
      <c r="D3" s="1720"/>
      <c r="E3" s="1720"/>
      <c r="F3" s="1720"/>
      <c r="G3" s="1720">
        <v>180</v>
      </c>
      <c r="H3" s="1720">
        <v>65</v>
      </c>
      <c r="I3" s="1720">
        <v>1030</v>
      </c>
      <c r="J3" s="1720">
        <v>425</v>
      </c>
      <c r="K3" s="1720">
        <v>445</v>
      </c>
      <c r="L3" s="1720">
        <v>150</v>
      </c>
      <c r="M3" s="1720"/>
      <c r="N3" s="328"/>
      <c r="O3" s="1720"/>
      <c r="R3" s="1720">
        <v>2</v>
      </c>
      <c r="S3" s="1720"/>
      <c r="T3" s="1720">
        <v>175</v>
      </c>
      <c r="U3" s="1720">
        <v>790</v>
      </c>
      <c r="V3" s="1720">
        <v>80</v>
      </c>
      <c r="W3" s="1720" t="s">
        <v>1944</v>
      </c>
      <c r="AC3" s="1720">
        <v>5</v>
      </c>
      <c r="AD3" s="1720">
        <v>730</v>
      </c>
      <c r="AE3" s="1720">
        <v>270</v>
      </c>
      <c r="AF3" s="1720">
        <v>460</v>
      </c>
      <c r="AG3" s="1720">
        <v>100</v>
      </c>
      <c r="AH3" s="1720">
        <v>110</v>
      </c>
      <c r="AI3" s="1720">
        <v>166</v>
      </c>
      <c r="AJ3" s="1720">
        <v>115</v>
      </c>
      <c r="AK3" s="1720">
        <v>125</v>
      </c>
      <c r="AL3" s="1720">
        <v>180</v>
      </c>
      <c r="AP3" s="1720">
        <v>126</v>
      </c>
      <c r="AQ3" s="1720">
        <v>895</v>
      </c>
      <c r="AR3" s="1720">
        <v>250</v>
      </c>
      <c r="AS3" s="1720">
        <v>645</v>
      </c>
      <c r="AT3" s="1720">
        <v>245</v>
      </c>
      <c r="AU3" s="1720">
        <v>260</v>
      </c>
      <c r="AV3" s="1720">
        <v>310</v>
      </c>
      <c r="AW3" s="1720">
        <v>30</v>
      </c>
      <c r="AX3" s="1720">
        <v>60</v>
      </c>
      <c r="AY3" s="1720">
        <v>65</v>
      </c>
      <c r="AZ3" s="1720">
        <v>100</v>
      </c>
      <c r="BA3" s="1720">
        <v>170</v>
      </c>
      <c r="BB3" s="1720">
        <v>90</v>
      </c>
      <c r="BC3" s="1720">
        <v>220</v>
      </c>
      <c r="BD3" s="1720">
        <v>180</v>
      </c>
      <c r="BE3" s="1720">
        <v>110</v>
      </c>
      <c r="BF3" s="1720">
        <v>44624</v>
      </c>
      <c r="BG3" s="328" t="s">
        <v>24</v>
      </c>
      <c r="BH3" s="1720">
        <v>110</v>
      </c>
      <c r="BI3" s="1720">
        <v>65.650000000000006</v>
      </c>
      <c r="BJ3" s="1720">
        <v>175.65</v>
      </c>
      <c r="BK3" s="1720">
        <v>182.67600000000002</v>
      </c>
      <c r="BL3" s="1772"/>
      <c r="BO3">
        <v>85</v>
      </c>
      <c r="BP3" t="s">
        <v>408</v>
      </c>
      <c r="BU3" s="1720">
        <v>55</v>
      </c>
      <c r="BV3" s="1720">
        <v>245</v>
      </c>
      <c r="BW3" s="1720">
        <v>140</v>
      </c>
      <c r="BX3" s="1720">
        <v>7211867</v>
      </c>
      <c r="BY3" s="1772"/>
      <c r="CB3" s="1720">
        <v>110</v>
      </c>
      <c r="CC3" s="1720">
        <v>92.5</v>
      </c>
      <c r="CD3" s="1720">
        <v>200</v>
      </c>
      <c r="CE3" s="1720">
        <v>155</v>
      </c>
      <c r="CF3" s="1720">
        <v>185</v>
      </c>
      <c r="CG3" s="1720" t="s">
        <v>1237</v>
      </c>
      <c r="CH3" s="328"/>
      <c r="CK3" s="1720">
        <v>650</v>
      </c>
      <c r="CL3" s="1720">
        <v>670</v>
      </c>
      <c r="CM3" s="1720">
        <v>860</v>
      </c>
      <c r="CN3" s="1720">
        <v>775</v>
      </c>
      <c r="CO3" s="328"/>
      <c r="CP3" s="328"/>
    </row>
    <row r="4" spans="1:94" x14ac:dyDescent="0.3">
      <c r="A4" s="1720">
        <v>3</v>
      </c>
      <c r="B4" s="328" t="s">
        <v>1385</v>
      </c>
      <c r="C4" s="1720" t="s">
        <v>1179</v>
      </c>
      <c r="D4" s="1720"/>
      <c r="E4" s="1720"/>
      <c r="F4" s="1720"/>
      <c r="G4" s="1720">
        <v>185</v>
      </c>
      <c r="H4" s="1720">
        <v>37.5</v>
      </c>
      <c r="I4" s="1720">
        <v>755</v>
      </c>
      <c r="J4" s="1720">
        <v>365</v>
      </c>
      <c r="K4" s="1720">
        <v>390</v>
      </c>
      <c r="L4" s="1720">
        <v>150</v>
      </c>
      <c r="M4" s="1720" t="s">
        <v>1358</v>
      </c>
      <c r="N4" s="328" t="s">
        <v>6</v>
      </c>
      <c r="O4" s="1720">
        <v>332.8</v>
      </c>
      <c r="R4" s="1720">
        <v>3</v>
      </c>
      <c r="S4" s="1720" t="s">
        <v>1945</v>
      </c>
      <c r="T4" s="1720">
        <v>185</v>
      </c>
      <c r="U4" s="1720">
        <v>590</v>
      </c>
      <c r="V4" s="1720">
        <v>80</v>
      </c>
      <c r="W4" s="1720" t="s">
        <v>1946</v>
      </c>
      <c r="AC4" s="1720">
        <v>3</v>
      </c>
      <c r="AD4" s="1720">
        <v>750</v>
      </c>
      <c r="AE4" s="1720">
        <v>280</v>
      </c>
      <c r="AF4" s="1720">
        <v>470</v>
      </c>
      <c r="AG4" s="1720">
        <v>130</v>
      </c>
      <c r="AH4" s="1720">
        <v>140</v>
      </c>
      <c r="AI4" s="1720">
        <v>200</v>
      </c>
      <c r="AJ4" s="1720">
        <v>105</v>
      </c>
      <c r="AK4" s="1720">
        <v>110</v>
      </c>
      <c r="AL4" s="1720">
        <v>175</v>
      </c>
      <c r="AP4" s="1720">
        <v>127</v>
      </c>
      <c r="AQ4" s="1720">
        <v>1840</v>
      </c>
      <c r="AR4" s="1720">
        <v>510</v>
      </c>
      <c r="AS4" s="1720">
        <v>1330</v>
      </c>
      <c r="AT4" s="1720">
        <v>440</v>
      </c>
      <c r="AU4" s="1720">
        <v>455</v>
      </c>
      <c r="AV4" s="1720">
        <v>555</v>
      </c>
      <c r="AW4" s="1720">
        <v>80</v>
      </c>
      <c r="AX4" s="1720">
        <v>155</v>
      </c>
      <c r="AY4" s="1720">
        <v>165</v>
      </c>
      <c r="AZ4" s="1720">
        <v>240</v>
      </c>
      <c r="BA4" s="1720">
        <v>340</v>
      </c>
      <c r="BB4" s="1720">
        <v>170</v>
      </c>
      <c r="BC4" s="1720">
        <v>540</v>
      </c>
      <c r="BD4" s="1720">
        <v>500</v>
      </c>
      <c r="BE4" s="1720">
        <v>234</v>
      </c>
      <c r="BF4" s="1720">
        <v>44516</v>
      </c>
      <c r="BG4" s="328" t="s">
        <v>33</v>
      </c>
      <c r="BH4" s="1720">
        <v>874.6</v>
      </c>
      <c r="BI4" s="1720">
        <v>507.1</v>
      </c>
      <c r="BJ4" s="1720">
        <v>1381.7</v>
      </c>
      <c r="BK4" s="1720">
        <v>1436.9680000000001</v>
      </c>
      <c r="BL4" s="1772"/>
      <c r="BU4" s="1720">
        <v>55</v>
      </c>
      <c r="BV4" s="1720">
        <v>245</v>
      </c>
      <c r="BW4" s="1720">
        <v>140</v>
      </c>
      <c r="BX4" s="1720">
        <v>7211867</v>
      </c>
      <c r="BY4" s="1772"/>
      <c r="CB4" s="1720">
        <v>115</v>
      </c>
      <c r="CC4" s="1720">
        <v>100</v>
      </c>
      <c r="CD4" s="1720">
        <v>200</v>
      </c>
      <c r="CE4" s="1720">
        <v>155</v>
      </c>
      <c r="CF4" s="1720">
        <v>185</v>
      </c>
      <c r="CG4" s="1720" t="s">
        <v>1238</v>
      </c>
      <c r="CH4" s="328"/>
      <c r="CK4" s="1720">
        <v>510</v>
      </c>
      <c r="CL4" s="1720">
        <v>530</v>
      </c>
      <c r="CM4" s="1720">
        <v>330</v>
      </c>
      <c r="CN4" s="1720">
        <v>566</v>
      </c>
      <c r="CO4" s="328" t="s">
        <v>1912</v>
      </c>
      <c r="CP4" s="328"/>
    </row>
    <row r="5" spans="1:94" x14ac:dyDescent="0.3">
      <c r="A5" s="1720">
        <v>4</v>
      </c>
      <c r="B5" s="328" t="s">
        <v>1385</v>
      </c>
      <c r="C5" s="1720" t="s">
        <v>1180</v>
      </c>
      <c r="D5" s="1720"/>
      <c r="E5" s="1720"/>
      <c r="F5" s="1720"/>
      <c r="G5" s="1720">
        <v>225</v>
      </c>
      <c r="H5" s="1720">
        <v>42.5</v>
      </c>
      <c r="I5" s="1720">
        <v>1010</v>
      </c>
      <c r="J5" s="1720">
        <v>370</v>
      </c>
      <c r="K5" s="1720">
        <v>390</v>
      </c>
      <c r="L5" s="1720">
        <v>180</v>
      </c>
      <c r="M5" s="1720" t="s">
        <v>1386</v>
      </c>
      <c r="N5" s="328"/>
      <c r="O5" s="1720"/>
      <c r="R5" s="1720">
        <v>4</v>
      </c>
      <c r="S5" s="1720" t="s">
        <v>1947</v>
      </c>
      <c r="T5" s="1720">
        <v>210</v>
      </c>
      <c r="U5" s="1720">
        <v>660</v>
      </c>
      <c r="V5" s="1720">
        <v>80</v>
      </c>
      <c r="W5" s="1720"/>
      <c r="AC5" s="1720">
        <v>61</v>
      </c>
      <c r="AD5" s="1720">
        <v>590</v>
      </c>
      <c r="AE5" s="1720">
        <v>100</v>
      </c>
      <c r="AF5" s="1720">
        <v>490</v>
      </c>
      <c r="AG5" s="1720">
        <v>270</v>
      </c>
      <c r="AH5" s="1720">
        <v>285</v>
      </c>
      <c r="AI5" s="1720">
        <v>310</v>
      </c>
      <c r="AJ5" s="1720">
        <v>25</v>
      </c>
      <c r="AK5" s="1720">
        <v>33</v>
      </c>
      <c r="AL5" s="1720">
        <v>75</v>
      </c>
      <c r="AP5" s="1720">
        <v>128</v>
      </c>
      <c r="AQ5" s="1720">
        <v>1670</v>
      </c>
      <c r="AR5" s="1720">
        <v>420</v>
      </c>
      <c r="AS5" s="1720">
        <v>1250</v>
      </c>
      <c r="AT5" s="1720">
        <v>425</v>
      </c>
      <c r="AU5" s="1720">
        <v>440</v>
      </c>
      <c r="AV5" s="1720">
        <v>520</v>
      </c>
      <c r="AW5" s="1720">
        <v>45</v>
      </c>
      <c r="AX5" s="1720">
        <v>90</v>
      </c>
      <c r="AY5" s="1720">
        <v>95</v>
      </c>
      <c r="AZ5" s="1720">
        <v>155</v>
      </c>
      <c r="BA5" s="1720">
        <v>260</v>
      </c>
      <c r="BB5" s="1720">
        <v>145</v>
      </c>
      <c r="BC5" s="1720">
        <v>420</v>
      </c>
      <c r="BD5" s="1720">
        <v>420</v>
      </c>
      <c r="BE5" s="1720">
        <v>240</v>
      </c>
      <c r="BF5" s="1720">
        <v>44543</v>
      </c>
      <c r="BG5" s="328" t="s">
        <v>24</v>
      </c>
      <c r="BH5" s="1720">
        <v>690</v>
      </c>
      <c r="BI5" s="1720">
        <v>489</v>
      </c>
      <c r="BJ5" s="1720">
        <v>1179</v>
      </c>
      <c r="BK5" s="1720">
        <v>1226.1600000000001</v>
      </c>
      <c r="BL5" s="1772"/>
      <c r="BO5">
        <v>87.5</v>
      </c>
      <c r="BP5" t="s">
        <v>409</v>
      </c>
      <c r="BU5" s="1720">
        <v>55</v>
      </c>
      <c r="BV5" s="1720">
        <v>245</v>
      </c>
      <c r="BW5" s="1720">
        <v>140</v>
      </c>
      <c r="BX5" s="1720">
        <v>7211867</v>
      </c>
      <c r="BY5" s="1772"/>
      <c r="CB5" s="1720">
        <v>115</v>
      </c>
      <c r="CC5" s="1720">
        <v>105</v>
      </c>
      <c r="CD5" s="1720">
        <v>200</v>
      </c>
      <c r="CE5" s="1720">
        <v>155</v>
      </c>
      <c r="CF5" s="1720">
        <v>185</v>
      </c>
      <c r="CG5" s="1720" t="s">
        <v>1238</v>
      </c>
      <c r="CH5" s="328"/>
      <c r="CK5" s="1720">
        <v>480</v>
      </c>
      <c r="CL5" s="1720">
        <v>510</v>
      </c>
      <c r="CM5" s="1720">
        <v>1100</v>
      </c>
      <c r="CN5" s="1720">
        <v>566</v>
      </c>
      <c r="CO5" s="328" t="s">
        <v>1913</v>
      </c>
      <c r="CP5" s="328" t="s">
        <v>1914</v>
      </c>
    </row>
    <row r="6" spans="1:94" x14ac:dyDescent="0.3">
      <c r="A6" s="1720">
        <v>5</v>
      </c>
      <c r="B6" s="328" t="s">
        <v>1385</v>
      </c>
      <c r="C6" s="1720" t="s">
        <v>1181</v>
      </c>
      <c r="D6" s="1720"/>
      <c r="E6" s="1720"/>
      <c r="F6" s="1720"/>
      <c r="G6" s="1720">
        <v>280</v>
      </c>
      <c r="H6" s="1720">
        <v>77.5</v>
      </c>
      <c r="I6" s="1720">
        <v>1225</v>
      </c>
      <c r="J6" s="1720">
        <v>465</v>
      </c>
      <c r="K6" s="1720">
        <v>490</v>
      </c>
      <c r="L6" s="1720">
        <v>165</v>
      </c>
      <c r="M6" s="1720" t="s">
        <v>1358</v>
      </c>
      <c r="N6" s="328"/>
      <c r="O6" s="1720"/>
      <c r="R6" s="1720">
        <v>5</v>
      </c>
      <c r="S6" s="1720"/>
      <c r="T6" s="1720">
        <v>220</v>
      </c>
      <c r="U6" s="1720">
        <v>620</v>
      </c>
      <c r="V6" s="1720">
        <v>80</v>
      </c>
      <c r="W6" s="1720"/>
      <c r="AC6" s="1720">
        <v>23</v>
      </c>
      <c r="AD6" s="1720">
        <v>590</v>
      </c>
      <c r="AE6" s="1720">
        <v>100</v>
      </c>
      <c r="AF6" s="1720">
        <v>490</v>
      </c>
      <c r="AG6" s="1720">
        <v>420</v>
      </c>
      <c r="AH6" s="1720">
        <v>432</v>
      </c>
      <c r="AI6" s="1720">
        <v>455</v>
      </c>
      <c r="AJ6" s="1720">
        <v>90</v>
      </c>
      <c r="AK6" s="1720">
        <v>100</v>
      </c>
      <c r="AL6" s="1720">
        <v>140</v>
      </c>
      <c r="AM6" s="1770" t="s">
        <v>1293</v>
      </c>
      <c r="AP6" s="1720">
        <v>129</v>
      </c>
      <c r="AQ6" s="1720">
        <v>1170</v>
      </c>
      <c r="AR6" s="1720">
        <v>320</v>
      </c>
      <c r="AS6" s="1720">
        <v>850</v>
      </c>
      <c r="AT6" s="1720">
        <v>315</v>
      </c>
      <c r="AU6" s="1720">
        <v>330</v>
      </c>
      <c r="AV6" s="1720">
        <v>390</v>
      </c>
      <c r="AW6" s="1720">
        <v>60</v>
      </c>
      <c r="AX6" s="1720">
        <v>90</v>
      </c>
      <c r="AY6" s="1720">
        <v>100</v>
      </c>
      <c r="AZ6" s="1720">
        <v>140</v>
      </c>
      <c r="BA6" s="1720">
        <v>220</v>
      </c>
      <c r="BB6" s="1720">
        <v>120</v>
      </c>
      <c r="BC6" s="1720">
        <v>290</v>
      </c>
      <c r="BD6" s="1720">
        <v>280</v>
      </c>
      <c r="BE6" s="1720">
        <v>164</v>
      </c>
      <c r="BF6" s="1720"/>
      <c r="BG6" s="328"/>
      <c r="BH6" s="1720">
        <v>1</v>
      </c>
      <c r="BI6" s="1720">
        <v>1</v>
      </c>
      <c r="BJ6" s="1720">
        <v>2</v>
      </c>
      <c r="BK6" s="1720">
        <v>2.08</v>
      </c>
      <c r="BL6" s="1772"/>
      <c r="BO6">
        <v>90</v>
      </c>
      <c r="BP6" t="s">
        <v>410</v>
      </c>
      <c r="BU6" s="1720">
        <v>57.5</v>
      </c>
      <c r="BV6" s="1720">
        <v>245</v>
      </c>
      <c r="BW6" s="1720">
        <v>140</v>
      </c>
      <c r="BX6" s="1720" t="s">
        <v>1848</v>
      </c>
      <c r="BY6" s="1772"/>
      <c r="CB6" s="1720">
        <v>135</v>
      </c>
      <c r="CC6" s="1720">
        <v>115</v>
      </c>
      <c r="CD6" s="1720">
        <v>203</v>
      </c>
      <c r="CE6" s="1720">
        <v>160</v>
      </c>
      <c r="CF6" s="1720">
        <v>185</v>
      </c>
      <c r="CG6" s="1720" t="s">
        <v>1239</v>
      </c>
      <c r="CH6" s="328"/>
      <c r="CK6" s="1720">
        <v>430</v>
      </c>
      <c r="CL6" s="1720">
        <v>450</v>
      </c>
      <c r="CM6" s="1720">
        <v>1250</v>
      </c>
      <c r="CN6" s="1720">
        <v>566</v>
      </c>
      <c r="CO6" s="328" t="s">
        <v>1915</v>
      </c>
      <c r="CP6" s="328" t="s">
        <v>1914</v>
      </c>
    </row>
    <row r="7" spans="1:94" x14ac:dyDescent="0.3">
      <c r="A7" s="1720">
        <v>6</v>
      </c>
      <c r="B7" s="328"/>
      <c r="C7" s="1720" t="s">
        <v>1440</v>
      </c>
      <c r="D7" s="1720">
        <v>310</v>
      </c>
      <c r="E7" s="1720">
        <v>2.5</v>
      </c>
      <c r="F7" s="1720">
        <v>110</v>
      </c>
      <c r="G7" s="1720">
        <v>285</v>
      </c>
      <c r="H7" s="1720">
        <v>5</v>
      </c>
      <c r="I7" s="1720">
        <v>410</v>
      </c>
      <c r="J7" s="1720">
        <v>340</v>
      </c>
      <c r="K7" s="1720">
        <v>355</v>
      </c>
      <c r="L7" s="1720">
        <v>100</v>
      </c>
      <c r="M7" s="1720"/>
      <c r="N7" s="328"/>
      <c r="O7" s="1720"/>
      <c r="R7" s="1720">
        <v>6</v>
      </c>
      <c r="S7" s="1720"/>
      <c r="T7" s="1720">
        <v>225</v>
      </c>
      <c r="U7" s="1720">
        <v>920</v>
      </c>
      <c r="V7" s="1720">
        <v>80</v>
      </c>
      <c r="W7" s="1720" t="s">
        <v>1948</v>
      </c>
      <c r="AC7" s="1720">
        <v>25</v>
      </c>
      <c r="AD7" s="1720">
        <v>670</v>
      </c>
      <c r="AE7" s="1720">
        <v>150</v>
      </c>
      <c r="AF7" s="1720">
        <v>520</v>
      </c>
      <c r="AG7" s="1720">
        <v>150</v>
      </c>
      <c r="AH7" s="1720">
        <v>157</v>
      </c>
      <c r="AI7" s="1720">
        <v>190</v>
      </c>
      <c r="AJ7" s="1720">
        <v>65</v>
      </c>
      <c r="AK7" s="1720">
        <v>77</v>
      </c>
      <c r="AL7" s="1720">
        <v>135</v>
      </c>
      <c r="AP7" s="1720">
        <v>130</v>
      </c>
      <c r="AQ7" s="1720">
        <v>1150</v>
      </c>
      <c r="AR7" s="1720">
        <v>350</v>
      </c>
      <c r="AS7" s="1720">
        <v>800</v>
      </c>
      <c r="AT7" s="1720">
        <v>300</v>
      </c>
      <c r="AU7" s="1720">
        <v>310</v>
      </c>
      <c r="AV7" s="1720">
        <v>390</v>
      </c>
      <c r="AW7" s="1720">
        <v>15</v>
      </c>
      <c r="AX7" s="1720">
        <v>95</v>
      </c>
      <c r="AY7" s="1720">
        <v>100</v>
      </c>
      <c r="AZ7" s="1720">
        <v>115</v>
      </c>
      <c r="BA7" s="1720">
        <v>190</v>
      </c>
      <c r="BB7" s="1720">
        <v>120</v>
      </c>
      <c r="BC7" s="1720">
        <v>260</v>
      </c>
      <c r="BD7" s="1720">
        <v>255</v>
      </c>
      <c r="BE7" s="1720">
        <v>152.5</v>
      </c>
      <c r="BF7" s="1720">
        <v>45189</v>
      </c>
      <c r="BG7" s="328" t="s">
        <v>24</v>
      </c>
      <c r="BH7" s="1720">
        <v>228</v>
      </c>
      <c r="BI7" s="1720">
        <v>160</v>
      </c>
      <c r="BJ7" s="1720">
        <v>388</v>
      </c>
      <c r="BK7" s="1720">
        <v>403.52000000000004</v>
      </c>
      <c r="BL7" s="1772" t="s">
        <v>1467</v>
      </c>
      <c r="BO7">
        <v>92.5</v>
      </c>
      <c r="BP7" t="s">
        <v>411</v>
      </c>
      <c r="BU7" s="1720">
        <v>57.5</v>
      </c>
      <c r="BV7" s="1720">
        <v>245</v>
      </c>
      <c r="BW7" s="1720">
        <v>140</v>
      </c>
      <c r="BX7" s="1720" t="s">
        <v>1848</v>
      </c>
      <c r="BY7" s="1772"/>
      <c r="CB7" s="1720">
        <v>160</v>
      </c>
      <c r="CC7" s="1720">
        <v>117.5</v>
      </c>
      <c r="CD7" s="1720">
        <v>200</v>
      </c>
      <c r="CE7" s="1720">
        <v>150</v>
      </c>
      <c r="CF7" s="1720">
        <v>285</v>
      </c>
      <c r="CG7" s="1720">
        <v>24271231</v>
      </c>
      <c r="CH7" s="328"/>
      <c r="CK7" s="1720">
        <v>370</v>
      </c>
      <c r="CL7" s="1720">
        <v>400</v>
      </c>
      <c r="CM7" s="1720">
        <v>800</v>
      </c>
      <c r="CN7" s="1720">
        <v>470</v>
      </c>
      <c r="CO7" s="328"/>
      <c r="CP7" s="328" t="s">
        <v>1916</v>
      </c>
    </row>
    <row r="8" spans="1:94" x14ac:dyDescent="0.3">
      <c r="A8" s="1720">
        <v>7</v>
      </c>
      <c r="B8" s="328" t="s">
        <v>1385</v>
      </c>
      <c r="C8" s="1720" t="s">
        <v>1182</v>
      </c>
      <c r="D8" s="1720"/>
      <c r="E8" s="1720"/>
      <c r="F8" s="1720"/>
      <c r="G8" s="1720">
        <v>295</v>
      </c>
      <c r="H8" s="1720">
        <v>60</v>
      </c>
      <c r="I8" s="1720">
        <v>1340</v>
      </c>
      <c r="J8" s="1720">
        <v>550</v>
      </c>
      <c r="K8" s="1720">
        <v>575</v>
      </c>
      <c r="L8" s="1720">
        <v>130</v>
      </c>
      <c r="M8" s="1720"/>
      <c r="N8" s="328"/>
      <c r="O8" s="1720"/>
      <c r="R8" s="1720">
        <v>7</v>
      </c>
      <c r="S8" s="1720" t="s">
        <v>1454</v>
      </c>
      <c r="T8" s="1720">
        <v>245</v>
      </c>
      <c r="U8" s="1720">
        <v>650</v>
      </c>
      <c r="V8" s="1720">
        <v>80</v>
      </c>
      <c r="W8" s="1720"/>
      <c r="AC8" s="1720">
        <v>64</v>
      </c>
      <c r="AD8" s="1720">
        <v>600</v>
      </c>
      <c r="AE8" s="1720">
        <v>75</v>
      </c>
      <c r="AF8" s="1720">
        <v>525</v>
      </c>
      <c r="AG8" s="1720">
        <v>200</v>
      </c>
      <c r="AH8" s="1720">
        <v>215</v>
      </c>
      <c r="AI8" s="1720">
        <v>235</v>
      </c>
      <c r="AJ8" s="1720">
        <v>20</v>
      </c>
      <c r="AK8" s="1720">
        <v>26</v>
      </c>
      <c r="AL8" s="1720">
        <v>60</v>
      </c>
      <c r="AP8" s="1720">
        <v>131</v>
      </c>
      <c r="AQ8" s="1720">
        <v>1075</v>
      </c>
      <c r="AR8" s="1720">
        <v>330</v>
      </c>
      <c r="AS8" s="1720">
        <v>745</v>
      </c>
      <c r="AT8" s="1720">
        <v>260</v>
      </c>
      <c r="AU8" s="1720">
        <v>270</v>
      </c>
      <c r="AV8" s="1720">
        <v>335</v>
      </c>
      <c r="AW8" s="1720">
        <v>55</v>
      </c>
      <c r="AX8" s="1720">
        <v>75</v>
      </c>
      <c r="AY8" s="1720">
        <v>85</v>
      </c>
      <c r="AZ8" s="1720">
        <v>150</v>
      </c>
      <c r="BA8" s="1720">
        <v>220</v>
      </c>
      <c r="BB8" s="1720">
        <v>100</v>
      </c>
      <c r="BC8" s="1720">
        <v>260</v>
      </c>
      <c r="BD8" s="1720">
        <v>230</v>
      </c>
      <c r="BE8" s="1720">
        <v>129</v>
      </c>
      <c r="BF8" s="1720">
        <v>44622</v>
      </c>
      <c r="BG8" s="328" t="s">
        <v>24</v>
      </c>
      <c r="BH8" s="1720">
        <v>170</v>
      </c>
      <c r="BI8" s="1720">
        <v>121.22</v>
      </c>
      <c r="BJ8" s="1720">
        <v>291.22000000000003</v>
      </c>
      <c r="BK8" s="1720">
        <v>302.86880000000002</v>
      </c>
      <c r="BL8" s="1772"/>
      <c r="BO8">
        <v>95</v>
      </c>
      <c r="BP8" t="s">
        <v>412</v>
      </c>
      <c r="BU8" s="1720">
        <v>60</v>
      </c>
      <c r="BV8" s="1720">
        <v>245</v>
      </c>
      <c r="BW8" s="1720">
        <v>140</v>
      </c>
      <c r="BX8" s="1720" t="s">
        <v>1849</v>
      </c>
      <c r="BY8" s="1772"/>
      <c r="CB8" s="1720">
        <v>140</v>
      </c>
      <c r="CC8" s="1720">
        <v>120</v>
      </c>
      <c r="CD8" s="1720">
        <v>200</v>
      </c>
      <c r="CE8" s="1720">
        <v>155</v>
      </c>
      <c r="CF8" s="1720">
        <v>185</v>
      </c>
      <c r="CG8" s="1720" t="s">
        <v>1240</v>
      </c>
      <c r="CH8" s="328"/>
      <c r="CK8" s="1720">
        <v>350</v>
      </c>
      <c r="CL8" s="1720">
        <v>356</v>
      </c>
      <c r="CM8" s="1720">
        <v>560</v>
      </c>
      <c r="CN8" s="1720">
        <v>400</v>
      </c>
      <c r="CO8" s="328" t="s">
        <v>1917</v>
      </c>
      <c r="CP8" s="328"/>
    </row>
    <row r="9" spans="1:94" x14ac:dyDescent="0.3">
      <c r="A9" s="1720">
        <v>8</v>
      </c>
      <c r="B9" s="328" t="s">
        <v>1084</v>
      </c>
      <c r="C9" s="1720" t="s">
        <v>1454</v>
      </c>
      <c r="D9" s="1720"/>
      <c r="E9" s="1720"/>
      <c r="F9" s="1720"/>
      <c r="G9" s="1720">
        <v>330</v>
      </c>
      <c r="H9" s="1720">
        <v>5</v>
      </c>
      <c r="I9" s="1720">
        <v>520</v>
      </c>
      <c r="J9" s="1720">
        <v>380</v>
      </c>
      <c r="K9" s="1720">
        <v>400</v>
      </c>
      <c r="L9" s="1720">
        <v>120</v>
      </c>
      <c r="M9" s="1720"/>
      <c r="N9" s="328" t="s">
        <v>6</v>
      </c>
      <c r="O9" s="1720">
        <v>338</v>
      </c>
      <c r="R9" s="1720">
        <v>8</v>
      </c>
      <c r="S9" s="1720"/>
      <c r="T9" s="1720">
        <v>250</v>
      </c>
      <c r="U9" s="1720">
        <v>660</v>
      </c>
      <c r="V9" s="1720">
        <v>80</v>
      </c>
      <c r="W9" s="1720" t="s">
        <v>1949</v>
      </c>
      <c r="AC9" s="1720">
        <v>84</v>
      </c>
      <c r="AD9" s="1720">
        <v>680</v>
      </c>
      <c r="AE9" s="1720">
        <v>135</v>
      </c>
      <c r="AF9" s="1720">
        <v>545</v>
      </c>
      <c r="AG9" s="1720">
        <v>200</v>
      </c>
      <c r="AH9" s="1720">
        <v>212</v>
      </c>
      <c r="AI9" s="1720">
        <v>250</v>
      </c>
      <c r="AJ9" s="1720">
        <v>78</v>
      </c>
      <c r="AK9" s="1720">
        <v>80</v>
      </c>
      <c r="AL9" s="1720">
        <v>135</v>
      </c>
      <c r="AM9" s="1770" t="s">
        <v>1294</v>
      </c>
      <c r="AP9" s="1720">
        <v>132</v>
      </c>
      <c r="AQ9" s="1720">
        <v>1045</v>
      </c>
      <c r="AR9" s="1720">
        <v>330</v>
      </c>
      <c r="AS9" s="1720">
        <v>715</v>
      </c>
      <c r="AT9" s="1720">
        <v>325</v>
      </c>
      <c r="AU9" s="1720">
        <v>340</v>
      </c>
      <c r="AV9" s="1720">
        <v>410</v>
      </c>
      <c r="AW9" s="1720">
        <v>75</v>
      </c>
      <c r="AX9" s="1720">
        <v>105</v>
      </c>
      <c r="AY9" s="1720">
        <v>105</v>
      </c>
      <c r="AZ9" s="1720">
        <v>180</v>
      </c>
      <c r="BA9" s="1720">
        <v>240</v>
      </c>
      <c r="BB9" s="1720">
        <v>125</v>
      </c>
      <c r="BC9" s="1720">
        <v>175</v>
      </c>
      <c r="BD9" s="1720">
        <v>160</v>
      </c>
      <c r="BE9" s="1720"/>
      <c r="BF9" s="1720"/>
      <c r="BG9" s="328"/>
      <c r="BH9" s="1720">
        <v>1</v>
      </c>
      <c r="BI9" s="1720">
        <v>1</v>
      </c>
      <c r="BJ9" s="1720">
        <v>2</v>
      </c>
      <c r="BK9" s="1720">
        <v>2.08</v>
      </c>
      <c r="BL9" s="1772"/>
      <c r="BO9">
        <v>100</v>
      </c>
      <c r="BP9" t="s">
        <v>413</v>
      </c>
      <c r="BU9" s="1720">
        <v>60</v>
      </c>
      <c r="BV9" s="1720">
        <v>245</v>
      </c>
      <c r="BW9" s="1720">
        <v>140</v>
      </c>
      <c r="BX9" s="1720" t="s">
        <v>1849</v>
      </c>
      <c r="BY9" s="1772"/>
      <c r="CB9" s="1720">
        <v>183</v>
      </c>
      <c r="CC9" s="1720">
        <v>130</v>
      </c>
      <c r="CD9" s="1720">
        <v>200</v>
      </c>
      <c r="CE9" s="1720">
        <v>150</v>
      </c>
      <c r="CF9" s="1720">
        <v>285</v>
      </c>
      <c r="CG9" s="1720" t="s">
        <v>1241</v>
      </c>
      <c r="CH9" s="328"/>
      <c r="CK9" s="1720">
        <v>330</v>
      </c>
      <c r="CL9" s="1720">
        <v>370</v>
      </c>
      <c r="CM9" s="1720">
        <v>850</v>
      </c>
      <c r="CN9" s="1720">
        <v>470</v>
      </c>
      <c r="CO9" s="328"/>
      <c r="CP9" s="328" t="s">
        <v>1916</v>
      </c>
    </row>
    <row r="10" spans="1:94" x14ac:dyDescent="0.3">
      <c r="A10" s="1720">
        <v>9</v>
      </c>
      <c r="B10" s="328" t="s">
        <v>1385</v>
      </c>
      <c r="C10" s="1720" t="s">
        <v>1183</v>
      </c>
      <c r="D10" s="1720"/>
      <c r="E10" s="1720"/>
      <c r="F10" s="1720"/>
      <c r="G10" s="1720">
        <v>350</v>
      </c>
      <c r="H10" s="1720">
        <v>60</v>
      </c>
      <c r="I10" s="1720">
        <v>1260</v>
      </c>
      <c r="J10" s="1720">
        <v>590</v>
      </c>
      <c r="K10" s="1720">
        <v>600</v>
      </c>
      <c r="L10" s="1720">
        <v>180</v>
      </c>
      <c r="M10" s="1720"/>
      <c r="N10" s="328" t="s">
        <v>21</v>
      </c>
      <c r="O10" s="1720">
        <v>1000</v>
      </c>
      <c r="R10" s="1720">
        <v>9</v>
      </c>
      <c r="S10" s="1720"/>
      <c r="T10" s="1720">
        <v>280</v>
      </c>
      <c r="U10" s="1720">
        <v>870</v>
      </c>
      <c r="V10" s="1720">
        <v>80</v>
      </c>
      <c r="W10" s="1720" t="s">
        <v>1950</v>
      </c>
      <c r="AC10" s="1720">
        <v>141</v>
      </c>
      <c r="AD10" s="1720">
        <v>710</v>
      </c>
      <c r="AE10" s="1720">
        <v>150</v>
      </c>
      <c r="AF10" s="1720">
        <v>560</v>
      </c>
      <c r="AG10" s="1720">
        <v>1880</v>
      </c>
      <c r="AH10" s="1720">
        <v>1900</v>
      </c>
      <c r="AI10" s="1720">
        <v>1920</v>
      </c>
      <c r="AJ10" s="1720">
        <v>43</v>
      </c>
      <c r="AK10" s="1720">
        <v>60</v>
      </c>
      <c r="AL10" s="1720">
        <v>90</v>
      </c>
      <c r="AM10" s="1770" t="s">
        <v>1295</v>
      </c>
      <c r="AP10" s="1720">
        <v>133</v>
      </c>
      <c r="AQ10" s="1720">
        <v>1350</v>
      </c>
      <c r="AR10" s="1720">
        <v>370</v>
      </c>
      <c r="AS10" s="1720">
        <v>980</v>
      </c>
      <c r="AT10" s="1720">
        <v>340</v>
      </c>
      <c r="AU10" s="1720">
        <v>355</v>
      </c>
      <c r="AV10" s="1720">
        <v>420</v>
      </c>
      <c r="AW10" s="1720">
        <v>65</v>
      </c>
      <c r="AX10" s="1720">
        <v>110</v>
      </c>
      <c r="AY10" s="1720">
        <v>115</v>
      </c>
      <c r="AZ10" s="1720">
        <v>160</v>
      </c>
      <c r="BA10" s="1720">
        <v>250</v>
      </c>
      <c r="BB10" s="1720">
        <v>140</v>
      </c>
      <c r="BC10" s="1720">
        <v>350</v>
      </c>
      <c r="BD10" s="1720">
        <v>300</v>
      </c>
      <c r="BE10" s="1720">
        <v>197.5</v>
      </c>
      <c r="BF10" s="1720">
        <v>45190</v>
      </c>
      <c r="BG10" s="328" t="s">
        <v>24</v>
      </c>
      <c r="BH10" s="1720">
        <v>385.9</v>
      </c>
      <c r="BI10" s="1720">
        <v>214.2</v>
      </c>
      <c r="BJ10" s="1720">
        <v>600.09999999999991</v>
      </c>
      <c r="BK10" s="1720">
        <v>624.10399999999993</v>
      </c>
      <c r="BL10" s="1772"/>
      <c r="BO10">
        <v>102.5</v>
      </c>
      <c r="BP10" t="s">
        <v>414</v>
      </c>
      <c r="BU10" s="1720">
        <v>60</v>
      </c>
      <c r="BV10" s="1720">
        <v>245</v>
      </c>
      <c r="BW10" s="1720">
        <v>140</v>
      </c>
      <c r="BX10" s="1720" t="s">
        <v>1849</v>
      </c>
      <c r="BY10" s="1772"/>
      <c r="CB10" s="1720">
        <v>150</v>
      </c>
      <c r="CC10" s="1720">
        <v>135</v>
      </c>
      <c r="CD10" s="1720">
        <v>193</v>
      </c>
      <c r="CE10" s="1720">
        <v>150</v>
      </c>
      <c r="CF10" s="1720">
        <v>185</v>
      </c>
      <c r="CG10" s="1720" t="s">
        <v>1242</v>
      </c>
      <c r="CH10" s="328"/>
      <c r="CK10" s="1720">
        <v>325</v>
      </c>
      <c r="CL10" s="1720">
        <v>370</v>
      </c>
      <c r="CM10" s="1720">
        <v>1000</v>
      </c>
      <c r="CN10" s="1720">
        <v>470</v>
      </c>
      <c r="CO10" s="328"/>
      <c r="CP10" s="328" t="s">
        <v>1918</v>
      </c>
    </row>
    <row r="11" spans="1:94" x14ac:dyDescent="0.3">
      <c r="A11" s="1720">
        <v>10</v>
      </c>
      <c r="B11" s="328"/>
      <c r="C11" s="1720"/>
      <c r="D11" s="1720"/>
      <c r="E11" s="1720"/>
      <c r="F11" s="1720"/>
      <c r="G11" s="1720">
        <v>360</v>
      </c>
      <c r="H11" s="1720">
        <v>11</v>
      </c>
      <c r="I11" s="1720">
        <v>530</v>
      </c>
      <c r="J11" s="1720">
        <v>410</v>
      </c>
      <c r="K11" s="1720">
        <v>420</v>
      </c>
      <c r="L11" s="1720">
        <v>70</v>
      </c>
      <c r="M11" s="1720"/>
      <c r="N11" s="328"/>
      <c r="O11" s="1720"/>
      <c r="R11" s="1720">
        <v>10</v>
      </c>
      <c r="S11" s="1720" t="s">
        <v>1951</v>
      </c>
      <c r="T11" s="1720">
        <v>315</v>
      </c>
      <c r="U11" s="1720">
        <v>760</v>
      </c>
      <c r="V11" s="1720">
        <v>80</v>
      </c>
      <c r="W11" s="1720"/>
      <c r="AC11" s="1720">
        <v>97</v>
      </c>
      <c r="AD11" s="1720">
        <v>680</v>
      </c>
      <c r="AE11" s="1720">
        <v>110</v>
      </c>
      <c r="AF11" s="1720">
        <v>570</v>
      </c>
      <c r="AG11" s="1720">
        <v>295</v>
      </c>
      <c r="AH11" s="1720">
        <v>305</v>
      </c>
      <c r="AI11" s="1720">
        <v>355</v>
      </c>
      <c r="AJ11" s="1720">
        <v>27</v>
      </c>
      <c r="AK11" s="1720">
        <v>38</v>
      </c>
      <c r="AL11" s="1720">
        <v>60</v>
      </c>
      <c r="AP11" s="1720">
        <v>134</v>
      </c>
      <c r="AQ11" s="1720">
        <v>1450</v>
      </c>
      <c r="AR11" s="1720">
        <v>390</v>
      </c>
      <c r="AS11" s="1720">
        <v>1060</v>
      </c>
      <c r="AT11" s="1720">
        <v>355</v>
      </c>
      <c r="AU11" s="1720">
        <v>380</v>
      </c>
      <c r="AV11" s="1720">
        <v>450</v>
      </c>
      <c r="AW11" s="1720">
        <v>83</v>
      </c>
      <c r="AX11" s="1720">
        <v>170</v>
      </c>
      <c r="AY11" s="1720">
        <v>190</v>
      </c>
      <c r="AZ11" s="1720">
        <v>180</v>
      </c>
      <c r="BA11" s="1720">
        <v>260</v>
      </c>
      <c r="BB11" s="1720">
        <v>150</v>
      </c>
      <c r="BC11" s="1720">
        <v>350</v>
      </c>
      <c r="BD11" s="1720">
        <v>320</v>
      </c>
      <c r="BE11" s="1720">
        <v>202.5</v>
      </c>
      <c r="BF11" s="1720">
        <v>45006</v>
      </c>
      <c r="BG11" s="328" t="s">
        <v>24</v>
      </c>
      <c r="BH11" s="1720">
        <v>438.3</v>
      </c>
      <c r="BI11" s="1720">
        <v>246.3</v>
      </c>
      <c r="BJ11" s="1720">
        <v>684.6</v>
      </c>
      <c r="BK11" s="1720">
        <v>711.98400000000004</v>
      </c>
      <c r="BL11" s="1772" t="s">
        <v>1468</v>
      </c>
      <c r="BO11">
        <v>105</v>
      </c>
      <c r="BP11" t="s">
        <v>415</v>
      </c>
      <c r="BU11" s="1720">
        <v>60</v>
      </c>
      <c r="BV11" s="1720">
        <v>245</v>
      </c>
      <c r="BW11" s="1720">
        <v>140</v>
      </c>
      <c r="BX11" s="1720" t="s">
        <v>1849</v>
      </c>
      <c r="BY11" s="1772"/>
      <c r="CB11" s="1720">
        <v>180</v>
      </c>
      <c r="CC11" s="1720">
        <v>135</v>
      </c>
      <c r="CD11" s="1720">
        <v>200</v>
      </c>
      <c r="CE11" s="1720">
        <v>150</v>
      </c>
      <c r="CF11" s="1720">
        <v>285</v>
      </c>
      <c r="CG11" s="1720" t="s">
        <v>1241</v>
      </c>
      <c r="CH11" s="328"/>
      <c r="CK11" s="1720">
        <v>310</v>
      </c>
      <c r="CL11" s="1720">
        <v>330</v>
      </c>
      <c r="CM11" s="1720">
        <v>800</v>
      </c>
      <c r="CN11" s="1720">
        <v>400</v>
      </c>
      <c r="CO11" s="328" t="s">
        <v>1919</v>
      </c>
      <c r="CP11" s="328"/>
    </row>
    <row r="12" spans="1:94" x14ac:dyDescent="0.3">
      <c r="A12" s="1720">
        <v>11</v>
      </c>
      <c r="B12" s="328"/>
      <c r="C12" s="1720" t="s">
        <v>1387</v>
      </c>
      <c r="D12" s="1720"/>
      <c r="E12" s="1720"/>
      <c r="F12" s="1720"/>
      <c r="G12" s="1720">
        <v>365</v>
      </c>
      <c r="H12" s="1720">
        <v>5</v>
      </c>
      <c r="I12" s="1720">
        <v>510</v>
      </c>
      <c r="J12" s="1720">
        <v>405</v>
      </c>
      <c r="K12" s="1720">
        <v>425</v>
      </c>
      <c r="L12" s="1720">
        <v>130</v>
      </c>
      <c r="M12" s="1720"/>
      <c r="N12" s="328"/>
      <c r="O12" s="1720"/>
      <c r="R12" s="1720">
        <v>11</v>
      </c>
      <c r="S12" s="1720" t="s">
        <v>1952</v>
      </c>
      <c r="T12" s="1720">
        <v>320</v>
      </c>
      <c r="U12" s="1720">
        <v>720</v>
      </c>
      <c r="V12" s="1720">
        <v>80</v>
      </c>
      <c r="W12" s="1720" t="s">
        <v>1953</v>
      </c>
      <c r="AC12" s="1720">
        <v>53</v>
      </c>
      <c r="AD12" s="1720">
        <v>690</v>
      </c>
      <c r="AE12" s="1720">
        <v>110</v>
      </c>
      <c r="AF12" s="1720">
        <v>580</v>
      </c>
      <c r="AG12" s="1720">
        <v>235</v>
      </c>
      <c r="AH12" s="1720">
        <v>247</v>
      </c>
      <c r="AI12" s="1720">
        <v>265</v>
      </c>
      <c r="AJ12" s="1720">
        <v>64</v>
      </c>
      <c r="AK12" s="1720">
        <v>74</v>
      </c>
      <c r="AL12" s="1720">
        <v>120</v>
      </c>
      <c r="AM12" s="1770" t="s">
        <v>1296</v>
      </c>
      <c r="AP12" s="1720">
        <v>135</v>
      </c>
      <c r="AQ12" s="1720">
        <v>1350</v>
      </c>
      <c r="AR12" s="1720">
        <v>380</v>
      </c>
      <c r="AS12" s="1720">
        <v>970</v>
      </c>
      <c r="AT12" s="1720">
        <v>340</v>
      </c>
      <c r="AU12" s="1720">
        <v>360</v>
      </c>
      <c r="AV12" s="1720">
        <v>430</v>
      </c>
      <c r="AW12" s="1720">
        <v>63</v>
      </c>
      <c r="AX12" s="1720">
        <v>108</v>
      </c>
      <c r="AY12" s="1720">
        <v>118</v>
      </c>
      <c r="AZ12" s="1720">
        <v>158</v>
      </c>
      <c r="BA12" s="1720">
        <v>248</v>
      </c>
      <c r="BB12" s="1720">
        <v>130</v>
      </c>
      <c r="BC12" s="1720">
        <v>350</v>
      </c>
      <c r="BD12" s="1720">
        <v>320</v>
      </c>
      <c r="BE12" s="1720">
        <v>168</v>
      </c>
      <c r="BF12" s="1720" t="s">
        <v>1469</v>
      </c>
      <c r="BG12" s="328" t="s">
        <v>24</v>
      </c>
      <c r="BH12" s="1720">
        <v>349</v>
      </c>
      <c r="BI12" s="1720">
        <v>209.7</v>
      </c>
      <c r="BJ12" s="1720">
        <v>558.70000000000005</v>
      </c>
      <c r="BK12" s="1720">
        <v>581.04800000000012</v>
      </c>
      <c r="BL12" s="1772"/>
      <c r="BO12">
        <v>107.5</v>
      </c>
      <c r="BP12" t="s">
        <v>416</v>
      </c>
      <c r="BU12" s="1720">
        <v>60</v>
      </c>
      <c r="BV12" s="1720">
        <v>245</v>
      </c>
      <c r="BW12" s="1720">
        <v>140</v>
      </c>
      <c r="BX12" s="1720" t="s">
        <v>1849</v>
      </c>
      <c r="BY12" s="1772"/>
      <c r="CB12" s="1720">
        <v>220</v>
      </c>
      <c r="CC12" s="1720">
        <v>135</v>
      </c>
      <c r="CD12" s="1720">
        <v>320</v>
      </c>
      <c r="CE12" s="1720">
        <v>260</v>
      </c>
      <c r="CF12" s="1720">
        <v>285</v>
      </c>
      <c r="CG12" s="1720">
        <v>10256072</v>
      </c>
      <c r="CH12" s="328"/>
      <c r="CK12" s="1720">
        <v>330</v>
      </c>
      <c r="CL12" s="1720">
        <v>330</v>
      </c>
      <c r="CM12" s="1720">
        <v>240</v>
      </c>
      <c r="CN12" s="1720"/>
      <c r="CO12" s="328"/>
      <c r="CP12" s="328"/>
    </row>
    <row r="13" spans="1:94" x14ac:dyDescent="0.3">
      <c r="A13" s="1720">
        <v>12</v>
      </c>
      <c r="B13" s="328"/>
      <c r="C13" s="1720" t="s">
        <v>1388</v>
      </c>
      <c r="D13" s="1720"/>
      <c r="E13" s="1720"/>
      <c r="F13" s="1720"/>
      <c r="G13" s="1720">
        <v>380</v>
      </c>
      <c r="H13" s="1720">
        <v>5</v>
      </c>
      <c r="I13" s="1720">
        <v>490</v>
      </c>
      <c r="J13" s="1720">
        <v>420</v>
      </c>
      <c r="K13" s="1720">
        <v>435</v>
      </c>
      <c r="L13" s="1720">
        <v>100</v>
      </c>
      <c r="M13" s="1720"/>
      <c r="N13" s="328"/>
      <c r="O13" s="1720"/>
      <c r="R13" s="1720">
        <v>12</v>
      </c>
      <c r="S13" s="1720" t="s">
        <v>1952</v>
      </c>
      <c r="T13" s="1720">
        <v>320</v>
      </c>
      <c r="U13" s="1720">
        <v>730</v>
      </c>
      <c r="V13" s="1720">
        <v>80</v>
      </c>
      <c r="W13" s="1720">
        <v>45352</v>
      </c>
      <c r="AC13" s="1720">
        <v>113</v>
      </c>
      <c r="AD13" s="1720">
        <v>735</v>
      </c>
      <c r="AE13" s="1720">
        <v>150</v>
      </c>
      <c r="AF13" s="1720">
        <v>585</v>
      </c>
      <c r="AG13" s="1720">
        <v>115</v>
      </c>
      <c r="AH13" s="1720">
        <v>120</v>
      </c>
      <c r="AI13" s="1720">
        <v>160</v>
      </c>
      <c r="AJ13" s="1720">
        <v>70</v>
      </c>
      <c r="AK13" s="1720">
        <v>75</v>
      </c>
      <c r="AL13" s="1720">
        <v>140</v>
      </c>
      <c r="AM13" s="1770" t="s">
        <v>1297</v>
      </c>
      <c r="AP13" s="1720">
        <v>136</v>
      </c>
      <c r="AQ13" s="1720">
        <v>1280</v>
      </c>
      <c r="AR13" s="1720">
        <v>380</v>
      </c>
      <c r="AS13" s="1720">
        <v>900</v>
      </c>
      <c r="AT13" s="1720">
        <v>405</v>
      </c>
      <c r="AU13" s="1720">
        <v>420</v>
      </c>
      <c r="AV13" s="1720">
        <v>500</v>
      </c>
      <c r="AW13" s="1720">
        <v>35</v>
      </c>
      <c r="AX13" s="1720">
        <v>65</v>
      </c>
      <c r="AY13" s="1720">
        <v>75</v>
      </c>
      <c r="AZ13" s="1720">
        <v>130</v>
      </c>
      <c r="BA13" s="1720">
        <v>200</v>
      </c>
      <c r="BB13" s="1720">
        <v>130</v>
      </c>
      <c r="BC13" s="1720">
        <v>310</v>
      </c>
      <c r="BD13" s="1720">
        <v>250</v>
      </c>
      <c r="BE13" s="1720">
        <v>164</v>
      </c>
      <c r="BF13" s="1720">
        <v>44592</v>
      </c>
      <c r="BG13" s="328" t="s">
        <v>24</v>
      </c>
      <c r="BH13" s="1720">
        <v>329</v>
      </c>
      <c r="BI13" s="1720">
        <v>213</v>
      </c>
      <c r="BJ13" s="1720">
        <v>542</v>
      </c>
      <c r="BK13" s="1720">
        <v>563.68000000000006</v>
      </c>
      <c r="BL13" s="1772"/>
      <c r="BO13">
        <v>110</v>
      </c>
      <c r="BP13" t="s">
        <v>417</v>
      </c>
      <c r="BU13" s="1720">
        <v>60</v>
      </c>
      <c r="BV13" s="1720">
        <v>245</v>
      </c>
      <c r="BW13" s="1720">
        <v>140</v>
      </c>
      <c r="BX13" s="1720" t="s">
        <v>1849</v>
      </c>
      <c r="BY13" s="1772"/>
      <c r="CB13" s="1720">
        <v>226</v>
      </c>
      <c r="CC13" s="1720">
        <v>140</v>
      </c>
      <c r="CD13" s="1720">
        <v>265</v>
      </c>
      <c r="CE13" s="1720">
        <v>203</v>
      </c>
      <c r="CF13" s="1720">
        <v>285</v>
      </c>
      <c r="CG13" s="1720" t="s">
        <v>1243</v>
      </c>
      <c r="CH13" s="328"/>
      <c r="CK13" s="1720">
        <v>275</v>
      </c>
      <c r="CL13" s="1720">
        <v>290</v>
      </c>
      <c r="CM13" s="1720">
        <v>800</v>
      </c>
      <c r="CN13" s="1720">
        <v>315</v>
      </c>
      <c r="CO13" s="328" t="s">
        <v>1920</v>
      </c>
      <c r="CP13" s="328"/>
    </row>
    <row r="14" spans="1:94" x14ac:dyDescent="0.3">
      <c r="A14" s="1720">
        <v>13</v>
      </c>
      <c r="B14" s="328"/>
      <c r="C14" s="1720" t="s">
        <v>1441</v>
      </c>
      <c r="D14" s="1720">
        <v>405</v>
      </c>
      <c r="E14" s="1720">
        <v>2.5</v>
      </c>
      <c r="F14" s="1720">
        <v>100</v>
      </c>
      <c r="G14" s="1720">
        <v>380</v>
      </c>
      <c r="H14" s="1720">
        <v>8</v>
      </c>
      <c r="I14" s="1720">
        <v>525</v>
      </c>
      <c r="J14" s="1720">
        <v>445</v>
      </c>
      <c r="K14" s="1720">
        <v>460</v>
      </c>
      <c r="L14" s="1720">
        <v>150</v>
      </c>
      <c r="M14" s="1720"/>
      <c r="N14" s="328"/>
      <c r="O14" s="1720"/>
      <c r="R14" s="1720">
        <v>13</v>
      </c>
      <c r="S14" s="1720">
        <v>52427</v>
      </c>
      <c r="T14" s="1720">
        <v>330</v>
      </c>
      <c r="U14" s="1720">
        <v>1060</v>
      </c>
      <c r="V14" s="1720">
        <v>80</v>
      </c>
      <c r="W14" s="1720"/>
      <c r="AC14" s="1720">
        <v>96</v>
      </c>
      <c r="AD14" s="1720">
        <v>735</v>
      </c>
      <c r="AE14" s="1720">
        <v>150</v>
      </c>
      <c r="AF14" s="1720">
        <v>585</v>
      </c>
      <c r="AG14" s="1720">
        <v>185</v>
      </c>
      <c r="AH14" s="1720">
        <v>195</v>
      </c>
      <c r="AI14" s="1720">
        <v>235</v>
      </c>
      <c r="AJ14" s="1720">
        <v>37</v>
      </c>
      <c r="AK14" s="1720">
        <v>45</v>
      </c>
      <c r="AL14" s="1720">
        <v>115</v>
      </c>
      <c r="AP14" s="1720">
        <v>137</v>
      </c>
      <c r="AQ14" s="1720">
        <v>1770</v>
      </c>
      <c r="AR14" s="1720">
        <v>470</v>
      </c>
      <c r="AS14" s="1720">
        <v>1300</v>
      </c>
      <c r="AT14" s="1720">
        <v>480</v>
      </c>
      <c r="AU14" s="1720">
        <v>500</v>
      </c>
      <c r="AV14" s="1720">
        <v>555</v>
      </c>
      <c r="AW14" s="1720">
        <v>100</v>
      </c>
      <c r="AX14" s="1720">
        <v>160</v>
      </c>
      <c r="AY14" s="1720">
        <v>170</v>
      </c>
      <c r="AZ14" s="1720">
        <v>310</v>
      </c>
      <c r="BA14" s="1720">
        <v>430</v>
      </c>
      <c r="BB14" s="1720">
        <v>160</v>
      </c>
      <c r="BC14" s="1720">
        <v>400</v>
      </c>
      <c r="BD14" s="1720">
        <v>400</v>
      </c>
      <c r="BE14" s="1720">
        <v>177.5</v>
      </c>
      <c r="BF14" s="1720">
        <v>44624</v>
      </c>
      <c r="BG14" s="328" t="s">
        <v>24</v>
      </c>
      <c r="BH14" s="1720">
        <v>937.6</v>
      </c>
      <c r="BI14" s="1720">
        <v>563.4</v>
      </c>
      <c r="BJ14" s="1720">
        <v>1501</v>
      </c>
      <c r="BK14" s="1720">
        <v>1561.04</v>
      </c>
      <c r="BL14" s="1772"/>
      <c r="BO14">
        <v>112.5</v>
      </c>
      <c r="BP14" t="s">
        <v>418</v>
      </c>
      <c r="BU14" s="1720">
        <v>60</v>
      </c>
      <c r="BV14" s="1720">
        <v>245</v>
      </c>
      <c r="BW14" s="1720">
        <v>140</v>
      </c>
      <c r="BX14" s="1720" t="s">
        <v>1849</v>
      </c>
      <c r="BY14" s="1772"/>
      <c r="CB14" s="1720">
        <v>160</v>
      </c>
      <c r="CC14" s="1720">
        <v>142.5</v>
      </c>
      <c r="CD14" s="1720">
        <v>200</v>
      </c>
      <c r="CE14" s="1720">
        <v>150</v>
      </c>
      <c r="CF14" s="1720">
        <v>285</v>
      </c>
      <c r="CG14" s="1720" t="s">
        <v>1244</v>
      </c>
      <c r="CH14" s="328"/>
      <c r="CK14" s="1720">
        <v>250</v>
      </c>
      <c r="CL14" s="1720">
        <v>270</v>
      </c>
      <c r="CM14" s="1720">
        <v>800</v>
      </c>
      <c r="CN14" s="1720">
        <v>400</v>
      </c>
      <c r="CO14" s="328"/>
      <c r="CP14" s="328" t="s">
        <v>1921</v>
      </c>
    </row>
    <row r="15" spans="1:94" x14ac:dyDescent="0.3">
      <c r="A15" s="1720">
        <v>14</v>
      </c>
      <c r="B15" s="328" t="s">
        <v>1385</v>
      </c>
      <c r="C15" s="1720" t="s">
        <v>1185</v>
      </c>
      <c r="D15" s="1720"/>
      <c r="E15" s="1720"/>
      <c r="F15" s="1720"/>
      <c r="G15" s="1720">
        <v>395</v>
      </c>
      <c r="H15" s="1720">
        <v>73.5</v>
      </c>
      <c r="I15" s="1720">
        <v>1550</v>
      </c>
      <c r="J15" s="1720">
        <v>635</v>
      </c>
      <c r="K15" s="1720">
        <v>660</v>
      </c>
      <c r="L15" s="1720">
        <v>220</v>
      </c>
      <c r="M15" s="1720" t="s">
        <v>1389</v>
      </c>
      <c r="N15" s="328"/>
      <c r="O15" s="1720"/>
      <c r="R15" s="1720">
        <v>14</v>
      </c>
      <c r="S15" s="1720" t="s">
        <v>1456</v>
      </c>
      <c r="T15" s="1720">
        <v>340</v>
      </c>
      <c r="U15" s="1720">
        <v>55</v>
      </c>
      <c r="V15" s="1720">
        <v>80</v>
      </c>
      <c r="W15" s="1720" t="s">
        <v>1954</v>
      </c>
      <c r="AC15" s="1720">
        <v>50</v>
      </c>
      <c r="AD15" s="1720">
        <v>690</v>
      </c>
      <c r="AE15" s="1720">
        <v>100</v>
      </c>
      <c r="AF15" s="1720">
        <v>590</v>
      </c>
      <c r="AG15" s="1720">
        <v>227</v>
      </c>
      <c r="AH15" s="1720">
        <v>240</v>
      </c>
      <c r="AI15" s="1720">
        <v>270</v>
      </c>
      <c r="AJ15" s="1720">
        <v>28</v>
      </c>
      <c r="AK15" s="1720">
        <v>38</v>
      </c>
      <c r="AL15" s="1720">
        <v>80</v>
      </c>
      <c r="BO15">
        <v>115</v>
      </c>
      <c r="BP15" t="s">
        <v>419</v>
      </c>
      <c r="BU15" s="1720">
        <v>60</v>
      </c>
      <c r="BV15" s="1720">
        <v>245</v>
      </c>
      <c r="BW15" s="1720">
        <v>140</v>
      </c>
      <c r="BX15" s="1720" t="s">
        <v>1849</v>
      </c>
      <c r="BY15" s="1772"/>
      <c r="CB15" s="1720">
        <v>161</v>
      </c>
      <c r="CC15" s="1720">
        <v>145</v>
      </c>
      <c r="CD15" s="1720">
        <v>200</v>
      </c>
      <c r="CE15" s="1720">
        <v>150</v>
      </c>
      <c r="CF15" s="1720">
        <v>285</v>
      </c>
      <c r="CG15" s="1720" t="s">
        <v>1244</v>
      </c>
      <c r="CH15" s="328"/>
      <c r="CK15" s="1720">
        <v>250</v>
      </c>
      <c r="CL15" s="1720">
        <v>270</v>
      </c>
      <c r="CM15" s="1720">
        <v>800</v>
      </c>
      <c r="CN15" s="1720">
        <v>400</v>
      </c>
      <c r="CO15" s="328" t="s">
        <v>1922</v>
      </c>
      <c r="CP15" s="328" t="s">
        <v>1921</v>
      </c>
    </row>
    <row r="16" spans="1:94" x14ac:dyDescent="0.3">
      <c r="A16" s="1720">
        <v>15</v>
      </c>
      <c r="B16" s="328" t="s">
        <v>1385</v>
      </c>
      <c r="C16" s="1720" t="s">
        <v>1184</v>
      </c>
      <c r="D16" s="1720"/>
      <c r="E16" s="1720"/>
      <c r="F16" s="1720"/>
      <c r="G16" s="1720">
        <v>400</v>
      </c>
      <c r="H16" s="1720">
        <v>72.5</v>
      </c>
      <c r="I16" s="1720">
        <v>1550</v>
      </c>
      <c r="J16" s="1720">
        <v>640</v>
      </c>
      <c r="K16" s="1720">
        <v>670</v>
      </c>
      <c r="L16" s="1720">
        <v>180</v>
      </c>
      <c r="M16" s="1720" t="s">
        <v>1455</v>
      </c>
      <c r="N16" s="328" t="s">
        <v>21</v>
      </c>
      <c r="O16" s="1720">
        <v>1520</v>
      </c>
      <c r="R16" s="1720">
        <v>15</v>
      </c>
      <c r="S16" s="1720"/>
      <c r="T16" s="1720">
        <v>340</v>
      </c>
      <c r="U16" s="1720">
        <v>780</v>
      </c>
      <c r="V16" s="1720">
        <v>80</v>
      </c>
      <c r="W16" s="1720"/>
      <c r="AC16" s="1720">
        <v>49</v>
      </c>
      <c r="AD16" s="1720">
        <v>780</v>
      </c>
      <c r="AE16" s="1720">
        <v>190</v>
      </c>
      <c r="AF16" s="1720">
        <v>590</v>
      </c>
      <c r="AG16" s="1720">
        <v>265</v>
      </c>
      <c r="AH16" s="1720">
        <v>270</v>
      </c>
      <c r="AI16" s="1720">
        <v>320</v>
      </c>
      <c r="AJ16" s="1720">
        <v>50</v>
      </c>
      <c r="AK16" s="1720">
        <v>60</v>
      </c>
      <c r="AL16" s="1720">
        <v>140</v>
      </c>
      <c r="AM16" s="1770" t="s">
        <v>1298</v>
      </c>
      <c r="BO16">
        <v>117.5</v>
      </c>
      <c r="BP16" t="s">
        <v>420</v>
      </c>
      <c r="BU16" s="1720">
        <v>60</v>
      </c>
      <c r="BV16" s="1720">
        <v>242</v>
      </c>
      <c r="BW16" s="1720">
        <v>140</v>
      </c>
      <c r="BX16" s="1720" t="s">
        <v>1849</v>
      </c>
      <c r="BY16" s="1772"/>
      <c r="CB16" s="1720">
        <v>161</v>
      </c>
      <c r="CC16" s="1720">
        <v>145</v>
      </c>
      <c r="CD16" s="1720">
        <v>200</v>
      </c>
      <c r="CE16" s="1720">
        <v>148</v>
      </c>
      <c r="CF16" s="1720">
        <v>285</v>
      </c>
      <c r="CG16" s="1720" t="s">
        <v>1244</v>
      </c>
      <c r="CH16" s="328"/>
      <c r="CK16" s="1720">
        <v>240</v>
      </c>
      <c r="CL16" s="1720">
        <v>250</v>
      </c>
      <c r="CM16" s="1720">
        <v>800</v>
      </c>
      <c r="CN16" s="1720">
        <v>315</v>
      </c>
      <c r="CO16" s="328" t="s">
        <v>1923</v>
      </c>
      <c r="CP16" s="328"/>
    </row>
    <row r="17" spans="1:94" x14ac:dyDescent="0.3">
      <c r="A17" s="1720">
        <v>16</v>
      </c>
      <c r="B17" s="328"/>
      <c r="C17" s="1720"/>
      <c r="D17" s="1720">
        <v>465</v>
      </c>
      <c r="E17" s="1720">
        <v>3.5</v>
      </c>
      <c r="F17" s="1720">
        <v>150</v>
      </c>
      <c r="G17" s="1720">
        <v>405</v>
      </c>
      <c r="H17" s="1720">
        <v>2.5</v>
      </c>
      <c r="I17" s="1720">
        <v>200</v>
      </c>
      <c r="J17" s="1720">
        <v>525</v>
      </c>
      <c r="K17" s="1720">
        <v>545</v>
      </c>
      <c r="L17" s="1720">
        <v>150</v>
      </c>
      <c r="M17" s="1720"/>
      <c r="N17" s="328"/>
      <c r="O17" s="1720"/>
      <c r="R17" s="1720">
        <v>16</v>
      </c>
      <c r="S17" s="1720"/>
      <c r="T17" s="1720">
        <v>350</v>
      </c>
      <c r="U17" s="1720">
        <v>740</v>
      </c>
      <c r="V17" s="1720">
        <v>80</v>
      </c>
      <c r="W17" s="1720"/>
      <c r="AC17" s="1720">
        <v>52</v>
      </c>
      <c r="AD17" s="1720">
        <v>690</v>
      </c>
      <c r="AE17" s="1720">
        <v>100</v>
      </c>
      <c r="AF17" s="1720">
        <v>590</v>
      </c>
      <c r="AG17" s="1720">
        <v>272</v>
      </c>
      <c r="AH17" s="1720">
        <v>285</v>
      </c>
      <c r="AI17" s="1720">
        <v>295</v>
      </c>
      <c r="AJ17" s="1720">
        <v>125</v>
      </c>
      <c r="AK17" s="1720">
        <v>130</v>
      </c>
      <c r="AL17" s="1720">
        <v>175</v>
      </c>
      <c r="AM17" s="1770" t="s">
        <v>1299</v>
      </c>
      <c r="BO17">
        <v>120</v>
      </c>
      <c r="BP17" t="s">
        <v>421</v>
      </c>
      <c r="BU17" s="1720">
        <v>62.5</v>
      </c>
      <c r="BV17" s="1720">
        <v>245</v>
      </c>
      <c r="BW17" s="1720">
        <v>140</v>
      </c>
      <c r="BX17" s="1720" t="s">
        <v>1850</v>
      </c>
      <c r="BY17" s="1772"/>
      <c r="CB17" s="1720">
        <v>160</v>
      </c>
      <c r="CC17" s="1720">
        <v>145</v>
      </c>
      <c r="CD17" s="1720">
        <v>200</v>
      </c>
      <c r="CE17" s="1720">
        <v>150</v>
      </c>
      <c r="CF17" s="1720">
        <v>285</v>
      </c>
      <c r="CG17" s="1720" t="s">
        <v>1244</v>
      </c>
      <c r="CH17" s="328"/>
      <c r="CK17" s="1720">
        <v>220</v>
      </c>
      <c r="CL17" s="1720">
        <v>235</v>
      </c>
      <c r="CM17" s="1720">
        <v>420</v>
      </c>
      <c r="CN17" s="1720">
        <v>305</v>
      </c>
      <c r="CO17" s="328"/>
      <c r="CP17" s="328"/>
    </row>
    <row r="18" spans="1:94" x14ac:dyDescent="0.3">
      <c r="A18" s="1720">
        <v>17</v>
      </c>
      <c r="B18" s="328" t="s">
        <v>1442</v>
      </c>
      <c r="C18" s="1720">
        <v>52427</v>
      </c>
      <c r="D18" s="1720">
        <v>427</v>
      </c>
      <c r="E18" s="1720">
        <v>2.5</v>
      </c>
      <c r="F18" s="1720">
        <v>185</v>
      </c>
      <c r="G18" s="1720">
        <v>410</v>
      </c>
      <c r="H18" s="1720">
        <v>2.5</v>
      </c>
      <c r="I18" s="1720">
        <v>660</v>
      </c>
      <c r="J18" s="1720">
        <v>470</v>
      </c>
      <c r="K18" s="1720">
        <v>500</v>
      </c>
      <c r="L18" s="1720">
        <v>165</v>
      </c>
      <c r="M18" s="1720">
        <v>45352</v>
      </c>
      <c r="N18" s="328"/>
      <c r="O18" s="1720"/>
      <c r="R18" s="1720">
        <v>17</v>
      </c>
      <c r="S18" s="1720"/>
      <c r="T18" s="1720">
        <v>355</v>
      </c>
      <c r="U18" s="1720">
        <v>890</v>
      </c>
      <c r="V18" s="1720">
        <v>80</v>
      </c>
      <c r="W18" s="1720"/>
      <c r="AC18" s="1720">
        <v>83</v>
      </c>
      <c r="AD18" s="1720">
        <v>715</v>
      </c>
      <c r="AE18" s="1720">
        <v>120</v>
      </c>
      <c r="AF18" s="1720">
        <v>595</v>
      </c>
      <c r="AG18" s="1720">
        <v>280</v>
      </c>
      <c r="AH18" s="1720">
        <v>290</v>
      </c>
      <c r="AI18" s="1720">
        <v>325</v>
      </c>
      <c r="AJ18" s="1720">
        <v>32</v>
      </c>
      <c r="AK18" s="1720">
        <v>41</v>
      </c>
      <c r="AL18" s="1720">
        <v>95</v>
      </c>
      <c r="BO18">
        <v>122.5</v>
      </c>
      <c r="BP18" t="s">
        <v>422</v>
      </c>
      <c r="BU18" s="1720">
        <v>62.5</v>
      </c>
      <c r="BV18" s="1720">
        <v>245</v>
      </c>
      <c r="BW18" s="1720">
        <v>140</v>
      </c>
      <c r="BX18" s="1720" t="s">
        <v>1850</v>
      </c>
      <c r="BY18" s="1772"/>
      <c r="CB18" s="1720">
        <v>181</v>
      </c>
      <c r="CC18" s="1720">
        <v>150</v>
      </c>
      <c r="CD18" s="1720">
        <v>200</v>
      </c>
      <c r="CE18" s="1720">
        <v>147</v>
      </c>
      <c r="CF18" s="1720">
        <v>285</v>
      </c>
      <c r="CG18" s="1720" t="s">
        <v>1245</v>
      </c>
      <c r="CH18" s="328"/>
      <c r="CK18" s="1720">
        <v>200</v>
      </c>
      <c r="CL18" s="1720">
        <v>213</v>
      </c>
      <c r="CM18" s="1720">
        <v>400</v>
      </c>
      <c r="CN18" s="1720">
        <v>310</v>
      </c>
      <c r="CO18" s="328"/>
      <c r="CP18" s="328"/>
    </row>
    <row r="19" spans="1:94" x14ac:dyDescent="0.3">
      <c r="A19" s="1720">
        <v>18</v>
      </c>
      <c r="B19" s="328"/>
      <c r="C19" s="1720" t="s">
        <v>1390</v>
      </c>
      <c r="D19" s="1720"/>
      <c r="E19" s="1720"/>
      <c r="F19" s="1720"/>
      <c r="G19" s="1720">
        <v>415</v>
      </c>
      <c r="H19" s="1720">
        <v>5</v>
      </c>
      <c r="I19" s="1720">
        <v>550</v>
      </c>
      <c r="J19" s="1720">
        <v>470</v>
      </c>
      <c r="K19" s="1720">
        <v>490</v>
      </c>
      <c r="L19" s="1720">
        <v>140</v>
      </c>
      <c r="M19" s="1720"/>
      <c r="N19" s="328" t="s">
        <v>6</v>
      </c>
      <c r="O19" s="1720"/>
      <c r="R19" s="1720">
        <v>18</v>
      </c>
      <c r="S19" s="1720" t="s">
        <v>1955</v>
      </c>
      <c r="T19" s="1720">
        <v>375</v>
      </c>
      <c r="U19" s="1720">
        <v>1100</v>
      </c>
      <c r="V19" s="1720">
        <v>80</v>
      </c>
      <c r="W19" s="1720" t="s">
        <v>1956</v>
      </c>
      <c r="AC19" s="1720">
        <v>80</v>
      </c>
      <c r="AD19" s="1720">
        <v>755</v>
      </c>
      <c r="AE19" s="1720">
        <v>150</v>
      </c>
      <c r="AF19" s="1720">
        <v>605</v>
      </c>
      <c r="AG19" s="1720">
        <v>160</v>
      </c>
      <c r="AH19" s="1720">
        <v>175</v>
      </c>
      <c r="AI19" s="1720">
        <v>210</v>
      </c>
      <c r="AJ19" s="1720">
        <v>52</v>
      </c>
      <c r="AK19" s="1720">
        <v>60</v>
      </c>
      <c r="AL19" s="1720">
        <v>115</v>
      </c>
      <c r="AM19" s="1770" t="s">
        <v>1300</v>
      </c>
      <c r="BO19">
        <v>125</v>
      </c>
      <c r="BP19" t="s">
        <v>423</v>
      </c>
      <c r="BU19" s="1720">
        <v>62.5</v>
      </c>
      <c r="BV19" s="1720">
        <v>240</v>
      </c>
      <c r="BW19" s="1720">
        <v>140</v>
      </c>
      <c r="BX19" s="1720" t="s">
        <v>1850</v>
      </c>
      <c r="BY19" s="1772"/>
      <c r="CB19" s="1720">
        <v>180</v>
      </c>
      <c r="CC19" s="1720">
        <v>157.5</v>
      </c>
      <c r="CD19" s="1720">
        <v>200</v>
      </c>
      <c r="CE19" s="1720">
        <v>143</v>
      </c>
      <c r="CF19" s="1720">
        <v>285</v>
      </c>
      <c r="CG19" s="1720" t="s">
        <v>1246</v>
      </c>
      <c r="CH19" s="328"/>
      <c r="CK19" s="1720">
        <v>200</v>
      </c>
      <c r="CL19" s="1720">
        <v>226</v>
      </c>
      <c r="CM19" s="1720">
        <v>780</v>
      </c>
      <c r="CN19" s="1720">
        <v>315</v>
      </c>
      <c r="CO19" s="328" t="s">
        <v>1924</v>
      </c>
      <c r="CP19" s="328" t="s">
        <v>1925</v>
      </c>
    </row>
    <row r="20" spans="1:94" x14ac:dyDescent="0.3">
      <c r="A20" s="1720">
        <v>19</v>
      </c>
      <c r="B20" s="328"/>
      <c r="C20" s="1720" t="s">
        <v>1456</v>
      </c>
      <c r="D20" s="1720"/>
      <c r="E20" s="1720"/>
      <c r="F20" s="1720"/>
      <c r="G20" s="1720">
        <v>430</v>
      </c>
      <c r="H20" s="1720">
        <v>7</v>
      </c>
      <c r="I20" s="1720">
        <v>410</v>
      </c>
      <c r="J20" s="1720">
        <v>485</v>
      </c>
      <c r="K20" s="1720">
        <v>500</v>
      </c>
      <c r="L20" s="1720">
        <v>180</v>
      </c>
      <c r="M20" s="1720"/>
      <c r="N20" s="328" t="s">
        <v>6</v>
      </c>
      <c r="O20" s="1720">
        <v>400</v>
      </c>
      <c r="R20" s="1720">
        <v>19</v>
      </c>
      <c r="S20" s="1720" t="s">
        <v>1457</v>
      </c>
      <c r="T20" s="1720">
        <v>380</v>
      </c>
      <c r="U20" s="1720">
        <v>1160</v>
      </c>
      <c r="V20" s="1720">
        <v>80</v>
      </c>
      <c r="W20" s="1720">
        <v>45352</v>
      </c>
      <c r="AC20" s="1720">
        <v>95</v>
      </c>
      <c r="AD20" s="1720">
        <v>825</v>
      </c>
      <c r="AE20" s="1720">
        <v>220</v>
      </c>
      <c r="AF20" s="1720">
        <v>605</v>
      </c>
      <c r="AG20" s="1720">
        <v>325</v>
      </c>
      <c r="AH20" s="1720">
        <v>340</v>
      </c>
      <c r="AI20" s="1720">
        <v>385</v>
      </c>
      <c r="AJ20" s="1720">
        <v>55</v>
      </c>
      <c r="AK20" s="1720">
        <v>65</v>
      </c>
      <c r="AL20" s="1720">
        <v>140</v>
      </c>
      <c r="BO20">
        <v>127.5</v>
      </c>
      <c r="BP20" t="s">
        <v>424</v>
      </c>
      <c r="BU20" s="1720">
        <v>65</v>
      </c>
      <c r="BV20" s="1720">
        <v>245</v>
      </c>
      <c r="BW20" s="1720">
        <v>140</v>
      </c>
      <c r="BX20" s="1720" t="s">
        <v>1851</v>
      </c>
      <c r="BY20" s="1772"/>
      <c r="CB20" s="1720">
        <v>182</v>
      </c>
      <c r="CC20" s="1720">
        <v>160</v>
      </c>
      <c r="CD20" s="1720">
        <v>200</v>
      </c>
      <c r="CE20" s="1720">
        <v>145</v>
      </c>
      <c r="CF20" s="1720">
        <v>285</v>
      </c>
      <c r="CG20" s="1720" t="s">
        <v>1246</v>
      </c>
      <c r="CH20" s="328"/>
      <c r="CK20" s="1720">
        <v>195</v>
      </c>
      <c r="CL20" s="1720">
        <v>213</v>
      </c>
      <c r="CM20" s="1720">
        <v>785</v>
      </c>
      <c r="CN20" s="1720">
        <v>310</v>
      </c>
      <c r="CO20" s="328"/>
      <c r="CP20" s="328" t="s">
        <v>1926</v>
      </c>
    </row>
    <row r="21" spans="1:94" x14ac:dyDescent="0.3">
      <c r="A21" s="1720">
        <v>20</v>
      </c>
      <c r="B21" s="328"/>
      <c r="C21" s="1720"/>
      <c r="D21" s="1720"/>
      <c r="E21" s="1720"/>
      <c r="F21" s="1720"/>
      <c r="G21" s="1720">
        <v>460</v>
      </c>
      <c r="H21" s="1720">
        <v>10</v>
      </c>
      <c r="I21" s="1720">
        <v>875</v>
      </c>
      <c r="J21" s="1720">
        <v>530</v>
      </c>
      <c r="K21" s="1720">
        <v>555</v>
      </c>
      <c r="L21" s="1720">
        <v>165</v>
      </c>
      <c r="M21" s="1720"/>
      <c r="N21" s="328"/>
      <c r="O21" s="1720"/>
      <c r="R21" s="1720">
        <v>20</v>
      </c>
      <c r="S21" s="1720"/>
      <c r="T21" s="1720">
        <v>390</v>
      </c>
      <c r="U21" s="1720">
        <v>1080</v>
      </c>
      <c r="V21" s="1720">
        <v>80</v>
      </c>
      <c r="W21" s="1720"/>
      <c r="AC21" s="1720">
        <v>30</v>
      </c>
      <c r="AD21" s="1720">
        <v>745</v>
      </c>
      <c r="AE21" s="1720">
        <v>130</v>
      </c>
      <c r="AF21" s="1720">
        <v>615</v>
      </c>
      <c r="AG21" s="1720">
        <v>295</v>
      </c>
      <c r="AH21" s="1720">
        <v>305</v>
      </c>
      <c r="AI21" s="1720">
        <v>340</v>
      </c>
      <c r="AJ21" s="1720">
        <v>30</v>
      </c>
      <c r="AK21" s="1720">
        <v>40</v>
      </c>
      <c r="AL21" s="1720">
        <v>95</v>
      </c>
      <c r="BO21">
        <v>130</v>
      </c>
      <c r="BP21" t="s">
        <v>425</v>
      </c>
      <c r="BU21" s="1720">
        <v>65</v>
      </c>
      <c r="BV21" s="1720">
        <v>245</v>
      </c>
      <c r="BW21" s="1720">
        <v>140</v>
      </c>
      <c r="BX21" s="1720" t="s">
        <v>1851</v>
      </c>
      <c r="BY21" s="1772"/>
      <c r="CB21" s="1720">
        <v>250</v>
      </c>
      <c r="CC21" s="1720">
        <v>160</v>
      </c>
      <c r="CD21" s="1720">
        <v>380</v>
      </c>
      <c r="CE21" s="1720">
        <v>295</v>
      </c>
      <c r="CF21" s="1720">
        <v>285</v>
      </c>
      <c r="CG21" s="1720" t="s">
        <v>1247</v>
      </c>
      <c r="CH21" s="328"/>
      <c r="CK21" s="1720">
        <v>170</v>
      </c>
      <c r="CL21" s="1720">
        <v>177</v>
      </c>
      <c r="CM21" s="1720">
        <v>400</v>
      </c>
      <c r="CN21" s="1720"/>
      <c r="CO21" s="328"/>
      <c r="CP21" s="328" t="s">
        <v>1927</v>
      </c>
    </row>
    <row r="22" spans="1:94" x14ac:dyDescent="0.3">
      <c r="A22" s="1720">
        <v>21</v>
      </c>
      <c r="B22" s="328"/>
      <c r="C22" s="1720" t="s">
        <v>1457</v>
      </c>
      <c r="D22" s="1720"/>
      <c r="E22" s="1720"/>
      <c r="F22" s="1720"/>
      <c r="G22" s="1720">
        <v>460</v>
      </c>
      <c r="H22" s="1720">
        <v>7</v>
      </c>
      <c r="I22" s="1720">
        <v>900</v>
      </c>
      <c r="J22" s="1720">
        <v>510</v>
      </c>
      <c r="K22" s="1720">
        <v>535</v>
      </c>
      <c r="L22" s="1720">
        <v>105</v>
      </c>
      <c r="M22" s="1720">
        <v>45352</v>
      </c>
      <c r="N22" s="328" t="s">
        <v>6</v>
      </c>
      <c r="O22" s="1720">
        <v>687</v>
      </c>
      <c r="R22" s="1720">
        <v>21</v>
      </c>
      <c r="S22" s="1720" t="s">
        <v>1957</v>
      </c>
      <c r="T22" s="1720">
        <v>390</v>
      </c>
      <c r="U22" s="1720">
        <v>920</v>
      </c>
      <c r="V22" s="1720">
        <v>80</v>
      </c>
      <c r="W22" s="1720" t="s">
        <v>1958</v>
      </c>
      <c r="AC22" s="1720" t="s">
        <v>2030</v>
      </c>
      <c r="AD22" s="1720">
        <v>825</v>
      </c>
      <c r="AE22" s="1720">
        <v>205</v>
      </c>
      <c r="AF22" s="1720">
        <v>620</v>
      </c>
      <c r="AG22" s="1720">
        <v>1300</v>
      </c>
      <c r="AH22" s="1720">
        <v>1325</v>
      </c>
      <c r="AI22" s="1720">
        <v>1335</v>
      </c>
      <c r="AJ22" s="1720">
        <v>65</v>
      </c>
      <c r="AK22" s="1720">
        <v>75</v>
      </c>
      <c r="AL22" s="1720">
        <v>130</v>
      </c>
      <c r="AM22" s="1770" t="s">
        <v>1301</v>
      </c>
      <c r="BO22">
        <v>132.5</v>
      </c>
      <c r="BP22" t="s">
        <v>426</v>
      </c>
      <c r="BU22" s="1720">
        <v>65</v>
      </c>
      <c r="BV22" s="1720">
        <v>240</v>
      </c>
      <c r="BW22" s="1720">
        <v>140</v>
      </c>
      <c r="BX22" s="1720" t="s">
        <v>1851</v>
      </c>
      <c r="BY22" s="1772"/>
      <c r="CB22" s="1720">
        <v>242</v>
      </c>
      <c r="CC22" s="1720">
        <v>162.5</v>
      </c>
      <c r="CD22" s="1720">
        <v>265</v>
      </c>
      <c r="CE22" s="1720">
        <v>215</v>
      </c>
      <c r="CF22" s="1720">
        <v>285</v>
      </c>
      <c r="CG22" s="1720" t="s">
        <v>1248</v>
      </c>
      <c r="CH22" s="328"/>
      <c r="CK22" s="1720">
        <v>160</v>
      </c>
      <c r="CL22" s="1720">
        <v>167</v>
      </c>
      <c r="CM22" s="1720">
        <v>400</v>
      </c>
      <c r="CN22" s="1720">
        <v>315</v>
      </c>
      <c r="CO22" s="328"/>
      <c r="CP22" s="328" t="s">
        <v>1928</v>
      </c>
    </row>
    <row r="23" spans="1:94" x14ac:dyDescent="0.3">
      <c r="A23" s="1720">
        <v>22</v>
      </c>
      <c r="B23" s="328" t="s">
        <v>1231</v>
      </c>
      <c r="C23" s="1720"/>
      <c r="D23" s="1720">
        <v>515</v>
      </c>
      <c r="E23" s="1720">
        <v>2.5</v>
      </c>
      <c r="F23" s="1720">
        <v>80</v>
      </c>
      <c r="G23" s="1720">
        <v>475</v>
      </c>
      <c r="H23" s="1720">
        <v>7.5</v>
      </c>
      <c r="I23" s="1720">
        <v>650</v>
      </c>
      <c r="J23" s="1720">
        <v>560</v>
      </c>
      <c r="K23" s="1720">
        <v>580</v>
      </c>
      <c r="L23" s="1720">
        <v>120</v>
      </c>
      <c r="M23" s="1720" t="s">
        <v>1443</v>
      </c>
      <c r="N23" s="328"/>
      <c r="O23" s="1720"/>
      <c r="R23" s="1720">
        <v>22</v>
      </c>
      <c r="S23" s="1720" t="s">
        <v>1955</v>
      </c>
      <c r="T23" s="1720">
        <v>400</v>
      </c>
      <c r="U23" s="1720">
        <v>1080</v>
      </c>
      <c r="V23" s="1720">
        <v>80</v>
      </c>
      <c r="W23" s="1720"/>
      <c r="AC23" s="1720">
        <v>98</v>
      </c>
      <c r="AD23" s="1720">
        <v>730</v>
      </c>
      <c r="AE23" s="1720">
        <v>105</v>
      </c>
      <c r="AF23" s="1720">
        <v>625</v>
      </c>
      <c r="AG23" s="1720">
        <v>280</v>
      </c>
      <c r="AH23" s="1720">
        <v>287</v>
      </c>
      <c r="AI23" s="1720">
        <v>315</v>
      </c>
      <c r="AJ23" s="1720">
        <v>40</v>
      </c>
      <c r="AK23" s="1720">
        <v>50</v>
      </c>
      <c r="AL23" s="1720">
        <v>100</v>
      </c>
      <c r="AM23" s="1770" t="s">
        <v>1302</v>
      </c>
      <c r="BO23">
        <v>135</v>
      </c>
      <c r="BP23" t="s">
        <v>427</v>
      </c>
      <c r="BU23" s="1720">
        <v>65</v>
      </c>
      <c r="BV23" s="1720">
        <v>245</v>
      </c>
      <c r="BW23" s="1720">
        <v>140</v>
      </c>
      <c r="BX23" s="1720" t="s">
        <v>1851</v>
      </c>
      <c r="BY23" s="1772"/>
      <c r="CB23" s="1720">
        <v>250</v>
      </c>
      <c r="CC23" s="1720">
        <v>167.5</v>
      </c>
      <c r="CD23" s="1720">
        <v>265</v>
      </c>
      <c r="CE23" s="1720">
        <v>230</v>
      </c>
      <c r="CF23" s="1720">
        <v>285</v>
      </c>
      <c r="CG23" s="1720" t="s">
        <v>1249</v>
      </c>
      <c r="CH23" s="328"/>
      <c r="CK23" s="1720">
        <v>140</v>
      </c>
      <c r="CL23" s="1720">
        <v>170</v>
      </c>
      <c r="CM23" s="1720">
        <v>380</v>
      </c>
      <c r="CN23" s="1720">
        <v>310</v>
      </c>
      <c r="CO23" s="328"/>
      <c r="CP23" s="328"/>
    </row>
    <row r="24" spans="1:94" x14ac:dyDescent="0.3">
      <c r="A24" s="1720">
        <v>23</v>
      </c>
      <c r="B24" s="328"/>
      <c r="C24" s="1720" t="s">
        <v>1391</v>
      </c>
      <c r="D24" s="1720"/>
      <c r="E24" s="1720"/>
      <c r="F24" s="1720"/>
      <c r="G24" s="1720">
        <v>480</v>
      </c>
      <c r="H24" s="1720">
        <v>7</v>
      </c>
      <c r="I24" s="1720">
        <v>580</v>
      </c>
      <c r="J24" s="1720">
        <v>530</v>
      </c>
      <c r="K24" s="1720">
        <v>545</v>
      </c>
      <c r="L24" s="1720">
        <v>125</v>
      </c>
      <c r="M24" s="1720"/>
      <c r="N24" s="328"/>
      <c r="O24" s="1720"/>
      <c r="R24" s="1720">
        <v>23</v>
      </c>
      <c r="S24" s="1720"/>
      <c r="T24" s="1720">
        <v>405</v>
      </c>
      <c r="U24" s="1720">
        <v>750</v>
      </c>
      <c r="V24" s="1720">
        <v>80</v>
      </c>
      <c r="W24" s="1720"/>
      <c r="AC24" s="1720">
        <v>63</v>
      </c>
      <c r="AD24" s="1720">
        <v>790</v>
      </c>
      <c r="AE24" s="1720">
        <v>160</v>
      </c>
      <c r="AF24" s="1720">
        <v>630</v>
      </c>
      <c r="AG24" s="1720">
        <v>360</v>
      </c>
      <c r="AH24" s="1720">
        <v>373</v>
      </c>
      <c r="AI24" s="1720">
        <v>410</v>
      </c>
      <c r="AJ24" s="1720">
        <v>34</v>
      </c>
      <c r="AK24" s="1720">
        <v>45</v>
      </c>
      <c r="AL24" s="1720">
        <v>110</v>
      </c>
      <c r="BO24">
        <v>137.5</v>
      </c>
      <c r="BP24" t="s">
        <v>428</v>
      </c>
      <c r="BU24" s="1720">
        <v>65</v>
      </c>
      <c r="BV24" s="1720">
        <v>245</v>
      </c>
      <c r="BW24" s="1720">
        <v>140</v>
      </c>
      <c r="BX24" s="1720" t="s">
        <v>1851</v>
      </c>
      <c r="BY24" s="1772"/>
      <c r="CB24" s="1720">
        <v>248</v>
      </c>
      <c r="CC24" s="1720">
        <v>167.5</v>
      </c>
      <c r="CD24" s="1720">
        <v>265</v>
      </c>
      <c r="CE24" s="1720">
        <v>230</v>
      </c>
      <c r="CF24" s="1720">
        <v>285</v>
      </c>
      <c r="CG24" s="1720" t="s">
        <v>1249</v>
      </c>
      <c r="CH24" s="328"/>
      <c r="CK24" s="1720">
        <v>140</v>
      </c>
      <c r="CL24" s="1720">
        <v>170</v>
      </c>
      <c r="CM24" s="1720">
        <v>675</v>
      </c>
      <c r="CN24" s="1720">
        <v>310</v>
      </c>
      <c r="CO24" s="328"/>
      <c r="CP24" s="328" t="s">
        <v>1929</v>
      </c>
    </row>
    <row r="25" spans="1:94" x14ac:dyDescent="0.3">
      <c r="A25" s="1720">
        <v>24</v>
      </c>
      <c r="B25" s="328"/>
      <c r="C25" s="1720" t="s">
        <v>1458</v>
      </c>
      <c r="D25" s="1720"/>
      <c r="E25" s="1720"/>
      <c r="F25" s="1720"/>
      <c r="G25" s="1720">
        <v>480</v>
      </c>
      <c r="H25" s="1720">
        <v>8</v>
      </c>
      <c r="I25" s="1720">
        <v>910</v>
      </c>
      <c r="J25" s="1720">
        <v>498</v>
      </c>
      <c r="K25" s="1720">
        <v>545</v>
      </c>
      <c r="L25" s="1720">
        <v>120</v>
      </c>
      <c r="M25" s="1720" t="s">
        <v>1459</v>
      </c>
      <c r="N25" s="328" t="s">
        <v>6</v>
      </c>
      <c r="O25" s="1720">
        <v>753</v>
      </c>
      <c r="R25" s="1720">
        <v>24</v>
      </c>
      <c r="S25" s="1720" t="s">
        <v>1392</v>
      </c>
      <c r="T25" s="1720">
        <v>430</v>
      </c>
      <c r="U25" s="1720">
        <v>920</v>
      </c>
      <c r="V25" s="1720">
        <v>80</v>
      </c>
      <c r="W25" s="1720"/>
      <c r="AC25" s="1720">
        <v>59</v>
      </c>
      <c r="AD25" s="1720">
        <v>775</v>
      </c>
      <c r="AE25" s="1720">
        <v>140</v>
      </c>
      <c r="AF25" s="1720">
        <v>635</v>
      </c>
      <c r="AG25" s="1720">
        <v>340</v>
      </c>
      <c r="AH25" s="1720">
        <v>357</v>
      </c>
      <c r="AI25" s="1720">
        <v>372</v>
      </c>
      <c r="AJ25" s="1720">
        <v>28</v>
      </c>
      <c r="AK25" s="1720">
        <v>35</v>
      </c>
      <c r="AL25" s="1720">
        <v>75</v>
      </c>
      <c r="BO25">
        <v>140</v>
      </c>
      <c r="BP25" t="s">
        <v>429</v>
      </c>
      <c r="BU25" s="1720">
        <v>67.5</v>
      </c>
      <c r="BV25" s="1720">
        <v>243</v>
      </c>
      <c r="BW25" s="1720">
        <v>140</v>
      </c>
      <c r="BX25" s="1720" t="s">
        <v>1852</v>
      </c>
      <c r="BY25" s="1772"/>
      <c r="CB25" s="1720">
        <v>250</v>
      </c>
      <c r="CC25" s="1720">
        <v>170</v>
      </c>
      <c r="CD25" s="1720">
        <v>265</v>
      </c>
      <c r="CE25" s="1720">
        <v>230</v>
      </c>
      <c r="CF25" s="1720">
        <v>285</v>
      </c>
      <c r="CG25" s="1720" t="s">
        <v>1249</v>
      </c>
      <c r="CH25" s="328"/>
      <c r="CK25" s="1720">
        <v>140</v>
      </c>
      <c r="CL25" s="1720">
        <v>150</v>
      </c>
      <c r="CM25" s="1720">
        <v>380</v>
      </c>
      <c r="CN25" s="1720">
        <v>315</v>
      </c>
      <c r="CO25" s="328"/>
      <c r="CP25" s="328" t="s">
        <v>1930</v>
      </c>
    </row>
    <row r="26" spans="1:94" x14ac:dyDescent="0.3">
      <c r="A26" s="1720">
        <v>25</v>
      </c>
      <c r="B26" s="328"/>
      <c r="C26" s="1720" t="s">
        <v>1458</v>
      </c>
      <c r="D26" s="1720"/>
      <c r="E26" s="1720"/>
      <c r="F26" s="1720"/>
      <c r="G26" s="1720">
        <v>485</v>
      </c>
      <c r="H26" s="1720">
        <v>4.5</v>
      </c>
      <c r="I26" s="1720">
        <v>910</v>
      </c>
      <c r="J26" s="1720">
        <v>535</v>
      </c>
      <c r="K26" s="1720">
        <v>545</v>
      </c>
      <c r="L26" s="1720">
        <v>115</v>
      </c>
      <c r="M26" s="1720"/>
      <c r="N26" s="328" t="s">
        <v>6</v>
      </c>
      <c r="O26" s="1720">
        <v>753</v>
      </c>
      <c r="R26" s="1720">
        <v>25</v>
      </c>
      <c r="S26" s="1720" t="s">
        <v>1959</v>
      </c>
      <c r="T26" s="1720">
        <v>435</v>
      </c>
      <c r="U26" s="1720">
        <v>780</v>
      </c>
      <c r="V26" s="1720">
        <v>80</v>
      </c>
      <c r="W26" s="1720" t="s">
        <v>1960</v>
      </c>
      <c r="AC26" s="1720">
        <v>4</v>
      </c>
      <c r="AD26" s="1720">
        <v>1185</v>
      </c>
      <c r="AE26" s="1720">
        <v>545</v>
      </c>
      <c r="AF26" s="1720">
        <v>640</v>
      </c>
      <c r="AG26" s="1720">
        <v>223</v>
      </c>
      <c r="AH26" s="1720">
        <v>230</v>
      </c>
      <c r="AI26" s="1720">
        <v>345</v>
      </c>
      <c r="AJ26" s="1720">
        <v>173</v>
      </c>
      <c r="AK26" s="1720">
        <v>185</v>
      </c>
      <c r="AL26" s="1720">
        <v>305</v>
      </c>
      <c r="BO26">
        <v>142.5</v>
      </c>
      <c r="BP26" t="s">
        <v>430</v>
      </c>
      <c r="BU26" s="1720">
        <v>67.5</v>
      </c>
      <c r="BV26" s="1720">
        <v>245</v>
      </c>
      <c r="BW26" s="1720">
        <v>140</v>
      </c>
      <c r="BX26" s="1720" t="s">
        <v>1852</v>
      </c>
      <c r="BY26" s="1772"/>
      <c r="CB26" s="1720">
        <v>250</v>
      </c>
      <c r="CC26" s="1720">
        <v>170</v>
      </c>
      <c r="CD26" s="1720">
        <v>265</v>
      </c>
      <c r="CE26" s="1720">
        <v>235</v>
      </c>
      <c r="CF26" s="1720">
        <v>285</v>
      </c>
      <c r="CG26" s="1720" t="s">
        <v>1249</v>
      </c>
      <c r="CH26" s="328" t="s">
        <v>1902</v>
      </c>
      <c r="CK26" s="1720">
        <v>135</v>
      </c>
      <c r="CL26" s="1720">
        <v>145</v>
      </c>
      <c r="CM26" s="1720">
        <v>330</v>
      </c>
      <c r="CN26" s="1720">
        <v>295</v>
      </c>
      <c r="CO26" s="328"/>
      <c r="CP26" s="328"/>
    </row>
    <row r="27" spans="1:94" x14ac:dyDescent="0.3">
      <c r="A27" s="1720">
        <v>26</v>
      </c>
      <c r="B27" s="328"/>
      <c r="C27" s="1720"/>
      <c r="D27" s="1720"/>
      <c r="E27" s="1720"/>
      <c r="F27" s="1720"/>
      <c r="G27" s="1720">
        <v>495</v>
      </c>
      <c r="H27" s="1720">
        <v>5</v>
      </c>
      <c r="I27" s="1720">
        <v>900</v>
      </c>
      <c r="J27" s="1720">
        <v>540</v>
      </c>
      <c r="K27" s="1720">
        <v>560</v>
      </c>
      <c r="L27" s="1720">
        <v>135</v>
      </c>
      <c r="M27" s="1720" t="s">
        <v>1358</v>
      </c>
      <c r="N27" s="328"/>
      <c r="O27" s="1720"/>
      <c r="R27" s="1720">
        <v>26</v>
      </c>
      <c r="S27" s="1720" t="s">
        <v>1961</v>
      </c>
      <c r="T27" s="1720">
        <v>435</v>
      </c>
      <c r="U27" s="1720">
        <v>570</v>
      </c>
      <c r="V27" s="1720">
        <v>80</v>
      </c>
      <c r="W27" s="1720"/>
      <c r="AC27" s="1720">
        <v>76</v>
      </c>
      <c r="AD27" s="1720">
        <v>765</v>
      </c>
      <c r="AE27" s="1720">
        <v>125</v>
      </c>
      <c r="AF27" s="1720">
        <v>640</v>
      </c>
      <c r="AG27" s="1720">
        <v>235</v>
      </c>
      <c r="AH27" s="1720">
        <v>252</v>
      </c>
      <c r="AI27" s="1720">
        <v>290</v>
      </c>
      <c r="AJ27" s="1720">
        <v>27</v>
      </c>
      <c r="AK27" s="1720">
        <v>37</v>
      </c>
      <c r="AL27" s="1720">
        <v>90</v>
      </c>
      <c r="BO27">
        <v>145</v>
      </c>
      <c r="BP27" t="s">
        <v>431</v>
      </c>
      <c r="BU27" s="1720">
        <v>67.5</v>
      </c>
      <c r="BV27" s="1720">
        <v>245</v>
      </c>
      <c r="BW27" s="1720">
        <v>140</v>
      </c>
      <c r="BX27" s="1720" t="s">
        <v>1852</v>
      </c>
      <c r="BY27" s="1772"/>
      <c r="CB27" s="1720">
        <v>251</v>
      </c>
      <c r="CC27" s="1720">
        <v>170</v>
      </c>
      <c r="CD27" s="1720">
        <v>265</v>
      </c>
      <c r="CE27" s="1720">
        <v>230</v>
      </c>
      <c r="CF27" s="1720">
        <v>285</v>
      </c>
      <c r="CG27" s="1720" t="s">
        <v>1249</v>
      </c>
      <c r="CH27" s="328"/>
      <c r="CK27" s="1720">
        <v>130</v>
      </c>
      <c r="CL27" s="1720">
        <v>160</v>
      </c>
      <c r="CM27" s="1720">
        <v>400</v>
      </c>
      <c r="CN27" s="1720"/>
      <c r="CO27" s="328"/>
      <c r="CP27" s="328"/>
    </row>
    <row r="28" spans="1:94" x14ac:dyDescent="0.3">
      <c r="A28" s="1720">
        <v>27</v>
      </c>
      <c r="B28" s="328"/>
      <c r="C28" s="1720"/>
      <c r="D28" s="1720"/>
      <c r="E28" s="1720"/>
      <c r="F28" s="1720"/>
      <c r="G28" s="1720">
        <v>500</v>
      </c>
      <c r="H28" s="1720">
        <v>10</v>
      </c>
      <c r="I28" s="1720">
        <v>440</v>
      </c>
      <c r="J28" s="1720">
        <v>545</v>
      </c>
      <c r="K28" s="1720">
        <v>560</v>
      </c>
      <c r="L28" s="1720">
        <v>100</v>
      </c>
      <c r="M28" s="1720"/>
      <c r="N28" s="328"/>
      <c r="O28" s="1720"/>
      <c r="R28" s="1720">
        <v>27</v>
      </c>
      <c r="S28" s="1720" t="s">
        <v>1962</v>
      </c>
      <c r="T28" s="1720">
        <v>455</v>
      </c>
      <c r="U28" s="1720">
        <v>1020</v>
      </c>
      <c r="V28" s="1720">
        <v>80</v>
      </c>
      <c r="W28" s="1720"/>
      <c r="AC28" s="1720">
        <v>78</v>
      </c>
      <c r="AD28" s="1720">
        <v>745</v>
      </c>
      <c r="AE28" s="1720">
        <v>105</v>
      </c>
      <c r="AF28" s="1720">
        <v>640</v>
      </c>
      <c r="AG28" s="1720">
        <v>240</v>
      </c>
      <c r="AH28" s="1720">
        <v>247</v>
      </c>
      <c r="AI28" s="1720">
        <v>280</v>
      </c>
      <c r="AJ28" s="1720">
        <v>27</v>
      </c>
      <c r="AK28" s="1720">
        <v>35</v>
      </c>
      <c r="AL28" s="1720">
        <v>80</v>
      </c>
      <c r="BO28">
        <v>147.5</v>
      </c>
      <c r="BP28" t="s">
        <v>432</v>
      </c>
      <c r="BU28" s="1720">
        <v>67.5</v>
      </c>
      <c r="BV28" s="1720">
        <v>245</v>
      </c>
      <c r="BW28" s="1720">
        <v>140</v>
      </c>
      <c r="BX28" s="1720" t="s">
        <v>1852</v>
      </c>
      <c r="BY28" s="1772"/>
      <c r="CB28" s="1720">
        <v>250</v>
      </c>
      <c r="CC28" s="1720">
        <v>170</v>
      </c>
      <c r="CD28" s="1720">
        <v>265</v>
      </c>
      <c r="CE28" s="1720">
        <v>230</v>
      </c>
      <c r="CF28" s="1720">
        <v>285</v>
      </c>
      <c r="CG28" s="1720" t="s">
        <v>1249</v>
      </c>
      <c r="CH28" s="328"/>
      <c r="CK28" s="1720">
        <v>125</v>
      </c>
      <c r="CL28" s="1720">
        <v>125</v>
      </c>
      <c r="CM28" s="1720">
        <v>400</v>
      </c>
      <c r="CN28" s="1720"/>
      <c r="CO28" s="328" t="s">
        <v>1931</v>
      </c>
      <c r="CP28" s="328" t="s">
        <v>1932</v>
      </c>
    </row>
    <row r="29" spans="1:94" x14ac:dyDescent="0.3">
      <c r="A29" s="1720">
        <v>28</v>
      </c>
      <c r="B29" s="328" t="s">
        <v>1444</v>
      </c>
      <c r="C29" s="1720"/>
      <c r="D29" s="1720">
        <v>590</v>
      </c>
      <c r="E29" s="1720">
        <v>2</v>
      </c>
      <c r="F29" s="1720">
        <v>120</v>
      </c>
      <c r="G29" s="1720">
        <v>510</v>
      </c>
      <c r="H29" s="1720">
        <v>6</v>
      </c>
      <c r="I29" s="1720">
        <v>510</v>
      </c>
      <c r="J29" s="1720">
        <v>594</v>
      </c>
      <c r="K29" s="1720">
        <v>660</v>
      </c>
      <c r="L29" s="1720">
        <v>315</v>
      </c>
      <c r="M29" s="1720"/>
      <c r="N29" s="328"/>
      <c r="O29" s="1720"/>
      <c r="R29" s="1720">
        <v>28</v>
      </c>
      <c r="S29" s="1720"/>
      <c r="T29" s="1720">
        <v>455</v>
      </c>
      <c r="U29" s="1720">
        <v>920</v>
      </c>
      <c r="V29" s="1720">
        <v>80</v>
      </c>
      <c r="W29" s="1720"/>
      <c r="AC29" s="1720" t="s">
        <v>1303</v>
      </c>
      <c r="AD29" s="1720">
        <v>890</v>
      </c>
      <c r="AE29" s="1720">
        <v>250</v>
      </c>
      <c r="AF29" s="1720">
        <v>640</v>
      </c>
      <c r="AG29" s="1720">
        <v>240</v>
      </c>
      <c r="AH29" s="1720">
        <v>240</v>
      </c>
      <c r="AI29" s="1720">
        <v>260</v>
      </c>
      <c r="AJ29" s="1720">
        <v>104</v>
      </c>
      <c r="AK29" s="1720">
        <v>104</v>
      </c>
      <c r="AL29" s="1720">
        <v>160</v>
      </c>
      <c r="AM29" s="1770" t="s">
        <v>1304</v>
      </c>
      <c r="BO29">
        <v>150</v>
      </c>
      <c r="BP29" t="s">
        <v>433</v>
      </c>
      <c r="BU29" s="1720">
        <v>67.5</v>
      </c>
      <c r="BV29" s="1720">
        <v>245</v>
      </c>
      <c r="BW29" s="1720">
        <v>140</v>
      </c>
      <c r="BX29" s="1720" t="s">
        <v>1852</v>
      </c>
      <c r="BY29" s="1772"/>
      <c r="CB29" s="1720">
        <v>250</v>
      </c>
      <c r="CC29" s="1720">
        <v>170</v>
      </c>
      <c r="CD29" s="1720">
        <v>265</v>
      </c>
      <c r="CE29" s="1720">
        <v>230</v>
      </c>
      <c r="CF29" s="1720">
        <v>285</v>
      </c>
      <c r="CG29" s="1720" t="s">
        <v>1249</v>
      </c>
      <c r="CH29" s="328"/>
      <c r="CK29" s="1720">
        <v>120</v>
      </c>
      <c r="CL29" s="1720">
        <v>120</v>
      </c>
      <c r="CM29" s="1720">
        <v>300</v>
      </c>
      <c r="CN29" s="1720"/>
      <c r="CO29" s="328" t="s">
        <v>1933</v>
      </c>
      <c r="CP29" s="328" t="s">
        <v>1932</v>
      </c>
    </row>
    <row r="30" spans="1:94" x14ac:dyDescent="0.3">
      <c r="A30" s="1720">
        <v>29</v>
      </c>
      <c r="B30" s="328"/>
      <c r="C30" s="1720" t="s">
        <v>1392</v>
      </c>
      <c r="D30" s="1720"/>
      <c r="E30" s="1720"/>
      <c r="F30" s="1720"/>
      <c r="G30" s="1720">
        <v>515</v>
      </c>
      <c r="H30" s="1720">
        <v>3.5</v>
      </c>
      <c r="I30" s="1720">
        <v>750</v>
      </c>
      <c r="J30" s="1720">
        <v>555</v>
      </c>
      <c r="K30" s="1720">
        <v>580</v>
      </c>
      <c r="L30" s="1720">
        <v>140</v>
      </c>
      <c r="M30" s="1720"/>
      <c r="N30" s="328"/>
      <c r="O30" s="1720"/>
      <c r="R30" s="1720">
        <v>29</v>
      </c>
      <c r="S30" s="1720" t="s">
        <v>1963</v>
      </c>
      <c r="T30" s="1720">
        <v>460</v>
      </c>
      <c r="U30" s="1720">
        <v>890</v>
      </c>
      <c r="V30" s="1720">
        <v>80</v>
      </c>
      <c r="W30" s="1720"/>
      <c r="AC30" s="1720">
        <v>89</v>
      </c>
      <c r="AD30" s="1720">
        <v>760</v>
      </c>
      <c r="AE30" s="1720">
        <v>120</v>
      </c>
      <c r="AF30" s="1720">
        <v>640</v>
      </c>
      <c r="AG30" s="1720">
        <v>275</v>
      </c>
      <c r="AH30" s="1720">
        <v>285</v>
      </c>
      <c r="AI30" s="1720">
        <v>310</v>
      </c>
      <c r="AJ30" s="1720">
        <v>37</v>
      </c>
      <c r="AK30" s="1720">
        <v>45</v>
      </c>
      <c r="AL30" s="1720">
        <v>190</v>
      </c>
      <c r="AM30" s="1770" t="s">
        <v>1305</v>
      </c>
      <c r="BO30">
        <v>155</v>
      </c>
      <c r="BP30" t="s">
        <v>434</v>
      </c>
      <c r="BU30" s="1720">
        <v>67.5</v>
      </c>
      <c r="BV30" s="1720">
        <v>245</v>
      </c>
      <c r="BW30" s="1720">
        <v>140</v>
      </c>
      <c r="BX30" s="1720" t="s">
        <v>1852</v>
      </c>
      <c r="BY30" s="1772"/>
      <c r="CB30" s="1720">
        <v>250</v>
      </c>
      <c r="CC30" s="1720">
        <v>170</v>
      </c>
      <c r="CD30" s="1720">
        <v>265</v>
      </c>
      <c r="CE30" s="1720">
        <v>230</v>
      </c>
      <c r="CF30" s="1720">
        <v>285</v>
      </c>
      <c r="CG30" s="1720" t="s">
        <v>1249</v>
      </c>
      <c r="CH30" s="328"/>
      <c r="CK30" s="1720">
        <v>110</v>
      </c>
      <c r="CL30" s="1720">
        <v>115</v>
      </c>
      <c r="CM30" s="1720">
        <v>400</v>
      </c>
      <c r="CN30" s="1720"/>
      <c r="CO30" s="328" t="s">
        <v>1934</v>
      </c>
      <c r="CP30" s="328" t="s">
        <v>1932</v>
      </c>
    </row>
    <row r="31" spans="1:94" x14ac:dyDescent="0.3">
      <c r="A31" s="1720">
        <v>30</v>
      </c>
      <c r="B31" s="328"/>
      <c r="C31" s="1720"/>
      <c r="D31" s="1720"/>
      <c r="E31" s="1720"/>
      <c r="F31" s="1720"/>
      <c r="G31" s="1720">
        <v>520</v>
      </c>
      <c r="H31" s="1720">
        <v>12.5</v>
      </c>
      <c r="I31" s="1720">
        <v>600</v>
      </c>
      <c r="J31" s="1720">
        <v>575</v>
      </c>
      <c r="K31" s="1720">
        <v>600</v>
      </c>
      <c r="L31" s="1720">
        <v>130</v>
      </c>
      <c r="M31" s="1720"/>
      <c r="N31" s="328"/>
      <c r="O31" s="1720"/>
      <c r="R31" s="1720">
        <v>30</v>
      </c>
      <c r="S31" s="1720"/>
      <c r="T31" s="1720">
        <v>470</v>
      </c>
      <c r="U31" s="1720">
        <v>1230</v>
      </c>
      <c r="V31" s="1720">
        <v>100</v>
      </c>
      <c r="W31" s="1720"/>
      <c r="AC31" s="1720">
        <v>85</v>
      </c>
      <c r="AD31" s="1720">
        <v>940</v>
      </c>
      <c r="AE31" s="1720">
        <v>300</v>
      </c>
      <c r="AF31" s="1720">
        <v>640</v>
      </c>
      <c r="AG31" s="1720">
        <v>290</v>
      </c>
      <c r="AH31" s="1720">
        <v>310</v>
      </c>
      <c r="AI31" s="1720">
        <v>375</v>
      </c>
      <c r="AJ31" s="1720">
        <v>75</v>
      </c>
      <c r="AK31" s="1720">
        <v>85</v>
      </c>
      <c r="AL31" s="1720">
        <v>200</v>
      </c>
      <c r="AM31" s="1770" t="s">
        <v>1306</v>
      </c>
      <c r="BO31">
        <v>157.5</v>
      </c>
      <c r="BP31" t="s">
        <v>435</v>
      </c>
      <c r="BU31" s="1720">
        <v>67.5</v>
      </c>
      <c r="BV31" s="1720">
        <v>245</v>
      </c>
      <c r="BW31" s="1720">
        <v>140</v>
      </c>
      <c r="BX31" s="1720" t="s">
        <v>1852</v>
      </c>
      <c r="BY31" s="1772"/>
      <c r="CB31" s="1720">
        <v>190</v>
      </c>
      <c r="CC31" s="1720">
        <v>170</v>
      </c>
      <c r="CD31" s="1720">
        <v>263</v>
      </c>
      <c r="CE31" s="1720">
        <v>213</v>
      </c>
      <c r="CF31" s="1720">
        <v>285</v>
      </c>
      <c r="CG31" s="1720" t="s">
        <v>1250</v>
      </c>
      <c r="CH31" s="328"/>
      <c r="CK31" s="1720">
        <v>105</v>
      </c>
      <c r="CL31" s="1720">
        <v>115</v>
      </c>
      <c r="CM31" s="1720">
        <v>440</v>
      </c>
      <c r="CN31" s="1720"/>
      <c r="CO31" s="328" t="s">
        <v>1935</v>
      </c>
      <c r="CP31" s="328"/>
    </row>
    <row r="32" spans="1:94" x14ac:dyDescent="0.3">
      <c r="A32" s="1720">
        <v>31</v>
      </c>
      <c r="B32" s="328"/>
      <c r="C32" s="1720"/>
      <c r="D32" s="1720"/>
      <c r="E32" s="1720"/>
      <c r="F32" s="1720"/>
      <c r="G32" s="1720">
        <v>560</v>
      </c>
      <c r="H32" s="1720">
        <v>7.5</v>
      </c>
      <c r="I32" s="1720">
        <v>740</v>
      </c>
      <c r="J32" s="1720">
        <v>595</v>
      </c>
      <c r="K32" s="1720">
        <v>620</v>
      </c>
      <c r="L32" s="1720">
        <v>140</v>
      </c>
      <c r="M32" s="1720"/>
      <c r="N32" s="328"/>
      <c r="O32" s="1720"/>
      <c r="R32" s="1720">
        <v>31</v>
      </c>
      <c r="S32" s="1720" t="s">
        <v>1416</v>
      </c>
      <c r="T32" s="1720">
        <v>470</v>
      </c>
      <c r="U32" s="1720">
        <v>1030</v>
      </c>
      <c r="V32" s="1720">
        <v>80</v>
      </c>
      <c r="W32" s="1720"/>
      <c r="AC32" s="1720">
        <v>79</v>
      </c>
      <c r="AD32" s="1720">
        <v>795</v>
      </c>
      <c r="AE32" s="1720">
        <v>150</v>
      </c>
      <c r="AF32" s="1720">
        <v>645</v>
      </c>
      <c r="AG32" s="1720">
        <v>137</v>
      </c>
      <c r="AH32" s="1720">
        <v>150</v>
      </c>
      <c r="AI32" s="1720">
        <v>185</v>
      </c>
      <c r="AJ32" s="1720">
        <v>37</v>
      </c>
      <c r="AK32" s="1720">
        <v>50</v>
      </c>
      <c r="AL32" s="1720">
        <v>105</v>
      </c>
      <c r="AM32" s="1770" t="s">
        <v>1307</v>
      </c>
      <c r="BO32">
        <v>160</v>
      </c>
      <c r="BP32" t="s">
        <v>436</v>
      </c>
      <c r="BU32" s="1720">
        <v>67.5</v>
      </c>
      <c r="BV32" s="1720">
        <v>243</v>
      </c>
      <c r="BW32" s="1720">
        <v>140</v>
      </c>
      <c r="BX32" s="1720" t="s">
        <v>1852</v>
      </c>
      <c r="BY32" s="1772"/>
      <c r="CB32" s="1720">
        <v>250</v>
      </c>
      <c r="CC32" s="1720">
        <v>170</v>
      </c>
      <c r="CD32" s="1720">
        <v>260</v>
      </c>
      <c r="CE32" s="1720">
        <v>200</v>
      </c>
      <c r="CF32" s="1720">
        <v>285</v>
      </c>
      <c r="CG32" s="1720" t="s">
        <v>1249</v>
      </c>
      <c r="CH32" s="328"/>
      <c r="CK32" s="1720">
        <v>105</v>
      </c>
      <c r="CL32" s="1720">
        <v>105</v>
      </c>
      <c r="CM32" s="1720">
        <v>400</v>
      </c>
      <c r="CN32" s="1720"/>
      <c r="CO32" s="328"/>
      <c r="CP32" s="328" t="s">
        <v>1932</v>
      </c>
    </row>
    <row r="33" spans="1:94" x14ac:dyDescent="0.3">
      <c r="A33" s="1720">
        <v>32</v>
      </c>
      <c r="B33" s="328"/>
      <c r="C33" s="1720"/>
      <c r="D33" s="1720"/>
      <c r="E33" s="1720"/>
      <c r="F33" s="1720"/>
      <c r="G33" s="1720">
        <v>560</v>
      </c>
      <c r="H33" s="1720">
        <v>8.5</v>
      </c>
      <c r="I33" s="1720">
        <v>830</v>
      </c>
      <c r="J33" s="1720">
        <v>610</v>
      </c>
      <c r="K33" s="1720">
        <v>630</v>
      </c>
      <c r="L33" s="1720">
        <v>140</v>
      </c>
      <c r="M33" s="1720"/>
      <c r="N33" s="328"/>
      <c r="O33" s="1720"/>
      <c r="R33" s="1720">
        <v>32</v>
      </c>
      <c r="S33" s="1720" t="s">
        <v>1964</v>
      </c>
      <c r="T33" s="1720">
        <v>480</v>
      </c>
      <c r="U33" s="1720">
        <v>900</v>
      </c>
      <c r="V33" s="1720">
        <v>80</v>
      </c>
      <c r="W33" s="1720"/>
      <c r="AC33" s="1720">
        <v>11</v>
      </c>
      <c r="AD33" s="1720">
        <v>810</v>
      </c>
      <c r="AE33" s="1720">
        <v>165</v>
      </c>
      <c r="AF33" s="1720">
        <v>645</v>
      </c>
      <c r="AG33" s="1720">
        <v>195</v>
      </c>
      <c r="AH33" s="1720">
        <v>210</v>
      </c>
      <c r="AI33" s="1720">
        <v>245</v>
      </c>
      <c r="AJ33" s="1720">
        <v>40</v>
      </c>
      <c r="AK33" s="1720">
        <v>47</v>
      </c>
      <c r="AL33" s="1720">
        <v>120</v>
      </c>
      <c r="BO33">
        <v>162.5</v>
      </c>
      <c r="BP33" t="s">
        <v>437</v>
      </c>
      <c r="BU33" s="1720">
        <v>67.5</v>
      </c>
      <c r="BV33" s="1720">
        <v>245</v>
      </c>
      <c r="BW33" s="1720">
        <v>140</v>
      </c>
      <c r="BX33" s="1720" t="s">
        <v>1852</v>
      </c>
      <c r="BY33" s="1772"/>
      <c r="CB33" s="1720">
        <v>250</v>
      </c>
      <c r="CC33" s="1720">
        <v>170</v>
      </c>
      <c r="CD33" s="1720">
        <v>265</v>
      </c>
      <c r="CE33" s="1720">
        <v>230</v>
      </c>
      <c r="CF33" s="1720">
        <v>285</v>
      </c>
      <c r="CG33" s="1720" t="s">
        <v>1249</v>
      </c>
      <c r="CH33" s="328"/>
      <c r="CK33" s="1720">
        <v>100</v>
      </c>
      <c r="CL33" s="1720">
        <v>100</v>
      </c>
      <c r="CM33" s="1720">
        <v>400</v>
      </c>
      <c r="CN33" s="1720"/>
      <c r="CO33" s="328" t="s">
        <v>1934</v>
      </c>
      <c r="CP33" s="328" t="s">
        <v>1932</v>
      </c>
    </row>
    <row r="34" spans="1:94" x14ac:dyDescent="0.3">
      <c r="A34" s="1720">
        <v>33</v>
      </c>
      <c r="B34" s="328"/>
      <c r="C34" s="1720"/>
      <c r="D34" s="1720"/>
      <c r="E34" s="1720"/>
      <c r="F34" s="1720"/>
      <c r="G34" s="1720">
        <v>565</v>
      </c>
      <c r="H34" s="1720">
        <v>5</v>
      </c>
      <c r="I34" s="1720">
        <v>740</v>
      </c>
      <c r="J34" s="1720">
        <v>595</v>
      </c>
      <c r="K34" s="1720">
        <v>620</v>
      </c>
      <c r="L34" s="1720">
        <v>140</v>
      </c>
      <c r="M34" s="1720" t="s">
        <v>1359</v>
      </c>
      <c r="N34" s="328"/>
      <c r="O34" s="1720"/>
      <c r="R34" s="1720">
        <v>33</v>
      </c>
      <c r="S34" s="1720"/>
      <c r="T34" s="1720">
        <v>485</v>
      </c>
      <c r="U34" s="1720">
        <v>1160</v>
      </c>
      <c r="V34" s="1720">
        <v>100</v>
      </c>
      <c r="W34" s="1720" t="s">
        <v>1965</v>
      </c>
      <c r="AC34" s="1720">
        <v>77</v>
      </c>
      <c r="AD34" s="1720">
        <v>740</v>
      </c>
      <c r="AE34" s="1720">
        <v>95</v>
      </c>
      <c r="AF34" s="1720">
        <v>645</v>
      </c>
      <c r="AG34" s="1720">
        <v>215</v>
      </c>
      <c r="AH34" s="1720">
        <v>225</v>
      </c>
      <c r="AI34" s="1720">
        <v>250</v>
      </c>
      <c r="AJ34" s="1720">
        <v>25</v>
      </c>
      <c r="AK34" s="1720">
        <v>33</v>
      </c>
      <c r="AL34" s="1720">
        <v>70</v>
      </c>
      <c r="BO34">
        <v>165</v>
      </c>
      <c r="BP34" t="s">
        <v>438</v>
      </c>
      <c r="BU34" s="1720">
        <v>67.5</v>
      </c>
      <c r="BV34" s="1720">
        <v>245</v>
      </c>
      <c r="BW34" s="1720">
        <v>140</v>
      </c>
      <c r="BX34" s="1720" t="s">
        <v>1852</v>
      </c>
      <c r="BY34" s="1772"/>
      <c r="CB34" s="1720">
        <v>190</v>
      </c>
      <c r="CC34" s="1720">
        <v>172.5</v>
      </c>
      <c r="CD34" s="1720">
        <v>265</v>
      </c>
      <c r="CE34" s="1720">
        <v>215</v>
      </c>
      <c r="CF34" s="1720">
        <v>285</v>
      </c>
      <c r="CG34" s="1720" t="s">
        <v>1250</v>
      </c>
      <c r="CH34" s="328"/>
      <c r="CK34" s="1720">
        <v>95</v>
      </c>
      <c r="CL34" s="1720">
        <v>95</v>
      </c>
      <c r="CM34" s="1720">
        <v>400</v>
      </c>
      <c r="CN34" s="1720"/>
      <c r="CO34" s="328"/>
      <c r="CP34" s="328" t="s">
        <v>1932</v>
      </c>
    </row>
    <row r="35" spans="1:94" x14ac:dyDescent="0.3">
      <c r="A35" s="1720">
        <v>34</v>
      </c>
      <c r="B35" s="328"/>
      <c r="C35" s="1720" t="s">
        <v>1393</v>
      </c>
      <c r="D35" s="1720"/>
      <c r="E35" s="1720"/>
      <c r="F35" s="1720"/>
      <c r="G35" s="1720">
        <v>570</v>
      </c>
      <c r="H35" s="1720">
        <v>2.5</v>
      </c>
      <c r="I35" s="1720">
        <v>570</v>
      </c>
      <c r="J35" s="1720"/>
      <c r="K35" s="1720"/>
      <c r="L35" s="1720"/>
      <c r="M35" s="1720" t="s">
        <v>1394</v>
      </c>
      <c r="N35" s="328"/>
      <c r="O35" s="1720"/>
      <c r="R35" s="1720">
        <v>34</v>
      </c>
      <c r="S35" s="1720"/>
      <c r="T35" s="1720">
        <v>500</v>
      </c>
      <c r="U35" s="1720">
        <v>830</v>
      </c>
      <c r="V35" s="1720">
        <v>80</v>
      </c>
      <c r="W35" s="1720" t="s">
        <v>1966</v>
      </c>
      <c r="AC35" s="1720">
        <v>75</v>
      </c>
      <c r="AD35" s="1720">
        <v>760</v>
      </c>
      <c r="AE35" s="1720">
        <v>110</v>
      </c>
      <c r="AF35" s="1720">
        <v>650</v>
      </c>
      <c r="AG35" s="1720">
        <v>237</v>
      </c>
      <c r="AH35" s="1720">
        <v>247</v>
      </c>
      <c r="AI35" s="1720">
        <v>275</v>
      </c>
      <c r="AJ35" s="1720">
        <v>29</v>
      </c>
      <c r="AK35" s="1720">
        <v>35</v>
      </c>
      <c r="AL35" s="1720">
        <v>75</v>
      </c>
      <c r="BO35">
        <v>167.5</v>
      </c>
      <c r="BP35" t="s">
        <v>439</v>
      </c>
      <c r="BU35" s="1720">
        <v>70</v>
      </c>
      <c r="BV35" s="1720">
        <v>245</v>
      </c>
      <c r="BW35" s="1720">
        <v>140</v>
      </c>
      <c r="BX35" s="1720" t="s">
        <v>1853</v>
      </c>
      <c r="BY35" s="1772"/>
      <c r="CB35" s="1720">
        <v>250</v>
      </c>
      <c r="CC35" s="1720">
        <v>177.5</v>
      </c>
      <c r="CD35" s="1720">
        <v>265</v>
      </c>
      <c r="CE35" s="1720">
        <v>215</v>
      </c>
      <c r="CF35" s="1720">
        <v>285</v>
      </c>
      <c r="CG35" s="1720" t="s">
        <v>1251</v>
      </c>
      <c r="CH35" s="328"/>
      <c r="CK35" s="1720">
        <v>90</v>
      </c>
      <c r="CL35" s="1720">
        <v>90</v>
      </c>
      <c r="CM35" s="1720">
        <v>400</v>
      </c>
      <c r="CN35" s="1720"/>
      <c r="CO35" s="328"/>
      <c r="CP35" s="328" t="s">
        <v>1932</v>
      </c>
    </row>
    <row r="36" spans="1:94" x14ac:dyDescent="0.3">
      <c r="A36" s="1720">
        <v>35</v>
      </c>
      <c r="B36" s="328" t="s">
        <v>1231</v>
      </c>
      <c r="C36" s="1720"/>
      <c r="D36" s="1720">
        <v>620</v>
      </c>
      <c r="E36" s="1720">
        <v>4</v>
      </c>
      <c r="F36" s="1720">
        <v>120</v>
      </c>
      <c r="G36" s="1720">
        <v>575</v>
      </c>
      <c r="H36" s="1720">
        <v>4</v>
      </c>
      <c r="I36" s="1720">
        <v>420</v>
      </c>
      <c r="J36" s="1720">
        <v>670</v>
      </c>
      <c r="K36" s="1720">
        <v>705</v>
      </c>
      <c r="L36" s="1720">
        <v>200</v>
      </c>
      <c r="M36" s="1720" t="s">
        <v>1445</v>
      </c>
      <c r="N36" s="328"/>
      <c r="O36" s="1720"/>
      <c r="R36" s="1720">
        <v>35</v>
      </c>
      <c r="S36" s="1720" t="s">
        <v>1460</v>
      </c>
      <c r="T36" s="1720">
        <v>510</v>
      </c>
      <c r="U36" s="1720">
        <v>1290</v>
      </c>
      <c r="V36" s="1720">
        <v>100</v>
      </c>
      <c r="W36" s="1720"/>
      <c r="AC36" s="1720">
        <v>88</v>
      </c>
      <c r="AD36" s="1720">
        <v>800</v>
      </c>
      <c r="AE36" s="1720">
        <v>150</v>
      </c>
      <c r="AF36" s="1720">
        <v>650</v>
      </c>
      <c r="AG36" s="1720">
        <v>305</v>
      </c>
      <c r="AH36" s="1720">
        <v>318</v>
      </c>
      <c r="AI36" s="1720">
        <v>345</v>
      </c>
      <c r="AJ36" s="1720">
        <v>35</v>
      </c>
      <c r="AK36" s="1720">
        <v>43</v>
      </c>
      <c r="AL36" s="1720">
        <v>110</v>
      </c>
      <c r="AP36" t="s">
        <v>591</v>
      </c>
      <c r="AQ36" t="s">
        <v>2</v>
      </c>
      <c r="AR36" t="s">
        <v>1211</v>
      </c>
      <c r="AS36" t="s">
        <v>1223</v>
      </c>
      <c r="AT36" t="s">
        <v>1212</v>
      </c>
      <c r="AU36" t="s">
        <v>1224</v>
      </c>
      <c r="AV36" t="s">
        <v>1213</v>
      </c>
      <c r="AW36" t="s">
        <v>1214</v>
      </c>
      <c r="BO36">
        <v>170</v>
      </c>
      <c r="BP36" t="s">
        <v>440</v>
      </c>
      <c r="BU36" s="1720">
        <v>70</v>
      </c>
      <c r="BV36" s="1720">
        <v>240</v>
      </c>
      <c r="BW36" s="1720">
        <v>140</v>
      </c>
      <c r="BX36" s="1720" t="s">
        <v>1853</v>
      </c>
      <c r="BY36" s="1772"/>
      <c r="CB36" s="1720">
        <v>232</v>
      </c>
      <c r="CC36" s="1720">
        <v>180</v>
      </c>
      <c r="CD36" s="1720">
        <v>265</v>
      </c>
      <c r="CE36" s="1720">
        <v>205</v>
      </c>
      <c r="CF36" s="1720">
        <v>285</v>
      </c>
      <c r="CG36" s="1720" t="s">
        <v>1251</v>
      </c>
      <c r="CH36" s="328"/>
      <c r="CK36" s="1720">
        <v>85</v>
      </c>
      <c r="CL36" s="1720">
        <v>85</v>
      </c>
      <c r="CM36" s="1720">
        <v>400</v>
      </c>
      <c r="CN36" s="1720"/>
      <c r="CO36" s="328" t="s">
        <v>1936</v>
      </c>
      <c r="CP36" s="328" t="s">
        <v>1932</v>
      </c>
    </row>
    <row r="37" spans="1:94" x14ac:dyDescent="0.3">
      <c r="A37" s="1720">
        <v>36</v>
      </c>
      <c r="B37" s="328"/>
      <c r="C37" s="1720"/>
      <c r="D37" s="1720"/>
      <c r="E37" s="1720"/>
      <c r="F37" s="1720"/>
      <c r="G37" s="1720">
        <v>580</v>
      </c>
      <c r="H37" s="1720">
        <v>7.5</v>
      </c>
      <c r="I37" s="1720">
        <v>1000</v>
      </c>
      <c r="J37" s="1720">
        <v>640</v>
      </c>
      <c r="K37" s="1720">
        <v>665</v>
      </c>
      <c r="L37" s="1720">
        <v>160</v>
      </c>
      <c r="M37" s="1720"/>
      <c r="N37" s="328"/>
      <c r="O37" s="1720"/>
      <c r="R37" s="1720">
        <v>36</v>
      </c>
      <c r="S37" s="1720" t="s">
        <v>1461</v>
      </c>
      <c r="T37" s="1720">
        <v>520</v>
      </c>
      <c r="U37" s="1720">
        <v>860</v>
      </c>
      <c r="V37" s="1720">
        <v>80</v>
      </c>
      <c r="W37" s="1720"/>
      <c r="AC37" s="1720">
        <v>55</v>
      </c>
      <c r="AD37" s="1720">
        <v>795</v>
      </c>
      <c r="AE37" s="1720">
        <v>140</v>
      </c>
      <c r="AF37" s="1720">
        <v>655</v>
      </c>
      <c r="AG37" s="1720">
        <v>292</v>
      </c>
      <c r="AH37" s="1720">
        <v>310</v>
      </c>
      <c r="AI37" s="1720">
        <v>345</v>
      </c>
      <c r="AJ37" s="1720">
        <v>100</v>
      </c>
      <c r="AK37" s="1720">
        <v>115</v>
      </c>
      <c r="AL37" s="1720">
        <v>220</v>
      </c>
      <c r="AM37" s="1770" t="s">
        <v>1308</v>
      </c>
      <c r="AP37" s="1720">
        <v>5</v>
      </c>
      <c r="AQ37" s="1720"/>
      <c r="AR37" s="1720">
        <v>575</v>
      </c>
      <c r="AS37" s="1720">
        <v>2.5</v>
      </c>
      <c r="AT37" s="1720">
        <v>125</v>
      </c>
      <c r="AU37" s="1720">
        <v>2.5</v>
      </c>
      <c r="AV37" s="1720">
        <v>125</v>
      </c>
      <c r="AW37" s="328" t="s">
        <v>1472</v>
      </c>
      <c r="BO37">
        <v>172.5</v>
      </c>
      <c r="BP37" t="s">
        <v>441</v>
      </c>
      <c r="BU37" s="1720">
        <v>70</v>
      </c>
      <c r="BV37" s="1720">
        <v>245</v>
      </c>
      <c r="BW37" s="1720">
        <v>140</v>
      </c>
      <c r="BX37" s="1720" t="s">
        <v>1853</v>
      </c>
      <c r="BY37" s="1772"/>
      <c r="CB37" s="1720">
        <v>230</v>
      </c>
      <c r="CC37" s="1720">
        <v>180</v>
      </c>
      <c r="CD37" s="1720">
        <v>265</v>
      </c>
      <c r="CE37" s="1720">
        <v>210</v>
      </c>
      <c r="CF37" s="1720">
        <v>285</v>
      </c>
      <c r="CG37" s="1720" t="s">
        <v>1251</v>
      </c>
      <c r="CH37" s="328"/>
      <c r="CK37" s="1720">
        <v>80</v>
      </c>
      <c r="CL37" s="1720">
        <v>80</v>
      </c>
      <c r="CM37" s="1720">
        <v>400</v>
      </c>
      <c r="CN37" s="1720"/>
      <c r="CO37" s="328" t="s">
        <v>1936</v>
      </c>
      <c r="CP37" s="328" t="s">
        <v>1932</v>
      </c>
    </row>
    <row r="38" spans="1:94" x14ac:dyDescent="0.3">
      <c r="A38" s="1720">
        <v>37</v>
      </c>
      <c r="B38" s="328" t="s">
        <v>1362</v>
      </c>
      <c r="C38" s="1720" t="s">
        <v>1460</v>
      </c>
      <c r="D38" s="1720">
        <v>625</v>
      </c>
      <c r="E38" s="1720">
        <v>2.5</v>
      </c>
      <c r="F38" s="1720">
        <v>300</v>
      </c>
      <c r="G38" s="1720">
        <v>595</v>
      </c>
      <c r="H38" s="1720">
        <v>5</v>
      </c>
      <c r="I38" s="1720">
        <v>800</v>
      </c>
      <c r="J38" s="1720">
        <v>735</v>
      </c>
      <c r="K38" s="1720">
        <v>755</v>
      </c>
      <c r="L38" s="1720">
        <v>155</v>
      </c>
      <c r="M38" s="1720"/>
      <c r="N38" s="328" t="s">
        <v>21</v>
      </c>
      <c r="O38" s="1720">
        <v>1259</v>
      </c>
      <c r="R38" s="1720">
        <v>37</v>
      </c>
      <c r="S38" s="1720" t="s">
        <v>1395</v>
      </c>
      <c r="T38" s="1720">
        <v>530</v>
      </c>
      <c r="U38" s="1720">
        <v>580</v>
      </c>
      <c r="V38" s="1720">
        <v>80</v>
      </c>
      <c r="W38" s="1720"/>
      <c r="AC38" s="1720">
        <v>101</v>
      </c>
      <c r="AD38" s="1720">
        <v>800</v>
      </c>
      <c r="AE38" s="1720">
        <v>140</v>
      </c>
      <c r="AF38" s="1720">
        <v>660</v>
      </c>
      <c r="AG38" s="1720">
        <v>155</v>
      </c>
      <c r="AH38" s="1720">
        <v>167</v>
      </c>
      <c r="AI38" s="1720">
        <v>200</v>
      </c>
      <c r="AJ38" s="1720">
        <v>40</v>
      </c>
      <c r="AK38" s="1720">
        <v>55</v>
      </c>
      <c r="AL38" s="1720">
        <v>120</v>
      </c>
      <c r="AM38" s="1770" t="s">
        <v>1309</v>
      </c>
      <c r="AP38" s="1720">
        <v>6</v>
      </c>
      <c r="AQ38" s="1720"/>
      <c r="AR38" s="1720">
        <v>580</v>
      </c>
      <c r="AS38" s="1720">
        <v>1</v>
      </c>
      <c r="AT38" s="1720">
        <v>220</v>
      </c>
      <c r="AU38" s="1720">
        <v>1</v>
      </c>
      <c r="AV38" s="1720">
        <v>125</v>
      </c>
      <c r="AW38" s="328" t="s">
        <v>1473</v>
      </c>
      <c r="BO38">
        <v>175</v>
      </c>
      <c r="BP38" t="s">
        <v>442</v>
      </c>
      <c r="BU38" s="1720">
        <v>70</v>
      </c>
      <c r="BV38" s="1720">
        <v>245</v>
      </c>
      <c r="BW38" s="1720">
        <v>140</v>
      </c>
      <c r="BX38" s="1720" t="s">
        <v>1853</v>
      </c>
      <c r="BY38" s="1772"/>
      <c r="CB38" s="1720">
        <v>220</v>
      </c>
      <c r="CC38" s="1720">
        <v>190</v>
      </c>
      <c r="CD38" s="1720">
        <v>200</v>
      </c>
      <c r="CE38" s="1720">
        <v>145</v>
      </c>
      <c r="CF38" s="1720">
        <v>285</v>
      </c>
      <c r="CG38" s="1720" t="s">
        <v>1252</v>
      </c>
      <c r="CH38" s="328"/>
      <c r="CK38" s="1720">
        <v>78</v>
      </c>
      <c r="CL38" s="1720">
        <v>97</v>
      </c>
      <c r="CM38" s="1720">
        <v>440</v>
      </c>
      <c r="CN38" s="1720"/>
      <c r="CO38" s="328" t="s">
        <v>1935</v>
      </c>
      <c r="CP38" s="328"/>
    </row>
    <row r="39" spans="1:94" x14ac:dyDescent="0.3">
      <c r="A39" s="1720">
        <v>38</v>
      </c>
      <c r="B39" s="328"/>
      <c r="C39" s="1720" t="s">
        <v>1395</v>
      </c>
      <c r="D39" s="1720"/>
      <c r="E39" s="1720"/>
      <c r="F39" s="1720"/>
      <c r="G39" s="1720">
        <v>600</v>
      </c>
      <c r="H39" s="1720">
        <v>5</v>
      </c>
      <c r="I39" s="1720">
        <v>450</v>
      </c>
      <c r="J39" s="1720">
        <v>635</v>
      </c>
      <c r="K39" s="1720">
        <v>645</v>
      </c>
      <c r="L39" s="1720">
        <v>90</v>
      </c>
      <c r="M39" s="1720"/>
      <c r="N39" s="328"/>
      <c r="O39" s="1720"/>
      <c r="R39" s="1720">
        <v>38</v>
      </c>
      <c r="S39" s="1720" t="s">
        <v>1967</v>
      </c>
      <c r="T39" s="1720">
        <v>530</v>
      </c>
      <c r="U39" s="1720">
        <v>1110</v>
      </c>
      <c r="V39" s="1720">
        <v>80</v>
      </c>
      <c r="W39" s="1720" t="s">
        <v>1944</v>
      </c>
      <c r="AC39" s="1720">
        <v>102</v>
      </c>
      <c r="AD39" s="1720">
        <v>800</v>
      </c>
      <c r="AE39" s="1720">
        <v>140</v>
      </c>
      <c r="AF39" s="1720">
        <v>660</v>
      </c>
      <c r="AG39" s="1720">
        <v>155</v>
      </c>
      <c r="AH39" s="1720">
        <v>170</v>
      </c>
      <c r="AI39" s="1720">
        <v>190</v>
      </c>
      <c r="AJ39" s="1720">
        <v>40</v>
      </c>
      <c r="AK39" s="1720">
        <v>55</v>
      </c>
      <c r="AL39" s="1720">
        <v>110</v>
      </c>
      <c r="AM39" s="1770" t="s">
        <v>1310</v>
      </c>
      <c r="AP39" s="1720">
        <v>4</v>
      </c>
      <c r="AQ39" s="1720" t="s">
        <v>1471</v>
      </c>
      <c r="AR39" s="1720">
        <v>720</v>
      </c>
      <c r="AS39" s="1720">
        <v>2.5</v>
      </c>
      <c r="AT39" s="1720">
        <v>510</v>
      </c>
      <c r="AU39" s="1720">
        <v>7.5</v>
      </c>
      <c r="AV39" s="1720">
        <v>150</v>
      </c>
      <c r="AW39" s="328"/>
      <c r="BO39">
        <v>177.5</v>
      </c>
      <c r="BP39" t="s">
        <v>443</v>
      </c>
      <c r="BU39" s="1720">
        <v>70</v>
      </c>
      <c r="BV39" s="1720">
        <v>240</v>
      </c>
      <c r="BW39" s="1720">
        <v>140</v>
      </c>
      <c r="BX39" s="1720" t="s">
        <v>1853</v>
      </c>
      <c r="BY39" s="1772"/>
      <c r="CB39" s="1720">
        <v>250</v>
      </c>
      <c r="CC39" s="1720">
        <v>190</v>
      </c>
      <c r="CD39" s="1720">
        <v>265</v>
      </c>
      <c r="CE39" s="1720">
        <v>228</v>
      </c>
      <c r="CF39" s="1720">
        <v>285</v>
      </c>
      <c r="CG39" s="1720" t="s">
        <v>1249</v>
      </c>
      <c r="CH39" s="328"/>
      <c r="CK39" s="1720">
        <v>70</v>
      </c>
      <c r="CL39" s="1720">
        <v>70</v>
      </c>
      <c r="CM39" s="1720">
        <v>400</v>
      </c>
      <c r="CN39" s="1720"/>
      <c r="CO39" s="328"/>
      <c r="CP39" s="328" t="s">
        <v>1937</v>
      </c>
    </row>
    <row r="40" spans="1:94" x14ac:dyDescent="0.3">
      <c r="A40" s="1720">
        <v>39</v>
      </c>
      <c r="B40" s="328"/>
      <c r="C40" s="1720" t="s">
        <v>1396</v>
      </c>
      <c r="D40" s="1720"/>
      <c r="E40" s="1720"/>
      <c r="F40" s="1720"/>
      <c r="G40" s="1720">
        <v>602</v>
      </c>
      <c r="H40" s="1720">
        <v>2</v>
      </c>
      <c r="I40" s="1720">
        <v>110</v>
      </c>
      <c r="J40" s="1720">
        <v>680</v>
      </c>
      <c r="K40" s="1720">
        <v>700</v>
      </c>
      <c r="L40" s="1720">
        <v>190</v>
      </c>
      <c r="M40" s="1720" t="s">
        <v>1397</v>
      </c>
      <c r="N40" s="328"/>
      <c r="O40" s="1720"/>
      <c r="R40" s="1720">
        <v>39</v>
      </c>
      <c r="S40" s="1720"/>
      <c r="T40" s="1720">
        <v>545</v>
      </c>
      <c r="U40" s="1720">
        <v>1970</v>
      </c>
      <c r="V40" s="1720">
        <v>70</v>
      </c>
      <c r="W40" s="1720"/>
      <c r="AC40" s="1720">
        <v>22</v>
      </c>
      <c r="AD40" s="1720">
        <v>840</v>
      </c>
      <c r="AE40" s="1720">
        <v>180</v>
      </c>
      <c r="AF40" s="1720">
        <v>660</v>
      </c>
      <c r="AG40" s="1720">
        <v>294</v>
      </c>
      <c r="AH40" s="1720">
        <v>310</v>
      </c>
      <c r="AI40" s="1720">
        <v>350</v>
      </c>
      <c r="AJ40" s="1720">
        <v>107</v>
      </c>
      <c r="AK40" s="1720">
        <v>117</v>
      </c>
      <c r="AL40" s="1720">
        <v>185</v>
      </c>
      <c r="AM40" s="1770" t="s">
        <v>1311</v>
      </c>
      <c r="AP40" s="1720">
        <v>8</v>
      </c>
      <c r="AQ40" s="1720" t="s">
        <v>1476</v>
      </c>
      <c r="AR40" s="1720">
        <v>720</v>
      </c>
      <c r="AS40" s="1720">
        <v>5</v>
      </c>
      <c r="AT40" s="1720">
        <v>345</v>
      </c>
      <c r="AU40" s="1720">
        <v>2.5</v>
      </c>
      <c r="AV40" s="1720">
        <v>150</v>
      </c>
      <c r="AW40" s="328" t="s">
        <v>1477</v>
      </c>
      <c r="BO40">
        <v>180</v>
      </c>
      <c r="BP40" t="s">
        <v>444</v>
      </c>
      <c r="BU40" s="1720">
        <v>70</v>
      </c>
      <c r="BV40" s="1720">
        <v>245</v>
      </c>
      <c r="BW40" s="1720">
        <v>140</v>
      </c>
      <c r="BX40" s="1720" t="s">
        <v>1853</v>
      </c>
      <c r="BY40" s="1772"/>
      <c r="CB40" s="1720">
        <v>280</v>
      </c>
      <c r="CC40" s="1720">
        <v>190</v>
      </c>
      <c r="CD40" s="1720">
        <v>320</v>
      </c>
      <c r="CE40" s="1720">
        <v>265</v>
      </c>
      <c r="CF40" s="1720">
        <v>375</v>
      </c>
      <c r="CG40" s="1720" t="s">
        <v>1253</v>
      </c>
      <c r="CH40" s="328"/>
      <c r="CK40" s="1720" t="s">
        <v>1938</v>
      </c>
      <c r="CL40" s="1720"/>
      <c r="CM40" s="1720">
        <v>400</v>
      </c>
      <c r="CN40" s="1720"/>
      <c r="CO40" s="328"/>
      <c r="CP40" s="328"/>
    </row>
    <row r="41" spans="1:94" x14ac:dyDescent="0.3">
      <c r="A41" s="1720">
        <v>40</v>
      </c>
      <c r="B41" s="328"/>
      <c r="C41" s="1720" t="s">
        <v>1461</v>
      </c>
      <c r="D41" s="1720"/>
      <c r="E41" s="1720"/>
      <c r="F41" s="1720"/>
      <c r="G41" s="1720">
        <v>625</v>
      </c>
      <c r="H41" s="1720">
        <v>5</v>
      </c>
      <c r="I41" s="1720">
        <v>650</v>
      </c>
      <c r="J41" s="1720">
        <v>677</v>
      </c>
      <c r="K41" s="1720">
        <v>710</v>
      </c>
      <c r="L41" s="1720">
        <v>210</v>
      </c>
      <c r="M41" s="1720" t="s">
        <v>1462</v>
      </c>
      <c r="N41" s="328" t="s">
        <v>6</v>
      </c>
      <c r="O41" s="1720">
        <v>945</v>
      </c>
      <c r="R41" s="1720">
        <v>40</v>
      </c>
      <c r="S41" s="1720" t="s">
        <v>1398</v>
      </c>
      <c r="T41" s="1720">
        <v>550</v>
      </c>
      <c r="U41" s="1720">
        <v>1340</v>
      </c>
      <c r="V41" s="1720">
        <v>150</v>
      </c>
      <c r="W41" s="1720"/>
      <c r="AC41" s="1720">
        <v>13</v>
      </c>
      <c r="AD41" s="1720">
        <v>825</v>
      </c>
      <c r="AE41" s="1720">
        <v>165</v>
      </c>
      <c r="AF41" s="1720">
        <v>660</v>
      </c>
      <c r="AG41" s="1720">
        <v>325</v>
      </c>
      <c r="AH41" s="1720">
        <v>338</v>
      </c>
      <c r="AI41" s="1720">
        <v>375</v>
      </c>
      <c r="AJ41" s="1720">
        <v>80</v>
      </c>
      <c r="AK41" s="1720">
        <v>90</v>
      </c>
      <c r="AL41" s="1720">
        <v>155</v>
      </c>
      <c r="AM41" s="1770" t="s">
        <v>1312</v>
      </c>
      <c r="AP41" s="1720">
        <v>9</v>
      </c>
      <c r="AQ41" s="1720" t="s">
        <v>1478</v>
      </c>
      <c r="AR41" s="1720">
        <v>720</v>
      </c>
      <c r="AS41" s="1720">
        <v>2.5</v>
      </c>
      <c r="AT41" s="1720">
        <v>510</v>
      </c>
      <c r="AU41" s="1720">
        <v>2.5</v>
      </c>
      <c r="AV41" s="1720">
        <v>150</v>
      </c>
      <c r="AW41" s="328"/>
      <c r="BO41">
        <v>182.5</v>
      </c>
      <c r="BP41" t="s">
        <v>445</v>
      </c>
      <c r="BU41" s="1720">
        <v>70</v>
      </c>
      <c r="BV41" s="1720">
        <v>240</v>
      </c>
      <c r="BW41" s="1720">
        <v>140</v>
      </c>
      <c r="BX41" s="1720" t="s">
        <v>1853</v>
      </c>
      <c r="BY41" s="1772"/>
      <c r="CB41" s="1720">
        <v>240</v>
      </c>
      <c r="CC41" s="1720">
        <v>192.5</v>
      </c>
      <c r="CD41" s="1720">
        <v>260</v>
      </c>
      <c r="CE41" s="1720">
        <v>205</v>
      </c>
      <c r="CF41" s="1720">
        <v>375</v>
      </c>
      <c r="CG41" s="1720" t="s">
        <v>1254</v>
      </c>
      <c r="CH41" s="328"/>
      <c r="CK41" s="1720">
        <v>50</v>
      </c>
      <c r="CL41" s="1720">
        <v>50</v>
      </c>
      <c r="CM41" s="1720">
        <v>400</v>
      </c>
      <c r="CN41" s="1720"/>
      <c r="CO41" s="328"/>
      <c r="CP41" s="328" t="s">
        <v>2031</v>
      </c>
    </row>
    <row r="42" spans="1:94" x14ac:dyDescent="0.3">
      <c r="A42" s="1720">
        <v>41</v>
      </c>
      <c r="B42" s="328"/>
      <c r="C42" s="1720"/>
      <c r="D42" s="1720"/>
      <c r="E42" s="1720"/>
      <c r="F42" s="1720"/>
      <c r="G42" s="1720">
        <v>630</v>
      </c>
      <c r="H42" s="1720">
        <v>8</v>
      </c>
      <c r="I42" s="1720">
        <v>490</v>
      </c>
      <c r="J42" s="1720">
        <v>775</v>
      </c>
      <c r="K42" s="1720">
        <v>795</v>
      </c>
      <c r="L42" s="1720">
        <v>355</v>
      </c>
      <c r="M42" s="1720" t="s">
        <v>1360</v>
      </c>
      <c r="N42" s="328"/>
      <c r="O42" s="1720"/>
      <c r="R42" s="1720">
        <v>41</v>
      </c>
      <c r="S42" s="1720" t="s">
        <v>1968</v>
      </c>
      <c r="T42" s="1720">
        <v>550</v>
      </c>
      <c r="U42" s="1720">
        <v>970</v>
      </c>
      <c r="V42" s="1720">
        <v>80</v>
      </c>
      <c r="W42" s="1720"/>
      <c r="AC42" s="1720">
        <v>94</v>
      </c>
      <c r="AD42" s="1720">
        <v>805</v>
      </c>
      <c r="AE42" s="1720">
        <v>140</v>
      </c>
      <c r="AF42" s="1720">
        <v>665</v>
      </c>
      <c r="AG42" s="1720">
        <v>160</v>
      </c>
      <c r="AH42" s="1720">
        <v>180</v>
      </c>
      <c r="AI42" s="1720">
        <v>200</v>
      </c>
      <c r="AJ42" s="1720">
        <v>28</v>
      </c>
      <c r="AK42" s="1720">
        <v>41</v>
      </c>
      <c r="AL42" s="1720">
        <v>100</v>
      </c>
      <c r="AP42" s="1720">
        <v>10</v>
      </c>
      <c r="AQ42" s="1720"/>
      <c r="AR42" s="1720">
        <v>730</v>
      </c>
      <c r="AS42" s="1720">
        <v>2.5</v>
      </c>
      <c r="AT42" s="1720">
        <v>545</v>
      </c>
      <c r="AU42" s="1720">
        <v>2.5</v>
      </c>
      <c r="AV42" s="1720">
        <v>180</v>
      </c>
      <c r="AW42" s="328"/>
      <c r="BO42">
        <v>185</v>
      </c>
      <c r="BP42" t="s">
        <v>446</v>
      </c>
      <c r="BU42" s="1720">
        <v>72.5</v>
      </c>
      <c r="BV42" s="1720">
        <v>245</v>
      </c>
      <c r="BW42" s="1720">
        <v>140</v>
      </c>
      <c r="BX42" s="1720" t="s">
        <v>1854</v>
      </c>
      <c r="BY42" s="1772"/>
      <c r="CB42" s="1720">
        <v>358</v>
      </c>
      <c r="CC42" s="1720">
        <v>210</v>
      </c>
      <c r="CD42" s="1720">
        <v>320</v>
      </c>
      <c r="CE42" s="1720">
        <v>282</v>
      </c>
      <c r="CF42" s="1720">
        <v>375</v>
      </c>
      <c r="CG42" s="1720" t="s">
        <v>1255</v>
      </c>
      <c r="CH42" s="328"/>
      <c r="CK42" s="1720">
        <v>35</v>
      </c>
      <c r="CL42" s="1720"/>
      <c r="CM42" s="1720">
        <v>400</v>
      </c>
      <c r="CN42" s="1720"/>
      <c r="CO42" s="328"/>
      <c r="CP42" s="328" t="s">
        <v>2032</v>
      </c>
    </row>
    <row r="43" spans="1:94" x14ac:dyDescent="0.3">
      <c r="A43" s="1720">
        <v>42</v>
      </c>
      <c r="B43" s="328" t="s">
        <v>1362</v>
      </c>
      <c r="C43" s="1720" t="s">
        <v>1398</v>
      </c>
      <c r="D43" s="1720"/>
      <c r="E43" s="1720"/>
      <c r="F43" s="1720"/>
      <c r="G43" s="1720">
        <v>640</v>
      </c>
      <c r="H43" s="1720">
        <v>15</v>
      </c>
      <c r="I43" s="1720">
        <v>1130</v>
      </c>
      <c r="J43" s="1720">
        <v>790</v>
      </c>
      <c r="K43" s="1720">
        <v>800</v>
      </c>
      <c r="L43" s="1720">
        <v>190</v>
      </c>
      <c r="M43" s="1720"/>
      <c r="N43" s="328"/>
      <c r="O43" s="1720"/>
      <c r="R43" s="1720">
        <v>42</v>
      </c>
      <c r="S43" s="1720"/>
      <c r="T43" s="1720">
        <v>555</v>
      </c>
      <c r="U43" s="1720">
        <v>1070</v>
      </c>
      <c r="V43" s="1720">
        <v>80</v>
      </c>
      <c r="W43" s="1720"/>
      <c r="AC43" s="1720">
        <v>65</v>
      </c>
      <c r="AD43" s="1720">
        <v>825</v>
      </c>
      <c r="AE43" s="1720">
        <v>160</v>
      </c>
      <c r="AF43" s="1720">
        <v>665</v>
      </c>
      <c r="AG43" s="1720">
        <v>265</v>
      </c>
      <c r="AH43" s="1720">
        <v>278</v>
      </c>
      <c r="AI43" s="1720">
        <v>320</v>
      </c>
      <c r="AJ43" s="1720">
        <v>52</v>
      </c>
      <c r="AK43" s="1720">
        <v>60</v>
      </c>
      <c r="AL43" s="1720">
        <v>135</v>
      </c>
      <c r="AM43" s="1770" t="s">
        <v>1313</v>
      </c>
      <c r="AP43" s="1720">
        <v>3</v>
      </c>
      <c r="AQ43" s="1720"/>
      <c r="AR43" s="1720">
        <v>795</v>
      </c>
      <c r="AS43" s="1720">
        <v>2.5</v>
      </c>
      <c r="AT43" s="1720">
        <v>540</v>
      </c>
      <c r="AU43" s="1720">
        <v>0</v>
      </c>
      <c r="AV43" s="1720">
        <v>165</v>
      </c>
      <c r="AW43" s="328"/>
      <c r="BO43">
        <v>187.5</v>
      </c>
      <c r="BP43" t="s">
        <v>447</v>
      </c>
      <c r="BU43" s="1720">
        <v>72.5</v>
      </c>
      <c r="BV43" s="1720">
        <v>245</v>
      </c>
      <c r="BW43" s="1720">
        <v>140</v>
      </c>
      <c r="BX43" s="1720" t="s">
        <v>1854</v>
      </c>
      <c r="BY43" s="1772"/>
      <c r="CB43" s="1720">
        <v>315</v>
      </c>
      <c r="CC43" s="1720">
        <v>220</v>
      </c>
      <c r="CD43" s="1720">
        <v>320</v>
      </c>
      <c r="CE43" s="1720">
        <v>280</v>
      </c>
      <c r="CF43" s="1720">
        <v>375</v>
      </c>
      <c r="CG43" s="1720">
        <v>10255226</v>
      </c>
      <c r="CH43" s="328"/>
      <c r="CK43" s="1720">
        <v>45</v>
      </c>
      <c r="CL43" s="1720"/>
      <c r="CM43" s="1720">
        <v>400</v>
      </c>
      <c r="CN43" s="1720"/>
      <c r="CO43" s="328"/>
      <c r="CP43" s="328" t="s">
        <v>2032</v>
      </c>
    </row>
    <row r="44" spans="1:94" x14ac:dyDescent="0.3">
      <c r="A44" s="1720">
        <v>43</v>
      </c>
      <c r="B44" s="328"/>
      <c r="C44" s="1720" t="s">
        <v>1446</v>
      </c>
      <c r="D44" s="1720">
        <v>675</v>
      </c>
      <c r="E44" s="1720">
        <v>1.5</v>
      </c>
      <c r="F44" s="1720">
        <v>100</v>
      </c>
      <c r="G44" s="1720">
        <v>650</v>
      </c>
      <c r="H44" s="1720">
        <v>2.5</v>
      </c>
      <c r="I44" s="1720">
        <v>75</v>
      </c>
      <c r="J44" s="1720">
        <v>710</v>
      </c>
      <c r="K44" s="1720">
        <v>720</v>
      </c>
      <c r="L44" s="1720">
        <v>100</v>
      </c>
      <c r="M44" s="1720"/>
      <c r="N44" s="328"/>
      <c r="O44" s="1720"/>
      <c r="R44" s="1720">
        <v>43</v>
      </c>
      <c r="S44" s="1720" t="s">
        <v>1404</v>
      </c>
      <c r="T44" s="1720">
        <v>560</v>
      </c>
      <c r="U44" s="1720">
        <v>770</v>
      </c>
      <c r="V44" s="1720">
        <v>80</v>
      </c>
      <c r="W44" s="1720"/>
      <c r="AC44" s="1720">
        <v>100</v>
      </c>
      <c r="AD44" s="1720">
        <v>835</v>
      </c>
      <c r="AE44" s="1720">
        <v>170</v>
      </c>
      <c r="AF44" s="1720">
        <v>665</v>
      </c>
      <c r="AG44" s="1720">
        <v>353</v>
      </c>
      <c r="AH44" s="1720">
        <v>355</v>
      </c>
      <c r="AI44" s="1720">
        <v>395</v>
      </c>
      <c r="AJ44" s="1720">
        <v>35</v>
      </c>
      <c r="AK44" s="1720">
        <v>48</v>
      </c>
      <c r="AL44" s="1720">
        <v>110</v>
      </c>
      <c r="AP44" s="1720">
        <v>1</v>
      </c>
      <c r="AQ44" s="1720"/>
      <c r="AR44" s="1720">
        <v>820</v>
      </c>
      <c r="AS44" s="1720">
        <v>5</v>
      </c>
      <c r="AT44" s="1720">
        <v>570</v>
      </c>
      <c r="AU44" s="1720">
        <v>0</v>
      </c>
      <c r="AV44" s="1720">
        <v>235</v>
      </c>
      <c r="AW44" s="328" t="s">
        <v>1470</v>
      </c>
      <c r="BO44">
        <v>190</v>
      </c>
      <c r="BP44" t="s">
        <v>448</v>
      </c>
      <c r="BU44" s="1720">
        <v>72.5</v>
      </c>
      <c r="BV44" s="1720">
        <v>245</v>
      </c>
      <c r="BW44" s="1720">
        <v>140</v>
      </c>
      <c r="BX44" s="1720" t="s">
        <v>1854</v>
      </c>
      <c r="BY44" s="1772"/>
      <c r="CB44" s="1720">
        <v>311</v>
      </c>
      <c r="CC44" s="1720">
        <v>222.5</v>
      </c>
      <c r="CD44" s="1720">
        <v>320</v>
      </c>
      <c r="CE44" s="1720">
        <v>280</v>
      </c>
      <c r="CF44" s="1720">
        <v>375</v>
      </c>
      <c r="CG44" s="1720" t="s">
        <v>1256</v>
      </c>
      <c r="CH44" s="328"/>
      <c r="CK44" s="1720">
        <v>50</v>
      </c>
      <c r="CL44" s="1720"/>
      <c r="CM44" s="1720">
        <v>400</v>
      </c>
      <c r="CN44" s="1720"/>
      <c r="CO44" s="328"/>
      <c r="CP44" s="328" t="s">
        <v>2032</v>
      </c>
    </row>
    <row r="45" spans="1:94" x14ac:dyDescent="0.3">
      <c r="A45" s="1720">
        <v>44</v>
      </c>
      <c r="B45" s="328"/>
      <c r="C45" s="1720"/>
      <c r="D45" s="1720"/>
      <c r="E45" s="1720"/>
      <c r="F45" s="1720"/>
      <c r="G45" s="1720">
        <v>650</v>
      </c>
      <c r="H45" s="1720">
        <v>2.5</v>
      </c>
      <c r="I45" s="1720">
        <v>180</v>
      </c>
      <c r="J45" s="1720">
        <v>690</v>
      </c>
      <c r="K45" s="1720">
        <v>700</v>
      </c>
      <c r="L45" s="1720">
        <v>90</v>
      </c>
      <c r="M45" s="1720" t="s">
        <v>1361</v>
      </c>
      <c r="N45" s="328"/>
      <c r="O45" s="1720"/>
      <c r="R45" s="1720">
        <v>44</v>
      </c>
      <c r="S45" s="1720" t="s">
        <v>1404</v>
      </c>
      <c r="T45" s="1720">
        <v>565</v>
      </c>
      <c r="U45" s="1720">
        <v>770</v>
      </c>
      <c r="V45" s="1720">
        <v>80</v>
      </c>
      <c r="W45" s="1720"/>
      <c r="AC45" s="1720">
        <v>21</v>
      </c>
      <c r="AD45" s="1720">
        <v>840</v>
      </c>
      <c r="AE45" s="1720">
        <v>170</v>
      </c>
      <c r="AF45" s="1720">
        <v>670</v>
      </c>
      <c r="AG45" s="1720">
        <v>355</v>
      </c>
      <c r="AH45" s="1720">
        <v>365</v>
      </c>
      <c r="AI45" s="1720">
        <v>400</v>
      </c>
      <c r="AJ45" s="1720">
        <v>40</v>
      </c>
      <c r="AK45" s="1720">
        <v>48</v>
      </c>
      <c r="AL45" s="1720">
        <v>110</v>
      </c>
      <c r="AP45" s="1720">
        <v>7</v>
      </c>
      <c r="AQ45" s="1720" t="s">
        <v>1474</v>
      </c>
      <c r="AR45" s="1720">
        <v>900</v>
      </c>
      <c r="AS45" s="1720">
        <v>2.5</v>
      </c>
      <c r="AT45" s="1720">
        <v>660</v>
      </c>
      <c r="AU45" s="1720">
        <v>2.5</v>
      </c>
      <c r="AV45" s="1720">
        <v>170</v>
      </c>
      <c r="AW45" s="328" t="s">
        <v>1475</v>
      </c>
      <c r="BO45">
        <v>192.5</v>
      </c>
      <c r="BP45" t="s">
        <v>449</v>
      </c>
      <c r="BU45" s="1720">
        <v>72.5</v>
      </c>
      <c r="BV45" s="1720">
        <v>240</v>
      </c>
      <c r="BW45" s="1720">
        <v>140</v>
      </c>
      <c r="BX45" s="1720" t="s">
        <v>1854</v>
      </c>
      <c r="BY45" s="1772"/>
      <c r="CB45" s="1720">
        <v>317</v>
      </c>
      <c r="CC45" s="1720">
        <v>227.5</v>
      </c>
      <c r="CD45" s="1720">
        <v>378</v>
      </c>
      <c r="CE45" s="1720">
        <v>313</v>
      </c>
      <c r="CF45" s="1720">
        <v>375</v>
      </c>
      <c r="CG45" s="1720" t="s">
        <v>1257</v>
      </c>
      <c r="CH45" s="328"/>
      <c r="CK45" s="1720" t="s">
        <v>2033</v>
      </c>
      <c r="CL45" s="1720"/>
      <c r="CM45" s="1720"/>
      <c r="CN45" s="1720"/>
      <c r="CO45" s="328"/>
      <c r="CP45" s="328"/>
    </row>
    <row r="46" spans="1:94" x14ac:dyDescent="0.3">
      <c r="A46" s="1720">
        <v>45</v>
      </c>
      <c r="B46" s="328"/>
      <c r="C46" s="1720"/>
      <c r="D46" s="1720"/>
      <c r="E46" s="1720"/>
      <c r="F46" s="1720"/>
      <c r="G46" s="1720">
        <v>650</v>
      </c>
      <c r="H46" s="1720">
        <v>7.5</v>
      </c>
      <c r="I46" s="1720">
        <v>600</v>
      </c>
      <c r="J46" s="1720">
        <v>700</v>
      </c>
      <c r="K46" s="1720">
        <v>715</v>
      </c>
      <c r="L46" s="1720">
        <v>115</v>
      </c>
      <c r="M46" s="1720"/>
      <c r="N46" s="328"/>
      <c r="O46" s="1720"/>
      <c r="R46" s="1720">
        <v>45</v>
      </c>
      <c r="S46" s="1720" t="s">
        <v>1969</v>
      </c>
      <c r="T46" s="1720">
        <v>570</v>
      </c>
      <c r="U46" s="1720">
        <v>750</v>
      </c>
      <c r="V46" s="1720">
        <v>80</v>
      </c>
      <c r="W46" s="1720"/>
      <c r="AC46" s="1720">
        <v>16</v>
      </c>
      <c r="AD46" s="1720">
        <v>835</v>
      </c>
      <c r="AE46" s="1720">
        <v>165</v>
      </c>
      <c r="AF46" s="1720">
        <v>670</v>
      </c>
      <c r="AG46" s="1720">
        <v>520</v>
      </c>
      <c r="AH46" s="1720">
        <v>533</v>
      </c>
      <c r="AI46" s="1720">
        <v>580</v>
      </c>
      <c r="AJ46" s="1720">
        <v>58</v>
      </c>
      <c r="AK46" s="1720">
        <v>66</v>
      </c>
      <c r="AL46" s="1720">
        <v>135</v>
      </c>
      <c r="AM46" s="1770" t="s">
        <v>1314</v>
      </c>
      <c r="AP46" s="1720">
        <v>11</v>
      </c>
      <c r="AQ46" s="1720" t="s">
        <v>1479</v>
      </c>
      <c r="AR46" s="1720">
        <v>910</v>
      </c>
      <c r="AS46" s="1720">
        <v>2.5</v>
      </c>
      <c r="AT46" s="1720">
        <v>660</v>
      </c>
      <c r="AU46" s="1720">
        <v>5</v>
      </c>
      <c r="AV46" s="1720">
        <v>195</v>
      </c>
      <c r="AW46" s="328" t="s">
        <v>1480</v>
      </c>
      <c r="BO46">
        <v>195</v>
      </c>
      <c r="BP46" t="s">
        <v>450</v>
      </c>
      <c r="BU46" s="1720">
        <v>72.5</v>
      </c>
      <c r="BV46" s="1720">
        <v>245</v>
      </c>
      <c r="BW46" s="1720">
        <v>140</v>
      </c>
      <c r="BX46" s="1720" t="s">
        <v>1854</v>
      </c>
      <c r="BY46" s="1772"/>
      <c r="CB46" s="1720">
        <v>319</v>
      </c>
      <c r="CC46" s="1720">
        <v>230</v>
      </c>
      <c r="CD46" s="1720">
        <v>380</v>
      </c>
      <c r="CE46" s="1720">
        <v>315</v>
      </c>
      <c r="CF46" s="1720">
        <v>375</v>
      </c>
      <c r="CG46" s="1720" t="s">
        <v>1258</v>
      </c>
      <c r="CH46" s="328"/>
    </row>
    <row r="47" spans="1:94" x14ac:dyDescent="0.3">
      <c r="A47" s="1720">
        <v>46</v>
      </c>
      <c r="B47" s="328" t="s">
        <v>1362</v>
      </c>
      <c r="C47" s="1720"/>
      <c r="D47" s="1720"/>
      <c r="E47" s="1720"/>
      <c r="F47" s="1720"/>
      <c r="G47" s="1720">
        <v>655</v>
      </c>
      <c r="H47" s="1720">
        <v>10</v>
      </c>
      <c r="I47" s="1720">
        <v>1760</v>
      </c>
      <c r="J47" s="1720">
        <v>745</v>
      </c>
      <c r="K47" s="1720">
        <v>770</v>
      </c>
      <c r="L47" s="1720">
        <v>160</v>
      </c>
      <c r="M47" s="1720"/>
      <c r="N47" s="328"/>
      <c r="O47" s="1720"/>
      <c r="R47" s="1720">
        <v>46</v>
      </c>
      <c r="S47" s="1720"/>
      <c r="T47" s="1720">
        <v>570</v>
      </c>
      <c r="U47" s="1720">
        <v>560</v>
      </c>
      <c r="V47" s="1720">
        <v>80</v>
      </c>
      <c r="W47" s="1720"/>
      <c r="AC47" s="1720">
        <v>18</v>
      </c>
      <c r="AD47" s="1720">
        <v>835</v>
      </c>
      <c r="AE47" s="1720">
        <v>165</v>
      </c>
      <c r="AF47" s="1720">
        <v>670</v>
      </c>
      <c r="AG47" s="1720">
        <v>550</v>
      </c>
      <c r="AH47" s="1720">
        <v>560</v>
      </c>
      <c r="AI47" s="1720">
        <v>605</v>
      </c>
      <c r="AJ47" s="1720">
        <v>37</v>
      </c>
      <c r="AK47" s="1720">
        <v>50</v>
      </c>
      <c r="AL47" s="1720">
        <v>105</v>
      </c>
      <c r="AP47" s="1720">
        <v>13</v>
      </c>
      <c r="AQ47" s="1720"/>
      <c r="AR47" s="1720">
        <v>1020</v>
      </c>
      <c r="AS47" s="1720">
        <v>2.5</v>
      </c>
      <c r="AT47" s="1720">
        <v>620</v>
      </c>
      <c r="AU47" s="1720">
        <v>5</v>
      </c>
      <c r="AV47" s="1720">
        <v>210</v>
      </c>
      <c r="AW47" s="328"/>
      <c r="BO47">
        <v>197.5</v>
      </c>
      <c r="BP47" t="s">
        <v>451</v>
      </c>
      <c r="BU47" s="1720">
        <v>72.5</v>
      </c>
      <c r="BV47" s="1720">
        <v>244</v>
      </c>
      <c r="BW47" s="1720">
        <v>140</v>
      </c>
      <c r="BX47" s="1720" t="s">
        <v>1854</v>
      </c>
      <c r="BY47" s="1772"/>
      <c r="CB47" s="1720">
        <v>270</v>
      </c>
      <c r="CC47" s="1720">
        <v>230</v>
      </c>
      <c r="CD47" s="1720">
        <v>258</v>
      </c>
      <c r="CE47" s="1720">
        <v>208</v>
      </c>
      <c r="CF47" s="1720">
        <v>375</v>
      </c>
      <c r="CG47" s="1720" t="s">
        <v>1259</v>
      </c>
      <c r="CH47" s="328"/>
    </row>
    <row r="48" spans="1:94" x14ac:dyDescent="0.3">
      <c r="A48" s="1720">
        <v>47</v>
      </c>
      <c r="B48" s="328"/>
      <c r="C48" s="1720" t="s">
        <v>1399</v>
      </c>
      <c r="D48" s="1720"/>
      <c r="E48" s="1720"/>
      <c r="F48" s="1720"/>
      <c r="G48" s="1720">
        <v>660</v>
      </c>
      <c r="H48" s="1720">
        <v>2.5</v>
      </c>
      <c r="I48" s="1720">
        <v>80</v>
      </c>
      <c r="J48" s="1720">
        <v>680</v>
      </c>
      <c r="K48" s="1720">
        <v>700</v>
      </c>
      <c r="L48" s="1720">
        <v>110</v>
      </c>
      <c r="M48" s="1720" t="s">
        <v>1358</v>
      </c>
      <c r="N48" s="328"/>
      <c r="O48" s="1720"/>
      <c r="R48" s="1720">
        <v>47</v>
      </c>
      <c r="S48" s="1720"/>
      <c r="T48" s="1720">
        <v>570</v>
      </c>
      <c r="U48" s="1720">
        <v>760</v>
      </c>
      <c r="V48" s="1720">
        <v>80</v>
      </c>
      <c r="W48" s="1720" t="s">
        <v>1970</v>
      </c>
      <c r="AC48" s="1720">
        <v>6</v>
      </c>
      <c r="AD48" s="1720">
        <v>780</v>
      </c>
      <c r="AE48" s="1720">
        <v>105</v>
      </c>
      <c r="AF48" s="1720">
        <v>675</v>
      </c>
      <c r="AG48" s="1720">
        <v>127</v>
      </c>
      <c r="AH48" s="1720">
        <v>137</v>
      </c>
      <c r="AI48" s="1720">
        <v>160</v>
      </c>
      <c r="AJ48" s="1720">
        <v>30</v>
      </c>
      <c r="AK48" s="1720">
        <v>35</v>
      </c>
      <c r="AL48" s="1720">
        <v>77</v>
      </c>
      <c r="AP48" s="1720">
        <v>2</v>
      </c>
      <c r="AQ48" s="1720"/>
      <c r="AR48" s="1720">
        <v>1080</v>
      </c>
      <c r="AS48" s="1720">
        <v>2.5</v>
      </c>
      <c r="AT48" s="1720">
        <v>990</v>
      </c>
      <c r="AU48" s="1720">
        <v>12.5</v>
      </c>
      <c r="AV48" s="1720">
        <v>150</v>
      </c>
      <c r="AW48" s="328"/>
      <c r="BO48">
        <v>200</v>
      </c>
      <c r="BP48" t="s">
        <v>452</v>
      </c>
      <c r="BU48" s="1720">
        <v>75</v>
      </c>
      <c r="BV48" s="1720">
        <v>245</v>
      </c>
      <c r="BW48" s="1720">
        <v>140</v>
      </c>
      <c r="BX48" s="1720" t="s">
        <v>1855</v>
      </c>
      <c r="BY48" s="1772"/>
      <c r="CB48" s="1720">
        <v>321</v>
      </c>
      <c r="CC48" s="1720">
        <v>230</v>
      </c>
      <c r="CD48" s="1720">
        <v>318</v>
      </c>
      <c r="CE48" s="1720">
        <v>255</v>
      </c>
      <c r="CF48" s="1720">
        <v>375</v>
      </c>
      <c r="CG48" s="1720" t="s">
        <v>1260</v>
      </c>
      <c r="CH48" s="328"/>
    </row>
    <row r="49" spans="1:95" x14ac:dyDescent="0.3">
      <c r="A49" s="1720">
        <v>48</v>
      </c>
      <c r="B49" s="328"/>
      <c r="C49" s="1720" t="s">
        <v>1400</v>
      </c>
      <c r="D49" s="1720"/>
      <c r="E49" s="1720"/>
      <c r="F49" s="1720"/>
      <c r="G49" s="1720">
        <v>660</v>
      </c>
      <c r="H49" s="1720">
        <v>6</v>
      </c>
      <c r="I49" s="1720">
        <v>520</v>
      </c>
      <c r="J49" s="1720">
        <v>710</v>
      </c>
      <c r="K49" s="1720">
        <v>725</v>
      </c>
      <c r="L49" s="1720">
        <v>100</v>
      </c>
      <c r="M49" s="1720" t="s">
        <v>1401</v>
      </c>
      <c r="N49" s="328"/>
      <c r="O49" s="1720"/>
      <c r="R49" s="1720">
        <v>48</v>
      </c>
      <c r="S49" s="1720" t="s">
        <v>1971</v>
      </c>
      <c r="T49" s="1720">
        <v>580</v>
      </c>
      <c r="U49" s="1720">
        <v>770</v>
      </c>
      <c r="V49" s="1720">
        <v>80</v>
      </c>
      <c r="W49" s="1720" t="s">
        <v>1972</v>
      </c>
      <c r="AC49" s="1720">
        <v>36</v>
      </c>
      <c r="AD49" s="1720">
        <v>845</v>
      </c>
      <c r="AE49" s="1720">
        <v>170</v>
      </c>
      <c r="AF49" s="1720">
        <v>675</v>
      </c>
      <c r="AG49" s="1720">
        <v>360</v>
      </c>
      <c r="AH49" s="1720">
        <v>370</v>
      </c>
      <c r="AI49" s="1720">
        <v>405</v>
      </c>
      <c r="AJ49" s="1720">
        <v>40</v>
      </c>
      <c r="AK49" s="1720">
        <v>51</v>
      </c>
      <c r="AL49" s="1720">
        <v>110</v>
      </c>
      <c r="AP49" s="1720">
        <v>15</v>
      </c>
      <c r="AQ49" s="1720"/>
      <c r="AR49" s="1720">
        <v>1185</v>
      </c>
      <c r="AS49" s="1720">
        <v>2.5</v>
      </c>
      <c r="AT49" s="1720">
        <v>725</v>
      </c>
      <c r="AU49" s="1720">
        <v>2.5</v>
      </c>
      <c r="AV49" s="1720">
        <v>285</v>
      </c>
      <c r="AW49" s="328" t="s">
        <v>1482</v>
      </c>
      <c r="BO49">
        <v>202.5</v>
      </c>
      <c r="BP49" t="s">
        <v>453</v>
      </c>
      <c r="BU49" s="1720">
        <v>75</v>
      </c>
      <c r="BV49" s="1720">
        <v>243</v>
      </c>
      <c r="BW49" s="1720">
        <v>140</v>
      </c>
      <c r="BX49" s="1720" t="s">
        <v>1855</v>
      </c>
      <c r="BY49" s="1772"/>
      <c r="CB49" s="1720">
        <v>317</v>
      </c>
      <c r="CC49" s="1720">
        <v>230</v>
      </c>
      <c r="CD49" s="1720">
        <v>320</v>
      </c>
      <c r="CE49" s="1720">
        <v>260</v>
      </c>
      <c r="CF49" s="1720">
        <v>360</v>
      </c>
      <c r="CG49" s="1720" t="s">
        <v>1260</v>
      </c>
      <c r="CH49" s="328"/>
    </row>
    <row r="50" spans="1:95" x14ac:dyDescent="0.3">
      <c r="A50" s="1720">
        <v>49</v>
      </c>
      <c r="B50" s="328"/>
      <c r="C50" s="1720" t="s">
        <v>1447</v>
      </c>
      <c r="D50" s="1720">
        <v>697</v>
      </c>
      <c r="E50" s="1720">
        <v>4</v>
      </c>
      <c r="F50" s="1720">
        <v>130</v>
      </c>
      <c r="G50" s="1720">
        <v>660</v>
      </c>
      <c r="H50" s="1720">
        <v>8.5</v>
      </c>
      <c r="I50" s="1720">
        <v>685</v>
      </c>
      <c r="J50" s="1720">
        <v>750</v>
      </c>
      <c r="K50" s="1720">
        <v>770</v>
      </c>
      <c r="L50" s="1720">
        <v>170</v>
      </c>
      <c r="M50" s="1720"/>
      <c r="N50" s="328"/>
      <c r="O50" s="1720"/>
      <c r="R50" s="1720">
        <v>49</v>
      </c>
      <c r="S50" s="1720"/>
      <c r="T50" s="1720">
        <v>580</v>
      </c>
      <c r="U50" s="1720">
        <v>790</v>
      </c>
      <c r="V50" s="1720">
        <v>80</v>
      </c>
      <c r="W50" s="1720" t="s">
        <v>1973</v>
      </c>
      <c r="AC50" s="1720">
        <v>20</v>
      </c>
      <c r="AD50" s="1720">
        <v>840</v>
      </c>
      <c r="AE50" s="1720">
        <v>165</v>
      </c>
      <c r="AF50" s="1720">
        <v>675</v>
      </c>
      <c r="AG50" s="1720">
        <v>525</v>
      </c>
      <c r="AH50" s="1720">
        <v>532</v>
      </c>
      <c r="AI50" s="1720">
        <v>570</v>
      </c>
      <c r="AJ50" s="1720">
        <v>55</v>
      </c>
      <c r="AK50" s="1720">
        <v>65</v>
      </c>
      <c r="AL50" s="1720">
        <v>130</v>
      </c>
      <c r="AM50" s="1770" t="s">
        <v>1315</v>
      </c>
      <c r="AP50" s="1720">
        <v>12</v>
      </c>
      <c r="AQ50" s="1720"/>
      <c r="AR50" s="1720">
        <v>1270</v>
      </c>
      <c r="AS50" s="1720">
        <v>5</v>
      </c>
      <c r="AT50" s="1720">
        <v>950</v>
      </c>
      <c r="AU50" s="1720">
        <v>2.5</v>
      </c>
      <c r="AV50" s="1720">
        <v>200</v>
      </c>
      <c r="AW50" s="328" t="s">
        <v>1481</v>
      </c>
      <c r="BO50">
        <v>205</v>
      </c>
      <c r="BP50" t="s">
        <v>454</v>
      </c>
      <c r="BU50" s="1720">
        <v>75</v>
      </c>
      <c r="BV50" s="1720">
        <v>240</v>
      </c>
      <c r="BW50" s="1720">
        <v>140</v>
      </c>
      <c r="BX50" s="1720" t="s">
        <v>1855</v>
      </c>
      <c r="BY50" s="1772"/>
      <c r="CB50" s="1720">
        <v>318</v>
      </c>
      <c r="CC50" s="1720">
        <v>232.5</v>
      </c>
      <c r="CD50" s="1720">
        <v>380</v>
      </c>
      <c r="CE50" s="1720">
        <v>320</v>
      </c>
      <c r="CF50" s="1720">
        <v>375</v>
      </c>
      <c r="CG50" s="1720" t="s">
        <v>1261</v>
      </c>
      <c r="CH50" s="328"/>
    </row>
    <row r="51" spans="1:95" x14ac:dyDescent="0.3">
      <c r="A51" s="1720">
        <v>50</v>
      </c>
      <c r="B51" s="328"/>
      <c r="C51" s="1720" t="s">
        <v>1402</v>
      </c>
      <c r="D51" s="1720"/>
      <c r="E51" s="1720"/>
      <c r="F51" s="1720"/>
      <c r="G51" s="1720">
        <v>665</v>
      </c>
      <c r="H51" s="1720">
        <v>7</v>
      </c>
      <c r="I51" s="1720">
        <v>630</v>
      </c>
      <c r="J51" s="1720">
        <v>710</v>
      </c>
      <c r="K51" s="1720">
        <v>730</v>
      </c>
      <c r="L51" s="1720">
        <v>105</v>
      </c>
      <c r="M51" s="1720" t="s">
        <v>1403</v>
      </c>
      <c r="N51" s="328"/>
      <c r="O51" s="1720"/>
      <c r="R51" s="1720">
        <v>50</v>
      </c>
      <c r="S51" s="1720" t="s">
        <v>1974</v>
      </c>
      <c r="T51" s="1720">
        <v>590</v>
      </c>
      <c r="U51" s="1720">
        <v>425</v>
      </c>
      <c r="V51" s="1720">
        <v>80</v>
      </c>
      <c r="W51" s="1720"/>
      <c r="AC51" s="1720">
        <v>19</v>
      </c>
      <c r="AD51" s="1720">
        <v>850</v>
      </c>
      <c r="AE51" s="1720">
        <v>170</v>
      </c>
      <c r="AF51" s="1720">
        <v>680</v>
      </c>
      <c r="AG51" s="1720">
        <v>545</v>
      </c>
      <c r="AH51" s="1720">
        <v>560</v>
      </c>
      <c r="AI51" s="1720">
        <v>600</v>
      </c>
      <c r="AJ51" s="1720">
        <v>37</v>
      </c>
      <c r="AK51" s="1720">
        <v>45</v>
      </c>
      <c r="AL51" s="1720">
        <v>110</v>
      </c>
      <c r="AP51" s="1720">
        <v>17</v>
      </c>
      <c r="AQ51" s="1720"/>
      <c r="AR51" s="1720">
        <v>1310</v>
      </c>
      <c r="AS51" s="1720">
        <v>2.5</v>
      </c>
      <c r="AT51" s="1720">
        <v>945</v>
      </c>
      <c r="AU51" s="1720">
        <v>2.5</v>
      </c>
      <c r="AV51" s="1720">
        <v>240</v>
      </c>
      <c r="AW51" s="328" t="s">
        <v>1484</v>
      </c>
      <c r="BO51">
        <v>207.5</v>
      </c>
      <c r="BP51" t="s">
        <v>455</v>
      </c>
      <c r="BU51" s="1720">
        <v>75</v>
      </c>
      <c r="BV51" s="1720">
        <v>245</v>
      </c>
      <c r="BW51" s="1720">
        <v>140</v>
      </c>
      <c r="BX51" s="1720" t="s">
        <v>1855</v>
      </c>
      <c r="BY51" s="1772"/>
      <c r="CB51" s="1720">
        <v>270</v>
      </c>
      <c r="CC51" s="1720">
        <v>232.5</v>
      </c>
      <c r="CD51" s="1720">
        <v>260</v>
      </c>
      <c r="CE51" s="1720">
        <v>210</v>
      </c>
      <c r="CF51" s="1720">
        <v>375</v>
      </c>
      <c r="CG51" s="1720" t="s">
        <v>1259</v>
      </c>
      <c r="CH51" s="328"/>
    </row>
    <row r="52" spans="1:95" x14ac:dyDescent="0.3">
      <c r="A52" s="1720">
        <v>51</v>
      </c>
      <c r="B52" s="328"/>
      <c r="C52" s="1720" t="s">
        <v>1404</v>
      </c>
      <c r="D52" s="1720"/>
      <c r="E52" s="1720"/>
      <c r="F52" s="1720"/>
      <c r="G52" s="1720">
        <v>670</v>
      </c>
      <c r="H52" s="1720">
        <v>4</v>
      </c>
      <c r="I52" s="1720">
        <v>560</v>
      </c>
      <c r="J52" s="1720">
        <v>720</v>
      </c>
      <c r="K52" s="1720">
        <v>740</v>
      </c>
      <c r="L52" s="1720">
        <v>130</v>
      </c>
      <c r="M52" s="1720"/>
      <c r="N52" s="328"/>
      <c r="O52" s="1720"/>
      <c r="R52" s="1720">
        <v>51</v>
      </c>
      <c r="S52" s="1720"/>
      <c r="T52" s="1720">
        <v>600</v>
      </c>
      <c r="U52" s="1720">
        <v>600</v>
      </c>
      <c r="V52" s="1720">
        <v>80</v>
      </c>
      <c r="W52" s="1720"/>
      <c r="AC52" s="1720">
        <v>87</v>
      </c>
      <c r="AD52" s="1720">
        <v>835</v>
      </c>
      <c r="AE52" s="1720">
        <v>150</v>
      </c>
      <c r="AF52" s="1720">
        <v>685</v>
      </c>
      <c r="AG52" s="1720">
        <v>250</v>
      </c>
      <c r="AH52" s="1720">
        <v>265</v>
      </c>
      <c r="AI52" s="1720">
        <v>295</v>
      </c>
      <c r="AJ52" s="1720">
        <v>35</v>
      </c>
      <c r="AK52" s="1720">
        <v>44</v>
      </c>
      <c r="AL52" s="1720">
        <v>105</v>
      </c>
      <c r="AP52" s="1720">
        <v>16</v>
      </c>
      <c r="AQ52" s="1720"/>
      <c r="AR52" s="1720">
        <v>1340</v>
      </c>
      <c r="AS52" s="1720">
        <v>5</v>
      </c>
      <c r="AT52" s="1720">
        <v>970</v>
      </c>
      <c r="AU52" s="1720">
        <v>2.5</v>
      </c>
      <c r="AV52" s="1720">
        <v>245</v>
      </c>
      <c r="AW52" s="328" t="s">
        <v>1483</v>
      </c>
      <c r="BO52">
        <v>210</v>
      </c>
      <c r="BP52" t="s">
        <v>456</v>
      </c>
      <c r="BU52" s="1720">
        <v>77.5</v>
      </c>
      <c r="BV52" s="1720">
        <v>240</v>
      </c>
      <c r="BW52" s="1720">
        <v>140</v>
      </c>
      <c r="BX52" s="1720" t="s">
        <v>1856</v>
      </c>
      <c r="BY52" s="1772"/>
      <c r="CB52" s="1720">
        <v>312</v>
      </c>
      <c r="CC52" s="1720">
        <v>237.5</v>
      </c>
      <c r="CD52" s="1720">
        <v>320</v>
      </c>
      <c r="CE52" s="1720">
        <v>275</v>
      </c>
      <c r="CF52" s="1720">
        <v>375</v>
      </c>
      <c r="CG52" s="1720" t="s">
        <v>1262</v>
      </c>
      <c r="CH52" s="328"/>
    </row>
    <row r="53" spans="1:95" x14ac:dyDescent="0.3">
      <c r="A53" s="1720">
        <v>52</v>
      </c>
      <c r="B53" s="328" t="s">
        <v>1231</v>
      </c>
      <c r="C53" s="1720"/>
      <c r="D53" s="1720">
        <v>730</v>
      </c>
      <c r="E53" s="1720">
        <v>2.5</v>
      </c>
      <c r="F53" s="1720">
        <v>120</v>
      </c>
      <c r="G53" s="1720">
        <v>670</v>
      </c>
      <c r="H53" s="1720">
        <v>5</v>
      </c>
      <c r="I53" s="1720">
        <v>590</v>
      </c>
      <c r="J53" s="1720">
        <v>810</v>
      </c>
      <c r="K53" s="1720">
        <v>840</v>
      </c>
      <c r="L53" s="1720">
        <v>250</v>
      </c>
      <c r="M53" s="1720" t="s">
        <v>1445</v>
      </c>
      <c r="N53" s="328"/>
      <c r="O53" s="1720"/>
      <c r="R53" s="1720">
        <v>52</v>
      </c>
      <c r="S53" s="1720" t="s">
        <v>1975</v>
      </c>
      <c r="T53" s="1720">
        <v>600</v>
      </c>
      <c r="U53" s="1720">
        <v>900</v>
      </c>
      <c r="V53" s="1720">
        <v>80</v>
      </c>
      <c r="W53" s="1720" t="s">
        <v>1976</v>
      </c>
      <c r="AC53" s="1720">
        <v>28</v>
      </c>
      <c r="AD53" s="1720">
        <v>845</v>
      </c>
      <c r="AE53" s="1720">
        <v>150</v>
      </c>
      <c r="AF53" s="1720">
        <v>695</v>
      </c>
      <c r="AG53" s="1720">
        <v>405</v>
      </c>
      <c r="AH53" s="1720">
        <v>420</v>
      </c>
      <c r="AI53" s="1720">
        <v>450</v>
      </c>
      <c r="AJ53" s="1720">
        <v>46</v>
      </c>
      <c r="AK53" s="1720">
        <v>55</v>
      </c>
      <c r="AL53" s="1720">
        <v>105</v>
      </c>
      <c r="AM53" s="1770" t="s">
        <v>1316</v>
      </c>
      <c r="AP53" s="1720">
        <v>19</v>
      </c>
      <c r="AQ53" s="1720"/>
      <c r="AR53" s="1720">
        <v>1445</v>
      </c>
      <c r="AS53" s="1720">
        <v>2.5</v>
      </c>
      <c r="AT53" s="1720">
        <v>1105</v>
      </c>
      <c r="AU53" s="1720">
        <v>2.5</v>
      </c>
      <c r="AV53" s="1720">
        <v>380</v>
      </c>
      <c r="AW53" s="328" t="s">
        <v>1486</v>
      </c>
      <c r="BO53">
        <v>212.5</v>
      </c>
      <c r="BP53" t="s">
        <v>457</v>
      </c>
      <c r="BU53" s="1720">
        <v>77.5</v>
      </c>
      <c r="BV53" s="1720">
        <v>240</v>
      </c>
      <c r="BW53" s="1720">
        <v>140</v>
      </c>
      <c r="BX53" s="1720" t="s">
        <v>1856</v>
      </c>
      <c r="BY53" s="1772"/>
      <c r="CB53" s="1720">
        <v>370</v>
      </c>
      <c r="CC53" s="1720">
        <v>237.5</v>
      </c>
      <c r="CD53" s="1720">
        <v>200</v>
      </c>
      <c r="CE53" s="1720">
        <v>135</v>
      </c>
      <c r="CF53" s="1720">
        <v>415</v>
      </c>
      <c r="CG53" s="1720">
        <v>7249591</v>
      </c>
      <c r="CH53" s="328"/>
    </row>
    <row r="54" spans="1:95" x14ac:dyDescent="0.3">
      <c r="A54" s="1720">
        <v>53</v>
      </c>
      <c r="B54" s="328"/>
      <c r="C54" s="1720" t="s">
        <v>1448</v>
      </c>
      <c r="D54" s="1720">
        <v>728</v>
      </c>
      <c r="E54" s="1720">
        <v>3.5</v>
      </c>
      <c r="F54" s="1720">
        <v>40</v>
      </c>
      <c r="G54" s="1720">
        <v>675</v>
      </c>
      <c r="H54" s="1720">
        <v>4.5</v>
      </c>
      <c r="I54" s="1720">
        <v>130</v>
      </c>
      <c r="J54" s="1720">
        <v>775</v>
      </c>
      <c r="K54" s="1720">
        <v>800</v>
      </c>
      <c r="L54" s="1720">
        <v>150</v>
      </c>
      <c r="M54" s="1720"/>
      <c r="N54" s="328"/>
      <c r="O54" s="1720"/>
      <c r="R54" s="1720">
        <v>53</v>
      </c>
      <c r="S54" s="1720" t="s">
        <v>1407</v>
      </c>
      <c r="T54" s="1720">
        <v>600</v>
      </c>
      <c r="U54" s="1720">
        <v>800</v>
      </c>
      <c r="V54" s="1720">
        <v>80</v>
      </c>
      <c r="W54" s="1720"/>
      <c r="AC54" s="1720">
        <v>51</v>
      </c>
      <c r="AD54" s="1720">
        <v>805</v>
      </c>
      <c r="AE54" s="1720">
        <v>105</v>
      </c>
      <c r="AF54" s="1720">
        <v>700</v>
      </c>
      <c r="AG54" s="1720">
        <v>165</v>
      </c>
      <c r="AH54" s="1720">
        <v>180</v>
      </c>
      <c r="AI54" s="1720">
        <v>200</v>
      </c>
      <c r="AJ54" s="1720">
        <v>29</v>
      </c>
      <c r="AK54" s="1720">
        <v>35</v>
      </c>
      <c r="AL54" s="1720">
        <v>80</v>
      </c>
      <c r="AP54" s="1720">
        <v>18</v>
      </c>
      <c r="AQ54" s="1720"/>
      <c r="AR54" s="1720">
        <v>1545</v>
      </c>
      <c r="AS54" s="1720">
        <v>5</v>
      </c>
      <c r="AT54" s="1720">
        <v>1270</v>
      </c>
      <c r="AU54" s="1720">
        <v>0</v>
      </c>
      <c r="AV54" s="1720">
        <v>195</v>
      </c>
      <c r="AW54" s="328" t="s">
        <v>1485</v>
      </c>
      <c r="BO54">
        <v>215</v>
      </c>
      <c r="BP54" t="s">
        <v>458</v>
      </c>
      <c r="BU54" s="1720">
        <v>80</v>
      </c>
      <c r="BV54" s="1720">
        <v>245</v>
      </c>
      <c r="BW54" s="1720">
        <v>140</v>
      </c>
      <c r="BX54" s="1720" t="s">
        <v>1857</v>
      </c>
      <c r="BY54" s="1772"/>
      <c r="CB54" s="1720">
        <v>290</v>
      </c>
      <c r="CC54" s="1720">
        <v>240</v>
      </c>
      <c r="CD54" s="1720">
        <v>260</v>
      </c>
      <c r="CE54" s="1720">
        <v>205</v>
      </c>
      <c r="CF54" s="1720">
        <v>375</v>
      </c>
      <c r="CG54" s="1720">
        <v>7245893</v>
      </c>
      <c r="CH54" s="328"/>
    </row>
    <row r="55" spans="1:95" x14ac:dyDescent="0.3">
      <c r="A55" s="1720">
        <v>54</v>
      </c>
      <c r="B55" s="328"/>
      <c r="C55" s="1720"/>
      <c r="D55" s="1720"/>
      <c r="E55" s="1720"/>
      <c r="F55" s="1720"/>
      <c r="G55" s="1720">
        <v>680</v>
      </c>
      <c r="H55" s="1720">
        <v>12</v>
      </c>
      <c r="I55" s="1720">
        <v>500</v>
      </c>
      <c r="J55" s="1720">
        <v>680</v>
      </c>
      <c r="K55" s="1720">
        <v>710</v>
      </c>
      <c r="L55" s="1720">
        <v>305</v>
      </c>
      <c r="M55" s="1720" t="s">
        <v>1363</v>
      </c>
      <c r="N55" s="328"/>
      <c r="O55" s="1720"/>
      <c r="R55" s="1720">
        <v>54</v>
      </c>
      <c r="S55" s="1720"/>
      <c r="T55" s="1720">
        <v>605</v>
      </c>
      <c r="U55" s="1720">
        <v>460</v>
      </c>
      <c r="V55" s="1720">
        <v>80</v>
      </c>
      <c r="W55" s="1720"/>
      <c r="AC55" s="1720">
        <v>43</v>
      </c>
      <c r="AD55" s="1720">
        <v>850</v>
      </c>
      <c r="AE55" s="1720">
        <v>150</v>
      </c>
      <c r="AF55" s="1720">
        <v>700</v>
      </c>
      <c r="AG55" s="1720">
        <v>363</v>
      </c>
      <c r="AH55" s="1720">
        <v>385</v>
      </c>
      <c r="AI55" s="1720">
        <v>410</v>
      </c>
      <c r="AJ55" s="1720">
        <v>32</v>
      </c>
      <c r="AK55" s="1720">
        <v>45</v>
      </c>
      <c r="AL55" s="1720">
        <v>100</v>
      </c>
      <c r="AP55" s="1720">
        <v>22</v>
      </c>
      <c r="AQ55" s="1720">
        <v>418</v>
      </c>
      <c r="AR55" s="1720">
        <v>1860</v>
      </c>
      <c r="AS55" s="1720">
        <v>10</v>
      </c>
      <c r="AT55" s="1720">
        <v>1560</v>
      </c>
      <c r="AU55" s="1720">
        <v>5</v>
      </c>
      <c r="AV55" s="1720">
        <v>220</v>
      </c>
      <c r="AW55" s="328"/>
      <c r="BO55">
        <v>217.5</v>
      </c>
      <c r="BP55" t="s">
        <v>459</v>
      </c>
      <c r="BU55" s="1720">
        <v>80</v>
      </c>
      <c r="BV55" s="1720">
        <v>240</v>
      </c>
      <c r="BW55" s="1720">
        <v>140</v>
      </c>
      <c r="BX55" s="1720" t="s">
        <v>1857</v>
      </c>
      <c r="BY55" s="1772"/>
      <c r="CB55" s="1720">
        <v>290</v>
      </c>
      <c r="CC55" s="1720">
        <v>240</v>
      </c>
      <c r="CD55" s="1720">
        <v>260</v>
      </c>
      <c r="CE55" s="1720">
        <v>205</v>
      </c>
      <c r="CF55" s="1720">
        <v>375</v>
      </c>
      <c r="CG55" s="1720">
        <v>7245893</v>
      </c>
      <c r="CH55" s="328"/>
    </row>
    <row r="56" spans="1:95" x14ac:dyDescent="0.3">
      <c r="A56" s="1720">
        <v>55</v>
      </c>
      <c r="B56" s="328"/>
      <c r="C56" s="1720" t="s">
        <v>1405</v>
      </c>
      <c r="D56" s="1720"/>
      <c r="E56" s="1720"/>
      <c r="F56" s="1720"/>
      <c r="G56" s="1720">
        <v>680</v>
      </c>
      <c r="H56" s="1720">
        <v>8</v>
      </c>
      <c r="I56" s="1720">
        <v>520</v>
      </c>
      <c r="J56" s="1720">
        <v>735</v>
      </c>
      <c r="K56" s="1720">
        <v>745</v>
      </c>
      <c r="L56" s="1720">
        <v>95</v>
      </c>
      <c r="M56" s="1720" t="s">
        <v>1406</v>
      </c>
      <c r="N56" s="328"/>
      <c r="O56" s="1720"/>
      <c r="R56" s="1720">
        <v>55</v>
      </c>
      <c r="S56" s="1720" t="s">
        <v>1464</v>
      </c>
      <c r="T56" s="1720">
        <v>605</v>
      </c>
      <c r="U56" s="1720">
        <v>1570</v>
      </c>
      <c r="V56" s="1720">
        <v>160</v>
      </c>
      <c r="W56" s="1720" t="s">
        <v>1965</v>
      </c>
      <c r="AC56" s="1720">
        <v>31</v>
      </c>
      <c r="AD56" s="1720">
        <v>880</v>
      </c>
      <c r="AE56" s="1720">
        <v>165</v>
      </c>
      <c r="AF56" s="1720">
        <v>715</v>
      </c>
      <c r="AG56" s="1720">
        <v>295</v>
      </c>
      <c r="AH56" s="1720">
        <v>315</v>
      </c>
      <c r="AI56" s="1720">
        <v>355</v>
      </c>
      <c r="AJ56" s="1720">
        <v>55</v>
      </c>
      <c r="AK56" s="1720">
        <v>70</v>
      </c>
      <c r="AL56" s="1720">
        <v>135</v>
      </c>
      <c r="AM56" s="1770" t="s">
        <v>1317</v>
      </c>
      <c r="AP56" s="1720">
        <v>14</v>
      </c>
      <c r="AQ56" s="1720"/>
      <c r="AR56" s="1720">
        <v>1930</v>
      </c>
      <c r="AS56" s="1720">
        <v>5</v>
      </c>
      <c r="AT56" s="1720">
        <v>1540</v>
      </c>
      <c r="AU56" s="1720">
        <v>5</v>
      </c>
      <c r="AV56" s="1720">
        <v>305</v>
      </c>
      <c r="AW56" s="328"/>
      <c r="BO56">
        <v>220</v>
      </c>
      <c r="BP56" t="s">
        <v>460</v>
      </c>
      <c r="BU56" s="1720">
        <v>80</v>
      </c>
      <c r="BV56" s="1720">
        <v>240</v>
      </c>
      <c r="BW56" s="1720">
        <v>140</v>
      </c>
      <c r="BX56" s="1720" t="s">
        <v>1857</v>
      </c>
      <c r="BY56" s="1772"/>
      <c r="CB56" s="1720">
        <v>281</v>
      </c>
      <c r="CC56" s="1720">
        <v>242.5</v>
      </c>
      <c r="CD56" s="1720">
        <v>260</v>
      </c>
      <c r="CE56" s="1720">
        <v>200</v>
      </c>
      <c r="CF56" s="1720">
        <v>375</v>
      </c>
      <c r="CG56" s="1720" t="s">
        <v>1263</v>
      </c>
      <c r="CH56" s="328"/>
    </row>
    <row r="57" spans="1:95" x14ac:dyDescent="0.3">
      <c r="A57" s="1720">
        <v>56</v>
      </c>
      <c r="B57" s="328"/>
      <c r="C57" s="1720" t="s">
        <v>1407</v>
      </c>
      <c r="D57" s="1720"/>
      <c r="E57" s="1720"/>
      <c r="F57" s="1720"/>
      <c r="G57" s="1720">
        <v>685</v>
      </c>
      <c r="H57" s="1720">
        <v>4</v>
      </c>
      <c r="I57" s="1720">
        <v>600</v>
      </c>
      <c r="J57" s="1720">
        <v>735</v>
      </c>
      <c r="K57" s="1720">
        <v>750</v>
      </c>
      <c r="L57" s="1720">
        <v>150</v>
      </c>
      <c r="M57" s="1720"/>
      <c r="N57" s="328"/>
      <c r="O57" s="1720"/>
      <c r="R57" s="1720">
        <v>56</v>
      </c>
      <c r="S57" s="1720" t="s">
        <v>1977</v>
      </c>
      <c r="T57" s="1720">
        <v>610</v>
      </c>
      <c r="U57" s="1720">
        <v>700</v>
      </c>
      <c r="V57" s="1720">
        <v>80</v>
      </c>
      <c r="W57" s="1720" t="s">
        <v>1978</v>
      </c>
      <c r="AC57" s="1720">
        <v>91</v>
      </c>
      <c r="AD57" s="1720">
        <v>895</v>
      </c>
      <c r="AE57" s="1720">
        <v>175</v>
      </c>
      <c r="AF57" s="1720">
        <v>720</v>
      </c>
      <c r="AG57" s="1720">
        <v>180</v>
      </c>
      <c r="AH57" s="1720">
        <v>234</v>
      </c>
      <c r="AI57" s="1720">
        <v>270</v>
      </c>
      <c r="AJ57" s="1720">
        <v>45</v>
      </c>
      <c r="AK57" s="1720">
        <v>60</v>
      </c>
      <c r="AL57" s="1720">
        <v>125</v>
      </c>
      <c r="AM57" s="1770" t="s">
        <v>1318</v>
      </c>
      <c r="AP57" s="1720">
        <v>21</v>
      </c>
      <c r="AQ57" s="1720"/>
      <c r="AR57" s="1720">
        <v>2165</v>
      </c>
      <c r="AS57" s="1720">
        <v>7.5</v>
      </c>
      <c r="AT57" s="1720">
        <v>1690</v>
      </c>
      <c r="AU57" s="1720">
        <v>5</v>
      </c>
      <c r="AV57" s="1720">
        <v>200</v>
      </c>
      <c r="AW57" s="328"/>
      <c r="BO57">
        <v>222.5</v>
      </c>
      <c r="BP57" t="s">
        <v>461</v>
      </c>
      <c r="BU57" s="1720">
        <v>80</v>
      </c>
      <c r="BV57" s="1720">
        <v>245</v>
      </c>
      <c r="BW57" s="1720">
        <v>140</v>
      </c>
      <c r="BX57" s="1720" t="s">
        <v>1857</v>
      </c>
      <c r="BY57" s="1772"/>
      <c r="CB57" s="1720">
        <v>279</v>
      </c>
      <c r="CC57" s="1720">
        <v>245</v>
      </c>
      <c r="CD57" s="1720">
        <v>260</v>
      </c>
      <c r="CE57" s="1720">
        <v>210</v>
      </c>
      <c r="CF57" s="1720">
        <v>375</v>
      </c>
      <c r="CG57" s="1720" t="s">
        <v>1263</v>
      </c>
      <c r="CH57" s="328"/>
    </row>
    <row r="58" spans="1:95" x14ac:dyDescent="0.3">
      <c r="A58" s="1720">
        <v>57</v>
      </c>
      <c r="B58" s="328"/>
      <c r="C58" s="1720" t="s">
        <v>1408</v>
      </c>
      <c r="D58" s="1720"/>
      <c r="E58" s="1720"/>
      <c r="F58" s="1720"/>
      <c r="G58" s="1720">
        <v>690</v>
      </c>
      <c r="H58" s="1720">
        <v>5</v>
      </c>
      <c r="I58" s="1720">
        <v>625</v>
      </c>
      <c r="J58" s="1720">
        <v>740</v>
      </c>
      <c r="K58" s="1720">
        <v>755</v>
      </c>
      <c r="L58" s="1720">
        <v>125</v>
      </c>
      <c r="M58" s="1720"/>
      <c r="N58" s="328"/>
      <c r="O58" s="1720"/>
      <c r="R58" s="1720">
        <v>57</v>
      </c>
      <c r="S58" s="1720" t="s">
        <v>1979</v>
      </c>
      <c r="T58" s="1720">
        <v>615</v>
      </c>
      <c r="U58" s="1720">
        <v>1600</v>
      </c>
      <c r="V58" s="1720">
        <v>150</v>
      </c>
      <c r="W58" s="1720"/>
      <c r="AC58" s="1720">
        <v>107</v>
      </c>
      <c r="AD58" s="1720">
        <v>880</v>
      </c>
      <c r="AE58" s="1720">
        <v>150</v>
      </c>
      <c r="AF58" s="1720">
        <v>730</v>
      </c>
      <c r="AG58" s="1720">
        <v>210</v>
      </c>
      <c r="AH58" s="1720">
        <v>225</v>
      </c>
      <c r="AI58" s="1720">
        <v>260</v>
      </c>
      <c r="AJ58" s="1720">
        <v>31</v>
      </c>
      <c r="AK58" s="1720">
        <v>44</v>
      </c>
      <c r="AL58" s="1720">
        <v>110</v>
      </c>
      <c r="AP58" s="1720">
        <v>20</v>
      </c>
      <c r="AQ58" s="1720"/>
      <c r="AR58" s="1720">
        <v>2400</v>
      </c>
      <c r="AS58" s="1720">
        <v>10</v>
      </c>
      <c r="AT58" s="1720">
        <v>2040</v>
      </c>
      <c r="AU58" s="1720">
        <v>5</v>
      </c>
      <c r="AV58" s="1720">
        <v>330</v>
      </c>
      <c r="AW58" s="328"/>
      <c r="BO58">
        <v>225</v>
      </c>
      <c r="BP58" t="s">
        <v>462</v>
      </c>
      <c r="BU58" s="1720">
        <v>80</v>
      </c>
      <c r="BV58" s="1720">
        <v>245</v>
      </c>
      <c r="BW58" s="1720">
        <v>140</v>
      </c>
      <c r="BX58" s="1720" t="s">
        <v>1857</v>
      </c>
      <c r="BY58" s="1772"/>
      <c r="CB58" s="1720">
        <v>279</v>
      </c>
      <c r="CC58" s="1720">
        <v>245</v>
      </c>
      <c r="CD58" s="1720">
        <v>260</v>
      </c>
      <c r="CE58" s="1720">
        <v>210</v>
      </c>
      <c r="CF58" s="1720">
        <v>375</v>
      </c>
      <c r="CG58" s="1720" t="s">
        <v>1263</v>
      </c>
      <c r="CH58" s="328"/>
    </row>
    <row r="59" spans="1:95" x14ac:dyDescent="0.3">
      <c r="A59" s="1720">
        <v>58</v>
      </c>
      <c r="B59" s="328"/>
      <c r="C59" s="1720" t="s">
        <v>1409</v>
      </c>
      <c r="D59" s="1720"/>
      <c r="E59" s="1720"/>
      <c r="F59" s="1720"/>
      <c r="G59" s="1720">
        <v>695</v>
      </c>
      <c r="H59" s="1720">
        <v>6</v>
      </c>
      <c r="I59" s="1720">
        <v>460</v>
      </c>
      <c r="J59" s="1720">
        <v>740</v>
      </c>
      <c r="K59" s="1720">
        <v>750</v>
      </c>
      <c r="L59" s="1720">
        <v>100</v>
      </c>
      <c r="M59" s="1720" t="s">
        <v>1410</v>
      </c>
      <c r="N59" s="328"/>
      <c r="O59" s="1720"/>
      <c r="R59" s="1720">
        <v>58</v>
      </c>
      <c r="S59" s="1720"/>
      <c r="T59" s="1720">
        <v>615</v>
      </c>
      <c r="U59" s="1720">
        <v>730</v>
      </c>
      <c r="V59" s="1720">
        <v>80</v>
      </c>
      <c r="W59" s="1720"/>
      <c r="AC59" s="1720">
        <v>54</v>
      </c>
      <c r="AD59" s="1720">
        <v>900</v>
      </c>
      <c r="AE59" s="1720">
        <v>165</v>
      </c>
      <c r="AF59" s="1720">
        <v>735</v>
      </c>
      <c r="AG59" s="1720">
        <v>235</v>
      </c>
      <c r="AH59" s="1720">
        <v>250</v>
      </c>
      <c r="AI59" s="1720">
        <v>305</v>
      </c>
      <c r="AJ59" s="1720">
        <v>130</v>
      </c>
      <c r="AK59" s="1720">
        <v>140</v>
      </c>
      <c r="AL59" s="1720">
        <v>215</v>
      </c>
      <c r="AM59" s="1770" t="s">
        <v>1319</v>
      </c>
      <c r="AP59" s="1720"/>
      <c r="AQ59" s="1720"/>
      <c r="AR59" s="1720"/>
      <c r="AS59" s="1720"/>
      <c r="AT59" s="1720"/>
      <c r="AU59" s="1720"/>
      <c r="AV59" s="328"/>
      <c r="BO59">
        <v>227.5</v>
      </c>
      <c r="BP59" t="s">
        <v>463</v>
      </c>
      <c r="BU59" s="1720">
        <v>80</v>
      </c>
      <c r="BV59" s="1720">
        <v>245</v>
      </c>
      <c r="BW59" s="1720">
        <v>140</v>
      </c>
      <c r="BX59" s="1720" t="s">
        <v>1857</v>
      </c>
      <c r="BY59" s="1772"/>
      <c r="CB59" s="1720">
        <v>280</v>
      </c>
      <c r="CC59" s="1720">
        <v>245</v>
      </c>
      <c r="CD59" s="1720">
        <v>260</v>
      </c>
      <c r="CE59" s="1720">
        <v>205</v>
      </c>
      <c r="CF59" s="1720">
        <v>375</v>
      </c>
      <c r="CG59" s="1720" t="s">
        <v>1263</v>
      </c>
      <c r="CH59" s="328"/>
    </row>
    <row r="60" spans="1:95" x14ac:dyDescent="0.3">
      <c r="A60" s="1720">
        <v>59</v>
      </c>
      <c r="B60" s="328"/>
      <c r="C60" s="1720"/>
      <c r="D60" s="1720"/>
      <c r="E60" s="1720"/>
      <c r="F60" s="1720"/>
      <c r="G60" s="1720">
        <v>705</v>
      </c>
      <c r="H60" s="1720">
        <v>5</v>
      </c>
      <c r="I60" s="1720">
        <v>560</v>
      </c>
      <c r="J60" s="1720">
        <v>745</v>
      </c>
      <c r="K60" s="1720">
        <v>770</v>
      </c>
      <c r="L60" s="1720">
        <v>120</v>
      </c>
      <c r="M60" s="1720"/>
      <c r="N60" s="328"/>
      <c r="O60" s="1720"/>
      <c r="R60" s="1720">
        <v>59</v>
      </c>
      <c r="S60" s="1720" t="s">
        <v>1980</v>
      </c>
      <c r="T60" s="1720">
        <v>625</v>
      </c>
      <c r="U60" s="1720">
        <v>560</v>
      </c>
      <c r="V60" s="1720">
        <v>80</v>
      </c>
      <c r="W60" s="1720"/>
      <c r="AC60" s="1720">
        <v>47</v>
      </c>
      <c r="AD60" s="1720">
        <v>940</v>
      </c>
      <c r="AE60" s="1720">
        <v>200</v>
      </c>
      <c r="AF60" s="1720">
        <v>740</v>
      </c>
      <c r="AG60" s="1720">
        <v>200</v>
      </c>
      <c r="AH60" s="1720">
        <v>215</v>
      </c>
      <c r="AI60" s="1720">
        <v>267</v>
      </c>
      <c r="AJ60" s="1720">
        <v>46</v>
      </c>
      <c r="AK60" s="1720">
        <v>55</v>
      </c>
      <c r="AL60" s="1720">
        <v>140</v>
      </c>
      <c r="AP60" s="1720"/>
      <c r="AQ60" s="1720"/>
      <c r="AR60" s="1720"/>
      <c r="AS60" s="1720"/>
      <c r="AT60" s="1720"/>
      <c r="AU60" s="1720"/>
      <c r="AV60" s="328"/>
      <c r="BO60">
        <v>230</v>
      </c>
      <c r="BP60" t="s">
        <v>464</v>
      </c>
      <c r="BU60" s="1720">
        <v>80</v>
      </c>
      <c r="BV60" s="1720">
        <v>245</v>
      </c>
      <c r="BW60" s="1720">
        <v>140</v>
      </c>
      <c r="BX60" s="1720" t="s">
        <v>1857</v>
      </c>
      <c r="BY60" s="1772"/>
      <c r="CB60" s="1720">
        <v>345</v>
      </c>
      <c r="CC60" s="1720">
        <v>245</v>
      </c>
      <c r="CD60" s="1720">
        <v>260</v>
      </c>
      <c r="CE60" s="1720">
        <v>190</v>
      </c>
      <c r="CF60" s="1720">
        <v>375</v>
      </c>
      <c r="CG60" s="1720" t="s">
        <v>1263</v>
      </c>
      <c r="CH60" s="328"/>
    </row>
    <row r="61" spans="1:95" x14ac:dyDescent="0.3">
      <c r="A61" s="1720">
        <v>60</v>
      </c>
      <c r="B61" s="328"/>
      <c r="C61" s="1720"/>
      <c r="D61" s="1720"/>
      <c r="E61" s="1720"/>
      <c r="F61" s="1720"/>
      <c r="G61" s="1720">
        <v>710</v>
      </c>
      <c r="H61" s="1720">
        <v>5</v>
      </c>
      <c r="I61" s="1720">
        <v>160</v>
      </c>
      <c r="J61" s="1720">
        <v>730</v>
      </c>
      <c r="K61" s="1720">
        <v>745</v>
      </c>
      <c r="L61" s="1720">
        <v>95</v>
      </c>
      <c r="M61" s="1720" t="s">
        <v>1358</v>
      </c>
      <c r="N61" s="328"/>
      <c r="O61" s="1720"/>
      <c r="R61" s="1720">
        <v>60</v>
      </c>
      <c r="S61" s="1720"/>
      <c r="T61" s="1720">
        <v>630</v>
      </c>
      <c r="U61" s="1720">
        <v>400</v>
      </c>
      <c r="V61" s="1720">
        <v>80</v>
      </c>
      <c r="W61" s="1720"/>
      <c r="AC61" s="1720">
        <v>62</v>
      </c>
      <c r="AD61" s="1720">
        <v>910</v>
      </c>
      <c r="AE61" s="1720">
        <v>170</v>
      </c>
      <c r="AF61" s="1720">
        <v>740</v>
      </c>
      <c r="AG61" s="1720">
        <v>237</v>
      </c>
      <c r="AH61" s="1720">
        <v>245</v>
      </c>
      <c r="AI61" s="1720">
        <v>295</v>
      </c>
      <c r="AJ61" s="1720">
        <v>47</v>
      </c>
      <c r="AK61" s="1720">
        <v>52</v>
      </c>
      <c r="AL61" s="1720">
        <v>120</v>
      </c>
      <c r="AM61" s="1770" t="s">
        <v>1320</v>
      </c>
      <c r="AP61" s="1720"/>
      <c r="AQ61" s="1720"/>
      <c r="AR61" s="1720"/>
      <c r="AS61" s="1720"/>
      <c r="AT61" s="1720"/>
      <c r="AU61" s="1720"/>
      <c r="AV61" s="328"/>
      <c r="BO61">
        <v>232.5</v>
      </c>
      <c r="BP61" t="s">
        <v>465</v>
      </c>
      <c r="BU61" s="1720">
        <v>80</v>
      </c>
      <c r="BV61" s="1720">
        <v>245</v>
      </c>
      <c r="BW61" s="1720">
        <v>140</v>
      </c>
      <c r="BX61" s="1720" t="s">
        <v>1857</v>
      </c>
      <c r="BY61" s="1772"/>
      <c r="CB61" s="1720">
        <v>281</v>
      </c>
      <c r="CC61" s="1720">
        <v>250</v>
      </c>
      <c r="CD61" s="1720">
        <v>260</v>
      </c>
      <c r="CE61" s="1720">
        <v>210</v>
      </c>
      <c r="CF61" s="1720">
        <v>375</v>
      </c>
      <c r="CG61" s="1720" t="s">
        <v>1264</v>
      </c>
      <c r="CH61" s="328"/>
    </row>
    <row r="62" spans="1:95" x14ac:dyDescent="0.3">
      <c r="A62" s="1720">
        <v>61</v>
      </c>
      <c r="B62" s="328"/>
      <c r="C62" s="1720" t="s">
        <v>1463</v>
      </c>
      <c r="D62" s="1720"/>
      <c r="E62" s="1720"/>
      <c r="F62" s="1720"/>
      <c r="G62" s="1720">
        <v>710</v>
      </c>
      <c r="H62" s="1720">
        <v>5</v>
      </c>
      <c r="I62" s="1720">
        <v>570</v>
      </c>
      <c r="J62" s="1720">
        <v>750</v>
      </c>
      <c r="K62" s="1720">
        <v>765</v>
      </c>
      <c r="L62" s="1720">
        <v>105</v>
      </c>
      <c r="M62" s="1720"/>
      <c r="N62" s="328" t="s">
        <v>6</v>
      </c>
      <c r="O62" s="1720">
        <v>758</v>
      </c>
      <c r="R62" s="1720">
        <v>61</v>
      </c>
      <c r="S62" s="1720" t="s">
        <v>1981</v>
      </c>
      <c r="T62" s="1720">
        <v>635</v>
      </c>
      <c r="U62" s="1720">
        <v>980</v>
      </c>
      <c r="V62" s="1720">
        <v>100</v>
      </c>
      <c r="W62" s="1720"/>
      <c r="AC62" s="1720">
        <v>120</v>
      </c>
      <c r="AD62" s="1720">
        <v>940</v>
      </c>
      <c r="AE62" s="1720">
        <v>200</v>
      </c>
      <c r="AF62" s="1720">
        <v>740</v>
      </c>
      <c r="AG62" s="1720">
        <v>340</v>
      </c>
      <c r="AH62" s="1720">
        <v>355</v>
      </c>
      <c r="AI62" s="1720">
        <v>395</v>
      </c>
      <c r="AJ62" s="1720">
        <v>50</v>
      </c>
      <c r="AK62" s="1720">
        <v>60</v>
      </c>
      <c r="AL62" s="1720">
        <v>135</v>
      </c>
      <c r="AP62" s="1720"/>
      <c r="AQ62" s="1720"/>
      <c r="AR62" s="1720"/>
      <c r="AS62" s="1720"/>
      <c r="AT62" s="1720"/>
      <c r="AU62" s="1720"/>
      <c r="AV62" s="328"/>
      <c r="BO62">
        <v>235</v>
      </c>
      <c r="BP62" t="s">
        <v>466</v>
      </c>
      <c r="BU62" s="1720">
        <v>80</v>
      </c>
      <c r="BV62" s="1720">
        <v>245</v>
      </c>
      <c r="BW62" s="1720">
        <v>140</v>
      </c>
      <c r="BX62" s="1720" t="s">
        <v>1857</v>
      </c>
      <c r="BY62" s="1772"/>
      <c r="CB62" s="1720">
        <v>280</v>
      </c>
      <c r="CC62" s="1720">
        <v>250</v>
      </c>
      <c r="CD62" s="1720">
        <v>320</v>
      </c>
      <c r="CE62" s="1720">
        <v>265</v>
      </c>
      <c r="CF62" s="1720">
        <v>375</v>
      </c>
      <c r="CG62" s="1720">
        <v>7248613</v>
      </c>
      <c r="CH62" s="328"/>
      <c r="CK62" t="s">
        <v>374</v>
      </c>
      <c r="CL62" t="s">
        <v>901</v>
      </c>
      <c r="CM62" t="s">
        <v>902</v>
      </c>
      <c r="CN62" t="s">
        <v>903</v>
      </c>
      <c r="CO62" s="1770" t="s">
        <v>904</v>
      </c>
      <c r="CP62" s="1770" t="s">
        <v>659</v>
      </c>
      <c r="CQ62" t="s">
        <v>660</v>
      </c>
    </row>
    <row r="63" spans="1:95" x14ac:dyDescent="0.3">
      <c r="A63" s="1720">
        <v>62</v>
      </c>
      <c r="B63" s="328" t="s">
        <v>1362</v>
      </c>
      <c r="C63" s="1720" t="s">
        <v>1464</v>
      </c>
      <c r="D63" s="1720"/>
      <c r="E63" s="1720"/>
      <c r="F63" s="1720"/>
      <c r="G63" s="1720">
        <v>710</v>
      </c>
      <c r="H63" s="1720">
        <v>17.5</v>
      </c>
      <c r="I63" s="1720">
        <v>1340</v>
      </c>
      <c r="J63" s="1720">
        <v>840</v>
      </c>
      <c r="K63" s="1720">
        <v>850</v>
      </c>
      <c r="L63" s="1720">
        <v>195</v>
      </c>
      <c r="M63" s="1720"/>
      <c r="N63" s="328" t="s">
        <v>21</v>
      </c>
      <c r="O63" s="1720">
        <v>2128</v>
      </c>
      <c r="R63" s="1720">
        <v>62</v>
      </c>
      <c r="S63" s="1720">
        <v>5838345</v>
      </c>
      <c r="T63" s="1720">
        <v>635</v>
      </c>
      <c r="U63" s="1720">
        <v>880</v>
      </c>
      <c r="V63" s="1720">
        <v>80</v>
      </c>
      <c r="W63" s="1720"/>
      <c r="AC63" s="1720">
        <v>15</v>
      </c>
      <c r="AD63" s="1720">
        <v>925</v>
      </c>
      <c r="AE63" s="1720">
        <v>180</v>
      </c>
      <c r="AF63" s="1720">
        <v>745</v>
      </c>
      <c r="AG63" s="1720">
        <v>360</v>
      </c>
      <c r="AH63" s="1720">
        <v>380</v>
      </c>
      <c r="AI63" s="1720">
        <v>405</v>
      </c>
      <c r="AJ63" s="1720">
        <v>85</v>
      </c>
      <c r="AK63" s="1720">
        <v>98</v>
      </c>
      <c r="AL63" s="1720">
        <v>160</v>
      </c>
      <c r="AM63" s="1770" t="s">
        <v>1312</v>
      </c>
      <c r="BO63">
        <v>237.5</v>
      </c>
      <c r="BP63" t="s">
        <v>467</v>
      </c>
      <c r="BU63" s="1720">
        <v>80</v>
      </c>
      <c r="BV63" s="1720">
        <v>245</v>
      </c>
      <c r="BW63" s="1720">
        <v>140</v>
      </c>
      <c r="BX63" s="1720" t="s">
        <v>1857</v>
      </c>
      <c r="BY63" s="1772"/>
      <c r="CB63" s="1720">
        <v>282</v>
      </c>
      <c r="CC63" s="1720">
        <v>252.5</v>
      </c>
      <c r="CD63" s="1720">
        <v>320</v>
      </c>
      <c r="CE63" s="1720">
        <v>260</v>
      </c>
      <c r="CF63" s="1720">
        <v>375</v>
      </c>
      <c r="CG63" s="1720" t="s">
        <v>1265</v>
      </c>
      <c r="CH63" s="328"/>
      <c r="CK63" s="328" t="s">
        <v>661</v>
      </c>
      <c r="CL63" s="328" t="s">
        <v>905</v>
      </c>
      <c r="CM63" s="1720">
        <v>200</v>
      </c>
      <c r="CN63" s="1720">
        <v>170</v>
      </c>
      <c r="CO63" s="1720">
        <v>185</v>
      </c>
      <c r="CP63" s="1720">
        <v>230</v>
      </c>
      <c r="CQ63" s="1720">
        <v>46.368434154468751</v>
      </c>
    </row>
    <row r="64" spans="1:95" x14ac:dyDescent="0.3">
      <c r="A64" s="1720">
        <v>63</v>
      </c>
      <c r="B64" s="328"/>
      <c r="C64" s="1720" t="s">
        <v>1411</v>
      </c>
      <c r="D64" s="1720"/>
      <c r="E64" s="1720"/>
      <c r="F64" s="1720"/>
      <c r="G64" s="1720">
        <v>715</v>
      </c>
      <c r="H64" s="1720">
        <v>3</v>
      </c>
      <c r="I64" s="1720">
        <v>255</v>
      </c>
      <c r="J64" s="1720">
        <v>740</v>
      </c>
      <c r="K64" s="1720">
        <v>755</v>
      </c>
      <c r="L64" s="1720">
        <v>105</v>
      </c>
      <c r="M64" s="1720" t="s">
        <v>1412</v>
      </c>
      <c r="N64" s="328"/>
      <c r="O64" s="1720"/>
      <c r="R64" s="1720">
        <v>63</v>
      </c>
      <c r="S64" s="1720" t="s">
        <v>1982</v>
      </c>
      <c r="T64" s="1720">
        <v>635</v>
      </c>
      <c r="U64" s="1720">
        <v>880</v>
      </c>
      <c r="V64" s="1720">
        <v>80</v>
      </c>
      <c r="W64" s="1720"/>
      <c r="AC64" s="1720">
        <v>17</v>
      </c>
      <c r="AD64" s="1720">
        <v>925</v>
      </c>
      <c r="AE64" s="1720">
        <v>180</v>
      </c>
      <c r="AF64" s="1720">
        <v>745</v>
      </c>
      <c r="AG64" s="1720">
        <v>540</v>
      </c>
      <c r="AH64" s="1720">
        <v>555</v>
      </c>
      <c r="AI64" s="1720">
        <v>595</v>
      </c>
      <c r="AJ64" s="1720">
        <v>37</v>
      </c>
      <c r="AK64" s="1720">
        <v>48</v>
      </c>
      <c r="AL64" s="1720">
        <v>110</v>
      </c>
      <c r="BO64">
        <v>240</v>
      </c>
      <c r="BP64" t="s">
        <v>468</v>
      </c>
      <c r="BU64" s="1720">
        <v>80</v>
      </c>
      <c r="BV64" s="1720">
        <v>245</v>
      </c>
      <c r="BW64" s="1720">
        <v>140</v>
      </c>
      <c r="BX64" s="1720" t="s">
        <v>1857</v>
      </c>
      <c r="BY64" s="1772"/>
      <c r="CB64" s="1720">
        <v>298</v>
      </c>
      <c r="CC64" s="1720">
        <v>252.5</v>
      </c>
      <c r="CD64" s="1720">
        <v>318</v>
      </c>
      <c r="CE64" s="1720">
        <v>197</v>
      </c>
      <c r="CF64" s="1720">
        <v>375</v>
      </c>
      <c r="CG64" s="1720" t="s">
        <v>1265</v>
      </c>
      <c r="CH64" s="328"/>
      <c r="CK64" s="328" t="s">
        <v>662</v>
      </c>
      <c r="CL64" s="328" t="s">
        <v>906</v>
      </c>
      <c r="CM64" s="1720">
        <v>250</v>
      </c>
      <c r="CN64" s="1720">
        <v>210</v>
      </c>
      <c r="CO64" s="1720">
        <v>230</v>
      </c>
      <c r="CP64" s="1720">
        <v>300</v>
      </c>
      <c r="CQ64" s="1720">
        <v>93.482014803749991</v>
      </c>
    </row>
    <row r="65" spans="1:95" x14ac:dyDescent="0.3">
      <c r="A65" s="1720">
        <v>64</v>
      </c>
      <c r="B65" s="328"/>
      <c r="C65" s="1720" t="s">
        <v>1413</v>
      </c>
      <c r="D65" s="1720"/>
      <c r="E65" s="1720"/>
      <c r="F65" s="1720"/>
      <c r="G65" s="1720">
        <v>715</v>
      </c>
      <c r="H65" s="1720">
        <v>4.5</v>
      </c>
      <c r="I65" s="1720">
        <v>575</v>
      </c>
      <c r="J65" s="1720">
        <v>750</v>
      </c>
      <c r="K65" s="1720">
        <v>770</v>
      </c>
      <c r="L65" s="1720">
        <v>105</v>
      </c>
      <c r="M65" s="1720"/>
      <c r="N65" s="328"/>
      <c r="O65" s="1720"/>
      <c r="R65" s="1720">
        <v>64</v>
      </c>
      <c r="S65" s="1720" t="s">
        <v>1983</v>
      </c>
      <c r="T65" s="1720">
        <v>640</v>
      </c>
      <c r="U65" s="1720">
        <v>440</v>
      </c>
      <c r="V65" s="1720">
        <v>80</v>
      </c>
      <c r="W65" s="1720"/>
      <c r="AC65" s="1720">
        <v>103</v>
      </c>
      <c r="AD65" s="1720">
        <v>880</v>
      </c>
      <c r="AE65" s="1720">
        <v>130</v>
      </c>
      <c r="AF65" s="1720">
        <v>750</v>
      </c>
      <c r="AG65" s="1720">
        <v>315</v>
      </c>
      <c r="AH65" s="1720">
        <v>330</v>
      </c>
      <c r="AI65" s="1720">
        <v>365</v>
      </c>
      <c r="AJ65" s="1720">
        <v>57</v>
      </c>
      <c r="AK65" s="1720">
        <v>68</v>
      </c>
      <c r="AL65" s="1720">
        <v>115</v>
      </c>
      <c r="AM65" s="1770" t="s">
        <v>1321</v>
      </c>
      <c r="BO65">
        <v>242.5</v>
      </c>
      <c r="BP65" t="s">
        <v>469</v>
      </c>
      <c r="BU65" s="1720">
        <v>80</v>
      </c>
      <c r="BV65" s="1720">
        <v>245</v>
      </c>
      <c r="BW65" s="1720">
        <v>140</v>
      </c>
      <c r="BX65" s="1720" t="s">
        <v>1857</v>
      </c>
      <c r="BY65" s="1772"/>
      <c r="CB65" s="1720">
        <v>297</v>
      </c>
      <c r="CC65" s="1720">
        <v>260</v>
      </c>
      <c r="CD65" s="1720">
        <v>315</v>
      </c>
      <c r="CE65" s="1720">
        <v>190</v>
      </c>
      <c r="CF65" s="1720">
        <v>375</v>
      </c>
      <c r="CG65" s="1720" t="s">
        <v>1266</v>
      </c>
      <c r="CH65" s="328"/>
      <c r="CK65" s="328" t="s">
        <v>663</v>
      </c>
      <c r="CL65" s="328" t="s">
        <v>907</v>
      </c>
      <c r="CM65" s="1720">
        <v>350</v>
      </c>
      <c r="CN65" s="1720">
        <v>300</v>
      </c>
      <c r="CO65" s="1720">
        <v>325</v>
      </c>
      <c r="CP65" s="1720">
        <v>350</v>
      </c>
      <c r="CQ65" s="1720">
        <v>217.76390893359374</v>
      </c>
    </row>
    <row r="66" spans="1:95" x14ac:dyDescent="0.3">
      <c r="A66" s="1720">
        <v>65</v>
      </c>
      <c r="B66" s="328"/>
      <c r="C66" s="1720"/>
      <c r="D66" s="1720"/>
      <c r="E66" s="1720"/>
      <c r="F66" s="1720"/>
      <c r="G66" s="1720">
        <v>715</v>
      </c>
      <c r="H66" s="1720">
        <v>3.5</v>
      </c>
      <c r="I66" s="1720">
        <v>690</v>
      </c>
      <c r="J66" s="1720">
        <v>760</v>
      </c>
      <c r="K66" s="1720">
        <v>770</v>
      </c>
      <c r="L66" s="1720">
        <v>120</v>
      </c>
      <c r="M66" s="1720" t="s">
        <v>1359</v>
      </c>
      <c r="N66" s="328"/>
      <c r="O66" s="1720"/>
      <c r="R66" s="1720">
        <v>65</v>
      </c>
      <c r="S66" s="1720" t="s">
        <v>1413</v>
      </c>
      <c r="T66" s="1720">
        <v>640</v>
      </c>
      <c r="U66" s="1720">
        <v>700</v>
      </c>
      <c r="V66" s="1720">
        <v>80</v>
      </c>
      <c r="W66" s="1720"/>
      <c r="AC66" s="1720">
        <v>38</v>
      </c>
      <c r="AD66" s="1720">
        <v>950</v>
      </c>
      <c r="AE66" s="1720">
        <v>195</v>
      </c>
      <c r="AF66" s="1720">
        <v>755</v>
      </c>
      <c r="AG66" s="1720">
        <v>345</v>
      </c>
      <c r="AH66" s="1720">
        <v>355</v>
      </c>
      <c r="AI66" s="1720">
        <v>440</v>
      </c>
      <c r="AJ66" s="1720">
        <v>50</v>
      </c>
      <c r="AK66" s="1720">
        <v>60</v>
      </c>
      <c r="AL66" s="1720">
        <v>100</v>
      </c>
      <c r="BO66">
        <v>245</v>
      </c>
      <c r="BP66" t="s">
        <v>470</v>
      </c>
      <c r="BU66" s="1720">
        <v>80</v>
      </c>
      <c r="BV66" s="1720">
        <v>245</v>
      </c>
      <c r="BW66" s="1720">
        <v>140</v>
      </c>
      <c r="BX66" s="1720" t="s">
        <v>1857</v>
      </c>
      <c r="BY66" s="1772"/>
      <c r="CB66" s="1720">
        <v>328</v>
      </c>
      <c r="CC66" s="1720">
        <v>260</v>
      </c>
      <c r="CD66" s="1720">
        <v>375</v>
      </c>
      <c r="CE66" s="1720">
        <v>340</v>
      </c>
      <c r="CF66" s="1720">
        <v>375</v>
      </c>
      <c r="CG66" s="1720">
        <v>7233150</v>
      </c>
      <c r="CH66" s="328"/>
      <c r="CK66" s="328" t="s">
        <v>664</v>
      </c>
      <c r="CL66" s="328" t="s">
        <v>908</v>
      </c>
      <c r="CM66" s="1720">
        <v>430</v>
      </c>
      <c r="CN66" s="1720">
        <v>335</v>
      </c>
      <c r="CO66" s="1720">
        <v>382.5</v>
      </c>
      <c r="CP66" s="1720">
        <v>380</v>
      </c>
      <c r="CQ66" s="1720">
        <v>327.48967553779693</v>
      </c>
    </row>
    <row r="67" spans="1:95" x14ac:dyDescent="0.3">
      <c r="A67" s="1720">
        <v>66</v>
      </c>
      <c r="B67" s="328"/>
      <c r="C67" s="1720"/>
      <c r="D67" s="1720"/>
      <c r="E67" s="1720"/>
      <c r="F67" s="1720"/>
      <c r="G67" s="1720">
        <v>715</v>
      </c>
      <c r="H67" s="1720">
        <v>6</v>
      </c>
      <c r="I67" s="1720">
        <v>860</v>
      </c>
      <c r="J67" s="1720">
        <v>825</v>
      </c>
      <c r="K67" s="1720">
        <v>870</v>
      </c>
      <c r="L67" s="1720">
        <v>290</v>
      </c>
      <c r="M67" s="1720"/>
      <c r="N67" s="328"/>
      <c r="O67" s="1720"/>
      <c r="R67" s="1720">
        <v>66</v>
      </c>
      <c r="S67" s="1720"/>
      <c r="T67" s="1720">
        <v>640</v>
      </c>
      <c r="U67" s="1720">
        <v>400</v>
      </c>
      <c r="V67" s="1720">
        <v>80</v>
      </c>
      <c r="W67" s="1720"/>
      <c r="AC67" s="1720">
        <v>72</v>
      </c>
      <c r="AD67" s="1720">
        <v>920</v>
      </c>
      <c r="AE67" s="1720">
        <v>160</v>
      </c>
      <c r="AF67" s="1720">
        <v>760</v>
      </c>
      <c r="AG67" s="1720">
        <v>467</v>
      </c>
      <c r="AH67" s="1720">
        <v>488</v>
      </c>
      <c r="AI67" s="1720">
        <v>525</v>
      </c>
      <c r="AJ67" s="1720">
        <v>46</v>
      </c>
      <c r="AK67" s="1720">
        <v>60</v>
      </c>
      <c r="AL67" s="1720">
        <v>130</v>
      </c>
      <c r="AM67" s="1770" t="s">
        <v>1322</v>
      </c>
      <c r="BO67">
        <v>247.5</v>
      </c>
      <c r="BP67" t="s">
        <v>471</v>
      </c>
      <c r="BU67" s="1720">
        <v>82.5</v>
      </c>
      <c r="BV67" s="1720">
        <v>243</v>
      </c>
      <c r="BW67" s="1720">
        <v>140</v>
      </c>
      <c r="BX67" s="1720" t="s">
        <v>1858</v>
      </c>
      <c r="BY67" s="1772"/>
      <c r="CB67" s="1720">
        <v>382</v>
      </c>
      <c r="CC67" s="1720">
        <v>260</v>
      </c>
      <c r="CD67" s="1720">
        <v>200</v>
      </c>
      <c r="CE67" s="1720">
        <v>100</v>
      </c>
      <c r="CF67" s="1720">
        <v>450</v>
      </c>
      <c r="CG67" s="1720">
        <v>10247608</v>
      </c>
      <c r="CH67" s="328"/>
      <c r="CK67" s="328" t="s">
        <v>665</v>
      </c>
      <c r="CL67" s="328" t="s">
        <v>909</v>
      </c>
      <c r="CM67" s="1720">
        <v>620</v>
      </c>
      <c r="CN67" s="1720">
        <v>360</v>
      </c>
      <c r="CO67" s="1720">
        <v>490</v>
      </c>
      <c r="CP67" s="1720">
        <v>525</v>
      </c>
      <c r="CQ67" s="1720">
        <v>742.51050227156247</v>
      </c>
    </row>
    <row r="68" spans="1:95" x14ac:dyDescent="0.3">
      <c r="A68" s="1720">
        <v>67</v>
      </c>
      <c r="B68" s="328"/>
      <c r="C68" s="1720"/>
      <c r="D68" s="1720"/>
      <c r="E68" s="1720"/>
      <c r="F68" s="1720"/>
      <c r="G68" s="1720">
        <v>720</v>
      </c>
      <c r="H68" s="1720">
        <v>2.5</v>
      </c>
      <c r="I68" s="1720">
        <v>570</v>
      </c>
      <c r="J68" s="1720">
        <v>755</v>
      </c>
      <c r="K68" s="1720">
        <v>765</v>
      </c>
      <c r="L68" s="1720">
        <v>105</v>
      </c>
      <c r="M68" s="1720" t="s">
        <v>1359</v>
      </c>
      <c r="N68" s="328"/>
      <c r="O68" s="1720"/>
      <c r="R68" s="1720">
        <v>67</v>
      </c>
      <c r="S68" s="1720"/>
      <c r="T68" s="1720">
        <v>650</v>
      </c>
      <c r="U68" s="1720">
        <v>1000</v>
      </c>
      <c r="V68" s="1720">
        <v>80</v>
      </c>
      <c r="W68" s="1720"/>
      <c r="AC68" s="1720">
        <v>33</v>
      </c>
      <c r="AD68" s="1720">
        <v>980</v>
      </c>
      <c r="AE68" s="1720">
        <v>215</v>
      </c>
      <c r="AF68" s="1720">
        <v>765</v>
      </c>
      <c r="AG68" s="1720">
        <v>300</v>
      </c>
      <c r="AH68" s="1720">
        <v>325</v>
      </c>
      <c r="AI68" s="1720">
        <v>375</v>
      </c>
      <c r="AJ68" s="1720">
        <v>55</v>
      </c>
      <c r="AK68" s="1720">
        <v>66</v>
      </c>
      <c r="AL68" s="1720">
        <v>165</v>
      </c>
      <c r="BO68">
        <v>250</v>
      </c>
      <c r="BP68" t="s">
        <v>472</v>
      </c>
      <c r="BU68" s="1720">
        <v>82.5</v>
      </c>
      <c r="BV68" s="1720">
        <v>240</v>
      </c>
      <c r="BW68" s="1720">
        <v>140</v>
      </c>
      <c r="BX68" s="1720" t="s">
        <v>1858</v>
      </c>
      <c r="BY68" s="1772"/>
      <c r="CB68" s="1720">
        <v>382</v>
      </c>
      <c r="CC68" s="1720">
        <v>260</v>
      </c>
      <c r="CD68" s="1720">
        <v>200</v>
      </c>
      <c r="CE68" s="1720">
        <v>105</v>
      </c>
      <c r="CF68" s="1720">
        <v>450</v>
      </c>
      <c r="CG68" s="1720">
        <v>10247608</v>
      </c>
      <c r="CH68" s="328"/>
      <c r="CK68" s="328" t="s">
        <v>666</v>
      </c>
      <c r="CL68" s="328" t="s">
        <v>910</v>
      </c>
      <c r="CM68" s="1720">
        <v>805</v>
      </c>
      <c r="CN68" s="1720">
        <v>624</v>
      </c>
      <c r="CO68" s="1720">
        <v>714.5</v>
      </c>
      <c r="CP68" s="1720">
        <v>305</v>
      </c>
      <c r="CQ68" s="1720">
        <v>917.18183101006082</v>
      </c>
    </row>
    <row r="69" spans="1:95" x14ac:dyDescent="0.3">
      <c r="A69" s="1720">
        <v>68</v>
      </c>
      <c r="B69" s="328"/>
      <c r="C69" s="1720"/>
      <c r="D69" s="1720">
        <v>830</v>
      </c>
      <c r="E69" s="1720">
        <v>2.5</v>
      </c>
      <c r="F69" s="1720">
        <v>110</v>
      </c>
      <c r="G69" s="1720">
        <v>720</v>
      </c>
      <c r="H69" s="1720">
        <v>2.5</v>
      </c>
      <c r="I69" s="1720">
        <v>735</v>
      </c>
      <c r="J69" s="1720">
        <v>890</v>
      </c>
      <c r="K69" s="1720">
        <v>915</v>
      </c>
      <c r="L69" s="1720">
        <v>190</v>
      </c>
      <c r="M69" s="1720"/>
      <c r="N69" s="328"/>
      <c r="O69" s="1720"/>
      <c r="R69" s="1720">
        <v>68</v>
      </c>
      <c r="S69" s="1720" t="s">
        <v>1984</v>
      </c>
      <c r="T69" s="1720">
        <v>660</v>
      </c>
      <c r="U69" s="1720">
        <v>730</v>
      </c>
      <c r="V69" s="1720">
        <v>80</v>
      </c>
      <c r="W69" s="1720"/>
      <c r="AC69" s="1720">
        <v>34</v>
      </c>
      <c r="AD69" s="1720">
        <v>950</v>
      </c>
      <c r="AE69" s="1720">
        <v>185</v>
      </c>
      <c r="AF69" s="1720">
        <v>765</v>
      </c>
      <c r="AG69" s="1720">
        <v>355</v>
      </c>
      <c r="AH69" s="1720">
        <v>365</v>
      </c>
      <c r="AI69" s="1720">
        <v>405</v>
      </c>
      <c r="AJ69" s="1720">
        <v>45</v>
      </c>
      <c r="AK69" s="1720">
        <v>54</v>
      </c>
      <c r="AL69" s="1720">
        <v>135</v>
      </c>
      <c r="BO69">
        <v>252.5</v>
      </c>
      <c r="BP69" t="s">
        <v>473</v>
      </c>
      <c r="BU69" s="1720">
        <v>82.5</v>
      </c>
      <c r="BV69" s="1720">
        <v>245</v>
      </c>
      <c r="BW69" s="1720">
        <v>140</v>
      </c>
      <c r="BX69" s="1720" t="s">
        <v>1858</v>
      </c>
      <c r="BY69" s="1772"/>
      <c r="CB69" s="1720">
        <v>330</v>
      </c>
      <c r="CC69" s="1720">
        <v>260</v>
      </c>
      <c r="CD69" s="1720">
        <v>380</v>
      </c>
      <c r="CE69" s="1720">
        <v>315</v>
      </c>
      <c r="CF69" s="1720">
        <v>375</v>
      </c>
      <c r="CG69" s="1720">
        <v>7233150</v>
      </c>
      <c r="CH69" s="328"/>
      <c r="CK69" s="328"/>
      <c r="CL69" s="328"/>
      <c r="CM69" s="1720"/>
      <c r="CN69" s="1720"/>
      <c r="CO69" s="1720"/>
      <c r="CP69" s="1720"/>
      <c r="CQ69" s="1720"/>
    </row>
    <row r="70" spans="1:95" x14ac:dyDescent="0.3">
      <c r="A70" s="1720">
        <v>69</v>
      </c>
      <c r="B70" s="328" t="s">
        <v>1364</v>
      </c>
      <c r="C70" s="1720"/>
      <c r="D70" s="1720"/>
      <c r="E70" s="1720"/>
      <c r="F70" s="1720"/>
      <c r="G70" s="1720">
        <v>720</v>
      </c>
      <c r="H70" s="1720">
        <v>12.5</v>
      </c>
      <c r="I70" s="1720">
        <v>860</v>
      </c>
      <c r="J70" s="1720">
        <v>825</v>
      </c>
      <c r="K70" s="1720">
        <v>845</v>
      </c>
      <c r="L70" s="1720">
        <v>180</v>
      </c>
      <c r="M70" s="1720" t="s">
        <v>1365</v>
      </c>
      <c r="N70" s="328"/>
      <c r="O70" s="1720"/>
      <c r="R70" s="1720">
        <v>69</v>
      </c>
      <c r="S70" s="1720"/>
      <c r="T70" s="1720">
        <v>680</v>
      </c>
      <c r="U70" s="1720">
        <v>1180</v>
      </c>
      <c r="V70" s="1720">
        <v>80</v>
      </c>
      <c r="W70" s="1720"/>
      <c r="AC70" s="1720">
        <v>114</v>
      </c>
      <c r="AD70" s="1720">
        <v>930</v>
      </c>
      <c r="AE70" s="1720">
        <v>150</v>
      </c>
      <c r="AF70" s="1720">
        <v>780</v>
      </c>
      <c r="AG70" s="1720">
        <v>160</v>
      </c>
      <c r="AH70" s="1720">
        <v>175</v>
      </c>
      <c r="AI70" s="1720">
        <v>240</v>
      </c>
      <c r="AJ70" s="1720">
        <v>85</v>
      </c>
      <c r="AK70" s="1720">
        <v>95</v>
      </c>
      <c r="AL70" s="1720">
        <v>150</v>
      </c>
      <c r="AM70" s="1770" t="s">
        <v>1323</v>
      </c>
      <c r="BO70">
        <v>255</v>
      </c>
      <c r="BP70" t="s">
        <v>474</v>
      </c>
      <c r="BU70" s="1720">
        <v>82.5</v>
      </c>
      <c r="BV70" s="1720">
        <v>245</v>
      </c>
      <c r="BW70" s="1720">
        <v>140</v>
      </c>
      <c r="BX70" s="1720" t="s">
        <v>1858</v>
      </c>
      <c r="BY70" s="1772"/>
      <c r="CB70" s="1720">
        <v>330</v>
      </c>
      <c r="CC70" s="1720">
        <v>260</v>
      </c>
      <c r="CD70" s="1720">
        <v>380</v>
      </c>
      <c r="CE70" s="1720">
        <v>300</v>
      </c>
      <c r="CF70" s="1720">
        <v>375</v>
      </c>
      <c r="CG70" s="1720">
        <v>7233150</v>
      </c>
      <c r="CH70" s="328"/>
      <c r="CO70"/>
      <c r="CP70"/>
    </row>
    <row r="71" spans="1:95" x14ac:dyDescent="0.3">
      <c r="A71" s="1720">
        <v>70</v>
      </c>
      <c r="B71" s="328" t="s">
        <v>1362</v>
      </c>
      <c r="C71" s="1720" t="s">
        <v>1414</v>
      </c>
      <c r="D71" s="1720"/>
      <c r="E71" s="1720"/>
      <c r="F71" s="1720"/>
      <c r="G71" s="1720">
        <v>720</v>
      </c>
      <c r="H71" s="1720">
        <v>23.5</v>
      </c>
      <c r="I71" s="1720">
        <v>1360</v>
      </c>
      <c r="J71" s="1720">
        <v>850</v>
      </c>
      <c r="K71" s="1720">
        <v>870</v>
      </c>
      <c r="L71" s="1720">
        <v>175</v>
      </c>
      <c r="M71" s="1720" t="s">
        <v>1358</v>
      </c>
      <c r="N71" s="328"/>
      <c r="O71" s="1720"/>
      <c r="R71" s="1720">
        <v>70</v>
      </c>
      <c r="S71" s="1720" t="s">
        <v>1985</v>
      </c>
      <c r="T71" s="1720">
        <v>680</v>
      </c>
      <c r="U71" s="1720">
        <v>1100</v>
      </c>
      <c r="V71" s="1720">
        <v>80</v>
      </c>
      <c r="W71" s="1720"/>
      <c r="AC71" s="1720">
        <v>90</v>
      </c>
      <c r="AD71" s="1720">
        <v>915</v>
      </c>
      <c r="AE71" s="1720">
        <v>130</v>
      </c>
      <c r="AF71" s="1720">
        <v>785</v>
      </c>
      <c r="AG71" s="1720">
        <v>210</v>
      </c>
      <c r="AH71" s="1720">
        <v>230</v>
      </c>
      <c r="AI71" s="1720">
        <v>260</v>
      </c>
      <c r="AJ71" s="1720">
        <v>30</v>
      </c>
      <c r="AK71" s="1720">
        <v>40</v>
      </c>
      <c r="AL71" s="1720">
        <v>100</v>
      </c>
      <c r="BO71">
        <v>257.5</v>
      </c>
      <c r="BP71" t="s">
        <v>475</v>
      </c>
      <c r="BU71" s="1720">
        <v>82.5</v>
      </c>
      <c r="BV71" s="1720">
        <v>245</v>
      </c>
      <c r="BW71" s="1720">
        <v>140</v>
      </c>
      <c r="BX71" s="1720" t="s">
        <v>1858</v>
      </c>
      <c r="BY71" s="1772"/>
      <c r="CB71" s="1720">
        <v>353</v>
      </c>
      <c r="CC71" s="1720">
        <v>260</v>
      </c>
      <c r="CD71" s="1720">
        <v>380</v>
      </c>
      <c r="CE71" s="1720">
        <v>310</v>
      </c>
      <c r="CF71" s="1720">
        <v>375</v>
      </c>
      <c r="CG71" s="1720">
        <v>7233150</v>
      </c>
      <c r="CH71" s="328"/>
      <c r="CO71"/>
      <c r="CP71"/>
    </row>
    <row r="72" spans="1:95" x14ac:dyDescent="0.3">
      <c r="A72" s="1720">
        <v>71</v>
      </c>
      <c r="B72" s="328"/>
      <c r="C72" s="1720" t="s">
        <v>1415</v>
      </c>
      <c r="D72" s="1720"/>
      <c r="E72" s="1720"/>
      <c r="F72" s="1720"/>
      <c r="G72" s="1720">
        <v>740</v>
      </c>
      <c r="H72" s="1720">
        <v>4.5</v>
      </c>
      <c r="I72" s="1720">
        <v>250</v>
      </c>
      <c r="J72" s="1720">
        <v>760</v>
      </c>
      <c r="K72" s="1720">
        <v>780</v>
      </c>
      <c r="L72" s="1720">
        <v>110</v>
      </c>
      <c r="M72" s="1720" t="s">
        <v>1359</v>
      </c>
      <c r="N72" s="328"/>
      <c r="O72" s="1720"/>
      <c r="R72" s="1720">
        <v>71</v>
      </c>
      <c r="S72" s="1720" t="s">
        <v>1986</v>
      </c>
      <c r="T72" s="1720">
        <v>700</v>
      </c>
      <c r="U72" s="1720">
        <v>830</v>
      </c>
      <c r="V72" s="1720">
        <v>80</v>
      </c>
      <c r="W72" s="1720"/>
      <c r="AC72" s="1720">
        <v>10</v>
      </c>
      <c r="AD72" s="1720">
        <v>1115</v>
      </c>
      <c r="AE72" s="1720">
        <v>130</v>
      </c>
      <c r="AF72" s="1720">
        <v>785</v>
      </c>
      <c r="AG72" s="1720">
        <v>345</v>
      </c>
      <c r="AH72" s="1720">
        <v>380</v>
      </c>
      <c r="AI72" s="1720">
        <v>430</v>
      </c>
      <c r="AJ72" s="1720">
        <v>50</v>
      </c>
      <c r="AK72" s="1720">
        <v>60</v>
      </c>
      <c r="AL72" s="1720">
        <v>130</v>
      </c>
      <c r="AM72" s="1770" t="s">
        <v>1324</v>
      </c>
      <c r="BO72">
        <v>260</v>
      </c>
      <c r="BP72" t="s">
        <v>476</v>
      </c>
      <c r="BU72" s="1720">
        <v>82.5</v>
      </c>
      <c r="BV72" s="1720">
        <v>245</v>
      </c>
      <c r="BW72" s="1720">
        <v>140</v>
      </c>
      <c r="BX72" s="1720" t="s">
        <v>1858</v>
      </c>
      <c r="BY72" s="1772"/>
      <c r="CB72" s="1720">
        <v>304</v>
      </c>
      <c r="CC72" s="1720">
        <v>260</v>
      </c>
      <c r="CD72" s="1720">
        <v>310</v>
      </c>
      <c r="CE72" s="1720">
        <v>200</v>
      </c>
      <c r="CF72" s="1720">
        <v>375</v>
      </c>
      <c r="CG72" s="1720" t="s">
        <v>1266</v>
      </c>
      <c r="CH72" s="328"/>
      <c r="CO72"/>
      <c r="CP72"/>
    </row>
    <row r="73" spans="1:95" x14ac:dyDescent="0.3">
      <c r="A73" s="1720">
        <v>72</v>
      </c>
      <c r="B73" s="328"/>
      <c r="C73" s="1720" t="s">
        <v>1416</v>
      </c>
      <c r="D73" s="1720"/>
      <c r="E73" s="1720"/>
      <c r="F73" s="1720"/>
      <c r="G73" s="1720">
        <v>740</v>
      </c>
      <c r="H73" s="1720">
        <v>5</v>
      </c>
      <c r="I73" s="1720">
        <v>660</v>
      </c>
      <c r="J73" s="1720">
        <v>860</v>
      </c>
      <c r="K73" s="1720">
        <v>920</v>
      </c>
      <c r="L73" s="1720">
        <v>350</v>
      </c>
      <c r="M73" s="1720"/>
      <c r="N73" s="328"/>
      <c r="O73" s="1720"/>
      <c r="R73" s="1720">
        <v>72</v>
      </c>
      <c r="S73" s="1720" t="s">
        <v>1425</v>
      </c>
      <c r="T73" s="1720">
        <v>700</v>
      </c>
      <c r="U73" s="1720">
        <v>790</v>
      </c>
      <c r="V73" s="1720">
        <v>80</v>
      </c>
      <c r="W73" s="1720" t="s">
        <v>1987</v>
      </c>
      <c r="AC73" s="1720">
        <v>14</v>
      </c>
      <c r="AD73" s="1720">
        <v>948</v>
      </c>
      <c r="AE73" s="1720">
        <v>160</v>
      </c>
      <c r="AF73" s="1720">
        <v>788</v>
      </c>
      <c r="AG73" s="1720">
        <v>200</v>
      </c>
      <c r="AH73" s="1720">
        <v>215</v>
      </c>
      <c r="AI73" s="1720">
        <v>255</v>
      </c>
      <c r="AJ73" s="1720">
        <v>50</v>
      </c>
      <c r="AK73" s="1720">
        <v>58</v>
      </c>
      <c r="AL73" s="1720">
        <v>120</v>
      </c>
      <c r="AM73" s="1770" t="s">
        <v>1325</v>
      </c>
      <c r="BO73">
        <v>262.5</v>
      </c>
      <c r="BP73" t="s">
        <v>477</v>
      </c>
      <c r="BU73" s="1720">
        <v>82.5</v>
      </c>
      <c r="BV73" s="1720">
        <v>245</v>
      </c>
      <c r="BW73" s="1720">
        <v>140</v>
      </c>
      <c r="BX73" s="1720" t="s">
        <v>1858</v>
      </c>
      <c r="BY73" s="1772"/>
      <c r="CB73" s="1720">
        <v>288</v>
      </c>
      <c r="CC73" s="1720">
        <v>262.5</v>
      </c>
      <c r="CD73" s="1720">
        <v>320</v>
      </c>
      <c r="CE73" s="1720">
        <v>200</v>
      </c>
      <c r="CF73" s="1720">
        <v>375</v>
      </c>
      <c r="CG73" s="1720" t="s">
        <v>1267</v>
      </c>
      <c r="CH73" s="328"/>
    </row>
    <row r="74" spans="1:95" x14ac:dyDescent="0.3">
      <c r="A74" s="1720">
        <v>73</v>
      </c>
      <c r="B74" s="328"/>
      <c r="C74" s="1720"/>
      <c r="D74" s="1720"/>
      <c r="E74" s="1720"/>
      <c r="F74" s="1720"/>
      <c r="G74" s="1720">
        <v>745</v>
      </c>
      <c r="H74" s="1720">
        <v>5</v>
      </c>
      <c r="I74" s="1720">
        <v>700</v>
      </c>
      <c r="J74" s="1720">
        <v>800</v>
      </c>
      <c r="K74" s="1720">
        <v>820</v>
      </c>
      <c r="L74" s="1720">
        <v>150</v>
      </c>
      <c r="M74" s="1720" t="s">
        <v>1366</v>
      </c>
      <c r="N74" s="328"/>
      <c r="O74" s="1720"/>
      <c r="R74" s="1720">
        <v>73</v>
      </c>
      <c r="S74" s="1720" t="s">
        <v>1988</v>
      </c>
      <c r="T74" s="1720">
        <v>710</v>
      </c>
      <c r="U74" s="1720">
        <v>1135</v>
      </c>
      <c r="V74" s="1720">
        <v>80</v>
      </c>
      <c r="W74" s="1720"/>
      <c r="AC74" s="1720">
        <v>71</v>
      </c>
      <c r="AD74" s="1720">
        <v>920</v>
      </c>
      <c r="AE74" s="1720">
        <v>130</v>
      </c>
      <c r="AF74" s="1720">
        <v>790</v>
      </c>
      <c r="AG74" s="1720">
        <v>200</v>
      </c>
      <c r="AH74" s="1720">
        <v>210</v>
      </c>
      <c r="AI74" s="1720">
        <v>240</v>
      </c>
      <c r="AJ74" s="1720">
        <v>30</v>
      </c>
      <c r="AK74" s="1720">
        <v>40</v>
      </c>
      <c r="AL74" s="1720">
        <v>95</v>
      </c>
      <c r="BO74">
        <v>265</v>
      </c>
      <c r="BP74" t="s">
        <v>478</v>
      </c>
      <c r="BU74" s="1720">
        <v>82.5</v>
      </c>
      <c r="BV74" s="1720">
        <v>240</v>
      </c>
      <c r="BW74" s="1720">
        <v>140</v>
      </c>
      <c r="BX74" s="1720" t="s">
        <v>1858</v>
      </c>
      <c r="BY74" s="1772"/>
      <c r="CB74" s="1720">
        <v>298</v>
      </c>
      <c r="CC74" s="1720">
        <v>262.5</v>
      </c>
      <c r="CD74" s="1720">
        <v>317</v>
      </c>
      <c r="CE74" s="1720">
        <v>195</v>
      </c>
      <c r="CF74" s="1720">
        <v>375</v>
      </c>
      <c r="CG74" s="1720" t="s">
        <v>1267</v>
      </c>
      <c r="CH74" s="328"/>
    </row>
    <row r="75" spans="1:95" x14ac:dyDescent="0.3">
      <c r="A75" s="1720">
        <v>74</v>
      </c>
      <c r="B75" s="328" t="s">
        <v>1362</v>
      </c>
      <c r="C75" s="1720" t="s">
        <v>1417</v>
      </c>
      <c r="D75" s="1720"/>
      <c r="E75" s="1720"/>
      <c r="F75" s="1720"/>
      <c r="G75" s="1720">
        <v>745</v>
      </c>
      <c r="H75" s="1720">
        <v>10</v>
      </c>
      <c r="I75" s="1720">
        <v>1460</v>
      </c>
      <c r="J75" s="1720">
        <v>840</v>
      </c>
      <c r="K75" s="1720">
        <v>890</v>
      </c>
      <c r="L75" s="1720">
        <v>180</v>
      </c>
      <c r="M75" s="1720" t="s">
        <v>1418</v>
      </c>
      <c r="N75" s="328"/>
      <c r="O75" s="1720"/>
      <c r="R75" s="1720">
        <v>74</v>
      </c>
      <c r="S75" s="1720">
        <v>1012168</v>
      </c>
      <c r="T75" s="1720">
        <v>730</v>
      </c>
      <c r="U75" s="1720">
        <v>980</v>
      </c>
      <c r="V75" s="1720">
        <v>80</v>
      </c>
      <c r="W75" s="1720"/>
      <c r="AC75" s="1720">
        <v>44</v>
      </c>
      <c r="AD75" s="1720">
        <v>980</v>
      </c>
      <c r="AE75" s="1720">
        <v>190</v>
      </c>
      <c r="AF75" s="1720">
        <v>790</v>
      </c>
      <c r="AG75" s="1720">
        <v>320</v>
      </c>
      <c r="AH75" s="1720">
        <v>330</v>
      </c>
      <c r="AI75" s="1720">
        <v>375</v>
      </c>
      <c r="AJ75" s="1720">
        <v>45</v>
      </c>
      <c r="AK75" s="1720">
        <v>55</v>
      </c>
      <c r="AL75" s="1720">
        <v>135</v>
      </c>
      <c r="BO75">
        <v>267.5</v>
      </c>
      <c r="BP75" t="s">
        <v>479</v>
      </c>
      <c r="BU75" s="1720">
        <v>82.5</v>
      </c>
      <c r="BV75" s="1720">
        <v>245</v>
      </c>
      <c r="BW75" s="1720">
        <v>140</v>
      </c>
      <c r="BX75" s="1720" t="s">
        <v>1858</v>
      </c>
      <c r="BY75" s="1772"/>
      <c r="CB75" s="1720">
        <v>298</v>
      </c>
      <c r="CC75" s="1720">
        <v>265</v>
      </c>
      <c r="CD75" s="1720">
        <v>318</v>
      </c>
      <c r="CE75" s="1720">
        <v>200</v>
      </c>
      <c r="CF75" s="1720">
        <v>375</v>
      </c>
      <c r="CG75" s="1720" t="s">
        <v>1268</v>
      </c>
      <c r="CH75" s="328"/>
    </row>
    <row r="76" spans="1:95" x14ac:dyDescent="0.3">
      <c r="A76" s="1720">
        <v>75</v>
      </c>
      <c r="B76" s="328"/>
      <c r="C76" s="1720" t="s">
        <v>1449</v>
      </c>
      <c r="D76" s="1720">
        <v>775</v>
      </c>
      <c r="E76" s="1720">
        <v>2.5</v>
      </c>
      <c r="F76" s="1720">
        <v>120</v>
      </c>
      <c r="G76" s="1720">
        <v>750</v>
      </c>
      <c r="H76" s="1720">
        <v>7.5</v>
      </c>
      <c r="I76" s="1720">
        <v>490</v>
      </c>
      <c r="J76" s="1720">
        <v>815</v>
      </c>
      <c r="K76" s="1720">
        <v>830</v>
      </c>
      <c r="L76" s="1720">
        <v>110</v>
      </c>
      <c r="M76" s="1720"/>
      <c r="N76" s="328"/>
      <c r="O76" s="1720"/>
      <c r="R76" s="1720">
        <v>75</v>
      </c>
      <c r="S76" s="1720" t="s">
        <v>1423</v>
      </c>
      <c r="T76" s="1720">
        <v>740</v>
      </c>
      <c r="U76" s="1720">
        <v>880</v>
      </c>
      <c r="V76" s="1720">
        <v>80</v>
      </c>
      <c r="W76" s="1720"/>
      <c r="AC76" s="1720">
        <v>104</v>
      </c>
      <c r="AD76" s="1720">
        <v>955</v>
      </c>
      <c r="AE76" s="1720">
        <v>150</v>
      </c>
      <c r="AF76" s="1720">
        <v>805</v>
      </c>
      <c r="AG76" s="1720">
        <v>265</v>
      </c>
      <c r="AH76" s="1720">
        <v>283</v>
      </c>
      <c r="AI76" s="1720">
        <v>315</v>
      </c>
      <c r="AJ76" s="1720">
        <v>33</v>
      </c>
      <c r="AK76" s="1720">
        <v>40</v>
      </c>
      <c r="AL76" s="1720">
        <v>105</v>
      </c>
      <c r="BO76">
        <v>270</v>
      </c>
      <c r="BP76" t="s">
        <v>480</v>
      </c>
      <c r="BT76" s="1720">
        <v>0</v>
      </c>
      <c r="BU76" s="1720">
        <v>0</v>
      </c>
      <c r="BV76" s="1720">
        <v>245</v>
      </c>
      <c r="BW76" s="1720">
        <v>140</v>
      </c>
      <c r="BX76" s="1720" t="s">
        <v>1858</v>
      </c>
      <c r="BY76" s="1772"/>
      <c r="CB76" s="1720">
        <v>302</v>
      </c>
      <c r="CC76" s="1720">
        <v>267.5</v>
      </c>
      <c r="CD76" s="1720">
        <v>317</v>
      </c>
      <c r="CE76" s="1720">
        <v>197</v>
      </c>
      <c r="CF76" s="1720">
        <v>375</v>
      </c>
      <c r="CG76" s="1720" t="s">
        <v>1269</v>
      </c>
      <c r="CH76" s="328"/>
    </row>
    <row r="77" spans="1:95" x14ac:dyDescent="0.3">
      <c r="A77" s="1720">
        <v>76</v>
      </c>
      <c r="B77" s="328"/>
      <c r="C77" s="1720"/>
      <c r="D77" s="1720"/>
      <c r="E77" s="1720"/>
      <c r="F77" s="1720"/>
      <c r="G77" s="1720">
        <v>765</v>
      </c>
      <c r="H77" s="1720">
        <v>5</v>
      </c>
      <c r="I77" s="1720">
        <v>170</v>
      </c>
      <c r="J77" s="1720">
        <v>825</v>
      </c>
      <c r="K77" s="1720">
        <v>835</v>
      </c>
      <c r="L77" s="1720">
        <v>180</v>
      </c>
      <c r="M77" s="1720"/>
      <c r="N77" s="328"/>
      <c r="O77" s="1720"/>
      <c r="R77" s="1720">
        <v>76</v>
      </c>
      <c r="S77" s="1720" t="s">
        <v>1424</v>
      </c>
      <c r="T77" s="1720">
        <v>745</v>
      </c>
      <c r="U77" s="1720">
        <v>800</v>
      </c>
      <c r="V77" s="1720">
        <v>80</v>
      </c>
      <c r="W77" s="1720" t="s">
        <v>1989</v>
      </c>
      <c r="AC77" s="1720">
        <v>32</v>
      </c>
      <c r="AD77" s="1720">
        <v>1000</v>
      </c>
      <c r="AE77" s="1720">
        <v>185</v>
      </c>
      <c r="AF77" s="1720">
        <v>815</v>
      </c>
      <c r="AG77" s="1720">
        <v>275</v>
      </c>
      <c r="AH77" s="1720">
        <v>290</v>
      </c>
      <c r="AI77" s="1720">
        <v>330</v>
      </c>
      <c r="AJ77" s="1720">
        <v>37</v>
      </c>
      <c r="AK77" s="1720">
        <v>45</v>
      </c>
      <c r="AL77" s="1720">
        <v>140</v>
      </c>
      <c r="BO77">
        <v>275</v>
      </c>
      <c r="BP77" t="s">
        <v>481</v>
      </c>
      <c r="BS77" s="196">
        <f>IF(MAX(BT77:BT1156)&lt;ROW(1:1),"",VLOOKUP(ROW(1:1),BT77:BU1156,2))</f>
        <v>85</v>
      </c>
      <c r="BT77" s="197">
        <f>IF(COUNTIF(BU$76:BU77,BU77)=1,MAX(BT$76:BT76)+1,"")</f>
        <v>1</v>
      </c>
      <c r="BU77" s="1720">
        <v>85</v>
      </c>
      <c r="BV77" s="1720">
        <v>240</v>
      </c>
      <c r="BW77" s="1720">
        <v>140</v>
      </c>
      <c r="BX77" s="1720" t="s">
        <v>1499</v>
      </c>
      <c r="BY77" s="1772" t="s">
        <v>1860</v>
      </c>
      <c r="CB77" s="1720">
        <v>358</v>
      </c>
      <c r="CC77" s="1720">
        <v>270</v>
      </c>
      <c r="CD77" s="1720">
        <v>405</v>
      </c>
      <c r="CE77" s="1720">
        <v>335</v>
      </c>
      <c r="CF77" s="1720">
        <v>400</v>
      </c>
      <c r="CG77" s="1720" t="s">
        <v>1270</v>
      </c>
      <c r="CH77" s="328"/>
    </row>
    <row r="78" spans="1:95" x14ac:dyDescent="0.3">
      <c r="A78" s="1720">
        <v>77</v>
      </c>
      <c r="B78" s="328"/>
      <c r="C78" s="1720" t="s">
        <v>1419</v>
      </c>
      <c r="D78" s="1720"/>
      <c r="E78" s="1720"/>
      <c r="F78" s="1720"/>
      <c r="G78" s="1720">
        <v>770</v>
      </c>
      <c r="H78" s="1720">
        <v>2.5</v>
      </c>
      <c r="I78" s="1720">
        <v>190</v>
      </c>
      <c r="J78" s="1720">
        <v>825</v>
      </c>
      <c r="K78" s="1720">
        <v>840</v>
      </c>
      <c r="L78" s="1720">
        <v>110</v>
      </c>
      <c r="M78" s="1720" t="s">
        <v>1420</v>
      </c>
      <c r="N78" s="328"/>
      <c r="O78" s="1720"/>
      <c r="R78" s="1720">
        <v>77</v>
      </c>
      <c r="S78" s="1720" t="s">
        <v>1990</v>
      </c>
      <c r="T78" s="1720">
        <v>750</v>
      </c>
      <c r="U78" s="1720">
        <v>630</v>
      </c>
      <c r="V78" s="1720">
        <v>80</v>
      </c>
      <c r="W78" s="1720"/>
      <c r="AC78" s="1720">
        <v>86</v>
      </c>
      <c r="AD78" s="1720">
        <v>995</v>
      </c>
      <c r="AE78" s="1720">
        <v>160</v>
      </c>
      <c r="AF78" s="1720">
        <v>835</v>
      </c>
      <c r="AG78" s="1720">
        <v>200</v>
      </c>
      <c r="AH78" s="1720">
        <v>215</v>
      </c>
      <c r="AI78" s="1720">
        <v>250</v>
      </c>
      <c r="AJ78" s="1720">
        <v>85</v>
      </c>
      <c r="AK78" s="1720">
        <v>97</v>
      </c>
      <c r="AL78" s="1720">
        <v>155</v>
      </c>
      <c r="AM78" s="1770" t="s">
        <v>1326</v>
      </c>
      <c r="BO78">
        <v>277.5</v>
      </c>
      <c r="BP78" t="s">
        <v>482</v>
      </c>
      <c r="BS78" s="196">
        <f>IF(MAX(BT78:BT1157)&lt;ROW(2:2),"",VLOOKUP(ROW(2:2),BT78:BU1157,2))</f>
        <v>87.5</v>
      </c>
      <c r="BT78" s="197" t="str">
        <f>IF(COUNTIF(BU$76:BU78,BU78)=1,MAX(BT$76:BT77)+1,"")</f>
        <v/>
      </c>
      <c r="BU78" s="1720">
        <v>85</v>
      </c>
      <c r="BV78" s="1720">
        <v>245</v>
      </c>
      <c r="BW78" s="1720">
        <v>140</v>
      </c>
      <c r="BX78" s="1720" t="s">
        <v>1499</v>
      </c>
      <c r="BY78" s="1772"/>
      <c r="CB78" s="1720">
        <v>358</v>
      </c>
      <c r="CC78" s="1720">
        <v>280</v>
      </c>
      <c r="CD78" s="1720">
        <v>420</v>
      </c>
      <c r="CE78" s="1720">
        <v>360</v>
      </c>
      <c r="CF78" s="1720"/>
      <c r="CG78" s="1720" t="s">
        <v>1271</v>
      </c>
      <c r="CH78" s="328" t="s">
        <v>1903</v>
      </c>
    </row>
    <row r="79" spans="1:95" x14ac:dyDescent="0.3">
      <c r="A79" s="1720">
        <v>78</v>
      </c>
      <c r="B79" s="328"/>
      <c r="C79" s="1720"/>
      <c r="D79" s="1720">
        <v>810</v>
      </c>
      <c r="E79" s="1720">
        <v>5</v>
      </c>
      <c r="F79" s="1720">
        <v>180</v>
      </c>
      <c r="G79" s="1720">
        <v>770</v>
      </c>
      <c r="H79" s="1720">
        <v>7</v>
      </c>
      <c r="I79" s="1720">
        <v>550</v>
      </c>
      <c r="J79" s="1720">
        <v>890</v>
      </c>
      <c r="K79" s="1720">
        <v>920</v>
      </c>
      <c r="L79" s="1720">
        <v>230</v>
      </c>
      <c r="M79" s="1720"/>
      <c r="N79" s="328"/>
      <c r="O79" s="1720"/>
      <c r="R79" s="1720">
        <v>78</v>
      </c>
      <c r="S79" s="1720" t="s">
        <v>1991</v>
      </c>
      <c r="T79" s="1720">
        <v>750</v>
      </c>
      <c r="U79" s="1720">
        <v>450</v>
      </c>
      <c r="V79" s="1720">
        <v>80</v>
      </c>
      <c r="W79" s="1720"/>
      <c r="AC79" s="1720">
        <v>92</v>
      </c>
      <c r="AD79" s="1720">
        <v>1015</v>
      </c>
      <c r="AE79" s="1720">
        <v>175</v>
      </c>
      <c r="AF79" s="1720">
        <v>840</v>
      </c>
      <c r="AG79" s="1720">
        <v>250</v>
      </c>
      <c r="AH79" s="1720">
        <v>260</v>
      </c>
      <c r="AI79" s="1720">
        <v>310</v>
      </c>
      <c r="AJ79" s="1720">
        <v>41</v>
      </c>
      <c r="AK79" s="1720">
        <v>50</v>
      </c>
      <c r="AL79" s="1720">
        <v>120</v>
      </c>
      <c r="AM79" s="1770" t="s">
        <v>1327</v>
      </c>
      <c r="BO79">
        <v>280</v>
      </c>
      <c r="BP79" t="s">
        <v>483</v>
      </c>
      <c r="BS79" s="196">
        <f>IF(MAX(BT79:BT1158)&lt;ROW(3:3),"",VLOOKUP(ROW(3:3),BT79:BU1158,2))</f>
        <v>90</v>
      </c>
      <c r="BT79" s="197" t="str">
        <f>IF(COUNTIF(BU$76:BU79,BU79)=1,MAX(BT$76:BT78)+1,"")</f>
        <v/>
      </c>
      <c r="BU79" s="1720">
        <v>85</v>
      </c>
      <c r="BV79" s="1720">
        <v>240</v>
      </c>
      <c r="BW79" s="1720">
        <v>140</v>
      </c>
      <c r="BX79" s="1720" t="s">
        <v>1499</v>
      </c>
      <c r="BY79" s="1772"/>
      <c r="CB79" s="1720">
        <v>308</v>
      </c>
      <c r="CC79" s="1720">
        <v>275</v>
      </c>
      <c r="CD79" s="1720">
        <v>258</v>
      </c>
      <c r="CE79" s="1720">
        <v>198</v>
      </c>
      <c r="CF79" s="1720">
        <v>375</v>
      </c>
      <c r="CG79" s="1720" t="s">
        <v>1272</v>
      </c>
      <c r="CH79" s="328" t="s">
        <v>1904</v>
      </c>
    </row>
    <row r="80" spans="1:95" x14ac:dyDescent="0.3">
      <c r="A80" s="1720">
        <v>79</v>
      </c>
      <c r="B80" s="328"/>
      <c r="C80" s="1720"/>
      <c r="D80" s="1720"/>
      <c r="E80" s="1720"/>
      <c r="F80" s="1720"/>
      <c r="G80" s="1720">
        <v>780</v>
      </c>
      <c r="H80" s="1720">
        <v>5</v>
      </c>
      <c r="I80" s="1720">
        <v>810</v>
      </c>
      <c r="J80" s="1720"/>
      <c r="K80" s="1720"/>
      <c r="L80" s="1720"/>
      <c r="M80" s="1720" t="s">
        <v>1367</v>
      </c>
      <c r="N80" s="328"/>
      <c r="O80" s="1720"/>
      <c r="R80" s="1720">
        <v>79</v>
      </c>
      <c r="S80" s="1720"/>
      <c r="T80" s="1720">
        <v>760</v>
      </c>
      <c r="U80" s="1720">
        <v>1090</v>
      </c>
      <c r="V80" s="1720">
        <v>80</v>
      </c>
      <c r="W80" s="1720"/>
      <c r="AC80" s="1720">
        <v>105</v>
      </c>
      <c r="AD80" s="1720">
        <v>990</v>
      </c>
      <c r="AE80" s="1720">
        <v>150</v>
      </c>
      <c r="AF80" s="1720">
        <v>840</v>
      </c>
      <c r="AG80" s="1720">
        <v>270</v>
      </c>
      <c r="AH80" s="1720">
        <v>290</v>
      </c>
      <c r="AI80" s="1720">
        <v>320</v>
      </c>
      <c r="AJ80" s="1720">
        <v>32</v>
      </c>
      <c r="AK80" s="1720">
        <v>40</v>
      </c>
      <c r="AL80" s="1720">
        <v>100</v>
      </c>
      <c r="BO80">
        <v>282.5</v>
      </c>
      <c r="BP80" t="s">
        <v>484</v>
      </c>
      <c r="BS80" s="196">
        <f>IF(MAX(BT80:BT1159)&lt;ROW(4:4),"",VLOOKUP(ROW(4:4),BT80:BU1159,2))</f>
        <v>92.5</v>
      </c>
      <c r="BT80" s="197" t="str">
        <f>IF(COUNTIF(BU$76:BU80,BU80)=1,MAX(BT$76:BT79)+1,"")</f>
        <v/>
      </c>
      <c r="BU80" s="1720">
        <v>85</v>
      </c>
      <c r="BV80" s="1720">
        <v>245</v>
      </c>
      <c r="BW80" s="1720">
        <v>140</v>
      </c>
      <c r="BX80" s="1720" t="s">
        <v>1499</v>
      </c>
      <c r="BY80" s="1772"/>
      <c r="CB80" s="1720">
        <v>306</v>
      </c>
      <c r="CC80" s="1720">
        <v>277.5</v>
      </c>
      <c r="CD80" s="1720">
        <v>260</v>
      </c>
      <c r="CE80" s="1720">
        <v>220</v>
      </c>
      <c r="CF80" s="1720">
        <v>375</v>
      </c>
      <c r="CG80" s="1720" t="s">
        <v>1273</v>
      </c>
      <c r="CH80" s="328"/>
    </row>
    <row r="81" spans="1:86" x14ac:dyDescent="0.3">
      <c r="A81" s="1720">
        <v>80</v>
      </c>
      <c r="B81" s="328"/>
      <c r="C81" s="1720" t="s">
        <v>1450</v>
      </c>
      <c r="D81" s="1720">
        <v>825</v>
      </c>
      <c r="E81" s="1720">
        <v>5</v>
      </c>
      <c r="F81" s="1720">
        <v>120</v>
      </c>
      <c r="G81" s="1720">
        <v>790</v>
      </c>
      <c r="H81" s="1720">
        <v>2.5</v>
      </c>
      <c r="I81" s="1720">
        <v>735</v>
      </c>
      <c r="J81" s="1720">
        <v>880</v>
      </c>
      <c r="K81" s="1720">
        <v>910</v>
      </c>
      <c r="L81" s="1720">
        <v>190</v>
      </c>
      <c r="M81" s="1720"/>
      <c r="N81" s="328"/>
      <c r="O81" s="1720"/>
      <c r="R81" s="1720">
        <v>80</v>
      </c>
      <c r="S81" s="1720"/>
      <c r="T81" s="1720">
        <v>765</v>
      </c>
      <c r="U81" s="1720">
        <v>430</v>
      </c>
      <c r="V81" s="1720">
        <v>80</v>
      </c>
      <c r="W81" s="1720"/>
      <c r="AC81" s="1720">
        <v>45</v>
      </c>
      <c r="AD81" s="1720">
        <v>1015</v>
      </c>
      <c r="AE81" s="1720">
        <v>170</v>
      </c>
      <c r="AF81" s="1720">
        <v>845</v>
      </c>
      <c r="AG81" s="1720">
        <v>170</v>
      </c>
      <c r="AH81" s="1720">
        <v>190</v>
      </c>
      <c r="AI81" s="1720">
        <v>210</v>
      </c>
      <c r="AJ81" s="1720">
        <v>41</v>
      </c>
      <c r="AK81" s="1720">
        <v>56</v>
      </c>
      <c r="AL81" s="1720">
        <v>125</v>
      </c>
      <c r="AM81" s="1770" t="s">
        <v>1328</v>
      </c>
      <c r="BO81">
        <v>285</v>
      </c>
      <c r="BP81" t="s">
        <v>485</v>
      </c>
      <c r="BS81" s="196">
        <f>IF(MAX(BT81:BT1160)&lt;ROW(5:5),"",VLOOKUP(ROW(5:5),BT81:BU1160,2))</f>
        <v>95</v>
      </c>
      <c r="BT81" s="197" t="str">
        <f>IF(COUNTIF(BU$76:BU81,BU81)=1,MAX(BT$76:BT80)+1,"")</f>
        <v/>
      </c>
      <c r="BU81" s="1720">
        <v>85</v>
      </c>
      <c r="BV81" s="1720">
        <v>245</v>
      </c>
      <c r="BW81" s="1720">
        <v>140</v>
      </c>
      <c r="BX81" s="1720" t="s">
        <v>1499</v>
      </c>
      <c r="BY81" s="1772"/>
      <c r="CB81" s="1720">
        <v>350</v>
      </c>
      <c r="CC81" s="1720">
        <v>277.5</v>
      </c>
      <c r="CD81" s="1720">
        <v>420</v>
      </c>
      <c r="CE81" s="1720">
        <v>340</v>
      </c>
      <c r="CF81" s="1720">
        <v>415</v>
      </c>
      <c r="CG81" s="1720" t="s">
        <v>1274</v>
      </c>
      <c r="CH81" s="328"/>
    </row>
    <row r="82" spans="1:86" x14ac:dyDescent="0.3">
      <c r="A82" s="1720">
        <v>81</v>
      </c>
      <c r="B82" s="328"/>
      <c r="C82" s="1720"/>
      <c r="D82" s="1720"/>
      <c r="E82" s="1720"/>
      <c r="F82" s="1720"/>
      <c r="G82" s="1720">
        <v>795</v>
      </c>
      <c r="H82" s="1720">
        <v>5</v>
      </c>
      <c r="I82" s="1720">
        <v>640</v>
      </c>
      <c r="J82" s="1720"/>
      <c r="K82" s="1720"/>
      <c r="L82" s="1720"/>
      <c r="M82" s="1720" t="s">
        <v>1367</v>
      </c>
      <c r="N82" s="328"/>
      <c r="O82" s="1720"/>
      <c r="R82" s="1720">
        <v>81</v>
      </c>
      <c r="S82" s="1720" t="s">
        <v>1992</v>
      </c>
      <c r="T82" s="1720">
        <v>780</v>
      </c>
      <c r="U82" s="1720">
        <v>1090</v>
      </c>
      <c r="V82" s="1720">
        <v>80</v>
      </c>
      <c r="W82" s="1720"/>
      <c r="AC82" s="1720">
        <v>111</v>
      </c>
      <c r="AD82" s="1720">
        <v>1030</v>
      </c>
      <c r="AE82" s="1720">
        <v>180</v>
      </c>
      <c r="AF82" s="1720">
        <v>850</v>
      </c>
      <c r="AG82" s="1720">
        <v>145</v>
      </c>
      <c r="AH82" s="1720">
        <v>165</v>
      </c>
      <c r="AI82" s="1720">
        <v>200</v>
      </c>
      <c r="AJ82" s="1720">
        <v>50</v>
      </c>
      <c r="AK82" s="1720">
        <v>70</v>
      </c>
      <c r="AL82" s="1720">
        <v>140</v>
      </c>
      <c r="AM82" s="1770" t="s">
        <v>1329</v>
      </c>
      <c r="BO82">
        <v>287.5</v>
      </c>
      <c r="BP82" t="s">
        <v>486</v>
      </c>
      <c r="BS82" s="196">
        <f>IF(MAX(BT82:BT1161)&lt;ROW(6:6),"",VLOOKUP(ROW(6:6),BT82:BU1161,2))</f>
        <v>100</v>
      </c>
      <c r="BT82" s="197" t="str">
        <f>IF(COUNTIF(BU$76:BU82,BU82)=1,MAX(BT$76:BT81)+1,"")</f>
        <v/>
      </c>
      <c r="BU82" s="1720">
        <v>85</v>
      </c>
      <c r="BV82" s="1720">
        <v>245</v>
      </c>
      <c r="BW82" s="1720">
        <v>140</v>
      </c>
      <c r="BX82" s="1720" t="s">
        <v>1499</v>
      </c>
      <c r="BY82" s="1772"/>
      <c r="CB82" s="1720">
        <v>305</v>
      </c>
      <c r="CC82" s="1720">
        <v>277.5</v>
      </c>
      <c r="CD82" s="1720">
        <v>257</v>
      </c>
      <c r="CE82" s="1720">
        <v>200</v>
      </c>
      <c r="CF82" s="1720">
        <v>375</v>
      </c>
      <c r="CG82" s="1720" t="s">
        <v>1273</v>
      </c>
      <c r="CH82" s="328"/>
    </row>
    <row r="83" spans="1:86" x14ac:dyDescent="0.3">
      <c r="A83" s="1720">
        <v>82</v>
      </c>
      <c r="B83" s="328"/>
      <c r="C83" s="1720"/>
      <c r="D83" s="1720">
        <v>900</v>
      </c>
      <c r="E83" s="1720">
        <v>5</v>
      </c>
      <c r="F83" s="1720">
        <v>130</v>
      </c>
      <c r="G83" s="1720">
        <v>795</v>
      </c>
      <c r="H83" s="1720">
        <v>7.5</v>
      </c>
      <c r="I83" s="1720">
        <v>970</v>
      </c>
      <c r="J83" s="1720">
        <v>985</v>
      </c>
      <c r="K83" s="1720">
        <v>1035</v>
      </c>
      <c r="L83" s="1720">
        <v>270</v>
      </c>
      <c r="M83" s="1720"/>
      <c r="N83" s="328"/>
      <c r="O83" s="1720"/>
      <c r="R83" s="1720">
        <v>82</v>
      </c>
      <c r="S83" s="1720" t="s">
        <v>1428</v>
      </c>
      <c r="T83" s="1720">
        <v>780</v>
      </c>
      <c r="U83" s="1720">
        <v>940</v>
      </c>
      <c r="V83" s="1720">
        <v>80</v>
      </c>
      <c r="W83" s="1720"/>
      <c r="AC83" s="1720">
        <v>58</v>
      </c>
      <c r="AD83" s="1720">
        <v>1030</v>
      </c>
      <c r="AE83" s="1720">
        <v>180</v>
      </c>
      <c r="AF83" s="1720">
        <v>850</v>
      </c>
      <c r="AG83" s="1720">
        <v>145</v>
      </c>
      <c r="AH83" s="1720">
        <v>162</v>
      </c>
      <c r="AI83" s="1720">
        <v>200</v>
      </c>
      <c r="AJ83" s="1720">
        <v>90</v>
      </c>
      <c r="AK83" s="1720">
        <v>105</v>
      </c>
      <c r="AL83" s="1720">
        <v>180</v>
      </c>
      <c r="AM83" s="1770" t="s">
        <v>1330</v>
      </c>
      <c r="BO83">
        <v>290</v>
      </c>
      <c r="BP83" t="s">
        <v>487</v>
      </c>
      <c r="BS83" s="196">
        <f>IF(MAX(BT83:BT1162)&lt;ROW(7:7),"",VLOOKUP(ROW(7:7),BT83:BU1162,2))</f>
        <v>102.5</v>
      </c>
      <c r="BT83" s="197" t="str">
        <f>IF(COUNTIF(BU$76:BU83,BU83)=1,MAX(BT$76:BT82)+1,"")</f>
        <v/>
      </c>
      <c r="BU83" s="1720">
        <v>85</v>
      </c>
      <c r="BV83" s="1720">
        <v>243</v>
      </c>
      <c r="BW83" s="1720">
        <v>140</v>
      </c>
      <c r="BX83" s="1720" t="s">
        <v>1499</v>
      </c>
      <c r="BY83" s="1772"/>
      <c r="CB83" s="1720">
        <v>299</v>
      </c>
      <c r="CC83" s="1720">
        <v>277.5</v>
      </c>
      <c r="CD83" s="1720">
        <v>260</v>
      </c>
      <c r="CE83" s="1720">
        <v>210</v>
      </c>
      <c r="CF83" s="1720">
        <v>375</v>
      </c>
      <c r="CG83" s="1720" t="s">
        <v>1273</v>
      </c>
      <c r="CH83" s="328"/>
    </row>
    <row r="84" spans="1:86" x14ac:dyDescent="0.3">
      <c r="A84" s="1720">
        <v>83</v>
      </c>
      <c r="B84" s="328"/>
      <c r="C84" s="1720"/>
      <c r="D84" s="1720"/>
      <c r="E84" s="1720"/>
      <c r="F84" s="1720"/>
      <c r="G84" s="1720">
        <v>800</v>
      </c>
      <c r="H84" s="1720">
        <v>4</v>
      </c>
      <c r="I84" s="1720">
        <v>220</v>
      </c>
      <c r="J84" s="1720">
        <v>865</v>
      </c>
      <c r="K84" s="1720">
        <v>895</v>
      </c>
      <c r="L84" s="1720">
        <v>180</v>
      </c>
      <c r="M84" s="1720"/>
      <c r="N84" s="328"/>
      <c r="O84" s="1720"/>
      <c r="R84" s="1720">
        <v>83</v>
      </c>
      <c r="S84" s="1720"/>
      <c r="T84" s="1720">
        <v>780</v>
      </c>
      <c r="U84" s="1720">
        <v>660</v>
      </c>
      <c r="V84" s="1720">
        <v>80</v>
      </c>
      <c r="W84" s="1720"/>
      <c r="AC84" s="1720">
        <v>70</v>
      </c>
      <c r="AD84" s="1720">
        <v>980</v>
      </c>
      <c r="AE84" s="1720">
        <v>130</v>
      </c>
      <c r="AF84" s="1720">
        <v>850</v>
      </c>
      <c r="AG84" s="1720">
        <v>180</v>
      </c>
      <c r="AH84" s="1720">
        <v>196</v>
      </c>
      <c r="AI84" s="1720">
        <v>230</v>
      </c>
      <c r="AJ84" s="1720">
        <v>30</v>
      </c>
      <c r="AK84" s="1720">
        <v>35</v>
      </c>
      <c r="AL84" s="1720">
        <v>85</v>
      </c>
      <c r="BO84">
        <v>292.5</v>
      </c>
      <c r="BP84" t="s">
        <v>488</v>
      </c>
      <c r="BS84" s="196">
        <f>IF(MAX(BT84:BT1163)&lt;ROW(8:8),"",VLOOKUP(ROW(8:8),BT84:BU1163,2))</f>
        <v>105</v>
      </c>
      <c r="BT84" s="197" t="str">
        <f>IF(COUNTIF(BU$76:BU84,BU84)=1,MAX(BT$76:BT83)+1,"")</f>
        <v/>
      </c>
      <c r="BU84" s="1720">
        <v>85</v>
      </c>
      <c r="BV84" s="1720">
        <v>240</v>
      </c>
      <c r="BW84" s="1720">
        <v>140</v>
      </c>
      <c r="BX84" s="1720" t="s">
        <v>1499</v>
      </c>
      <c r="BY84" s="1772"/>
      <c r="CB84" s="1720">
        <v>310</v>
      </c>
      <c r="CC84" s="1720">
        <v>280</v>
      </c>
      <c r="CD84" s="1720">
        <v>200</v>
      </c>
      <c r="CE84" s="1720">
        <v>130</v>
      </c>
      <c r="CF84" s="1720">
        <v>375</v>
      </c>
      <c r="CG84" s="1720">
        <v>7242060</v>
      </c>
      <c r="CH84" s="328"/>
    </row>
    <row r="85" spans="1:86" x14ac:dyDescent="0.3">
      <c r="A85" s="1720">
        <v>84</v>
      </c>
      <c r="B85" s="328"/>
      <c r="C85" s="1720"/>
      <c r="D85" s="1720"/>
      <c r="E85" s="1720"/>
      <c r="F85" s="1720"/>
      <c r="G85" s="1720">
        <v>805</v>
      </c>
      <c r="H85" s="1720">
        <v>12</v>
      </c>
      <c r="I85" s="1720">
        <v>520</v>
      </c>
      <c r="J85" s="1720"/>
      <c r="K85" s="1720"/>
      <c r="L85" s="1720"/>
      <c r="M85" s="1720" t="s">
        <v>1368</v>
      </c>
      <c r="N85" s="328"/>
      <c r="O85" s="1720"/>
      <c r="R85" s="1720">
        <v>84</v>
      </c>
      <c r="S85" s="1720" t="s">
        <v>1431</v>
      </c>
      <c r="T85" s="1720">
        <v>780</v>
      </c>
      <c r="U85" s="1720">
        <v>980</v>
      </c>
      <c r="V85" s="1720">
        <v>80</v>
      </c>
      <c r="W85" s="1720"/>
      <c r="AC85" s="1720">
        <v>99</v>
      </c>
      <c r="AD85" s="1720">
        <v>1150</v>
      </c>
      <c r="AE85" s="1720">
        <v>300</v>
      </c>
      <c r="AF85" s="1720">
        <v>850</v>
      </c>
      <c r="AG85" s="1720">
        <v>185</v>
      </c>
      <c r="AH85" s="1720">
        <v>195</v>
      </c>
      <c r="AI85" s="1720">
        <v>250</v>
      </c>
      <c r="AJ85" s="1720">
        <v>110</v>
      </c>
      <c r="AK85" s="1720">
        <v>120</v>
      </c>
      <c r="AL85" s="1720">
        <v>220</v>
      </c>
      <c r="AM85" s="1770" t="s">
        <v>1331</v>
      </c>
      <c r="BO85">
        <v>295</v>
      </c>
      <c r="BP85" t="s">
        <v>488</v>
      </c>
      <c r="BS85" s="196">
        <f>IF(MAX(BT85:BT1164)&lt;ROW(9:9),"",VLOOKUP(ROW(9:9),BT85:BU1164,2))</f>
        <v>107.5</v>
      </c>
      <c r="BT85" s="197" t="str">
        <f>IF(COUNTIF(BU$76:BU85,BU85)=1,MAX(BT$76:BT84)+1,"")</f>
        <v/>
      </c>
      <c r="BU85" s="1720">
        <v>85</v>
      </c>
      <c r="BV85" s="1720">
        <v>240</v>
      </c>
      <c r="BW85" s="1720">
        <v>140</v>
      </c>
      <c r="BX85" s="1720" t="s">
        <v>1499</v>
      </c>
      <c r="BY85" s="1772"/>
      <c r="CB85" s="1720">
        <v>313</v>
      </c>
      <c r="CC85" s="1720">
        <v>280</v>
      </c>
      <c r="CD85" s="1720">
        <v>200</v>
      </c>
      <c r="CE85" s="1720">
        <v>135</v>
      </c>
      <c r="CF85" s="1720">
        <v>375</v>
      </c>
      <c r="CG85" s="1720">
        <v>7242060</v>
      </c>
      <c r="CH85" s="328"/>
    </row>
    <row r="86" spans="1:86" x14ac:dyDescent="0.3">
      <c r="A86" s="1720">
        <v>85</v>
      </c>
      <c r="B86" s="328"/>
      <c r="C86" s="1720" t="s">
        <v>1421</v>
      </c>
      <c r="D86" s="1720"/>
      <c r="E86" s="1720"/>
      <c r="F86" s="1720"/>
      <c r="G86" s="1720">
        <v>825</v>
      </c>
      <c r="H86" s="1720">
        <v>3.5</v>
      </c>
      <c r="I86" s="1720">
        <v>225</v>
      </c>
      <c r="J86" s="1720">
        <v>832</v>
      </c>
      <c r="K86" s="1720">
        <v>885</v>
      </c>
      <c r="L86" s="1720">
        <v>120</v>
      </c>
      <c r="M86" s="1720" t="s">
        <v>1422</v>
      </c>
      <c r="N86" s="328"/>
      <c r="O86" s="1720"/>
      <c r="R86" s="1720">
        <v>85</v>
      </c>
      <c r="S86" s="1720"/>
      <c r="T86" s="1720">
        <v>780</v>
      </c>
      <c r="U86" s="1720">
        <v>700</v>
      </c>
      <c r="V86" s="1720">
        <v>80</v>
      </c>
      <c r="W86" s="1720"/>
      <c r="AC86" s="1720">
        <v>106</v>
      </c>
      <c r="AD86" s="1720">
        <v>1005</v>
      </c>
      <c r="AE86" s="1720">
        <v>150</v>
      </c>
      <c r="AF86" s="1720">
        <v>855</v>
      </c>
      <c r="AG86" s="1720">
        <v>280</v>
      </c>
      <c r="AH86" s="1720">
        <v>290</v>
      </c>
      <c r="AI86" s="1720">
        <v>330</v>
      </c>
      <c r="AJ86" s="1720">
        <v>33</v>
      </c>
      <c r="AK86" s="1720">
        <v>45</v>
      </c>
      <c r="AL86" s="1720">
        <v>110</v>
      </c>
      <c r="BO86">
        <v>297.5</v>
      </c>
      <c r="BP86" t="s">
        <v>489</v>
      </c>
      <c r="BS86" s="196">
        <f>IF(MAX(BT86:BT1165)&lt;ROW(10:10),"",VLOOKUP(ROW(10:10),BT86:BU1165,2))</f>
        <v>110</v>
      </c>
      <c r="BT86" s="197" t="str">
        <f>IF(COUNTIF(BU$76:BU86,BU86)=1,MAX(BT$76:BT85)+1,"")</f>
        <v/>
      </c>
      <c r="BU86" s="1720">
        <v>85</v>
      </c>
      <c r="BV86" s="1720">
        <v>245</v>
      </c>
      <c r="BW86" s="1720">
        <v>140</v>
      </c>
      <c r="BX86" s="1720" t="s">
        <v>1499</v>
      </c>
      <c r="BY86" s="1772"/>
      <c r="CB86" s="1720">
        <v>315</v>
      </c>
      <c r="CC86" s="1720">
        <v>285</v>
      </c>
      <c r="CD86" s="1720">
        <v>378</v>
      </c>
      <c r="CE86" s="1720">
        <v>275</v>
      </c>
      <c r="CF86" s="1720">
        <v>375</v>
      </c>
      <c r="CG86" s="1720" t="s">
        <v>1275</v>
      </c>
      <c r="CH86" s="328"/>
    </row>
    <row r="87" spans="1:86" x14ac:dyDescent="0.3">
      <c r="A87" s="1720">
        <v>86</v>
      </c>
      <c r="B87" s="328"/>
      <c r="C87" s="1720"/>
      <c r="D87" s="1720"/>
      <c r="E87" s="1720"/>
      <c r="F87" s="1720"/>
      <c r="G87" s="1720">
        <v>825</v>
      </c>
      <c r="H87" s="1720">
        <v>7.5</v>
      </c>
      <c r="I87" s="1720">
        <v>490</v>
      </c>
      <c r="J87" s="1720">
        <v>880</v>
      </c>
      <c r="K87" s="1720">
        <v>900</v>
      </c>
      <c r="L87" s="1720">
        <v>100</v>
      </c>
      <c r="M87" s="1720"/>
      <c r="N87" s="328"/>
      <c r="O87" s="1720"/>
      <c r="R87" s="1720">
        <v>86</v>
      </c>
      <c r="S87" s="1720"/>
      <c r="T87" s="1720">
        <v>785</v>
      </c>
      <c r="U87" s="1720">
        <v>390</v>
      </c>
      <c r="V87" s="1720">
        <v>80</v>
      </c>
      <c r="W87" s="1720"/>
      <c r="AC87" s="1720">
        <v>110</v>
      </c>
      <c r="AD87" s="1720">
        <v>1030</v>
      </c>
      <c r="AE87" s="1720">
        <v>170</v>
      </c>
      <c r="AF87" s="1720">
        <v>860</v>
      </c>
      <c r="AG87" s="1720">
        <v>143</v>
      </c>
      <c r="AH87" s="1720">
        <v>163</v>
      </c>
      <c r="AI87" s="1720">
        <v>200</v>
      </c>
      <c r="AJ87" s="1720">
        <v>37</v>
      </c>
      <c r="AK87" s="1720">
        <v>57</v>
      </c>
      <c r="AL87" s="1720">
        <v>130</v>
      </c>
      <c r="BO87">
        <v>300</v>
      </c>
      <c r="BP87" t="s">
        <v>490</v>
      </c>
      <c r="BS87" s="196">
        <f>IF(MAX(BT87:BT1166)&lt;ROW(11:11),"",VLOOKUP(ROW(11:11),BT87:BU1166,2))</f>
        <v>112.5</v>
      </c>
      <c r="BT87" s="197">
        <f>IF(COUNTIF(BU$76:BU87,BU87)=1,MAX(BT$76:BT86)+1,"")</f>
        <v>2</v>
      </c>
      <c r="BU87" s="1720">
        <v>87.5</v>
      </c>
      <c r="BV87" s="1720">
        <v>245</v>
      </c>
      <c r="BW87" s="1720">
        <v>140</v>
      </c>
      <c r="BX87" s="1720" t="s">
        <v>1500</v>
      </c>
      <c r="BY87" s="1772"/>
      <c r="CB87" s="1720">
        <v>313</v>
      </c>
      <c r="CC87" s="1720">
        <v>285</v>
      </c>
      <c r="CD87" s="1720">
        <v>380</v>
      </c>
      <c r="CE87" s="1720">
        <v>320</v>
      </c>
      <c r="CF87" s="1720">
        <v>375</v>
      </c>
      <c r="CG87" s="1720" t="s">
        <v>1275</v>
      </c>
      <c r="CH87" s="328"/>
    </row>
    <row r="88" spans="1:86" x14ac:dyDescent="0.3">
      <c r="A88" s="1720">
        <v>87</v>
      </c>
      <c r="B88" s="328"/>
      <c r="C88" s="1720" t="s">
        <v>1423</v>
      </c>
      <c r="D88" s="1720"/>
      <c r="E88" s="1720"/>
      <c r="F88" s="1720"/>
      <c r="G88" s="1720">
        <v>825</v>
      </c>
      <c r="H88" s="1720">
        <v>7.5</v>
      </c>
      <c r="I88" s="1720">
        <v>720</v>
      </c>
      <c r="J88" s="1720">
        <v>880</v>
      </c>
      <c r="K88" s="1720">
        <v>900</v>
      </c>
      <c r="L88" s="1720">
        <v>115</v>
      </c>
      <c r="M88" s="1720"/>
      <c r="N88" s="328"/>
      <c r="O88" s="1720"/>
      <c r="R88" s="1720">
        <v>87</v>
      </c>
      <c r="S88" s="1720" t="s">
        <v>1451</v>
      </c>
      <c r="T88" s="1720">
        <v>790</v>
      </c>
      <c r="U88" s="1720">
        <v>890</v>
      </c>
      <c r="V88" s="1720">
        <v>80</v>
      </c>
      <c r="W88" s="1720"/>
      <c r="AC88" s="1720">
        <v>82</v>
      </c>
      <c r="AD88" s="1720">
        <v>1020</v>
      </c>
      <c r="AE88" s="1720">
        <v>160</v>
      </c>
      <c r="AF88" s="1720">
        <v>860</v>
      </c>
      <c r="AG88" s="1720">
        <v>330</v>
      </c>
      <c r="AH88" s="1720">
        <v>345</v>
      </c>
      <c r="AI88" s="1720">
        <v>375</v>
      </c>
      <c r="AJ88" s="1720">
        <v>34</v>
      </c>
      <c r="AK88" s="1720">
        <v>45</v>
      </c>
      <c r="AL88" s="1720">
        <v>105</v>
      </c>
      <c r="BO88">
        <v>302.5</v>
      </c>
      <c r="BP88" t="s">
        <v>494</v>
      </c>
      <c r="BS88" s="196">
        <f>IF(MAX(BT88:BT1167)&lt;ROW(12:12),"",VLOOKUP(ROW(12:12),BT88:BU1167,2))</f>
        <v>115</v>
      </c>
      <c r="BT88" s="197" t="str">
        <f>IF(COUNTIF(BU$76:BU88,BU88)=1,MAX(BT$76:BT87)+1,"")</f>
        <v/>
      </c>
      <c r="BU88" s="1720">
        <v>87.5</v>
      </c>
      <c r="BV88" s="1720">
        <v>245</v>
      </c>
      <c r="BW88" s="1720">
        <v>140</v>
      </c>
      <c r="BX88" s="1720" t="s">
        <v>1500</v>
      </c>
      <c r="BY88" s="1772"/>
      <c r="CB88" s="1720" t="s">
        <v>404</v>
      </c>
      <c r="CC88" s="1720" t="s">
        <v>405</v>
      </c>
      <c r="CD88" s="1720">
        <v>205</v>
      </c>
      <c r="CE88" s="1720" t="s">
        <v>406</v>
      </c>
      <c r="CF88" s="1720">
        <v>410</v>
      </c>
      <c r="CG88" s="1720" t="s">
        <v>1276</v>
      </c>
      <c r="CH88" s="328" t="s">
        <v>1905</v>
      </c>
    </row>
    <row r="89" spans="1:86" x14ac:dyDescent="0.3">
      <c r="A89" s="1720">
        <v>88</v>
      </c>
      <c r="B89" s="328"/>
      <c r="C89" s="1720"/>
      <c r="D89" s="1720"/>
      <c r="E89" s="1720"/>
      <c r="F89" s="1720"/>
      <c r="G89" s="1720">
        <v>830</v>
      </c>
      <c r="H89" s="1720">
        <v>7</v>
      </c>
      <c r="I89" s="1720">
        <v>680</v>
      </c>
      <c r="J89" s="1720">
        <v>885</v>
      </c>
      <c r="K89" s="1720">
        <v>910</v>
      </c>
      <c r="L89" s="1720">
        <v>160</v>
      </c>
      <c r="M89" s="1720"/>
      <c r="N89" s="328"/>
      <c r="O89" s="1720"/>
      <c r="R89" s="1720">
        <v>88</v>
      </c>
      <c r="S89" s="1720"/>
      <c r="T89" s="1720">
        <v>790</v>
      </c>
      <c r="U89" s="1720">
        <v>520</v>
      </c>
      <c r="V89" s="1720">
        <v>80</v>
      </c>
      <c r="W89" s="1720"/>
      <c r="AC89" s="1720">
        <v>137</v>
      </c>
      <c r="AD89" s="1720">
        <v>1035</v>
      </c>
      <c r="AE89" s="1720">
        <v>175</v>
      </c>
      <c r="AF89" s="1720">
        <v>860</v>
      </c>
      <c r="AG89" s="1720">
        <v>395</v>
      </c>
      <c r="AH89" s="1720">
        <v>405</v>
      </c>
      <c r="AI89" s="1720">
        <v>445</v>
      </c>
      <c r="AJ89" s="1720">
        <v>70</v>
      </c>
      <c r="AK89" s="1720">
        <v>80</v>
      </c>
      <c r="AL89" s="1720">
        <v>150</v>
      </c>
      <c r="AM89" s="1770" t="s">
        <v>1332</v>
      </c>
      <c r="AP89" t="s">
        <v>2</v>
      </c>
      <c r="AQ89" t="s">
        <v>1211</v>
      </c>
      <c r="AR89" t="s">
        <v>1212</v>
      </c>
      <c r="AS89" t="s">
        <v>1213</v>
      </c>
      <c r="AT89" t="s">
        <v>670</v>
      </c>
      <c r="AU89" t="s">
        <v>813</v>
      </c>
      <c r="AV89" t="s">
        <v>814</v>
      </c>
      <c r="AW89" t="s">
        <v>815</v>
      </c>
      <c r="AX89" t="s">
        <v>1214</v>
      </c>
      <c r="BO89">
        <v>305</v>
      </c>
      <c r="BP89" t="s">
        <v>495</v>
      </c>
      <c r="BS89" s="196">
        <f>IF(MAX(BT89:BT1168)&lt;ROW(13:13),"",VLOOKUP(ROW(13:13),BT89:BU1168,2))</f>
        <v>117.5</v>
      </c>
      <c r="BT89" s="197" t="str">
        <f>IF(COUNTIF(BU$76:BU89,BU89)=1,MAX(BT$76:BT88)+1,"")</f>
        <v/>
      </c>
      <c r="BU89" s="1720">
        <v>87.5</v>
      </c>
      <c r="BV89" s="1720">
        <v>245</v>
      </c>
      <c r="BW89" s="1720">
        <v>140</v>
      </c>
      <c r="BX89" s="1720" t="s">
        <v>1500</v>
      </c>
      <c r="BY89" s="1772"/>
      <c r="CB89" s="1720">
        <v>355</v>
      </c>
      <c r="CC89" s="1720">
        <v>295</v>
      </c>
      <c r="CD89" s="1720">
        <v>517</v>
      </c>
      <c r="CE89" s="1720">
        <v>450</v>
      </c>
      <c r="CF89" s="1720">
        <v>470</v>
      </c>
      <c r="CG89" s="1720" t="s">
        <v>1277</v>
      </c>
      <c r="CH89" s="328"/>
    </row>
    <row r="90" spans="1:86" x14ac:dyDescent="0.3">
      <c r="A90" s="1720">
        <v>89</v>
      </c>
      <c r="B90" s="328"/>
      <c r="C90" s="1720" t="s">
        <v>1424</v>
      </c>
      <c r="D90" s="1720"/>
      <c r="E90" s="1720"/>
      <c r="F90" s="1720"/>
      <c r="G90" s="1720">
        <v>835</v>
      </c>
      <c r="H90" s="1720">
        <v>5</v>
      </c>
      <c r="I90" s="1720">
        <v>640</v>
      </c>
      <c r="J90" s="1720">
        <v>865</v>
      </c>
      <c r="K90" s="1720">
        <v>890</v>
      </c>
      <c r="L90" s="1720">
        <v>120</v>
      </c>
      <c r="M90" s="1720"/>
      <c r="N90" s="328"/>
      <c r="O90" s="1720"/>
      <c r="R90" s="1720">
        <v>89</v>
      </c>
      <c r="S90" s="1720" t="s">
        <v>1993</v>
      </c>
      <c r="T90" s="1720">
        <v>800</v>
      </c>
      <c r="U90" s="1720">
        <v>620</v>
      </c>
      <c r="V90" s="1720">
        <v>80</v>
      </c>
      <c r="W90" s="1720"/>
      <c r="AC90" s="1720">
        <v>93</v>
      </c>
      <c r="AD90" s="1720">
        <v>1030</v>
      </c>
      <c r="AE90" s="1720">
        <v>165</v>
      </c>
      <c r="AF90" s="1720">
        <v>865</v>
      </c>
      <c r="AG90" s="1720">
        <v>240</v>
      </c>
      <c r="AH90" s="1720">
        <v>256</v>
      </c>
      <c r="AI90" s="1720">
        <v>295</v>
      </c>
      <c r="AJ90" s="1720">
        <v>38</v>
      </c>
      <c r="AK90" s="1720">
        <v>48</v>
      </c>
      <c r="AL90" s="1720">
        <v>120</v>
      </c>
      <c r="AP90" s="328" t="s">
        <v>1487</v>
      </c>
      <c r="AQ90" s="1720">
        <v>800</v>
      </c>
      <c r="AR90" s="1720">
        <v>535</v>
      </c>
      <c r="AS90" s="1720">
        <v>65</v>
      </c>
      <c r="AT90" s="1720"/>
      <c r="AU90" s="1720"/>
      <c r="AV90" s="1720"/>
      <c r="AW90" s="1720"/>
      <c r="AX90" s="328" t="s">
        <v>1488</v>
      </c>
      <c r="BO90">
        <v>307.5</v>
      </c>
      <c r="BP90" t="s">
        <v>496</v>
      </c>
      <c r="BS90" s="196">
        <f>IF(MAX(BT90:BT1169)&lt;ROW(14:14),"",VLOOKUP(ROW(14:14),BT90:BU1169,2))</f>
        <v>120</v>
      </c>
      <c r="BT90" s="197">
        <f>IF(COUNTIF(BU$76:BU90,BU90)=1,MAX(BT$76:BT89)+1,"")</f>
        <v>3</v>
      </c>
      <c r="BU90" s="1720">
        <v>90</v>
      </c>
      <c r="BV90" s="1720">
        <v>240</v>
      </c>
      <c r="BW90" s="1720">
        <v>140</v>
      </c>
      <c r="BX90" s="1720" t="s">
        <v>1501</v>
      </c>
      <c r="BY90" s="1772"/>
      <c r="CB90" s="1720">
        <v>324</v>
      </c>
      <c r="CC90" s="1720">
        <v>295</v>
      </c>
      <c r="CD90" s="1720">
        <v>320</v>
      </c>
      <c r="CE90" s="1720">
        <v>195</v>
      </c>
      <c r="CF90" s="1720">
        <v>415</v>
      </c>
      <c r="CG90" s="1720">
        <v>7249282</v>
      </c>
      <c r="CH90" s="328"/>
    </row>
    <row r="91" spans="1:86" x14ac:dyDescent="0.3">
      <c r="A91" s="1720">
        <v>90</v>
      </c>
      <c r="B91" s="328"/>
      <c r="C91" s="1720"/>
      <c r="D91" s="1720"/>
      <c r="E91" s="1720"/>
      <c r="F91" s="1720"/>
      <c r="G91" s="1720">
        <v>840</v>
      </c>
      <c r="H91" s="1720">
        <v>25</v>
      </c>
      <c r="I91" s="1720">
        <v>870</v>
      </c>
      <c r="J91" s="1720">
        <v>945</v>
      </c>
      <c r="K91" s="1720">
        <v>975</v>
      </c>
      <c r="L91" s="1720">
        <v>210</v>
      </c>
      <c r="M91" s="1720" t="s">
        <v>1369</v>
      </c>
      <c r="N91" s="328"/>
      <c r="O91" s="1720"/>
      <c r="R91" s="1720">
        <v>90</v>
      </c>
      <c r="S91" s="1720" t="s">
        <v>1994</v>
      </c>
      <c r="T91" s="1720">
        <v>820</v>
      </c>
      <c r="U91" s="1720">
        <v>1200</v>
      </c>
      <c r="V91" s="1720">
        <v>100</v>
      </c>
      <c r="W91" s="1720" t="s">
        <v>1995</v>
      </c>
      <c r="AC91" s="1720">
        <v>73</v>
      </c>
      <c r="AD91" s="1720">
        <v>1065</v>
      </c>
      <c r="AE91" s="1720">
        <v>200</v>
      </c>
      <c r="AF91" s="1720">
        <v>865</v>
      </c>
      <c r="AG91" s="1720">
        <v>425</v>
      </c>
      <c r="AH91" s="1720">
        <v>435</v>
      </c>
      <c r="AI91" s="1720">
        <v>490</v>
      </c>
      <c r="AJ91" s="1720">
        <v>49</v>
      </c>
      <c r="AK91" s="1720">
        <v>54</v>
      </c>
      <c r="AL91" s="1720">
        <v>130</v>
      </c>
      <c r="AP91" s="328" t="s">
        <v>1489</v>
      </c>
      <c r="AQ91" s="1720">
        <v>1125</v>
      </c>
      <c r="AR91" s="1720">
        <v>675</v>
      </c>
      <c r="AS91" s="1720">
        <v>140</v>
      </c>
      <c r="AT91" s="1720"/>
      <c r="AU91" s="1720"/>
      <c r="AV91" s="1720"/>
      <c r="AW91" s="1720"/>
      <c r="AX91" s="328" t="s">
        <v>1490</v>
      </c>
      <c r="BO91">
        <v>310</v>
      </c>
      <c r="BP91" t="s">
        <v>497</v>
      </c>
      <c r="BS91" s="196">
        <f>IF(MAX(BT91:BT1170)&lt;ROW(15:15),"",VLOOKUP(ROW(15:15),BT91:BU1170,2))</f>
        <v>122.5</v>
      </c>
      <c r="BT91" s="197" t="str">
        <f>IF(COUNTIF(BU$76:BU91,BU91)=1,MAX(BT$76:BT90)+1,"")</f>
        <v/>
      </c>
      <c r="BU91" s="1720">
        <v>90</v>
      </c>
      <c r="BV91" s="1720">
        <v>243</v>
      </c>
      <c r="BW91" s="1720">
        <v>140</v>
      </c>
      <c r="BX91" s="1720" t="s">
        <v>1501</v>
      </c>
      <c r="BY91" s="1772"/>
      <c r="CB91" s="1720">
        <v>320</v>
      </c>
      <c r="CC91" s="1720">
        <v>295</v>
      </c>
      <c r="CD91" s="1720">
        <v>320</v>
      </c>
      <c r="CE91" s="1720">
        <v>190</v>
      </c>
      <c r="CF91" s="1720">
        <v>415</v>
      </c>
      <c r="CG91" s="1720">
        <v>7249282</v>
      </c>
      <c r="CH91" s="328"/>
    </row>
    <row r="92" spans="1:86" x14ac:dyDescent="0.3">
      <c r="A92" s="1720">
        <v>91</v>
      </c>
      <c r="B92" s="328"/>
      <c r="C92" s="1720"/>
      <c r="D92" s="1720"/>
      <c r="E92" s="1720"/>
      <c r="F92" s="1720"/>
      <c r="G92" s="1720">
        <v>845</v>
      </c>
      <c r="H92" s="1720">
        <v>5</v>
      </c>
      <c r="I92" s="1720">
        <v>1000</v>
      </c>
      <c r="J92" s="1720">
        <v>895</v>
      </c>
      <c r="K92" s="1720">
        <v>915</v>
      </c>
      <c r="L92" s="1720">
        <v>120</v>
      </c>
      <c r="M92" s="1720"/>
      <c r="N92" s="328"/>
      <c r="O92" s="1720"/>
      <c r="R92" s="1720">
        <v>91</v>
      </c>
      <c r="S92" s="1720" t="s">
        <v>1996</v>
      </c>
      <c r="T92" s="1720">
        <v>845</v>
      </c>
      <c r="U92" s="1720">
        <v>620</v>
      </c>
      <c r="V92" s="1720">
        <v>80</v>
      </c>
      <c r="W92" s="1720"/>
      <c r="AC92" s="1720">
        <v>69</v>
      </c>
      <c r="AD92" s="1720">
        <v>1000</v>
      </c>
      <c r="AE92" s="1720">
        <v>130</v>
      </c>
      <c r="AF92" s="1720">
        <v>870</v>
      </c>
      <c r="AG92" s="1720">
        <v>283</v>
      </c>
      <c r="AH92" s="1720">
        <v>305</v>
      </c>
      <c r="AI92" s="1720">
        <v>330</v>
      </c>
      <c r="AJ92" s="1720">
        <v>27</v>
      </c>
      <c r="AK92" s="1720">
        <v>40</v>
      </c>
      <c r="AL92" s="1720">
        <v>100</v>
      </c>
      <c r="AP92" s="328" t="s">
        <v>1491</v>
      </c>
      <c r="AQ92" s="1720">
        <v>1365</v>
      </c>
      <c r="AR92" s="1720">
        <v>1040</v>
      </c>
      <c r="AS92" s="1720">
        <v>105</v>
      </c>
      <c r="AT92" s="1720">
        <v>260</v>
      </c>
      <c r="AU92" s="1720">
        <v>550</v>
      </c>
      <c r="AV92" s="1720">
        <v>802</v>
      </c>
      <c r="AW92" s="1720">
        <v>834</v>
      </c>
      <c r="AX92" s="328"/>
      <c r="BO92">
        <v>312.5</v>
      </c>
      <c r="BP92" t="s">
        <v>498</v>
      </c>
      <c r="BS92" s="196">
        <f>IF(MAX(BT92:BT1171)&lt;ROW(16:16),"",VLOOKUP(ROW(16:16),BT92:BU1171,2))</f>
        <v>125</v>
      </c>
      <c r="BT92" s="197" t="str">
        <f>IF(COUNTIF(BU$76:BU92,BU92)=1,MAX(BT$76:BT91)+1,"")</f>
        <v/>
      </c>
      <c r="BU92" s="1720">
        <v>90</v>
      </c>
      <c r="BV92" s="1720">
        <v>245</v>
      </c>
      <c r="BW92" s="1720">
        <v>140</v>
      </c>
      <c r="BX92" s="1720" t="s">
        <v>1501</v>
      </c>
      <c r="BY92" s="1772"/>
      <c r="CB92" s="1720">
        <v>380</v>
      </c>
      <c r="CC92" s="1720">
        <v>312.5</v>
      </c>
      <c r="CD92" s="1720">
        <v>420</v>
      </c>
      <c r="CE92" s="1720">
        <v>325</v>
      </c>
      <c r="CF92" s="1720">
        <v>470</v>
      </c>
      <c r="CG92" s="1720">
        <v>10249696</v>
      </c>
      <c r="CH92" s="328"/>
    </row>
    <row r="93" spans="1:86" x14ac:dyDescent="0.3">
      <c r="A93" s="1720">
        <v>92</v>
      </c>
      <c r="B93" s="328"/>
      <c r="C93" s="1720"/>
      <c r="D93" s="1720">
        <v>895</v>
      </c>
      <c r="E93" s="1720">
        <v>5</v>
      </c>
      <c r="F93" s="1720">
        <v>180</v>
      </c>
      <c r="G93" s="1720">
        <v>855</v>
      </c>
      <c r="H93" s="1720">
        <v>2.5</v>
      </c>
      <c r="I93" s="1720">
        <v>380</v>
      </c>
      <c r="J93" s="1720">
        <v>950</v>
      </c>
      <c r="K93" s="1720">
        <v>985</v>
      </c>
      <c r="L93" s="1720">
        <v>200</v>
      </c>
      <c r="M93" s="1720"/>
      <c r="N93" s="328"/>
      <c r="O93" s="1720"/>
      <c r="R93" s="1720">
        <v>92</v>
      </c>
      <c r="S93" s="1720" t="s">
        <v>1433</v>
      </c>
      <c r="T93" s="1720">
        <v>860</v>
      </c>
      <c r="U93" s="1720">
        <v>910</v>
      </c>
      <c r="V93" s="1720">
        <v>80</v>
      </c>
      <c r="W93" s="1720"/>
      <c r="AC93" s="1720">
        <v>42</v>
      </c>
      <c r="AD93" s="1720">
        <v>995</v>
      </c>
      <c r="AE93" s="1720">
        <v>120</v>
      </c>
      <c r="AF93" s="1720">
        <v>875</v>
      </c>
      <c r="AG93" s="1720">
        <v>310</v>
      </c>
      <c r="AH93" s="1720">
        <v>330</v>
      </c>
      <c r="AI93" s="1720">
        <v>380</v>
      </c>
      <c r="AJ93" s="1720">
        <v>30</v>
      </c>
      <c r="AK93" s="1720">
        <v>42</v>
      </c>
      <c r="AL93" s="1720">
        <v>90</v>
      </c>
      <c r="AP93" s="328" t="s">
        <v>669</v>
      </c>
      <c r="AQ93" s="1720">
        <v>1550</v>
      </c>
      <c r="AR93" s="1720">
        <v>1180</v>
      </c>
      <c r="AS93" s="1720">
        <v>105</v>
      </c>
      <c r="AT93" s="1720">
        <v>340</v>
      </c>
      <c r="AU93" s="1720">
        <v>730</v>
      </c>
      <c r="AV93" s="1720">
        <v>1045.5</v>
      </c>
      <c r="AW93" s="1720">
        <v>1087.4000000000001</v>
      </c>
      <c r="AX93" s="328"/>
      <c r="BO93">
        <v>315</v>
      </c>
      <c r="BP93" t="s">
        <v>499</v>
      </c>
      <c r="BS93" s="196">
        <f>IF(MAX(BT93:BT1172)&lt;ROW(17:17),"",VLOOKUP(ROW(17:17),BT93:BU1172,2))</f>
        <v>127.5</v>
      </c>
      <c r="BT93" s="197" t="str">
        <f>IF(COUNTIF(BU$76:BU93,BU93)=1,MAX(BT$76:BT92)+1,"")</f>
        <v/>
      </c>
      <c r="BU93" s="1720">
        <v>90</v>
      </c>
      <c r="BV93" s="1720">
        <v>245</v>
      </c>
      <c r="BW93" s="1720">
        <v>140</v>
      </c>
      <c r="BX93" s="1720" t="s">
        <v>1501</v>
      </c>
      <c r="BY93" s="1772"/>
      <c r="CB93" s="1720">
        <v>382</v>
      </c>
      <c r="CC93" s="1720">
        <v>312.5</v>
      </c>
      <c r="CD93" s="1720">
        <v>420</v>
      </c>
      <c r="CE93" s="1720">
        <v>330</v>
      </c>
      <c r="CF93" s="1720">
        <v>470</v>
      </c>
      <c r="CG93" s="1720">
        <v>10249696</v>
      </c>
      <c r="CH93" s="328"/>
    </row>
    <row r="94" spans="1:86" x14ac:dyDescent="0.3">
      <c r="A94" s="1720">
        <v>93</v>
      </c>
      <c r="B94" s="328"/>
      <c r="C94" s="1720"/>
      <c r="D94" s="1720"/>
      <c r="E94" s="1720"/>
      <c r="F94" s="1720"/>
      <c r="G94" s="1720">
        <v>860</v>
      </c>
      <c r="H94" s="1720">
        <v>5</v>
      </c>
      <c r="I94" s="1720">
        <v>350</v>
      </c>
      <c r="J94" s="1720">
        <v>925</v>
      </c>
      <c r="K94" s="1720">
        <v>945</v>
      </c>
      <c r="L94" s="1720">
        <v>255</v>
      </c>
      <c r="M94" s="1720" t="s">
        <v>1370</v>
      </c>
      <c r="N94" s="328"/>
      <c r="O94" s="1720"/>
      <c r="R94" s="1720">
        <v>93</v>
      </c>
      <c r="S94" s="1720"/>
      <c r="T94" s="1720">
        <v>860</v>
      </c>
      <c r="U94" s="1720">
        <v>760</v>
      </c>
      <c r="V94" s="1720">
        <v>80</v>
      </c>
      <c r="W94" s="1720"/>
      <c r="AC94" s="1720">
        <v>57</v>
      </c>
      <c r="AD94" s="1720">
        <v>1050</v>
      </c>
      <c r="AE94" s="1720">
        <v>155</v>
      </c>
      <c r="AF94" s="1720">
        <v>895</v>
      </c>
      <c r="AG94" s="1720">
        <v>190</v>
      </c>
      <c r="AH94" s="1720">
        <v>200</v>
      </c>
      <c r="AI94" s="1720">
        <v>240</v>
      </c>
      <c r="AJ94" s="1720">
        <v>32</v>
      </c>
      <c r="AK94" s="1720">
        <v>45</v>
      </c>
      <c r="AL94" s="1720">
        <v>100</v>
      </c>
      <c r="AP94" s="328" t="s">
        <v>1222</v>
      </c>
      <c r="AQ94" s="1720">
        <v>1010</v>
      </c>
      <c r="AR94" s="1720">
        <v>405</v>
      </c>
      <c r="AS94" s="1720">
        <v>100</v>
      </c>
      <c r="AT94" s="1720">
        <v>295</v>
      </c>
      <c r="AU94" s="1720">
        <v>590</v>
      </c>
      <c r="AV94" s="1720">
        <v>890</v>
      </c>
      <c r="AW94" s="1720">
        <v>926</v>
      </c>
      <c r="AX94" s="328"/>
      <c r="BO94">
        <v>317.5</v>
      </c>
      <c r="BP94" t="s">
        <v>500</v>
      </c>
      <c r="BS94" s="196">
        <f>IF(MAX(BT94:BT1173)&lt;ROW(18:18),"",VLOOKUP(ROW(18:18),BT94:BU1173,2))</f>
        <v>130</v>
      </c>
      <c r="BT94" s="197" t="str">
        <f>IF(COUNTIF(BU$76:BU94,BU94)=1,MAX(BT$76:BT93)+1,"")</f>
        <v/>
      </c>
      <c r="BU94" s="1720">
        <v>90</v>
      </c>
      <c r="BV94" s="1720">
        <v>243</v>
      </c>
      <c r="BW94" s="1720">
        <v>140</v>
      </c>
      <c r="BX94" s="1720" t="s">
        <v>1501</v>
      </c>
      <c r="BY94" s="1772"/>
      <c r="CB94" s="1720">
        <v>375</v>
      </c>
      <c r="CC94" s="1720">
        <v>315</v>
      </c>
      <c r="CD94" s="1720">
        <v>420</v>
      </c>
      <c r="CE94" s="1720">
        <v>350</v>
      </c>
      <c r="CF94" s="1720"/>
      <c r="CG94" s="1720" t="s">
        <v>1278</v>
      </c>
      <c r="CH94" s="328"/>
    </row>
    <row r="95" spans="1:86" x14ac:dyDescent="0.3">
      <c r="A95" s="1720">
        <v>94</v>
      </c>
      <c r="B95" s="328"/>
      <c r="C95" s="1720" t="s">
        <v>1425</v>
      </c>
      <c r="D95" s="1720"/>
      <c r="E95" s="1720"/>
      <c r="F95" s="1720"/>
      <c r="G95" s="1720">
        <v>860</v>
      </c>
      <c r="H95" s="1720">
        <v>2.5</v>
      </c>
      <c r="I95" s="1720">
        <v>500</v>
      </c>
      <c r="J95" s="1720">
        <v>920</v>
      </c>
      <c r="K95" s="1720">
        <v>940</v>
      </c>
      <c r="L95" s="1720">
        <v>210</v>
      </c>
      <c r="M95" s="1720"/>
      <c r="N95" s="328"/>
      <c r="O95" s="1720"/>
      <c r="R95" s="1720">
        <v>94</v>
      </c>
      <c r="S95" s="1720"/>
      <c r="T95" s="1720">
        <v>870</v>
      </c>
      <c r="U95" s="1720">
        <v>1320</v>
      </c>
      <c r="V95" s="1720">
        <v>100</v>
      </c>
      <c r="W95" s="1720"/>
      <c r="AC95" s="1720">
        <v>60</v>
      </c>
      <c r="AD95" s="1720">
        <v>1105</v>
      </c>
      <c r="AE95" s="1720">
        <v>200</v>
      </c>
      <c r="AF95" s="1720">
        <v>905</v>
      </c>
      <c r="AG95" s="1720">
        <v>145</v>
      </c>
      <c r="AH95" s="1720">
        <v>157</v>
      </c>
      <c r="AI95" s="1720">
        <v>200</v>
      </c>
      <c r="AJ95" s="1720">
        <v>40</v>
      </c>
      <c r="AK95" s="1720">
        <v>50</v>
      </c>
      <c r="AL95" s="1720">
        <v>120</v>
      </c>
      <c r="AP95" s="328" t="s">
        <v>1492</v>
      </c>
      <c r="AQ95" s="1720">
        <v>1040</v>
      </c>
      <c r="AR95" s="1720">
        <v>775</v>
      </c>
      <c r="AS95" s="1720">
        <v>95</v>
      </c>
      <c r="AT95" s="1720">
        <v>124</v>
      </c>
      <c r="AU95" s="1720">
        <v>315</v>
      </c>
      <c r="AV95" s="1720">
        <v>515</v>
      </c>
      <c r="AW95" s="1720">
        <v>540</v>
      </c>
      <c r="AX95" s="328"/>
      <c r="BO95">
        <v>320</v>
      </c>
      <c r="BP95" t="s">
        <v>501</v>
      </c>
      <c r="BS95" s="196">
        <f>IF(MAX(BT95:BT1174)&lt;ROW(19:19),"",VLOOKUP(ROW(19:19),BT95:BU1174,2))</f>
        <v>132.5</v>
      </c>
      <c r="BT95" s="197">
        <f>IF(COUNTIF(BU$76:BU95,BU95)=1,MAX(BT$76:BT94)+1,"")</f>
        <v>4</v>
      </c>
      <c r="BU95" s="1720">
        <v>92.5</v>
      </c>
      <c r="BV95" s="1720">
        <v>240</v>
      </c>
      <c r="BW95" s="1720">
        <v>140</v>
      </c>
      <c r="BX95" s="1720" t="s">
        <v>1502</v>
      </c>
      <c r="BY95" s="1772"/>
      <c r="CB95" s="1720">
        <v>435</v>
      </c>
      <c r="CC95" s="1720">
        <v>315</v>
      </c>
      <c r="CD95" s="1720">
        <v>495</v>
      </c>
      <c r="CE95" s="1720">
        <v>430</v>
      </c>
      <c r="CF95" s="1720">
        <v>470</v>
      </c>
      <c r="CG95" s="1720">
        <v>10255800</v>
      </c>
      <c r="CH95" s="328"/>
    </row>
    <row r="96" spans="1:86" x14ac:dyDescent="0.3">
      <c r="A96" s="1720">
        <v>95</v>
      </c>
      <c r="B96" s="328"/>
      <c r="C96" s="1720" t="s">
        <v>1451</v>
      </c>
      <c r="D96" s="1720">
        <v>880</v>
      </c>
      <c r="E96" s="1720">
        <v>2.5</v>
      </c>
      <c r="F96" s="1720">
        <v>135</v>
      </c>
      <c r="G96" s="1720">
        <v>860</v>
      </c>
      <c r="H96" s="1720">
        <v>2.5</v>
      </c>
      <c r="I96" s="1720">
        <v>585</v>
      </c>
      <c r="J96" s="1720">
        <v>910</v>
      </c>
      <c r="K96" s="1720">
        <v>935</v>
      </c>
      <c r="L96" s="1720">
        <v>120</v>
      </c>
      <c r="M96" s="1720"/>
      <c r="N96" s="328"/>
      <c r="O96" s="1720"/>
      <c r="R96" s="1720">
        <v>95</v>
      </c>
      <c r="S96" s="1720"/>
      <c r="T96" s="1720">
        <v>885</v>
      </c>
      <c r="U96" s="1720">
        <v>830</v>
      </c>
      <c r="V96" s="1720">
        <v>100</v>
      </c>
      <c r="W96" s="1720"/>
      <c r="AC96" s="1720">
        <v>27</v>
      </c>
      <c r="AD96" s="1720">
        <v>1110</v>
      </c>
      <c r="AE96" s="1720">
        <v>205</v>
      </c>
      <c r="AF96" s="1720">
        <v>905</v>
      </c>
      <c r="AG96" s="1720">
        <v>147</v>
      </c>
      <c r="AH96" s="1720">
        <v>167</v>
      </c>
      <c r="AI96" s="1720">
        <v>215</v>
      </c>
      <c r="AJ96" s="1720">
        <v>45</v>
      </c>
      <c r="AK96" s="1720">
        <v>60</v>
      </c>
      <c r="AL96" s="1720">
        <v>135</v>
      </c>
      <c r="AP96" s="328" t="s">
        <v>1493</v>
      </c>
      <c r="AQ96" s="1720">
        <v>1240</v>
      </c>
      <c r="AR96" s="1720">
        <v>890</v>
      </c>
      <c r="AS96" s="1720">
        <v>105</v>
      </c>
      <c r="AT96" s="1720">
        <v>224</v>
      </c>
      <c r="AU96" s="1720">
        <v>530</v>
      </c>
      <c r="AV96" s="1720">
        <v>782</v>
      </c>
      <c r="AW96" s="1720">
        <v>813.3</v>
      </c>
      <c r="AX96" s="328"/>
      <c r="BO96">
        <v>322.5</v>
      </c>
      <c r="BP96" t="s">
        <v>502</v>
      </c>
      <c r="BS96" s="196">
        <f>IF(MAX(BT96:BT1175)&lt;ROW(20:20),"",VLOOKUP(ROW(20:20),BT96:BU1175,2))</f>
        <v>135</v>
      </c>
      <c r="BT96" s="197" t="str">
        <f>IF(COUNTIF(BU$76:BU96,BU96)=1,MAX(BT$76:BT95)+1,"")</f>
        <v/>
      </c>
      <c r="BU96" s="1720">
        <v>92.5</v>
      </c>
      <c r="BV96" s="1720">
        <v>245</v>
      </c>
      <c r="BW96" s="1720">
        <v>140</v>
      </c>
      <c r="BX96" s="1720" t="s">
        <v>1502</v>
      </c>
      <c r="BY96" s="1772"/>
      <c r="CB96" s="1720">
        <v>340</v>
      </c>
      <c r="CC96" s="1720">
        <v>317.5</v>
      </c>
      <c r="CD96" s="1720">
        <v>425</v>
      </c>
      <c r="CE96" s="1720">
        <v>360</v>
      </c>
      <c r="CF96" s="1720">
        <v>415</v>
      </c>
      <c r="CG96" s="1720">
        <v>10241656</v>
      </c>
      <c r="CH96" s="328"/>
    </row>
    <row r="97" spans="1:86" x14ac:dyDescent="0.3">
      <c r="A97" s="1720">
        <v>96</v>
      </c>
      <c r="B97" s="328"/>
      <c r="C97" s="1720"/>
      <c r="D97" s="1720"/>
      <c r="E97" s="1720"/>
      <c r="F97" s="1720"/>
      <c r="G97" s="1720">
        <v>860</v>
      </c>
      <c r="H97" s="1720">
        <v>5</v>
      </c>
      <c r="I97" s="1720">
        <v>925</v>
      </c>
      <c r="J97" s="1720">
        <v>910</v>
      </c>
      <c r="K97" s="1720">
        <v>930</v>
      </c>
      <c r="L97" s="1720">
        <v>135</v>
      </c>
      <c r="M97" s="1720"/>
      <c r="N97" s="328"/>
      <c r="O97" s="1720"/>
      <c r="R97" s="1720">
        <v>96</v>
      </c>
      <c r="S97" s="1720" t="s">
        <v>1997</v>
      </c>
      <c r="T97" s="1720">
        <v>890</v>
      </c>
      <c r="U97" s="1720">
        <v>780</v>
      </c>
      <c r="V97" s="1720">
        <v>80</v>
      </c>
      <c r="W97" s="1720"/>
      <c r="AC97" s="1720">
        <v>56</v>
      </c>
      <c r="AD97" s="1720">
        <v>1060</v>
      </c>
      <c r="AE97" s="1720">
        <v>155</v>
      </c>
      <c r="AF97" s="1720">
        <v>905</v>
      </c>
      <c r="AG97" s="1720">
        <v>180</v>
      </c>
      <c r="AH97" s="1720">
        <v>190</v>
      </c>
      <c r="AI97" s="1720">
        <v>230</v>
      </c>
      <c r="AJ97" s="1720">
        <v>34</v>
      </c>
      <c r="AK97" s="1720">
        <v>45</v>
      </c>
      <c r="AL97" s="1720">
        <v>105</v>
      </c>
      <c r="AP97" s="328" t="s">
        <v>1494</v>
      </c>
      <c r="AQ97" s="1720">
        <v>1660</v>
      </c>
      <c r="AR97" s="1720">
        <v>1230</v>
      </c>
      <c r="AS97" s="1720">
        <v>105</v>
      </c>
      <c r="AT97" s="1720">
        <v>340</v>
      </c>
      <c r="AU97" s="1720">
        <v>740</v>
      </c>
      <c r="AV97" s="1720">
        <v>1076</v>
      </c>
      <c r="AW97" s="1720">
        <v>1120</v>
      </c>
      <c r="AX97" s="328"/>
      <c r="BO97">
        <v>325</v>
      </c>
      <c r="BP97" t="s">
        <v>503</v>
      </c>
      <c r="BS97" s="196">
        <f>IF(MAX(BT97:BT1176)&lt;ROW(21:21),"",VLOOKUP(ROW(21:21),BT97:BU1176,2))</f>
        <v>137.5</v>
      </c>
      <c r="BT97" s="197" t="str">
        <f>IF(COUNTIF(BU$76:BU97,BU97)=1,MAX(BT$76:BT96)+1,"")</f>
        <v/>
      </c>
      <c r="BU97" s="1720">
        <v>92.5</v>
      </c>
      <c r="BV97" s="1720">
        <v>243</v>
      </c>
      <c r="BW97" s="1720">
        <v>140</v>
      </c>
      <c r="BX97" s="1720" t="s">
        <v>1502</v>
      </c>
      <c r="BY97" s="1772"/>
      <c r="CB97" s="1720">
        <v>355</v>
      </c>
      <c r="CC97" s="1720">
        <v>320</v>
      </c>
      <c r="CD97" s="1720">
        <v>395</v>
      </c>
      <c r="CE97" s="1720">
        <v>325</v>
      </c>
      <c r="CF97" s="1720">
        <v>415</v>
      </c>
      <c r="CG97" s="1720">
        <v>7242409</v>
      </c>
      <c r="CH97" s="328"/>
    </row>
    <row r="98" spans="1:86" x14ac:dyDescent="0.3">
      <c r="A98" s="1720">
        <v>97</v>
      </c>
      <c r="B98" s="328"/>
      <c r="C98" s="1720" t="s">
        <v>1426</v>
      </c>
      <c r="D98" s="1720"/>
      <c r="E98" s="1720"/>
      <c r="F98" s="1720"/>
      <c r="G98" s="1720">
        <v>870</v>
      </c>
      <c r="H98" s="1720">
        <v>5</v>
      </c>
      <c r="I98" s="1720">
        <v>360</v>
      </c>
      <c r="J98" s="1720">
        <v>890</v>
      </c>
      <c r="K98" s="1720">
        <v>935</v>
      </c>
      <c r="L98" s="1720">
        <v>120</v>
      </c>
      <c r="M98" s="1720" t="s">
        <v>1427</v>
      </c>
      <c r="N98" s="328"/>
      <c r="O98" s="1720"/>
      <c r="R98" s="1720">
        <v>97</v>
      </c>
      <c r="S98" s="1720" t="s">
        <v>1998</v>
      </c>
      <c r="T98" s="1720">
        <v>890</v>
      </c>
      <c r="U98" s="1720">
        <v>1110</v>
      </c>
      <c r="V98" s="1720">
        <v>80</v>
      </c>
      <c r="W98" s="1720"/>
      <c r="AC98" s="1720">
        <v>46</v>
      </c>
      <c r="AD98" s="1720">
        <v>1060</v>
      </c>
      <c r="AE98" s="1720">
        <v>155</v>
      </c>
      <c r="AF98" s="1720">
        <v>905</v>
      </c>
      <c r="AG98" s="1720">
        <v>210</v>
      </c>
      <c r="AH98" s="1720">
        <v>227</v>
      </c>
      <c r="AI98" s="1720">
        <v>260</v>
      </c>
      <c r="AJ98" s="1720">
        <v>86</v>
      </c>
      <c r="AK98" s="1720">
        <v>98</v>
      </c>
      <c r="AL98" s="1720">
        <v>160</v>
      </c>
      <c r="AM98" s="1770" t="s">
        <v>1333</v>
      </c>
      <c r="AP98" s="328" t="s">
        <v>1495</v>
      </c>
      <c r="AQ98" s="1720">
        <v>2580</v>
      </c>
      <c r="AR98" s="1720">
        <v>2200</v>
      </c>
      <c r="AS98" s="1720">
        <v>150</v>
      </c>
      <c r="AT98" s="1720"/>
      <c r="AU98" s="1720"/>
      <c r="AV98" s="1720">
        <v>2502</v>
      </c>
      <c r="AW98" s="1720">
        <v>2603</v>
      </c>
      <c r="AX98" s="328" t="s">
        <v>1496</v>
      </c>
      <c r="BO98">
        <v>327.5</v>
      </c>
      <c r="BP98" t="s">
        <v>504</v>
      </c>
      <c r="BS98" s="196">
        <f>IF(MAX(BT98:BT1177)&lt;ROW(22:22),"",VLOOKUP(ROW(22:22),BT98:BU1177,2))</f>
        <v>140</v>
      </c>
      <c r="BT98" s="197" t="str">
        <f>IF(COUNTIF(BU$76:BU98,BU98)=1,MAX(BT$76:BT97)+1,"")</f>
        <v/>
      </c>
      <c r="BU98" s="1720">
        <v>92.5</v>
      </c>
      <c r="BV98" s="1720">
        <v>240</v>
      </c>
      <c r="BW98" s="1720">
        <v>140</v>
      </c>
      <c r="BX98" s="1720" t="s">
        <v>1502</v>
      </c>
      <c r="BY98" s="1772"/>
      <c r="CB98" s="1720">
        <v>352</v>
      </c>
      <c r="CC98" s="1720">
        <v>325</v>
      </c>
      <c r="CD98" s="1720">
        <v>517</v>
      </c>
      <c r="CE98" s="1720">
        <v>465</v>
      </c>
      <c r="CF98" s="1720">
        <v>470</v>
      </c>
      <c r="CG98" s="1720" t="s">
        <v>1279</v>
      </c>
      <c r="CH98" s="328"/>
    </row>
    <row r="99" spans="1:86" x14ac:dyDescent="0.3">
      <c r="A99" s="1720">
        <v>98</v>
      </c>
      <c r="B99" s="328"/>
      <c r="C99" s="1720" t="s">
        <v>1428</v>
      </c>
      <c r="D99" s="1720"/>
      <c r="E99" s="1720"/>
      <c r="F99" s="1720"/>
      <c r="G99" s="1720">
        <v>870</v>
      </c>
      <c r="H99" s="1720">
        <v>10</v>
      </c>
      <c r="I99" s="1720">
        <v>765</v>
      </c>
      <c r="J99" s="1720">
        <v>910</v>
      </c>
      <c r="K99" s="1720">
        <v>965</v>
      </c>
      <c r="L99" s="1720">
        <v>140</v>
      </c>
      <c r="M99" s="1720" t="s">
        <v>1429</v>
      </c>
      <c r="N99" s="328"/>
      <c r="O99" s="1720"/>
      <c r="R99" s="1720">
        <v>98</v>
      </c>
      <c r="S99" s="1720" t="s">
        <v>1999</v>
      </c>
      <c r="T99" s="1720">
        <v>910</v>
      </c>
      <c r="U99" s="1720">
        <v>480</v>
      </c>
      <c r="V99" s="1720">
        <v>100</v>
      </c>
      <c r="W99" s="1720"/>
      <c r="AC99" s="1720">
        <v>12</v>
      </c>
      <c r="AD99" s="1720">
        <v>1055</v>
      </c>
      <c r="AE99" s="1720">
        <v>140</v>
      </c>
      <c r="AF99" s="1720">
        <v>915</v>
      </c>
      <c r="AG99" s="1720">
        <v>220</v>
      </c>
      <c r="AH99" s="1720">
        <v>235</v>
      </c>
      <c r="AI99" s="1720">
        <v>275</v>
      </c>
      <c r="AJ99" s="1720">
        <v>35</v>
      </c>
      <c r="AK99" s="1720">
        <v>40</v>
      </c>
      <c r="AL99" s="1720">
        <v>100</v>
      </c>
      <c r="AP99" s="328"/>
      <c r="AQ99" s="1720">
        <v>760</v>
      </c>
      <c r="AR99" s="1720">
        <v>545</v>
      </c>
      <c r="AS99" s="1720">
        <v>60</v>
      </c>
      <c r="AT99" s="1720"/>
      <c r="AU99" s="1720"/>
      <c r="AV99" s="1720"/>
      <c r="AW99" s="1720"/>
      <c r="AX99" s="328"/>
      <c r="BO99">
        <v>330</v>
      </c>
      <c r="BP99" t="s">
        <v>505</v>
      </c>
      <c r="BS99" s="196">
        <f>IF(MAX(BT99:BT1178)&lt;ROW(23:23),"",VLOOKUP(ROW(23:23),BT99:BU1178,2))</f>
        <v>142.5</v>
      </c>
      <c r="BT99" s="197" t="str">
        <f>IF(COUNTIF(BU$76:BU99,BU99)=1,MAX(BT$76:BT98)+1,"")</f>
        <v/>
      </c>
      <c r="BU99" s="1720">
        <v>92.5</v>
      </c>
      <c r="BV99" s="1720">
        <v>245</v>
      </c>
      <c r="BW99" s="1720">
        <v>140</v>
      </c>
      <c r="BX99" s="1720" t="s">
        <v>1502</v>
      </c>
      <c r="BY99" s="1772"/>
      <c r="CB99" s="1720">
        <v>347</v>
      </c>
      <c r="CC99" s="1720">
        <v>327.5</v>
      </c>
      <c r="CD99" s="1720">
        <v>520</v>
      </c>
      <c r="CE99" s="1720">
        <v>470</v>
      </c>
      <c r="CF99" s="1720">
        <v>470</v>
      </c>
      <c r="CG99" s="1720" t="s">
        <v>1279</v>
      </c>
      <c r="CH99" s="328"/>
    </row>
    <row r="100" spans="1:86" x14ac:dyDescent="0.3">
      <c r="A100" s="1720">
        <v>99</v>
      </c>
      <c r="B100" s="328"/>
      <c r="C100" s="1720"/>
      <c r="D100" s="1720"/>
      <c r="E100" s="1720"/>
      <c r="F100" s="1720"/>
      <c r="G100" s="1720">
        <v>880</v>
      </c>
      <c r="H100" s="1720">
        <v>5</v>
      </c>
      <c r="I100" s="1720">
        <v>220</v>
      </c>
      <c r="J100" s="1720">
        <v>930</v>
      </c>
      <c r="K100" s="1720">
        <v>950</v>
      </c>
      <c r="L100" s="1720">
        <v>130</v>
      </c>
      <c r="M100" s="1720"/>
      <c r="N100" s="328"/>
      <c r="O100" s="1720"/>
      <c r="R100" s="1720">
        <v>99</v>
      </c>
      <c r="S100" s="1720" t="s">
        <v>2000</v>
      </c>
      <c r="T100" s="1720">
        <v>915</v>
      </c>
      <c r="U100" s="1720">
        <v>720</v>
      </c>
      <c r="V100" s="1720">
        <v>80</v>
      </c>
      <c r="W100" s="1720"/>
      <c r="AC100" s="1720">
        <v>115</v>
      </c>
      <c r="AD100" s="1720">
        <v>1080</v>
      </c>
      <c r="AE100" s="1720">
        <v>160</v>
      </c>
      <c r="AF100" s="1720">
        <v>920</v>
      </c>
      <c r="AG100" s="1720">
        <v>520</v>
      </c>
      <c r="AH100" s="1720">
        <v>527</v>
      </c>
      <c r="AI100" s="1720">
        <v>590</v>
      </c>
      <c r="AJ100" s="1720">
        <v>75</v>
      </c>
      <c r="AK100" s="1720">
        <v>85</v>
      </c>
      <c r="AL100" s="1720">
        <v>120</v>
      </c>
      <c r="AM100" s="1770" t="s">
        <v>1334</v>
      </c>
      <c r="AP100" s="328"/>
      <c r="AQ100" s="1720">
        <v>790</v>
      </c>
      <c r="AR100" s="1720">
        <v>450</v>
      </c>
      <c r="AS100" s="1720">
        <v>90</v>
      </c>
      <c r="AT100" s="1720"/>
      <c r="AU100" s="1720"/>
      <c r="AV100" s="1720"/>
      <c r="AW100" s="1720"/>
      <c r="AX100" s="328" t="s">
        <v>1497</v>
      </c>
      <c r="BO100">
        <v>332.5</v>
      </c>
      <c r="BP100" t="s">
        <v>506</v>
      </c>
      <c r="BS100" s="196">
        <f>IF(MAX(BT100:BT1179)&lt;ROW(24:24),"",VLOOKUP(ROW(24:24),BT100:BU1179,2))</f>
        <v>145</v>
      </c>
      <c r="BT100" s="197">
        <f>IF(COUNTIF(BU$76:BU100,BU100)=1,MAX(BT$76:BT99)+1,"")</f>
        <v>5</v>
      </c>
      <c r="BU100" s="1720">
        <v>95</v>
      </c>
      <c r="BV100" s="1720">
        <v>243</v>
      </c>
      <c r="BW100" s="1720">
        <v>140</v>
      </c>
      <c r="BX100" s="1720" t="s">
        <v>1503</v>
      </c>
      <c r="BY100" s="1772"/>
      <c r="CB100" s="1720">
        <v>415</v>
      </c>
      <c r="CC100" s="1720">
        <v>337.5</v>
      </c>
      <c r="CD100" s="1720">
        <v>300</v>
      </c>
      <c r="CE100" s="1720">
        <v>235</v>
      </c>
      <c r="CF100" s="1720">
        <v>470</v>
      </c>
      <c r="CG100" s="1720">
        <v>7232648</v>
      </c>
      <c r="CH100" s="328"/>
    </row>
    <row r="101" spans="1:86" x14ac:dyDescent="0.3">
      <c r="A101" s="1720">
        <v>100</v>
      </c>
      <c r="B101" s="328"/>
      <c r="C101" s="1720"/>
      <c r="D101" s="1720"/>
      <c r="E101" s="1720"/>
      <c r="F101" s="1720"/>
      <c r="G101" s="1720">
        <v>880</v>
      </c>
      <c r="H101" s="1720">
        <v>4</v>
      </c>
      <c r="I101" s="1720">
        <v>250</v>
      </c>
      <c r="J101" s="1720">
        <v>930</v>
      </c>
      <c r="K101" s="1720">
        <v>590</v>
      </c>
      <c r="L101" s="1720">
        <v>145</v>
      </c>
      <c r="M101" s="1720" t="s">
        <v>1371</v>
      </c>
      <c r="N101" s="328"/>
      <c r="O101" s="1720"/>
      <c r="R101" s="1720">
        <v>100</v>
      </c>
      <c r="S101" s="1720" t="s">
        <v>2001</v>
      </c>
      <c r="T101" s="1720">
        <v>920</v>
      </c>
      <c r="U101" s="1720">
        <v>820</v>
      </c>
      <c r="V101" s="1720">
        <v>80</v>
      </c>
      <c r="W101" s="1720"/>
      <c r="AC101" s="1720">
        <v>116</v>
      </c>
      <c r="AD101" s="1720">
        <v>1090</v>
      </c>
      <c r="AE101" s="1720">
        <v>165</v>
      </c>
      <c r="AF101" s="1720">
        <v>925</v>
      </c>
      <c r="AG101" s="1720">
        <v>457</v>
      </c>
      <c r="AH101" s="1720">
        <v>480</v>
      </c>
      <c r="AI101" s="1720">
        <v>510</v>
      </c>
      <c r="AJ101" s="1720">
        <v>37</v>
      </c>
      <c r="AK101" s="1720">
        <v>50</v>
      </c>
      <c r="AL101" s="1720">
        <v>115</v>
      </c>
      <c r="AP101" s="328"/>
      <c r="AQ101" s="1720">
        <v>800</v>
      </c>
      <c r="AR101" s="1720">
        <v>670</v>
      </c>
      <c r="AS101" s="1720">
        <v>70</v>
      </c>
      <c r="AT101" s="1720"/>
      <c r="AU101" s="1720"/>
      <c r="AV101" s="1720"/>
      <c r="AW101" s="1720"/>
      <c r="AX101" s="328" t="s">
        <v>1498</v>
      </c>
      <c r="BO101">
        <v>335</v>
      </c>
      <c r="BP101" t="s">
        <v>507</v>
      </c>
      <c r="BS101" s="196">
        <f>IF(MAX(BT101:BT1180)&lt;ROW(25:25),"",VLOOKUP(ROW(25:25),BT101:BU1180,2))</f>
        <v>147.5</v>
      </c>
      <c r="BT101" s="197" t="str">
        <f>IF(COUNTIF(BU$76:BU101,BU101)=1,MAX(BT$76:BT100)+1,"")</f>
        <v/>
      </c>
      <c r="BU101" s="1720">
        <v>95</v>
      </c>
      <c r="BV101" s="1720">
        <v>245</v>
      </c>
      <c r="BW101" s="1720">
        <v>140</v>
      </c>
      <c r="BX101" s="1720" t="s">
        <v>1503</v>
      </c>
      <c r="BY101" s="1772"/>
      <c r="CB101" s="1720">
        <v>375</v>
      </c>
      <c r="CC101" s="1720">
        <v>337.5</v>
      </c>
      <c r="CD101" s="1720">
        <v>400</v>
      </c>
      <c r="CE101" s="1720">
        <v>325</v>
      </c>
      <c r="CF101" s="1720">
        <v>470</v>
      </c>
      <c r="CG101" s="1720">
        <v>10246084</v>
      </c>
      <c r="CH101" s="328"/>
    </row>
    <row r="102" spans="1:86" x14ac:dyDescent="0.3">
      <c r="A102" s="1720">
        <v>101</v>
      </c>
      <c r="B102" s="328"/>
      <c r="C102" s="1720"/>
      <c r="D102" s="1720"/>
      <c r="E102" s="1720"/>
      <c r="F102" s="1720"/>
      <c r="G102" s="1720">
        <v>880</v>
      </c>
      <c r="H102" s="1720">
        <v>8</v>
      </c>
      <c r="I102" s="1720">
        <v>580</v>
      </c>
      <c r="J102" s="1720">
        <v>940</v>
      </c>
      <c r="K102" s="1720">
        <v>950</v>
      </c>
      <c r="L102" s="1720">
        <v>130</v>
      </c>
      <c r="M102" s="1720"/>
      <c r="N102" s="328"/>
      <c r="O102" s="1720"/>
      <c r="R102" s="1720">
        <v>101</v>
      </c>
      <c r="S102" s="1720"/>
      <c r="T102" s="1720">
        <v>950</v>
      </c>
      <c r="U102" s="1720">
        <v>380</v>
      </c>
      <c r="V102" s="1720">
        <v>80</v>
      </c>
      <c r="W102" s="1720" t="s">
        <v>2002</v>
      </c>
      <c r="AC102" s="1720">
        <v>81</v>
      </c>
      <c r="AD102" s="1720">
        <v>1060</v>
      </c>
      <c r="AE102" s="1720">
        <v>130</v>
      </c>
      <c r="AF102" s="1720">
        <v>930</v>
      </c>
      <c r="AG102" s="1720">
        <v>215</v>
      </c>
      <c r="AH102" s="1720">
        <v>230</v>
      </c>
      <c r="AI102" s="1720">
        <v>260</v>
      </c>
      <c r="AJ102" s="1720">
        <v>30</v>
      </c>
      <c r="AK102" s="1720">
        <v>42</v>
      </c>
      <c r="AL102" s="1720">
        <v>90</v>
      </c>
      <c r="BO102">
        <v>337.5</v>
      </c>
      <c r="BP102" t="s">
        <v>508</v>
      </c>
      <c r="BS102" s="196">
        <f>IF(MAX(BT102:BT1181)&lt;ROW(26:26),"",VLOOKUP(ROW(26:26),BT102:BU1181,2))</f>
        <v>150</v>
      </c>
      <c r="BT102" s="197" t="str">
        <f>IF(COUNTIF(BU$76:BU102,BU102)=1,MAX(BT$76:BT101)+1,"")</f>
        <v/>
      </c>
      <c r="BU102" s="1720">
        <v>95</v>
      </c>
      <c r="BV102" s="1720">
        <v>240</v>
      </c>
      <c r="BW102" s="1720">
        <v>140</v>
      </c>
      <c r="BX102" s="1720" t="s">
        <v>1503</v>
      </c>
      <c r="BY102" s="1772"/>
      <c r="CB102" s="1720">
        <v>415</v>
      </c>
      <c r="CC102" s="1720">
        <v>337.5</v>
      </c>
      <c r="CD102" s="1720">
        <v>300</v>
      </c>
      <c r="CE102" s="1720">
        <v>255</v>
      </c>
      <c r="CF102" s="1720">
        <v>470</v>
      </c>
      <c r="CG102" s="1720">
        <v>7232648</v>
      </c>
      <c r="CH102" s="328"/>
    </row>
    <row r="103" spans="1:86" x14ac:dyDescent="0.3">
      <c r="A103" s="1720">
        <v>102</v>
      </c>
      <c r="B103" s="328"/>
      <c r="C103" s="1720"/>
      <c r="D103" s="1720"/>
      <c r="E103" s="1720"/>
      <c r="F103" s="1720"/>
      <c r="G103" s="1720">
        <v>890</v>
      </c>
      <c r="H103" s="1720">
        <v>3.5</v>
      </c>
      <c r="I103" s="1720">
        <v>245</v>
      </c>
      <c r="J103" s="1720">
        <v>975</v>
      </c>
      <c r="K103" s="1720">
        <v>990</v>
      </c>
      <c r="L103" s="1720">
        <v>135</v>
      </c>
      <c r="M103" s="1720"/>
      <c r="N103" s="328"/>
      <c r="O103" s="1720"/>
      <c r="R103" s="1720">
        <v>102</v>
      </c>
      <c r="S103" s="1720"/>
      <c r="T103" s="1720">
        <v>950</v>
      </c>
      <c r="U103" s="1720">
        <v>370</v>
      </c>
      <c r="V103" s="1720">
        <v>100</v>
      </c>
      <c r="W103" s="1720" t="s">
        <v>2003</v>
      </c>
      <c r="AC103" s="1720">
        <v>8</v>
      </c>
      <c r="AD103" s="1720">
        <v>1210</v>
      </c>
      <c r="AE103" s="1720">
        <v>270</v>
      </c>
      <c r="AF103" s="1720">
        <v>940</v>
      </c>
      <c r="AG103" s="1720">
        <v>1250</v>
      </c>
      <c r="AH103" s="1720">
        <v>1270</v>
      </c>
      <c r="AI103" s="1720">
        <v>1335</v>
      </c>
      <c r="AJ103" s="1720">
        <v>95</v>
      </c>
      <c r="AK103" s="1720">
        <v>105</v>
      </c>
      <c r="AL103" s="1720">
        <v>185</v>
      </c>
      <c r="AM103" s="1770" t="s">
        <v>1335</v>
      </c>
      <c r="BO103">
        <v>340</v>
      </c>
      <c r="BP103" t="s">
        <v>509</v>
      </c>
      <c r="BS103" s="196">
        <f>IF(MAX(BT103:BT1182)&lt;ROW(27:27),"",VLOOKUP(ROW(27:27),BT103:BU1182,2))</f>
        <v>155</v>
      </c>
      <c r="BT103" s="197" t="str">
        <f>IF(COUNTIF(BU$76:BU103,BU103)=1,MAX(BT$76:BT102)+1,"")</f>
        <v/>
      </c>
      <c r="BU103" s="1720">
        <v>95</v>
      </c>
      <c r="BV103" s="1720">
        <v>245</v>
      </c>
      <c r="BW103" s="1720">
        <v>140</v>
      </c>
      <c r="BX103" s="1720" t="s">
        <v>1503</v>
      </c>
      <c r="BY103" s="1772"/>
      <c r="CB103" s="1720">
        <v>413</v>
      </c>
      <c r="CC103" s="1720">
        <v>337.5</v>
      </c>
      <c r="CD103" s="1720">
        <v>515</v>
      </c>
      <c r="CE103" s="1720">
        <v>450</v>
      </c>
      <c r="CF103" s="1720">
        <v>470</v>
      </c>
      <c r="CG103" s="1720" t="s">
        <v>1280</v>
      </c>
      <c r="CH103" s="328"/>
    </row>
    <row r="104" spans="1:86" x14ac:dyDescent="0.3">
      <c r="A104" s="1720">
        <v>103</v>
      </c>
      <c r="B104" s="328"/>
      <c r="C104" s="1720"/>
      <c r="D104" s="1720"/>
      <c r="E104" s="1720"/>
      <c r="F104" s="1720"/>
      <c r="G104" s="1720">
        <v>890</v>
      </c>
      <c r="H104" s="1720">
        <v>5</v>
      </c>
      <c r="I104" s="1720">
        <v>890</v>
      </c>
      <c r="J104" s="1720">
        <v>930</v>
      </c>
      <c r="K104" s="1720">
        <v>960</v>
      </c>
      <c r="L104" s="1720">
        <v>150</v>
      </c>
      <c r="M104" s="1720" t="s">
        <v>1358</v>
      </c>
      <c r="N104" s="328"/>
      <c r="O104" s="1720"/>
      <c r="R104" s="1720">
        <v>103</v>
      </c>
      <c r="S104" s="1720"/>
      <c r="T104" s="1720">
        <v>960</v>
      </c>
      <c r="U104" s="1720">
        <v>830</v>
      </c>
      <c r="V104" s="1720">
        <v>100</v>
      </c>
      <c r="W104" s="1720" t="s">
        <v>1358</v>
      </c>
      <c r="AC104" s="1720">
        <v>35</v>
      </c>
      <c r="AD104" s="1720">
        <v>1200</v>
      </c>
      <c r="AE104" s="1720">
        <v>245</v>
      </c>
      <c r="AF104" s="1720">
        <v>955</v>
      </c>
      <c r="AG104" s="1720">
        <v>305</v>
      </c>
      <c r="AH104" s="1720">
        <v>317</v>
      </c>
      <c r="AI104" s="1720">
        <v>380</v>
      </c>
      <c r="AJ104" s="1720">
        <v>63</v>
      </c>
      <c r="AK104" s="1720">
        <v>75</v>
      </c>
      <c r="AL104" s="1720">
        <v>170</v>
      </c>
      <c r="BO104">
        <v>347.5</v>
      </c>
      <c r="BP104" t="s">
        <v>510</v>
      </c>
      <c r="BS104" s="196">
        <f>IF(MAX(BT104:BT1183)&lt;ROW(28:28),"",VLOOKUP(ROW(28:28),BT104:BU1183,2))</f>
        <v>157.5</v>
      </c>
      <c r="BT104" s="197" t="str">
        <f>IF(COUNTIF(BU$76:BU104,BU104)=1,MAX(BT$76:BT103)+1,"")</f>
        <v/>
      </c>
      <c r="BU104" s="1720">
        <v>95</v>
      </c>
      <c r="BV104" s="1720">
        <v>245</v>
      </c>
      <c r="BW104" s="1720">
        <v>140</v>
      </c>
      <c r="BX104" s="1720" t="s">
        <v>1503</v>
      </c>
      <c r="BY104" s="1772"/>
      <c r="CB104" s="1720">
        <v>410</v>
      </c>
      <c r="CC104" s="1720">
        <v>340</v>
      </c>
      <c r="CD104" s="1720">
        <v>370</v>
      </c>
      <c r="CE104" s="1720">
        <v>295</v>
      </c>
      <c r="CF104" s="1720">
        <v>470</v>
      </c>
      <c r="CG104" s="1720">
        <v>10256088</v>
      </c>
      <c r="CH104" s="328"/>
    </row>
    <row r="105" spans="1:86" x14ac:dyDescent="0.3">
      <c r="A105" s="1720">
        <v>104</v>
      </c>
      <c r="B105" s="328"/>
      <c r="C105" s="1720"/>
      <c r="D105" s="1720"/>
      <c r="E105" s="1720"/>
      <c r="F105" s="1720"/>
      <c r="G105" s="1720">
        <v>900</v>
      </c>
      <c r="H105" s="1720">
        <v>5</v>
      </c>
      <c r="I105" s="1720">
        <v>450</v>
      </c>
      <c r="J105" s="1720">
        <v>960</v>
      </c>
      <c r="K105" s="1720">
        <v>980</v>
      </c>
      <c r="L105" s="1720">
        <v>130</v>
      </c>
      <c r="M105" s="1720"/>
      <c r="N105" s="328"/>
      <c r="O105" s="1720"/>
      <c r="R105" s="1720">
        <v>104</v>
      </c>
      <c r="S105" s="1720"/>
      <c r="T105" s="1720">
        <v>970</v>
      </c>
      <c r="U105" s="1720">
        <v>1150</v>
      </c>
      <c r="V105" s="1720">
        <v>100</v>
      </c>
      <c r="W105" s="1720"/>
      <c r="AC105" s="1720">
        <v>138</v>
      </c>
      <c r="AD105" s="1720">
        <v>1220</v>
      </c>
      <c r="AE105" s="1720">
        <v>260</v>
      </c>
      <c r="AF105" s="1720">
        <v>960</v>
      </c>
      <c r="AG105" s="1720">
        <v>275</v>
      </c>
      <c r="AH105" s="1720">
        <v>295</v>
      </c>
      <c r="AI105" s="1720">
        <v>350</v>
      </c>
      <c r="AJ105" s="1720">
        <v>120</v>
      </c>
      <c r="AK105" s="1720">
        <v>130</v>
      </c>
      <c r="AL105" s="1720">
        <v>220</v>
      </c>
      <c r="AM105" s="1770" t="s">
        <v>1336</v>
      </c>
      <c r="BO105">
        <v>350</v>
      </c>
      <c r="BP105" t="s">
        <v>511</v>
      </c>
      <c r="BS105" s="196">
        <f>IF(MAX(BT105:BT1184)&lt;ROW(29:29),"",VLOOKUP(ROW(29:29),BT105:BU1184,2))</f>
        <v>160</v>
      </c>
      <c r="BT105" s="197" t="str">
        <f>IF(COUNTIF(BU$76:BU105,BU105)=1,MAX(BT$76:BT104)+1,"")</f>
        <v/>
      </c>
      <c r="BU105" s="1720">
        <v>95</v>
      </c>
      <c r="BV105" s="1720">
        <v>240</v>
      </c>
      <c r="BW105" s="1720">
        <v>140</v>
      </c>
      <c r="BX105" s="1720" t="s">
        <v>1503</v>
      </c>
      <c r="BY105" s="1772"/>
      <c r="CB105" s="1720">
        <v>400</v>
      </c>
      <c r="CC105" s="1720">
        <v>357.5</v>
      </c>
      <c r="CD105" s="1720">
        <v>200</v>
      </c>
      <c r="CE105" s="1720">
        <v>110</v>
      </c>
      <c r="CF105" s="1720">
        <v>470</v>
      </c>
      <c r="CG105" s="1720">
        <v>7248194</v>
      </c>
      <c r="CH105" s="328"/>
    </row>
    <row r="106" spans="1:86" x14ac:dyDescent="0.3">
      <c r="A106" s="1720">
        <v>105</v>
      </c>
      <c r="B106" s="328"/>
      <c r="C106" s="1720" t="s">
        <v>1430</v>
      </c>
      <c r="D106" s="1720"/>
      <c r="E106" s="1720"/>
      <c r="F106" s="1720"/>
      <c r="G106" s="1720">
        <v>905</v>
      </c>
      <c r="H106" s="1720">
        <v>4</v>
      </c>
      <c r="I106" s="1720">
        <v>250</v>
      </c>
      <c r="J106" s="1720">
        <v>960</v>
      </c>
      <c r="K106" s="1720">
        <v>980</v>
      </c>
      <c r="L106" s="1720">
        <v>140</v>
      </c>
      <c r="M106" s="1720"/>
      <c r="N106" s="328"/>
      <c r="O106" s="1720"/>
      <c r="R106" s="1720">
        <v>105</v>
      </c>
      <c r="S106" s="1720"/>
      <c r="T106" s="1720">
        <v>1000</v>
      </c>
      <c r="U106" s="1720">
        <v>1300</v>
      </c>
      <c r="V106" s="1720">
        <v>100</v>
      </c>
      <c r="W106" s="1720"/>
      <c r="AC106" s="1720">
        <v>26</v>
      </c>
      <c r="AD106" s="1720">
        <v>1200</v>
      </c>
      <c r="AE106" s="1720">
        <v>240</v>
      </c>
      <c r="AF106" s="1720">
        <v>960</v>
      </c>
      <c r="AG106" s="1720">
        <v>305</v>
      </c>
      <c r="AH106" s="1720">
        <v>325</v>
      </c>
      <c r="AI106" s="1720">
        <v>360</v>
      </c>
      <c r="AJ106" s="1720">
        <v>105</v>
      </c>
      <c r="AK106" s="1720">
        <v>118</v>
      </c>
      <c r="AL106" s="1720">
        <v>215</v>
      </c>
      <c r="AM106" s="1770" t="s">
        <v>1337</v>
      </c>
      <c r="BO106">
        <v>355</v>
      </c>
      <c r="BP106" t="s">
        <v>512</v>
      </c>
      <c r="BS106" s="196">
        <f>IF(MAX(BT106:BT1185)&lt;ROW(30:30),"",VLOOKUP(ROW(30:30),BT106:BU1185,2))</f>
        <v>162.5</v>
      </c>
      <c r="BT106" s="197" t="str">
        <f>IF(COUNTIF(BU$76:BU106,BU106)=1,MAX(BT$76:BT105)+1,"")</f>
        <v/>
      </c>
      <c r="BU106" s="1720">
        <v>95</v>
      </c>
      <c r="BV106" s="1720">
        <v>240</v>
      </c>
      <c r="BW106" s="1720">
        <v>140</v>
      </c>
      <c r="BX106" s="1720" t="s">
        <v>1503</v>
      </c>
      <c r="BY106" s="1772"/>
      <c r="CB106" s="1720">
        <v>394</v>
      </c>
      <c r="CC106" s="1720">
        <v>365</v>
      </c>
      <c r="CD106" s="1720">
        <v>297</v>
      </c>
      <c r="CE106" s="1720">
        <v>180</v>
      </c>
      <c r="CF106" s="1720">
        <v>470</v>
      </c>
      <c r="CG106" s="1720">
        <v>7249284</v>
      </c>
      <c r="CH106" s="328"/>
    </row>
    <row r="107" spans="1:86" x14ac:dyDescent="0.3">
      <c r="A107" s="1720">
        <v>106</v>
      </c>
      <c r="B107" s="328"/>
      <c r="C107" s="1720" t="s">
        <v>1431</v>
      </c>
      <c r="D107" s="1720"/>
      <c r="E107" s="1720"/>
      <c r="F107" s="1720"/>
      <c r="G107" s="1720">
        <v>905</v>
      </c>
      <c r="H107" s="1720">
        <v>7.5</v>
      </c>
      <c r="I107" s="1720">
        <v>760</v>
      </c>
      <c r="J107" s="1720">
        <v>970</v>
      </c>
      <c r="K107" s="1720">
        <v>995</v>
      </c>
      <c r="L107" s="1720">
        <v>170</v>
      </c>
      <c r="M107" s="1720"/>
      <c r="N107" s="328"/>
      <c r="O107" s="1720"/>
      <c r="R107" s="1720">
        <v>106</v>
      </c>
      <c r="S107" s="1720"/>
      <c r="T107" s="1720">
        <v>1015</v>
      </c>
      <c r="U107" s="1720">
        <v>840</v>
      </c>
      <c r="V107" s="1720">
        <v>100</v>
      </c>
      <c r="W107" s="1720"/>
      <c r="AC107" s="1720">
        <v>109</v>
      </c>
      <c r="AD107" s="1720">
        <v>1115</v>
      </c>
      <c r="AE107" s="1720">
        <v>120</v>
      </c>
      <c r="AF107" s="1720">
        <v>995</v>
      </c>
      <c r="AG107" s="1720">
        <v>100</v>
      </c>
      <c r="AH107" s="1720">
        <v>110</v>
      </c>
      <c r="AI107" s="1720">
        <v>150</v>
      </c>
      <c r="AJ107" s="1720">
        <v>35</v>
      </c>
      <c r="AK107" s="1720">
        <v>45</v>
      </c>
      <c r="AL107" s="1720">
        <v>105</v>
      </c>
      <c r="BO107">
        <v>360</v>
      </c>
      <c r="BP107" t="s">
        <v>513</v>
      </c>
      <c r="BS107" s="196">
        <f>IF(MAX(BT107:BT1186)&lt;ROW(31:31),"",VLOOKUP(ROW(31:31),BT107:BU1186,2))</f>
        <v>165</v>
      </c>
      <c r="BT107" s="197" t="str">
        <f>IF(COUNTIF(BU$76:BU107,BU107)=1,MAX(BT$76:BT106)+1,"")</f>
        <v/>
      </c>
      <c r="BU107" s="1720">
        <v>95</v>
      </c>
      <c r="BV107" s="1720">
        <v>245</v>
      </c>
      <c r="BW107" s="1720">
        <v>140</v>
      </c>
      <c r="BX107" s="1720" t="s">
        <v>1503</v>
      </c>
      <c r="BY107" s="1772"/>
      <c r="CB107" s="1720">
        <v>409</v>
      </c>
      <c r="CC107" s="1720">
        <v>365</v>
      </c>
      <c r="CD107" s="1720">
        <v>295</v>
      </c>
      <c r="CE107" s="1720">
        <v>180</v>
      </c>
      <c r="CF107" s="1720">
        <v>470</v>
      </c>
      <c r="CG107" s="1720">
        <v>7249284</v>
      </c>
      <c r="CH107" s="328"/>
    </row>
    <row r="108" spans="1:86" x14ac:dyDescent="0.3">
      <c r="A108" s="1720">
        <v>107</v>
      </c>
      <c r="B108" s="328"/>
      <c r="C108" s="1720" t="s">
        <v>1452</v>
      </c>
      <c r="D108" s="1720">
        <v>965</v>
      </c>
      <c r="E108" s="1720">
        <v>5</v>
      </c>
      <c r="F108" s="1720">
        <v>130</v>
      </c>
      <c r="G108" s="1720">
        <v>930</v>
      </c>
      <c r="H108" s="1720">
        <v>8</v>
      </c>
      <c r="I108" s="1720">
        <v>365</v>
      </c>
      <c r="J108" s="1720">
        <v>1030</v>
      </c>
      <c r="K108" s="1720">
        <v>1050</v>
      </c>
      <c r="L108" s="1720">
        <v>180</v>
      </c>
      <c r="M108" s="1720" t="s">
        <v>1374</v>
      </c>
      <c r="N108" s="328"/>
      <c r="O108" s="1720"/>
      <c r="R108" s="1720">
        <v>107</v>
      </c>
      <c r="S108" s="1720"/>
      <c r="T108" s="1720">
        <v>1030</v>
      </c>
      <c r="U108" s="1720">
        <v>990</v>
      </c>
      <c r="V108" s="1720">
        <v>80</v>
      </c>
      <c r="W108" s="1720" t="s">
        <v>2004</v>
      </c>
      <c r="AC108" s="1720">
        <v>40</v>
      </c>
      <c r="AD108" s="1720">
        <v>1170</v>
      </c>
      <c r="AE108" s="1720">
        <v>170</v>
      </c>
      <c r="AF108" s="1720">
        <v>1000</v>
      </c>
      <c r="AG108" s="1720">
        <v>635</v>
      </c>
      <c r="AH108" s="1720">
        <v>650</v>
      </c>
      <c r="AI108" s="1720">
        <v>690</v>
      </c>
      <c r="AJ108" s="1720">
        <v>55</v>
      </c>
      <c r="AK108" s="1720">
        <v>75</v>
      </c>
      <c r="AL108" s="1720">
        <v>140</v>
      </c>
      <c r="AM108" s="1770" t="s">
        <v>1338</v>
      </c>
      <c r="BO108">
        <v>365</v>
      </c>
      <c r="BP108" t="s">
        <v>514</v>
      </c>
      <c r="BS108" s="196">
        <f>IF(MAX(BT108:BT1187)&lt;ROW(32:32),"",VLOOKUP(ROW(32:32),BT108:BU1187,2))</f>
        <v>167.5</v>
      </c>
      <c r="BT108" s="197" t="str">
        <f>IF(COUNTIF(BU$76:BU108,BU108)=1,MAX(BT$76:BT107)+1,"")</f>
        <v/>
      </c>
      <c r="BU108" s="1720">
        <v>95</v>
      </c>
      <c r="BV108" s="1720">
        <v>245</v>
      </c>
      <c r="BW108" s="1720">
        <v>140</v>
      </c>
      <c r="BX108" s="1720" t="s">
        <v>1503</v>
      </c>
      <c r="BY108" s="1772"/>
      <c r="CB108" s="1720">
        <v>390</v>
      </c>
      <c r="CC108" s="1720">
        <v>365</v>
      </c>
      <c r="CD108" s="1720">
        <v>295</v>
      </c>
      <c r="CE108" s="1720">
        <v>180</v>
      </c>
      <c r="CF108" s="1720">
        <v>470</v>
      </c>
      <c r="CG108" s="1720">
        <v>7249284</v>
      </c>
      <c r="CH108" s="328"/>
    </row>
    <row r="109" spans="1:86" x14ac:dyDescent="0.3">
      <c r="A109" s="1720">
        <v>108</v>
      </c>
      <c r="B109" s="328"/>
      <c r="C109" s="1720"/>
      <c r="D109" s="1720"/>
      <c r="E109" s="1720"/>
      <c r="F109" s="1720"/>
      <c r="G109" s="1720">
        <v>930</v>
      </c>
      <c r="H109" s="1720">
        <v>7</v>
      </c>
      <c r="I109" s="1720">
        <v>520</v>
      </c>
      <c r="J109" s="1720">
        <v>970</v>
      </c>
      <c r="K109" s="1720">
        <v>1000</v>
      </c>
      <c r="L109" s="1720">
        <v>150</v>
      </c>
      <c r="M109" s="1720"/>
      <c r="N109" s="328"/>
      <c r="O109" s="1720"/>
      <c r="R109" s="1720">
        <v>108</v>
      </c>
      <c r="S109" s="1720"/>
      <c r="T109" s="1720">
        <v>1030</v>
      </c>
      <c r="U109" s="1720">
        <v>1410</v>
      </c>
      <c r="V109" s="1720">
        <v>100</v>
      </c>
      <c r="W109" s="1720"/>
      <c r="AC109" s="1720">
        <v>1</v>
      </c>
      <c r="AD109" s="1720">
        <v>1160</v>
      </c>
      <c r="AE109" s="1720">
        <v>145</v>
      </c>
      <c r="AF109" s="1720">
        <v>1015</v>
      </c>
      <c r="AG109" s="1720">
        <v>280</v>
      </c>
      <c r="AH109" s="1720">
        <v>290</v>
      </c>
      <c r="AI109" s="1720">
        <v>330</v>
      </c>
      <c r="AJ109" s="1720">
        <v>45</v>
      </c>
      <c r="AK109" s="1720">
        <v>55</v>
      </c>
      <c r="AL109" s="1720">
        <v>115</v>
      </c>
      <c r="AM109" s="1770" t="s">
        <v>1339</v>
      </c>
      <c r="BO109">
        <v>367.5</v>
      </c>
      <c r="BP109" t="s">
        <v>515</v>
      </c>
      <c r="BS109" s="196">
        <f>IF(MAX(BT109:BT1188)&lt;ROW(33:33),"",VLOOKUP(ROW(33:33),BT109:BU1188,2))</f>
        <v>170</v>
      </c>
      <c r="BT109" s="197" t="str">
        <f>IF(COUNTIF(BU$76:BU109,BU109)=1,MAX(BT$76:BT108)+1,"")</f>
        <v/>
      </c>
      <c r="BU109" s="1720">
        <v>95</v>
      </c>
      <c r="BV109" s="1720">
        <v>245</v>
      </c>
      <c r="BW109" s="1720">
        <v>140</v>
      </c>
      <c r="BX109" s="1720" t="s">
        <v>1503</v>
      </c>
      <c r="BY109" s="1772"/>
      <c r="CB109" s="1720">
        <v>455</v>
      </c>
      <c r="CC109" s="1720">
        <v>370</v>
      </c>
      <c r="CD109" s="1720">
        <v>330</v>
      </c>
      <c r="CE109" s="1720">
        <v>260</v>
      </c>
      <c r="CF109" s="1720">
        <v>520</v>
      </c>
      <c r="CG109" s="1720">
        <v>10240959</v>
      </c>
      <c r="CH109" s="328"/>
    </row>
    <row r="110" spans="1:86" x14ac:dyDescent="0.3">
      <c r="A110" s="1720">
        <v>109</v>
      </c>
      <c r="B110" s="328"/>
      <c r="C110" s="1720"/>
      <c r="D110" s="1720"/>
      <c r="E110" s="1720"/>
      <c r="F110" s="1720"/>
      <c r="G110" s="1720">
        <v>950</v>
      </c>
      <c r="H110" s="1720">
        <v>7.5</v>
      </c>
      <c r="I110" s="1720">
        <v>430</v>
      </c>
      <c r="J110" s="1720">
        <v>975</v>
      </c>
      <c r="K110" s="1720">
        <v>995</v>
      </c>
      <c r="L110" s="1720">
        <v>110</v>
      </c>
      <c r="M110" s="1720" t="s">
        <v>1359</v>
      </c>
      <c r="N110" s="328"/>
      <c r="O110" s="1720"/>
      <c r="R110" s="1720">
        <v>109</v>
      </c>
      <c r="S110" s="1720" t="s">
        <v>2005</v>
      </c>
      <c r="T110" s="1720">
        <v>1030</v>
      </c>
      <c r="U110" s="1720">
        <v>880</v>
      </c>
      <c r="V110" s="1720">
        <v>60</v>
      </c>
      <c r="W110" s="1720" t="s">
        <v>2006</v>
      </c>
      <c r="AC110" s="1720">
        <v>39</v>
      </c>
      <c r="AD110" s="1720">
        <v>1220</v>
      </c>
      <c r="AE110" s="1720">
        <v>180</v>
      </c>
      <c r="AF110" s="1720">
        <v>1040</v>
      </c>
      <c r="AG110" s="1720">
        <v>405</v>
      </c>
      <c r="AH110" s="1720">
        <v>420</v>
      </c>
      <c r="AI110" s="1720">
        <v>460</v>
      </c>
      <c r="AJ110" s="1720">
        <v>70</v>
      </c>
      <c r="AK110" s="1720">
        <v>80</v>
      </c>
      <c r="AL110" s="1720">
        <v>150</v>
      </c>
      <c r="AM110" s="1770" t="s">
        <v>1340</v>
      </c>
      <c r="BO110">
        <v>370</v>
      </c>
      <c r="BP110" t="s">
        <v>516</v>
      </c>
      <c r="BS110" s="196">
        <f>IF(MAX(BT110:BT1189)&lt;ROW(34:34),"",VLOOKUP(ROW(34:34),BT110:BU1189,2))</f>
        <v>172.5</v>
      </c>
      <c r="BT110" s="197" t="str">
        <f>IF(COUNTIF(BU$76:BU110,BU110)=1,MAX(BT$76:BT109)+1,"")</f>
        <v/>
      </c>
      <c r="BU110" s="1720">
        <v>95</v>
      </c>
      <c r="BV110" s="1720">
        <v>245</v>
      </c>
      <c r="BW110" s="1720">
        <v>140</v>
      </c>
      <c r="BX110" s="1720" t="s">
        <v>1503</v>
      </c>
      <c r="BY110" s="1772"/>
      <c r="CB110" s="1720">
        <v>388</v>
      </c>
      <c r="CC110" s="1720">
        <v>372.5</v>
      </c>
      <c r="CD110" s="1720">
        <v>170</v>
      </c>
      <c r="CE110" s="1720">
        <v>135</v>
      </c>
      <c r="CF110" s="1720">
        <v>470</v>
      </c>
      <c r="CG110" s="1720">
        <v>7225773</v>
      </c>
      <c r="CH110" s="328"/>
    </row>
    <row r="111" spans="1:86" x14ac:dyDescent="0.3">
      <c r="A111" s="1720">
        <v>110</v>
      </c>
      <c r="B111" s="328"/>
      <c r="C111" s="1720"/>
      <c r="D111" s="1720">
        <v>985</v>
      </c>
      <c r="E111" s="1720">
        <v>6</v>
      </c>
      <c r="F111" s="1720">
        <v>150</v>
      </c>
      <c r="G111" s="1720">
        <v>955</v>
      </c>
      <c r="H111" s="1720">
        <v>7.5</v>
      </c>
      <c r="I111" s="1720">
        <v>710</v>
      </c>
      <c r="J111" s="1720">
        <v>1030</v>
      </c>
      <c r="K111" s="1720">
        <v>1050</v>
      </c>
      <c r="L111" s="1720">
        <v>120</v>
      </c>
      <c r="M111" s="1720"/>
      <c r="N111" s="328"/>
      <c r="O111" s="1720"/>
      <c r="R111" s="1720">
        <v>110</v>
      </c>
      <c r="S111" s="1720" t="s">
        <v>2007</v>
      </c>
      <c r="T111" s="1720">
        <v>1040</v>
      </c>
      <c r="U111" s="1720">
        <v>880</v>
      </c>
      <c r="V111" s="1720">
        <v>100</v>
      </c>
      <c r="W111" s="1720"/>
      <c r="AC111" s="1720">
        <v>2</v>
      </c>
      <c r="AD111" s="1720">
        <v>1235</v>
      </c>
      <c r="AE111" s="1720">
        <v>180</v>
      </c>
      <c r="AF111" s="1720">
        <v>1055</v>
      </c>
      <c r="AG111" s="1720">
        <v>300</v>
      </c>
      <c r="AH111" s="1720">
        <v>320</v>
      </c>
      <c r="AI111" s="1720">
        <v>360</v>
      </c>
      <c r="AJ111" s="1720">
        <v>47</v>
      </c>
      <c r="AK111" s="1720">
        <v>60</v>
      </c>
      <c r="AL111" s="1720">
        <v>130</v>
      </c>
      <c r="AM111" s="1770" t="s">
        <v>1341</v>
      </c>
      <c r="BO111">
        <v>372.5</v>
      </c>
      <c r="BP111" t="s">
        <v>517</v>
      </c>
      <c r="BS111" s="196">
        <f>IF(MAX(BT111:BT1190)&lt;ROW(35:35),"",VLOOKUP(ROW(35:35),BT111:BU1190,2))</f>
        <v>175</v>
      </c>
      <c r="BT111" s="197" t="str">
        <f>IF(COUNTIF(BU$76:BU111,BU111)=1,MAX(BT$76:BT110)+1,"")</f>
        <v/>
      </c>
      <c r="BU111" s="1720">
        <v>95</v>
      </c>
      <c r="BV111" s="1720">
        <v>245</v>
      </c>
      <c r="BW111" s="1720">
        <v>140</v>
      </c>
      <c r="BX111" s="1720" t="s">
        <v>1503</v>
      </c>
      <c r="BY111" s="1772"/>
      <c r="CB111" s="1720">
        <v>388</v>
      </c>
      <c r="CC111" s="1720">
        <v>372.5</v>
      </c>
      <c r="CD111" s="1720">
        <v>170</v>
      </c>
      <c r="CE111" s="1720">
        <v>135</v>
      </c>
      <c r="CF111" s="1720">
        <v>470</v>
      </c>
      <c r="CG111" s="1720">
        <v>7225773</v>
      </c>
      <c r="CH111" s="328"/>
    </row>
    <row r="112" spans="1:86" x14ac:dyDescent="0.3">
      <c r="A112" s="1720">
        <v>111</v>
      </c>
      <c r="B112" s="328"/>
      <c r="C112" s="1720"/>
      <c r="D112" s="1720"/>
      <c r="E112" s="1720"/>
      <c r="F112" s="1720"/>
      <c r="G112" s="1720">
        <v>990</v>
      </c>
      <c r="H112" s="1720">
        <v>3.5</v>
      </c>
      <c r="I112" s="1720">
        <v>640</v>
      </c>
      <c r="J112" s="1720">
        <v>1040</v>
      </c>
      <c r="K112" s="1720">
        <v>1065</v>
      </c>
      <c r="L112" s="1720">
        <v>150</v>
      </c>
      <c r="M112" s="1720"/>
      <c r="N112" s="328"/>
      <c r="O112" s="1720"/>
      <c r="R112" s="1720">
        <v>111</v>
      </c>
      <c r="S112" s="1720"/>
      <c r="T112" s="1720">
        <v>1070</v>
      </c>
      <c r="U112" s="1720">
        <v>1130</v>
      </c>
      <c r="V112" s="1720">
        <v>100</v>
      </c>
      <c r="W112" s="1720"/>
      <c r="AC112" s="1720">
        <v>48</v>
      </c>
      <c r="AD112" s="1720">
        <v>1210</v>
      </c>
      <c r="AE112" s="1720">
        <v>150</v>
      </c>
      <c r="AF112" s="1720">
        <v>1060</v>
      </c>
      <c r="AG112" s="1720">
        <v>140</v>
      </c>
      <c r="AH112" s="1720">
        <v>157</v>
      </c>
      <c r="AI112" s="1720">
        <v>185</v>
      </c>
      <c r="AJ112" s="1720">
        <v>35</v>
      </c>
      <c r="AK112" s="1720">
        <v>50</v>
      </c>
      <c r="AL112" s="1720">
        <v>110</v>
      </c>
      <c r="AM112" s="1770" t="s">
        <v>1342</v>
      </c>
      <c r="BO112">
        <v>377.5</v>
      </c>
      <c r="BP112" t="s">
        <v>518</v>
      </c>
      <c r="BS112" s="196">
        <f>IF(MAX(BT112:BT1191)&lt;ROW(36:36),"",VLOOKUP(ROW(36:36),BT112:BU1191,2))</f>
        <v>177.5</v>
      </c>
      <c r="BT112" s="197" t="str">
        <f>IF(COUNTIF(BU$76:BU112,BU112)=1,MAX(BT$76:BT111)+1,"")</f>
        <v/>
      </c>
      <c r="BU112" s="1720">
        <v>95</v>
      </c>
      <c r="BV112" s="1720">
        <v>245</v>
      </c>
      <c r="BW112" s="1720">
        <v>140</v>
      </c>
      <c r="BX112" s="1720" t="s">
        <v>1503</v>
      </c>
      <c r="BY112" s="1772"/>
      <c r="CB112" s="1720">
        <v>388</v>
      </c>
      <c r="CC112" s="1720">
        <v>375</v>
      </c>
      <c r="CD112" s="1720">
        <v>170</v>
      </c>
      <c r="CE112" s="1720">
        <v>137</v>
      </c>
      <c r="CF112" s="1720">
        <v>470</v>
      </c>
      <c r="CG112" s="1720">
        <v>7225773</v>
      </c>
      <c r="CH112" s="328"/>
    </row>
    <row r="113" spans="1:86" x14ac:dyDescent="0.3">
      <c r="A113" s="1720">
        <v>112</v>
      </c>
      <c r="B113" s="328" t="s">
        <v>1432</v>
      </c>
      <c r="C113" s="1720" t="s">
        <v>1433</v>
      </c>
      <c r="D113" s="1720"/>
      <c r="E113" s="1720"/>
      <c r="F113" s="1720"/>
      <c r="G113" s="1720">
        <v>1000</v>
      </c>
      <c r="H113" s="1720">
        <v>3</v>
      </c>
      <c r="I113" s="1720">
        <v>440</v>
      </c>
      <c r="J113" s="1720">
        <v>1050</v>
      </c>
      <c r="K113" s="1720">
        <v>1070</v>
      </c>
      <c r="L113" s="1720">
        <v>150</v>
      </c>
      <c r="M113" s="1720" t="s">
        <v>1434</v>
      </c>
      <c r="N113" s="328"/>
      <c r="O113" s="1720"/>
      <c r="R113" s="1720">
        <v>112</v>
      </c>
      <c r="S113" s="1720"/>
      <c r="T113" s="1720">
        <v>1110</v>
      </c>
      <c r="U113" s="1720">
        <v>1420</v>
      </c>
      <c r="V113" s="1720">
        <v>100</v>
      </c>
      <c r="W113" s="1720"/>
      <c r="AC113" s="1720">
        <v>37</v>
      </c>
      <c r="AD113" s="1720">
        <v>1230</v>
      </c>
      <c r="AE113" s="1720">
        <v>165</v>
      </c>
      <c r="AF113" s="1720">
        <v>1065</v>
      </c>
      <c r="AG113" s="1720">
        <v>338</v>
      </c>
      <c r="AH113" s="1720">
        <v>360</v>
      </c>
      <c r="AI113" s="1720">
        <v>410</v>
      </c>
      <c r="AJ113" s="1720">
        <v>65</v>
      </c>
      <c r="AK113" s="1720">
        <v>76</v>
      </c>
      <c r="AL113" s="1720">
        <v>200</v>
      </c>
      <c r="AM113" s="1770" t="s">
        <v>1343</v>
      </c>
      <c r="BO113">
        <v>380</v>
      </c>
      <c r="BP113" t="s">
        <v>519</v>
      </c>
      <c r="BS113" s="196">
        <f>IF(MAX(BT113:BT1192)&lt;ROW(37:37),"",VLOOKUP(ROW(37:37),BT113:BU1192,2))</f>
        <v>180</v>
      </c>
      <c r="BT113" s="197" t="str">
        <f>IF(COUNTIF(BU$76:BU113,BU113)=1,MAX(BT$76:BT112)+1,"")</f>
        <v/>
      </c>
      <c r="BU113" s="1720">
        <v>95</v>
      </c>
      <c r="BV113" s="1720">
        <v>240</v>
      </c>
      <c r="BW113" s="1720">
        <v>140</v>
      </c>
      <c r="BX113" s="1720" t="s">
        <v>1503</v>
      </c>
      <c r="BY113" s="1772"/>
      <c r="CB113" s="1720">
        <v>388</v>
      </c>
      <c r="CC113" s="1720">
        <v>375</v>
      </c>
      <c r="CD113" s="1720">
        <v>170</v>
      </c>
      <c r="CE113" s="1720">
        <v>135</v>
      </c>
      <c r="CF113" s="1720">
        <v>470</v>
      </c>
      <c r="CG113" s="1720">
        <v>7225773</v>
      </c>
      <c r="CH113" s="328"/>
    </row>
    <row r="114" spans="1:86" x14ac:dyDescent="0.3">
      <c r="A114" s="1720">
        <v>113</v>
      </c>
      <c r="B114" s="328" t="s">
        <v>1372</v>
      </c>
      <c r="C114" s="1720"/>
      <c r="D114" s="1720"/>
      <c r="E114" s="1720"/>
      <c r="F114" s="1720"/>
      <c r="G114" s="1720">
        <v>1000</v>
      </c>
      <c r="H114" s="1720">
        <v>7.5</v>
      </c>
      <c r="I114" s="1720">
        <v>1030</v>
      </c>
      <c r="J114" s="1720">
        <v>1070</v>
      </c>
      <c r="K114" s="1720">
        <v>1090</v>
      </c>
      <c r="L114" s="1720">
        <v>130</v>
      </c>
      <c r="M114" s="1720" t="s">
        <v>1373</v>
      </c>
      <c r="N114" s="328"/>
      <c r="O114" s="1720"/>
      <c r="R114" s="1720">
        <v>113</v>
      </c>
      <c r="S114" s="1720"/>
      <c r="T114" s="1720">
        <v>1130</v>
      </c>
      <c r="U114" s="1720">
        <v>710</v>
      </c>
      <c r="V114" s="1720">
        <v>80</v>
      </c>
      <c r="W114" s="1720" t="s">
        <v>2008</v>
      </c>
      <c r="AC114" s="1720">
        <v>29</v>
      </c>
      <c r="AD114" s="1720">
        <v>1215</v>
      </c>
      <c r="AE114" s="1720">
        <v>140</v>
      </c>
      <c r="AF114" s="1720">
        <v>1075</v>
      </c>
      <c r="AG114" s="1720">
        <v>235</v>
      </c>
      <c r="AH114" s="1720">
        <v>250</v>
      </c>
      <c r="AI114" s="1720">
        <v>285</v>
      </c>
      <c r="AJ114" s="1720">
        <v>45</v>
      </c>
      <c r="AK114" s="1720">
        <v>58</v>
      </c>
      <c r="AL114" s="1720">
        <v>110</v>
      </c>
      <c r="AM114" s="1770" t="s">
        <v>1344</v>
      </c>
      <c r="BO114">
        <v>382.5</v>
      </c>
      <c r="BP114" t="s">
        <v>520</v>
      </c>
      <c r="BS114" s="196">
        <f>IF(MAX(BT114:BT1193)&lt;ROW(38:38),"",VLOOKUP(ROW(38:38),BT114:BU1193,2))</f>
        <v>182.5</v>
      </c>
      <c r="BT114" s="197" t="str">
        <f>IF(COUNTIF(BU$76:BU114,BU114)=1,MAX(BT$76:BT113)+1,"")</f>
        <v/>
      </c>
      <c r="BU114" s="1720">
        <v>95</v>
      </c>
      <c r="BV114" s="1720">
        <v>243</v>
      </c>
      <c r="BW114" s="1720">
        <v>140</v>
      </c>
      <c r="BX114" s="1720" t="s">
        <v>1503</v>
      </c>
      <c r="BY114" s="1772"/>
      <c r="CB114" s="1720">
        <v>495</v>
      </c>
      <c r="CC114" s="1720">
        <v>382.5</v>
      </c>
      <c r="CD114" s="1720">
        <v>578</v>
      </c>
      <c r="CE114" s="1720">
        <v>510</v>
      </c>
      <c r="CF114" s="1720">
        <v>520</v>
      </c>
      <c r="CG114" s="1720">
        <v>7248722</v>
      </c>
      <c r="CH114" s="328" t="s">
        <v>1906</v>
      </c>
    </row>
    <row r="115" spans="1:86" x14ac:dyDescent="0.3">
      <c r="A115" s="1720">
        <v>114</v>
      </c>
      <c r="B115" s="328"/>
      <c r="C115" s="1720"/>
      <c r="D115" s="1720"/>
      <c r="E115" s="1720"/>
      <c r="F115" s="1720"/>
      <c r="G115" s="1720">
        <v>1050</v>
      </c>
      <c r="H115" s="1720">
        <v>10</v>
      </c>
      <c r="I115" s="1720">
        <v>680</v>
      </c>
      <c r="J115" s="1720">
        <v>1110</v>
      </c>
      <c r="K115" s="1720">
        <v>1125</v>
      </c>
      <c r="L115" s="1720">
        <v>120</v>
      </c>
      <c r="M115" s="1720"/>
      <c r="N115" s="328"/>
      <c r="O115" s="1720"/>
      <c r="R115" s="1720">
        <v>114</v>
      </c>
      <c r="S115" s="1720"/>
      <c r="T115" s="1720">
        <v>1150</v>
      </c>
      <c r="U115" s="1720">
        <v>580</v>
      </c>
      <c r="V115" s="1720">
        <v>80</v>
      </c>
      <c r="W115" s="1720"/>
      <c r="AC115" s="1720">
        <v>112</v>
      </c>
      <c r="AD115" s="1720">
        <v>1280</v>
      </c>
      <c r="AE115" s="1720">
        <v>200</v>
      </c>
      <c r="AF115" s="1720">
        <v>1095</v>
      </c>
      <c r="AG115" s="1720">
        <v>335</v>
      </c>
      <c r="AH115" s="1720">
        <v>360</v>
      </c>
      <c r="AI115" s="1720">
        <v>400</v>
      </c>
      <c r="AJ115" s="1720">
        <v>55</v>
      </c>
      <c r="AK115" s="1720">
        <v>80</v>
      </c>
      <c r="AL115" s="1720">
        <v>155</v>
      </c>
      <c r="AM115" s="1770" t="s">
        <v>1345</v>
      </c>
      <c r="BO115">
        <v>385</v>
      </c>
      <c r="BP115" t="s">
        <v>521</v>
      </c>
      <c r="BS115" s="196">
        <f>IF(MAX(BT115:BT1194)&lt;ROW(39:39),"",VLOOKUP(ROW(39:39),BT115:BU1194,2))</f>
        <v>185</v>
      </c>
      <c r="BT115" s="197" t="str">
        <f>IF(COUNTIF(BU$76:BU115,BU115)=1,MAX(BT$76:BT114)+1,"")</f>
        <v/>
      </c>
      <c r="BU115" s="1720">
        <v>95</v>
      </c>
      <c r="BV115" s="1720">
        <v>243</v>
      </c>
      <c r="BW115" s="1720">
        <v>140</v>
      </c>
      <c r="BX115" s="1720" t="s">
        <v>1503</v>
      </c>
      <c r="BY115" s="1772"/>
      <c r="CB115" s="1720">
        <v>420</v>
      </c>
      <c r="CC115" s="1720">
        <v>382.5</v>
      </c>
      <c r="CD115" s="1720">
        <v>357</v>
      </c>
      <c r="CE115" s="1720">
        <v>230</v>
      </c>
      <c r="CF115" s="1720">
        <v>500</v>
      </c>
      <c r="CG115" s="1720">
        <v>10241602</v>
      </c>
      <c r="CH115" s="328"/>
    </row>
    <row r="116" spans="1:86" x14ac:dyDescent="0.3">
      <c r="A116" s="1720">
        <v>115</v>
      </c>
      <c r="B116" s="328"/>
      <c r="C116" s="1720"/>
      <c r="D116" s="1720">
        <v>1095</v>
      </c>
      <c r="E116" s="1720">
        <v>2.5</v>
      </c>
      <c r="F116" s="1720">
        <v>60</v>
      </c>
      <c r="G116" s="1720">
        <v>1060</v>
      </c>
      <c r="H116" s="1720">
        <v>2.5</v>
      </c>
      <c r="I116" s="1720">
        <v>120</v>
      </c>
      <c r="J116" s="1720">
        <v>1140</v>
      </c>
      <c r="K116" s="1720">
        <v>1170</v>
      </c>
      <c r="L116" s="1720">
        <v>140</v>
      </c>
      <c r="M116" s="1720"/>
      <c r="N116" s="328"/>
      <c r="O116" s="1720"/>
      <c r="R116" s="1720">
        <v>115</v>
      </c>
      <c r="S116" s="1720" t="s">
        <v>2009</v>
      </c>
      <c r="T116" s="1720">
        <v>1160</v>
      </c>
      <c r="U116" s="1720">
        <v>910</v>
      </c>
      <c r="V116" s="1720">
        <v>100</v>
      </c>
      <c r="W116" s="1720"/>
      <c r="AC116" s="1720">
        <v>108</v>
      </c>
      <c r="AD116" s="1720">
        <v>1305</v>
      </c>
      <c r="AE116" s="1720">
        <v>185</v>
      </c>
      <c r="AF116" s="1720">
        <v>1120</v>
      </c>
      <c r="AG116" s="1720">
        <v>240</v>
      </c>
      <c r="AH116" s="1720">
        <v>260</v>
      </c>
      <c r="AI116" s="1720">
        <v>295</v>
      </c>
      <c r="AJ116" s="1720">
        <v>32</v>
      </c>
      <c r="AK116" s="1720">
        <v>41</v>
      </c>
      <c r="AL116" s="1720">
        <v>110</v>
      </c>
      <c r="BO116">
        <v>390</v>
      </c>
      <c r="BP116" t="s">
        <v>522</v>
      </c>
      <c r="BS116" s="196">
        <f>IF(MAX(BT116:BT1195)&lt;ROW(40:40),"",VLOOKUP(ROW(40:40),BT116:BU1195,2))</f>
        <v>187.5</v>
      </c>
      <c r="BT116" s="197" t="str">
        <f>IF(COUNTIF(BU$76:BU116,BU116)=1,MAX(BT$76:BT115)+1,"")</f>
        <v/>
      </c>
      <c r="BU116" s="1720">
        <v>95</v>
      </c>
      <c r="BV116" s="1720">
        <v>244</v>
      </c>
      <c r="BW116" s="1720">
        <v>140</v>
      </c>
      <c r="BX116" s="1720" t="s">
        <v>1503</v>
      </c>
      <c r="BY116" s="1772"/>
      <c r="CB116" s="1720">
        <v>457</v>
      </c>
      <c r="CC116" s="1720">
        <v>390</v>
      </c>
      <c r="CD116" s="1720">
        <v>410</v>
      </c>
      <c r="CE116" s="1720">
        <v>340</v>
      </c>
      <c r="CF116" s="1720">
        <v>520</v>
      </c>
      <c r="CG116" s="1720" t="s">
        <v>1281</v>
      </c>
      <c r="CH116" s="328"/>
    </row>
    <row r="117" spans="1:86" x14ac:dyDescent="0.3">
      <c r="A117" s="1720">
        <v>116</v>
      </c>
      <c r="B117" s="328"/>
      <c r="C117" s="1720"/>
      <c r="D117" s="1720"/>
      <c r="E117" s="1720"/>
      <c r="F117" s="1720"/>
      <c r="G117" s="1720">
        <v>1090</v>
      </c>
      <c r="H117" s="1720">
        <v>5</v>
      </c>
      <c r="I117" s="1720">
        <v>470</v>
      </c>
      <c r="J117" s="1720"/>
      <c r="K117" s="1720"/>
      <c r="L117" s="1720"/>
      <c r="M117" s="1720" t="s">
        <v>1367</v>
      </c>
      <c r="N117" s="328"/>
      <c r="O117" s="1720"/>
      <c r="R117" s="1720">
        <v>116</v>
      </c>
      <c r="S117" s="1720" t="s">
        <v>2010</v>
      </c>
      <c r="T117" s="1720">
        <v>1200</v>
      </c>
      <c r="U117" s="1720">
        <v>780</v>
      </c>
      <c r="V117" s="1720">
        <v>100</v>
      </c>
      <c r="W117" s="1720"/>
      <c r="AC117" s="1720">
        <v>24</v>
      </c>
      <c r="AD117" s="1720">
        <v>1305</v>
      </c>
      <c r="AE117" s="1720">
        <v>165</v>
      </c>
      <c r="AF117" s="1720">
        <v>1140</v>
      </c>
      <c r="AG117" s="1720">
        <v>195</v>
      </c>
      <c r="AH117" s="1720">
        <v>200</v>
      </c>
      <c r="AI117" s="1720">
        <v>240</v>
      </c>
      <c r="AJ117" s="1720">
        <v>30</v>
      </c>
      <c r="AK117" s="1720">
        <v>42</v>
      </c>
      <c r="AL117" s="1720">
        <v>75</v>
      </c>
      <c r="AM117" s="1770" t="s">
        <v>1346</v>
      </c>
      <c r="BO117">
        <v>392.5</v>
      </c>
      <c r="BP117" t="s">
        <v>523</v>
      </c>
      <c r="BS117" s="196">
        <f>IF(MAX(BT117:BT1196)&lt;ROW(41:41),"",VLOOKUP(ROW(41:41),BT117:BU1196,2))</f>
        <v>190</v>
      </c>
      <c r="BT117" s="197" t="str">
        <f>IF(COUNTIF(BU$76:BU117,BU117)=1,MAX(BT$76:BT116)+1,"")</f>
        <v/>
      </c>
      <c r="BU117" s="1720">
        <v>95</v>
      </c>
      <c r="BV117" s="1720">
        <v>245</v>
      </c>
      <c r="BW117" s="1720">
        <v>140</v>
      </c>
      <c r="BX117" s="1720" t="s">
        <v>1503</v>
      </c>
      <c r="BY117" s="1772"/>
      <c r="CB117" s="1720">
        <v>430</v>
      </c>
      <c r="CC117" s="1720">
        <v>390</v>
      </c>
      <c r="CD117" s="1720">
        <v>265</v>
      </c>
      <c r="CE117" s="1720">
        <v>150</v>
      </c>
      <c r="CF117" s="1720">
        <v>500</v>
      </c>
      <c r="CG117" s="1720" t="s">
        <v>1282</v>
      </c>
      <c r="CH117" s="328"/>
    </row>
    <row r="118" spans="1:86" x14ac:dyDescent="0.3">
      <c r="A118" s="1720">
        <v>117</v>
      </c>
      <c r="B118" s="328"/>
      <c r="C118" s="1720"/>
      <c r="D118" s="1720"/>
      <c r="E118" s="1720"/>
      <c r="F118" s="1720"/>
      <c r="G118" s="1720">
        <v>1095</v>
      </c>
      <c r="H118" s="1720">
        <v>7.5</v>
      </c>
      <c r="I118" s="1720">
        <v>960</v>
      </c>
      <c r="J118" s="1720">
        <v>1145</v>
      </c>
      <c r="K118" s="1720">
        <v>1070</v>
      </c>
      <c r="L118" s="1720">
        <v>150</v>
      </c>
      <c r="M118" s="1720" t="s">
        <v>1358</v>
      </c>
      <c r="N118" s="328"/>
      <c r="O118" s="1720"/>
      <c r="R118" s="1720">
        <v>117</v>
      </c>
      <c r="S118" s="1720"/>
      <c r="T118" s="1720">
        <v>1220</v>
      </c>
      <c r="U118" s="1720">
        <v>1220</v>
      </c>
      <c r="V118" s="1720">
        <v>100</v>
      </c>
      <c r="W118" s="1720"/>
      <c r="AC118" s="1720">
        <v>119</v>
      </c>
      <c r="AD118" s="1720">
        <v>1470</v>
      </c>
      <c r="AE118" s="1720">
        <v>280</v>
      </c>
      <c r="AF118" s="1720">
        <v>1190</v>
      </c>
      <c r="AG118" s="1720">
        <v>220</v>
      </c>
      <c r="AH118" s="1720">
        <v>235</v>
      </c>
      <c r="AI118" s="1720">
        <v>285</v>
      </c>
      <c r="AJ118" s="1720">
        <v>51</v>
      </c>
      <c r="AK118" s="1720">
        <v>60</v>
      </c>
      <c r="AL118" s="1720">
        <v>150</v>
      </c>
      <c r="BO118">
        <v>397.5</v>
      </c>
      <c r="BP118" t="s">
        <v>524</v>
      </c>
      <c r="BS118" s="196">
        <f>IF(MAX(BT118:BT1197)&lt;ROW(42:42),"",VLOOKUP(ROW(42:42),BT118:BU1197,2))</f>
        <v>192.5</v>
      </c>
      <c r="BT118" s="197">
        <f>IF(COUNTIF(BU$76:BU118,BU118)=1,MAX(BT$76:BT117)+1,"")</f>
        <v>6</v>
      </c>
      <c r="BU118" s="1720">
        <v>100</v>
      </c>
      <c r="BV118" s="1720">
        <v>250</v>
      </c>
      <c r="BW118" s="1720">
        <v>185</v>
      </c>
      <c r="BX118" s="1720" t="s">
        <v>1504</v>
      </c>
      <c r="BY118" s="1772"/>
      <c r="CB118" s="1720">
        <v>495</v>
      </c>
      <c r="CC118" s="1720">
        <v>415</v>
      </c>
      <c r="CD118" s="1720">
        <v>235</v>
      </c>
      <c r="CE118" s="1720">
        <v>155</v>
      </c>
      <c r="CF118" s="1720">
        <v>550</v>
      </c>
      <c r="CG118" s="1720">
        <v>7247249</v>
      </c>
      <c r="CH118" s="328"/>
    </row>
    <row r="119" spans="1:86" x14ac:dyDescent="0.3">
      <c r="A119" s="1720">
        <v>118</v>
      </c>
      <c r="B119" s="328"/>
      <c r="C119" s="1720"/>
      <c r="D119" s="1720"/>
      <c r="E119" s="1720"/>
      <c r="F119" s="1720"/>
      <c r="G119" s="1720">
        <v>1130</v>
      </c>
      <c r="H119" s="1720">
        <v>10</v>
      </c>
      <c r="I119" s="1720">
        <v>250</v>
      </c>
      <c r="J119" s="1720"/>
      <c r="K119" s="1720"/>
      <c r="L119" s="1720"/>
      <c r="M119" s="1720" t="s">
        <v>1367</v>
      </c>
      <c r="N119" s="328"/>
      <c r="O119" s="1720"/>
      <c r="R119" s="1720">
        <v>118</v>
      </c>
      <c r="S119" s="1720"/>
      <c r="T119" s="1720">
        <v>1235</v>
      </c>
      <c r="U119" s="1720">
        <v>800</v>
      </c>
      <c r="V119" s="1720">
        <v>100</v>
      </c>
      <c r="W119" s="1720" t="s">
        <v>2011</v>
      </c>
      <c r="AC119" s="1720">
        <v>41</v>
      </c>
      <c r="AD119" s="1720">
        <v>1470</v>
      </c>
      <c r="AE119" s="1720">
        <v>280</v>
      </c>
      <c r="AF119" s="1720">
        <v>1190</v>
      </c>
      <c r="AG119" s="1720">
        <v>223</v>
      </c>
      <c r="AH119" s="1720">
        <v>237</v>
      </c>
      <c r="AI119" s="1720">
        <v>290</v>
      </c>
      <c r="AJ119" s="1720">
        <v>60</v>
      </c>
      <c r="AK119" s="1720">
        <v>73</v>
      </c>
      <c r="AL119" s="1720">
        <v>185</v>
      </c>
      <c r="AM119" s="1770" t="s">
        <v>1347</v>
      </c>
      <c r="BO119">
        <v>405</v>
      </c>
      <c r="BP119" t="s">
        <v>525</v>
      </c>
      <c r="BS119" s="196">
        <f>IF(MAX(BT119:BT1198)&lt;ROW(43:43),"",VLOOKUP(ROW(43:43),BT119:BU1198,2))</f>
        <v>195</v>
      </c>
      <c r="BT119" s="197" t="str">
        <f>IF(COUNTIF(BU$76:BU119,BU119)=1,MAX(BT$76:BT118)+1,"")</f>
        <v/>
      </c>
      <c r="BU119" s="1720">
        <v>100</v>
      </c>
      <c r="BV119" s="1720">
        <v>255</v>
      </c>
      <c r="BW119" s="1720">
        <v>185</v>
      </c>
      <c r="BX119" s="1720" t="s">
        <v>1504</v>
      </c>
      <c r="BY119" s="1772"/>
      <c r="CB119" s="1720">
        <v>460</v>
      </c>
      <c r="CC119" s="1720">
        <v>415</v>
      </c>
      <c r="CD119" s="1720">
        <v>350</v>
      </c>
      <c r="CE119" s="1720">
        <v>285</v>
      </c>
      <c r="CF119" s="1720">
        <v>500</v>
      </c>
      <c r="CG119" s="1720">
        <v>7245907</v>
      </c>
      <c r="CH119" s="328"/>
    </row>
    <row r="120" spans="1:86" x14ac:dyDescent="0.3">
      <c r="A120" s="1720">
        <v>119</v>
      </c>
      <c r="B120" s="328"/>
      <c r="C120" s="1720" t="s">
        <v>1435</v>
      </c>
      <c r="D120" s="1720"/>
      <c r="E120" s="1720"/>
      <c r="F120" s="1720"/>
      <c r="G120" s="1720">
        <v>1130</v>
      </c>
      <c r="H120" s="1720">
        <v>5</v>
      </c>
      <c r="I120" s="1720">
        <v>680</v>
      </c>
      <c r="J120" s="1720">
        <v>1190</v>
      </c>
      <c r="K120" s="1720">
        <v>1210</v>
      </c>
      <c r="L120" s="1720">
        <v>135</v>
      </c>
      <c r="M120" s="1720"/>
      <c r="N120" s="328"/>
      <c r="O120" s="1720"/>
      <c r="R120" s="1720">
        <v>119</v>
      </c>
      <c r="S120" s="1720"/>
      <c r="T120" s="1720">
        <v>1290</v>
      </c>
      <c r="U120" s="1720">
        <v>1060</v>
      </c>
      <c r="V120" s="1720">
        <v>100</v>
      </c>
      <c r="W120" s="1720"/>
      <c r="AC120" s="1720">
        <v>66</v>
      </c>
      <c r="AD120" s="1720">
        <v>1470</v>
      </c>
      <c r="AE120" s="1720">
        <v>240</v>
      </c>
      <c r="AF120" s="1720">
        <v>1230</v>
      </c>
      <c r="AG120" s="1720">
        <v>245</v>
      </c>
      <c r="AH120" s="1720">
        <v>270</v>
      </c>
      <c r="AI120" s="1720">
        <v>320</v>
      </c>
      <c r="AJ120" s="1720">
        <v>42</v>
      </c>
      <c r="AK120" s="1720">
        <v>55</v>
      </c>
      <c r="AL120" s="1720">
        <v>140</v>
      </c>
      <c r="BO120">
        <v>410</v>
      </c>
      <c r="BP120" t="s">
        <v>526</v>
      </c>
      <c r="BS120" s="196">
        <f>IF(MAX(BT120:BT1199)&lt;ROW(44:44),"",VLOOKUP(ROW(44:44),BT120:BU1199,2))</f>
        <v>197.5</v>
      </c>
      <c r="BT120" s="197" t="str">
        <f>IF(COUNTIF(BU$76:BU120,BU120)=1,MAX(BT$76:BT119)+1,"")</f>
        <v/>
      </c>
      <c r="BU120" s="1720">
        <v>100</v>
      </c>
      <c r="BV120" s="1720">
        <v>243</v>
      </c>
      <c r="BW120" s="1720">
        <v>140</v>
      </c>
      <c r="BX120" s="1720" t="s">
        <v>1504</v>
      </c>
      <c r="BY120" s="1772"/>
      <c r="CB120" s="1720">
        <v>466</v>
      </c>
      <c r="CC120" s="1720">
        <v>445</v>
      </c>
      <c r="CD120" s="1720">
        <v>190</v>
      </c>
      <c r="CE120" s="1720">
        <v>115</v>
      </c>
      <c r="CF120" s="1720">
        <v>500</v>
      </c>
      <c r="CG120" s="1720">
        <v>7247900</v>
      </c>
      <c r="CH120" s="328"/>
    </row>
    <row r="121" spans="1:86" x14ac:dyDescent="0.3">
      <c r="A121" s="1720">
        <v>120</v>
      </c>
      <c r="B121" s="328"/>
      <c r="C121" s="1720"/>
      <c r="D121" s="1720"/>
      <c r="E121" s="1720"/>
      <c r="F121" s="1720"/>
      <c r="G121" s="1720">
        <v>1150</v>
      </c>
      <c r="H121" s="1720">
        <v>5</v>
      </c>
      <c r="I121" s="1720">
        <v>350</v>
      </c>
      <c r="J121" s="1720">
        <v>1205</v>
      </c>
      <c r="K121" s="1720">
        <v>1225</v>
      </c>
      <c r="L121" s="1720">
        <v>140</v>
      </c>
      <c r="M121" s="1720"/>
      <c r="N121" s="328"/>
      <c r="O121" s="1720"/>
      <c r="R121" s="1720">
        <v>120</v>
      </c>
      <c r="S121" s="1720" t="s">
        <v>2012</v>
      </c>
      <c r="T121" s="1720">
        <v>1355</v>
      </c>
      <c r="U121" s="1720">
        <v>900</v>
      </c>
      <c r="V121" s="1720">
        <v>150</v>
      </c>
      <c r="W121" s="1720"/>
      <c r="AC121" s="1720">
        <v>140</v>
      </c>
      <c r="AD121" s="1720">
        <v>1460</v>
      </c>
      <c r="AE121" s="1720">
        <v>230</v>
      </c>
      <c r="AF121" s="1720">
        <v>1230</v>
      </c>
      <c r="AG121" s="1720">
        <v>300</v>
      </c>
      <c r="AH121" s="1720">
        <v>320</v>
      </c>
      <c r="AI121" s="1720">
        <v>370</v>
      </c>
      <c r="AJ121" s="1720">
        <v>75</v>
      </c>
      <c r="AK121" s="1720">
        <v>90</v>
      </c>
      <c r="AL121" s="1720">
        <v>170</v>
      </c>
      <c r="AM121" s="1770" t="s">
        <v>1348</v>
      </c>
      <c r="BO121">
        <v>412.5</v>
      </c>
      <c r="BP121" t="s">
        <v>527</v>
      </c>
      <c r="BS121" s="196">
        <f>IF(MAX(BT121:BT1200)&lt;ROW(45:45),"",VLOOKUP(ROW(45:45),BT121:BU1200,2))</f>
        <v>200</v>
      </c>
      <c r="BT121" s="197" t="str">
        <f>IF(COUNTIF(BU$76:BU121,BU121)=1,MAX(BT$76:BT120)+1,"")</f>
        <v/>
      </c>
      <c r="BU121" s="1720">
        <v>100</v>
      </c>
      <c r="BV121" s="1720">
        <v>260</v>
      </c>
      <c r="BW121" s="1720">
        <v>185</v>
      </c>
      <c r="BX121" s="1720" t="s">
        <v>1504</v>
      </c>
      <c r="BY121" s="1772"/>
      <c r="CB121" s="1720">
        <v>481</v>
      </c>
      <c r="CC121" s="1720">
        <v>455</v>
      </c>
      <c r="CD121" s="1720">
        <v>397</v>
      </c>
      <c r="CE121" s="1720">
        <v>350</v>
      </c>
      <c r="CF121" s="1720">
        <v>520</v>
      </c>
      <c r="CG121" s="1720">
        <v>7247250</v>
      </c>
      <c r="CH121" s="328"/>
    </row>
    <row r="122" spans="1:86" x14ac:dyDescent="0.3">
      <c r="A122" s="1720">
        <v>121</v>
      </c>
      <c r="B122" s="328"/>
      <c r="C122" s="1720" t="s">
        <v>1436</v>
      </c>
      <c r="D122" s="1720"/>
      <c r="E122" s="1720"/>
      <c r="F122" s="1720"/>
      <c r="G122" s="1720">
        <v>1150</v>
      </c>
      <c r="H122" s="1720">
        <v>8</v>
      </c>
      <c r="I122" s="1720">
        <v>620</v>
      </c>
      <c r="J122" s="1720">
        <v>1205</v>
      </c>
      <c r="K122" s="1720">
        <v>1240</v>
      </c>
      <c r="L122" s="1720">
        <v>210</v>
      </c>
      <c r="M122" s="1720"/>
      <c r="N122" s="328"/>
      <c r="O122" s="1720"/>
      <c r="R122" s="1720">
        <v>121</v>
      </c>
      <c r="S122" s="1720"/>
      <c r="T122" s="1720">
        <v>1440</v>
      </c>
      <c r="U122" s="1720">
        <v>1270</v>
      </c>
      <c r="V122" s="1720">
        <v>100</v>
      </c>
      <c r="W122" s="1720"/>
      <c r="AC122" s="1720">
        <v>7</v>
      </c>
      <c r="AD122" s="1720">
        <v>1480</v>
      </c>
      <c r="AE122" s="1720">
        <v>245</v>
      </c>
      <c r="AF122" s="1720">
        <v>1235</v>
      </c>
      <c r="AG122" s="1720">
        <v>465</v>
      </c>
      <c r="AH122" s="1720">
        <v>488</v>
      </c>
      <c r="AI122" s="1720">
        <v>540</v>
      </c>
      <c r="AJ122" s="1720">
        <v>42</v>
      </c>
      <c r="AK122" s="1720">
        <v>57</v>
      </c>
      <c r="AL122" s="1720">
        <v>153</v>
      </c>
      <c r="AM122" s="1770" t="s">
        <v>1349</v>
      </c>
      <c r="BO122">
        <v>415</v>
      </c>
      <c r="BP122" t="s">
        <v>528</v>
      </c>
      <c r="BS122" s="196">
        <f>IF(MAX(BT122:BT1201)&lt;ROW(46:46),"",VLOOKUP(ROW(46:46),BT122:BU1201,2))</f>
        <v>202.5</v>
      </c>
      <c r="BT122" s="197">
        <f>IF(COUNTIF(BU$76:BU122,BU122)=1,MAX(BT$76:BT121)+1,"")</f>
        <v>7</v>
      </c>
      <c r="BU122" s="1720">
        <v>102.5</v>
      </c>
      <c r="BV122" s="1720">
        <v>255</v>
      </c>
      <c r="BW122" s="1720">
        <v>185</v>
      </c>
      <c r="BX122" s="1720" t="s">
        <v>1505</v>
      </c>
      <c r="BY122" s="1772"/>
      <c r="CB122" s="1720">
        <v>490</v>
      </c>
      <c r="CC122" s="1720">
        <v>455</v>
      </c>
      <c r="CD122" s="1720">
        <v>405</v>
      </c>
      <c r="CE122" s="1720">
        <v>355</v>
      </c>
      <c r="CF122" s="1720">
        <v>550</v>
      </c>
      <c r="CG122" s="1720">
        <v>7247250</v>
      </c>
      <c r="CH122" s="328"/>
    </row>
    <row r="123" spans="1:86" x14ac:dyDescent="0.3">
      <c r="A123" s="1720">
        <v>122</v>
      </c>
      <c r="B123" s="328"/>
      <c r="C123" s="1720"/>
      <c r="D123" s="1720"/>
      <c r="E123" s="1720"/>
      <c r="F123" s="1720"/>
      <c r="G123" s="1720">
        <v>1150</v>
      </c>
      <c r="H123" s="1720">
        <v>10</v>
      </c>
      <c r="I123" s="1720">
        <v>740</v>
      </c>
      <c r="J123" s="1720">
        <v>1190</v>
      </c>
      <c r="K123" s="1720">
        <v>1210</v>
      </c>
      <c r="L123" s="1720">
        <v>125</v>
      </c>
      <c r="M123" s="1720" t="s">
        <v>1374</v>
      </c>
      <c r="N123" s="328"/>
      <c r="O123" s="1720"/>
      <c r="R123" s="1720">
        <v>122</v>
      </c>
      <c r="S123" s="1720"/>
      <c r="T123" s="1720">
        <v>1585</v>
      </c>
      <c r="U123" s="1720">
        <v>1380</v>
      </c>
      <c r="V123" s="1720">
        <v>150</v>
      </c>
      <c r="W123" s="1720"/>
      <c r="AC123" s="1720">
        <v>9</v>
      </c>
      <c r="AD123" s="1720">
        <v>1410</v>
      </c>
      <c r="AE123" s="1720">
        <v>160</v>
      </c>
      <c r="AF123" s="1720">
        <v>1250</v>
      </c>
      <c r="AG123" s="1720">
        <v>360</v>
      </c>
      <c r="AH123" s="1720">
        <v>377</v>
      </c>
      <c r="AI123" s="1720">
        <v>420</v>
      </c>
      <c r="AJ123" s="1720">
        <v>53</v>
      </c>
      <c r="AK123" s="1720">
        <v>63</v>
      </c>
      <c r="AL123" s="1720">
        <v>125</v>
      </c>
      <c r="AM123" s="1770" t="s">
        <v>1350</v>
      </c>
      <c r="BO123">
        <v>417.5</v>
      </c>
      <c r="BP123" t="s">
        <v>529</v>
      </c>
      <c r="BS123" s="196">
        <f>IF(MAX(BT123:BT1202)&lt;ROW(47:47),"",VLOOKUP(ROW(47:47),BT123:BU1202,2))</f>
        <v>205</v>
      </c>
      <c r="BT123" s="197" t="str">
        <f>IF(COUNTIF(BU$76:BU123,BU123)=1,MAX(BT$76:BT122)+1,"")</f>
        <v/>
      </c>
      <c r="BU123" s="1720">
        <v>102.5</v>
      </c>
      <c r="BV123" s="1720">
        <v>252</v>
      </c>
      <c r="BW123" s="1720">
        <v>185</v>
      </c>
      <c r="BX123" s="1720" t="s">
        <v>1505</v>
      </c>
      <c r="BY123" s="1772"/>
      <c r="CB123" s="1720">
        <v>490</v>
      </c>
      <c r="CC123" s="1720">
        <v>455</v>
      </c>
      <c r="CD123" s="1720">
        <v>395</v>
      </c>
      <c r="CE123" s="1720">
        <v>345</v>
      </c>
      <c r="CF123" s="1720">
        <v>550</v>
      </c>
      <c r="CG123" s="1720">
        <v>7247250</v>
      </c>
      <c r="CH123" s="328"/>
    </row>
    <row r="124" spans="1:86" x14ac:dyDescent="0.3">
      <c r="A124" s="1720">
        <v>123</v>
      </c>
      <c r="B124" s="328"/>
      <c r="C124" s="1720" t="s">
        <v>1437</v>
      </c>
      <c r="D124" s="1720"/>
      <c r="E124" s="1720"/>
      <c r="F124" s="1720"/>
      <c r="G124" s="1720">
        <v>1160</v>
      </c>
      <c r="H124" s="1720">
        <v>10</v>
      </c>
      <c r="I124" s="1720">
        <v>610</v>
      </c>
      <c r="J124" s="1720">
        <v>1215</v>
      </c>
      <c r="K124" s="1720">
        <v>1245</v>
      </c>
      <c r="L124" s="1720">
        <v>190</v>
      </c>
      <c r="M124" s="1720"/>
      <c r="N124" s="328"/>
      <c r="O124" s="1720"/>
      <c r="R124" s="1720">
        <v>123</v>
      </c>
      <c r="S124" s="1720"/>
      <c r="T124" s="1720">
        <v>1720</v>
      </c>
      <c r="U124" s="1720">
        <v>1350</v>
      </c>
      <c r="V124" s="1720">
        <v>120</v>
      </c>
      <c r="W124" s="1720"/>
      <c r="AC124" s="1720">
        <v>118</v>
      </c>
      <c r="AD124" s="1720">
        <v>1520</v>
      </c>
      <c r="AE124" s="1720">
        <v>245</v>
      </c>
      <c r="AF124" s="1720">
        <v>1275</v>
      </c>
      <c r="AG124" s="1720">
        <v>183</v>
      </c>
      <c r="AH124" s="1720">
        <v>207</v>
      </c>
      <c r="AI124" s="1720">
        <v>250</v>
      </c>
      <c r="AJ124" s="1720">
        <v>40</v>
      </c>
      <c r="AK124" s="1720">
        <v>56</v>
      </c>
      <c r="AL124" s="1720">
        <v>155</v>
      </c>
      <c r="BO124">
        <v>420</v>
      </c>
      <c r="BP124" t="s">
        <v>530</v>
      </c>
      <c r="BS124" s="196">
        <f>IF(MAX(BT124:BT1203)&lt;ROW(48:48),"",VLOOKUP(ROW(48:48),BT124:BU1203,2))</f>
        <v>207.5</v>
      </c>
      <c r="BT124" s="197" t="str">
        <f>IF(COUNTIF(BU$76:BU124,BU124)=1,MAX(BT$76:BT123)+1,"")</f>
        <v/>
      </c>
      <c r="BU124" s="1720">
        <v>102.5</v>
      </c>
      <c r="BV124" s="1720">
        <v>256</v>
      </c>
      <c r="BW124" s="1720">
        <v>185</v>
      </c>
      <c r="BX124" s="1720" t="s">
        <v>1505</v>
      </c>
      <c r="BY124" s="1772"/>
      <c r="CB124" s="1720">
        <v>488</v>
      </c>
      <c r="CC124" s="1720">
        <v>457.5</v>
      </c>
      <c r="CD124" s="1720">
        <v>355</v>
      </c>
      <c r="CE124" s="1720">
        <v>308</v>
      </c>
      <c r="CF124" s="1720">
        <v>550</v>
      </c>
      <c r="CG124" s="1720">
        <v>7247250</v>
      </c>
      <c r="CH124" s="328"/>
    </row>
    <row r="125" spans="1:86" x14ac:dyDescent="0.3">
      <c r="A125" s="1720">
        <v>124</v>
      </c>
      <c r="B125" s="328"/>
      <c r="C125" s="1720"/>
      <c r="D125" s="1720"/>
      <c r="E125" s="1720"/>
      <c r="F125" s="1720"/>
      <c r="G125" s="1720">
        <v>1170</v>
      </c>
      <c r="H125" s="1720">
        <v>16</v>
      </c>
      <c r="I125" s="1720">
        <v>1180</v>
      </c>
      <c r="J125" s="1720">
        <v>1245</v>
      </c>
      <c r="K125" s="1720">
        <v>1260</v>
      </c>
      <c r="L125" s="1720">
        <v>190</v>
      </c>
      <c r="M125" s="1720"/>
      <c r="N125" s="328"/>
      <c r="O125" s="1720"/>
      <c r="R125" s="1720">
        <v>124</v>
      </c>
      <c r="S125" s="1720"/>
      <c r="T125" s="1720">
        <v>1960</v>
      </c>
      <c r="U125" s="1720">
        <v>1800</v>
      </c>
      <c r="V125" s="1720">
        <v>120</v>
      </c>
      <c r="W125" s="1720" t="s">
        <v>2013</v>
      </c>
      <c r="AC125" s="1720">
        <v>74</v>
      </c>
      <c r="AD125" s="1720">
        <v>1530</v>
      </c>
      <c r="AE125" s="1720">
        <v>250</v>
      </c>
      <c r="AF125" s="1720">
        <v>1280</v>
      </c>
      <c r="AG125" s="1720">
        <v>160</v>
      </c>
      <c r="AH125" s="1720">
        <v>178</v>
      </c>
      <c r="AI125" s="1720">
        <v>240</v>
      </c>
      <c r="AJ125" s="1720">
        <v>40</v>
      </c>
      <c r="AK125" s="1720">
        <v>54</v>
      </c>
      <c r="AL125" s="1720">
        <v>160</v>
      </c>
      <c r="BO125">
        <v>425</v>
      </c>
      <c r="BP125" t="s">
        <v>531</v>
      </c>
      <c r="BS125" s="196">
        <f>IF(MAX(BT125:BT1204)&lt;ROW(49:49),"",VLOOKUP(ROW(49:49),BT125:BU1204,2))</f>
        <v>210</v>
      </c>
      <c r="BT125" s="197" t="str">
        <f>IF(COUNTIF(BU$76:BU125,BU125)=1,MAX(BT$76:BT124)+1,"")</f>
        <v/>
      </c>
      <c r="BU125" s="1720">
        <v>102.5</v>
      </c>
      <c r="BV125" s="1720">
        <v>255</v>
      </c>
      <c r="BW125" s="1720">
        <v>185</v>
      </c>
      <c r="BX125" s="1720" t="s">
        <v>1505</v>
      </c>
      <c r="BY125" s="1772"/>
      <c r="CB125" s="1720">
        <v>520</v>
      </c>
      <c r="CC125" s="1720">
        <v>470</v>
      </c>
      <c r="CD125" s="1720">
        <v>340</v>
      </c>
      <c r="CE125" s="1720">
        <v>265</v>
      </c>
      <c r="CF125" s="1720">
        <v>570</v>
      </c>
      <c r="CG125" s="1720">
        <v>10252762</v>
      </c>
      <c r="CH125" s="328"/>
    </row>
    <row r="126" spans="1:86" x14ac:dyDescent="0.3">
      <c r="A126" s="1720">
        <v>125</v>
      </c>
      <c r="B126" s="328"/>
      <c r="C126" s="1720"/>
      <c r="D126" s="1720"/>
      <c r="E126" s="1720"/>
      <c r="F126" s="1720"/>
      <c r="G126" s="1720">
        <v>1180</v>
      </c>
      <c r="H126" s="1720">
        <v>15</v>
      </c>
      <c r="I126" s="1720">
        <v>1070</v>
      </c>
      <c r="J126" s="1720">
        <v>1230</v>
      </c>
      <c r="K126" s="1720">
        <v>1260</v>
      </c>
      <c r="L126" s="1720">
        <v>180</v>
      </c>
      <c r="M126" s="1720" t="s">
        <v>1359</v>
      </c>
      <c r="N126" s="328"/>
      <c r="O126" s="1720"/>
      <c r="AC126" s="1720">
        <v>117</v>
      </c>
      <c r="AD126" s="1720">
        <v>1670</v>
      </c>
      <c r="AE126" s="1720">
        <v>330</v>
      </c>
      <c r="AF126" s="1720">
        <v>1340</v>
      </c>
      <c r="AG126" s="1720">
        <v>443</v>
      </c>
      <c r="AH126" s="1720">
        <v>470</v>
      </c>
      <c r="AI126" s="1720">
        <v>530</v>
      </c>
      <c r="AJ126" s="1720">
        <v>80</v>
      </c>
      <c r="AK126" s="1720">
        <v>90</v>
      </c>
      <c r="AL126" s="1720">
        <v>220</v>
      </c>
      <c r="AM126" s="1770" t="s">
        <v>1351</v>
      </c>
      <c r="BO126">
        <v>427.5</v>
      </c>
      <c r="BP126" t="s">
        <v>532</v>
      </c>
      <c r="BS126" s="196">
        <f>IF(MAX(BT126:BT1205)&lt;ROW(50:50),"",VLOOKUP(ROW(50:50),BT126:BU1205,2))</f>
        <v>212.5</v>
      </c>
      <c r="BT126" s="197" t="str">
        <f>IF(COUNTIF(BU$76:BU126,BU126)=1,MAX(BT$76:BT125)+1,"")</f>
        <v/>
      </c>
      <c r="BU126" s="1720">
        <v>102.5</v>
      </c>
      <c r="BV126" s="1720">
        <v>255</v>
      </c>
      <c r="BW126" s="1720">
        <v>185</v>
      </c>
      <c r="BX126" s="1720" t="s">
        <v>1505</v>
      </c>
      <c r="BY126" s="1772"/>
      <c r="CB126" s="1720">
        <v>520</v>
      </c>
      <c r="CC126" s="1720">
        <v>470</v>
      </c>
      <c r="CD126" s="1720">
        <v>310</v>
      </c>
      <c r="CE126" s="1720">
        <v>255</v>
      </c>
      <c r="CF126" s="1720">
        <v>610</v>
      </c>
      <c r="CG126" s="1720">
        <v>7247349</v>
      </c>
      <c r="CH126" s="328"/>
    </row>
    <row r="127" spans="1:86" x14ac:dyDescent="0.3">
      <c r="A127" s="1720">
        <v>126</v>
      </c>
      <c r="B127" s="328"/>
      <c r="C127" s="1720"/>
      <c r="D127" s="1720"/>
      <c r="E127" s="1720"/>
      <c r="F127" s="1720"/>
      <c r="G127" s="1720">
        <v>1190</v>
      </c>
      <c r="H127" s="1720">
        <v>12</v>
      </c>
      <c r="I127" s="1720">
        <v>930</v>
      </c>
      <c r="J127" s="1720">
        <v>1230</v>
      </c>
      <c r="K127" s="1720">
        <v>1270</v>
      </c>
      <c r="L127" s="1720">
        <v>150</v>
      </c>
      <c r="M127" s="1720" t="s">
        <v>1375</v>
      </c>
      <c r="N127" s="328"/>
      <c r="O127" s="1720"/>
      <c r="AC127" s="1720">
        <v>139</v>
      </c>
      <c r="AD127" s="1720">
        <v>1655</v>
      </c>
      <c r="AE127" s="1720">
        <v>260</v>
      </c>
      <c r="AF127" s="1720">
        <v>1395</v>
      </c>
      <c r="AG127" s="1720">
        <v>275</v>
      </c>
      <c r="AH127" s="1720">
        <v>305</v>
      </c>
      <c r="AI127" s="1720">
        <v>355</v>
      </c>
      <c r="AJ127" s="1720">
        <v>70</v>
      </c>
      <c r="AK127" s="1720">
        <v>85</v>
      </c>
      <c r="AL127" s="1720">
        <v>200</v>
      </c>
      <c r="AM127" s="1770" t="s">
        <v>1352</v>
      </c>
      <c r="BO127">
        <v>430</v>
      </c>
      <c r="BP127" t="s">
        <v>533</v>
      </c>
      <c r="BS127" s="196">
        <f>IF(MAX(BT127:BT1206)&lt;ROW(51:51),"",VLOOKUP(ROW(51:51),BT127:BU1206,2))</f>
        <v>215</v>
      </c>
      <c r="BT127" s="197" t="str">
        <f>IF(COUNTIF(BU$76:BU127,BU127)=1,MAX(BT$76:BT126)+1,"")</f>
        <v/>
      </c>
      <c r="BU127" s="1720">
        <v>102.5</v>
      </c>
      <c r="BV127" s="1720">
        <v>253</v>
      </c>
      <c r="BW127" s="1720">
        <v>185</v>
      </c>
      <c r="BX127" s="1720" t="s">
        <v>1505</v>
      </c>
      <c r="BY127" s="1772"/>
      <c r="CB127" s="1720">
        <v>520</v>
      </c>
      <c r="CC127" s="1720">
        <v>470</v>
      </c>
      <c r="CD127" s="1720">
        <v>315</v>
      </c>
      <c r="CE127" s="1720">
        <v>260</v>
      </c>
      <c r="CF127" s="1720">
        <v>610</v>
      </c>
      <c r="CG127" s="1720">
        <v>7247349</v>
      </c>
      <c r="CH127" s="328"/>
    </row>
    <row r="128" spans="1:86" x14ac:dyDescent="0.3">
      <c r="A128" s="1720">
        <v>127</v>
      </c>
      <c r="B128" s="328"/>
      <c r="C128" s="1720" t="s">
        <v>1438</v>
      </c>
      <c r="D128" s="1720"/>
      <c r="E128" s="1720"/>
      <c r="F128" s="1720"/>
      <c r="G128" s="1720">
        <v>1205</v>
      </c>
      <c r="H128" s="1720">
        <v>7.5</v>
      </c>
      <c r="I128" s="1720">
        <v>550</v>
      </c>
      <c r="J128" s="1720">
        <v>1255</v>
      </c>
      <c r="K128" s="1720">
        <v>1275</v>
      </c>
      <c r="L128" s="1720">
        <v>115</v>
      </c>
      <c r="M128" s="1720" t="s">
        <v>1439</v>
      </c>
      <c r="N128" s="328"/>
      <c r="O128" s="1720"/>
      <c r="AC128" s="1720">
        <v>68</v>
      </c>
      <c r="AD128" s="1720">
        <v>1695</v>
      </c>
      <c r="AE128" s="1720">
        <v>250</v>
      </c>
      <c r="AF128" s="1720">
        <v>1445</v>
      </c>
      <c r="AG128" s="1720">
        <v>215</v>
      </c>
      <c r="AH128" s="1720">
        <v>244</v>
      </c>
      <c r="AI128" s="1720">
        <v>305</v>
      </c>
      <c r="AJ128" s="1720">
        <v>38</v>
      </c>
      <c r="AK128" s="1720">
        <v>57</v>
      </c>
      <c r="AL128" s="1720">
        <v>160</v>
      </c>
      <c r="BO128">
        <v>432.5</v>
      </c>
      <c r="BP128" t="s">
        <v>534</v>
      </c>
      <c r="BS128" s="196">
        <f>IF(MAX(BT128:BT1207)&lt;ROW(52:52),"",VLOOKUP(ROW(52:52),BT128:BU1207,2))</f>
        <v>217.5</v>
      </c>
      <c r="BT128" s="197">
        <f>IF(COUNTIF(BU$76:BU128,BU128)=1,MAX(BT$76:BT127)+1,"")</f>
        <v>8</v>
      </c>
      <c r="BU128" s="1720">
        <v>105</v>
      </c>
      <c r="BV128" s="1720">
        <v>250</v>
      </c>
      <c r="BW128" s="1720">
        <v>185</v>
      </c>
      <c r="BX128" s="1720" t="s">
        <v>1506</v>
      </c>
      <c r="BY128" s="1772"/>
      <c r="CB128" s="1720">
        <v>520</v>
      </c>
      <c r="CC128" s="1720">
        <v>470</v>
      </c>
      <c r="CD128" s="1720">
        <v>340</v>
      </c>
      <c r="CE128" s="1720">
        <v>265</v>
      </c>
      <c r="CF128" s="1720">
        <v>570</v>
      </c>
      <c r="CG128" s="1720">
        <v>10252762</v>
      </c>
      <c r="CH128" s="328"/>
    </row>
    <row r="129" spans="1:86" x14ac:dyDescent="0.3">
      <c r="A129" s="1720">
        <v>128</v>
      </c>
      <c r="B129" s="328"/>
      <c r="C129" s="1720"/>
      <c r="D129" s="1720"/>
      <c r="E129" s="1720"/>
      <c r="F129" s="1720"/>
      <c r="G129" s="1720">
        <v>1210</v>
      </c>
      <c r="H129" s="1720">
        <v>5</v>
      </c>
      <c r="I129" s="1720">
        <v>550</v>
      </c>
      <c r="J129" s="1720">
        <v>1255</v>
      </c>
      <c r="K129" s="1720">
        <v>1270</v>
      </c>
      <c r="L129" s="1720">
        <v>120</v>
      </c>
      <c r="M129" s="1720" t="s">
        <v>1358</v>
      </c>
      <c r="N129" s="328"/>
      <c r="O129" s="1720"/>
      <c r="AC129" s="1720">
        <v>67</v>
      </c>
      <c r="AD129" s="1720">
        <v>1695</v>
      </c>
      <c r="AE129" s="1720">
        <v>240</v>
      </c>
      <c r="AF129" s="1720">
        <v>1455</v>
      </c>
      <c r="AG129" s="1720">
        <v>220</v>
      </c>
      <c r="AH129" s="1720">
        <v>240</v>
      </c>
      <c r="AI129" s="1720">
        <v>310</v>
      </c>
      <c r="AJ129" s="1720">
        <v>38</v>
      </c>
      <c r="AK129" s="1720">
        <v>55</v>
      </c>
      <c r="AL129" s="1720">
        <v>150</v>
      </c>
      <c r="BO129">
        <v>440</v>
      </c>
      <c r="BP129" t="s">
        <v>535</v>
      </c>
      <c r="BS129" s="196">
        <f>IF(MAX(BT129:BT1208)&lt;ROW(53:53),"",VLOOKUP(ROW(53:53),BT129:BU1208,2))</f>
        <v>220</v>
      </c>
      <c r="BT129" s="197" t="str">
        <f>IF(COUNTIF(BU$76:BU129,BU129)=1,MAX(BT$76:BT128)+1,"")</f>
        <v/>
      </c>
      <c r="BU129" s="1720">
        <v>105</v>
      </c>
      <c r="BV129" s="1720">
        <v>255</v>
      </c>
      <c r="BW129" s="1720">
        <v>185</v>
      </c>
      <c r="BX129" s="1720" t="s">
        <v>1506</v>
      </c>
      <c r="BY129" s="1772"/>
      <c r="CB129" s="1720">
        <v>520</v>
      </c>
      <c r="CC129" s="1720">
        <v>470</v>
      </c>
      <c r="CD129" s="1720">
        <v>340</v>
      </c>
      <c r="CE129" s="1720">
        <v>265</v>
      </c>
      <c r="CF129" s="1720">
        <v>570</v>
      </c>
      <c r="CG129" s="1720">
        <v>10252762</v>
      </c>
      <c r="CH129" s="328"/>
    </row>
    <row r="130" spans="1:86" x14ac:dyDescent="0.3">
      <c r="A130" s="1720">
        <v>129</v>
      </c>
      <c r="B130" s="328"/>
      <c r="C130" s="1720"/>
      <c r="D130" s="1720"/>
      <c r="E130" s="1720"/>
      <c r="F130" s="1720"/>
      <c r="G130" s="1720">
        <v>1250</v>
      </c>
      <c r="H130" s="1720">
        <v>5</v>
      </c>
      <c r="I130" s="1720">
        <v>140</v>
      </c>
      <c r="J130" s="1720">
        <v>1410</v>
      </c>
      <c r="K130" s="1720">
        <v>1420</v>
      </c>
      <c r="L130" s="1720">
        <v>200</v>
      </c>
      <c r="M130" s="1720" t="s">
        <v>1376</v>
      </c>
      <c r="N130" s="328"/>
      <c r="O130" s="1720"/>
      <c r="AC130" s="1720">
        <v>0</v>
      </c>
      <c r="AD130" s="1720">
        <v>0</v>
      </c>
      <c r="AE130" s="1720">
        <v>0</v>
      </c>
      <c r="AF130" s="1720">
        <v>0</v>
      </c>
      <c r="AG130" s="1720">
        <v>0</v>
      </c>
      <c r="AH130" s="1720">
        <v>0</v>
      </c>
      <c r="AI130" s="1720">
        <v>0</v>
      </c>
      <c r="AJ130" s="1720">
        <v>0</v>
      </c>
      <c r="AK130" s="1720">
        <v>0</v>
      </c>
      <c r="AL130" s="1720">
        <v>0</v>
      </c>
      <c r="AM130" s="1770">
        <v>0</v>
      </c>
      <c r="BO130">
        <v>442.5</v>
      </c>
      <c r="BP130" t="s">
        <v>536</v>
      </c>
      <c r="BS130" s="196">
        <f>IF(MAX(BT130:BT1209)&lt;ROW(54:54),"",VLOOKUP(ROW(54:54),BT130:BU1209,2))</f>
        <v>222.5</v>
      </c>
      <c r="BT130" s="197" t="str">
        <f>IF(COUNTIF(BU$76:BU130,BU130)=1,MAX(BT$76:BT129)+1,"")</f>
        <v/>
      </c>
      <c r="BU130" s="1720">
        <v>105</v>
      </c>
      <c r="BV130" s="1720">
        <v>260</v>
      </c>
      <c r="BW130" s="1720">
        <v>185</v>
      </c>
      <c r="BX130" s="1720" t="s">
        <v>1506</v>
      </c>
      <c r="BY130" s="1772"/>
      <c r="CB130" s="1720">
        <v>510</v>
      </c>
      <c r="CC130" s="1720">
        <v>470</v>
      </c>
      <c r="CD130" s="1720">
        <v>350</v>
      </c>
      <c r="CE130" s="1720">
        <v>290</v>
      </c>
      <c r="CF130" s="1720">
        <v>550</v>
      </c>
      <c r="CG130" s="1720">
        <v>7247085</v>
      </c>
      <c r="CH130" s="328"/>
    </row>
    <row r="131" spans="1:86" x14ac:dyDescent="0.3">
      <c r="A131" s="1720">
        <v>130</v>
      </c>
      <c r="B131" s="328"/>
      <c r="C131" s="1720"/>
      <c r="D131" s="1720">
        <v>1365</v>
      </c>
      <c r="E131" s="1720">
        <v>5</v>
      </c>
      <c r="F131" s="1720">
        <v>120</v>
      </c>
      <c r="G131" s="1720">
        <v>1270</v>
      </c>
      <c r="H131" s="1720">
        <v>17.5</v>
      </c>
      <c r="I131" s="1720">
        <v>920</v>
      </c>
      <c r="J131" s="1720">
        <v>1400</v>
      </c>
      <c r="K131" s="1720">
        <v>1435</v>
      </c>
      <c r="L131" s="1720">
        <v>280</v>
      </c>
      <c r="M131" s="1720" t="s">
        <v>1453</v>
      </c>
      <c r="N131" s="328"/>
      <c r="O131" s="1720"/>
      <c r="BO131">
        <v>445</v>
      </c>
      <c r="BP131" t="s">
        <v>537</v>
      </c>
      <c r="BS131" s="196">
        <f>IF(MAX(BT131:BT1210)&lt;ROW(55:55),"",VLOOKUP(ROW(55:55),BT131:BU1210,2))</f>
        <v>225</v>
      </c>
      <c r="BT131" s="197" t="str">
        <f>IF(COUNTIF(BU$76:BU131,BU131)=1,MAX(BT$76:BT130)+1,"")</f>
        <v/>
      </c>
      <c r="BU131" s="1720">
        <v>105</v>
      </c>
      <c r="BV131" s="1720">
        <v>260</v>
      </c>
      <c r="BW131" s="1720">
        <v>185</v>
      </c>
      <c r="BX131" s="1720" t="s">
        <v>1506</v>
      </c>
      <c r="BY131" s="1772"/>
      <c r="CB131" s="1720">
        <v>500</v>
      </c>
      <c r="CC131" s="1720">
        <v>480</v>
      </c>
      <c r="CD131" s="1720">
        <v>825</v>
      </c>
      <c r="CE131" s="1720">
        <v>740</v>
      </c>
      <c r="CF131" s="1720">
        <v>550</v>
      </c>
      <c r="CG131" s="1720">
        <v>7247090</v>
      </c>
      <c r="CH131" s="328" t="s">
        <v>1907</v>
      </c>
    </row>
    <row r="132" spans="1:86" x14ac:dyDescent="0.3">
      <c r="A132" s="1720">
        <v>131</v>
      </c>
      <c r="B132" s="328"/>
      <c r="C132" s="1720"/>
      <c r="D132" s="1720"/>
      <c r="E132" s="1720"/>
      <c r="F132" s="1720"/>
      <c r="G132" s="1720">
        <v>1274</v>
      </c>
      <c r="H132" s="1720">
        <v>13</v>
      </c>
      <c r="I132" s="1720">
        <v>710</v>
      </c>
      <c r="J132" s="1720">
        <v>1325</v>
      </c>
      <c r="K132" s="1720">
        <v>1335</v>
      </c>
      <c r="L132" s="1720">
        <v>150</v>
      </c>
      <c r="M132" s="1720" t="s">
        <v>1377</v>
      </c>
      <c r="N132" s="328"/>
      <c r="O132" s="1720"/>
      <c r="BO132">
        <v>447.5</v>
      </c>
      <c r="BP132" t="s">
        <v>538</v>
      </c>
      <c r="BS132" s="196">
        <f>IF(MAX(BT132:BT1211)&lt;ROW(56:56),"",VLOOKUP(ROW(56:56),BT132:BU1211,2))</f>
        <v>227.5</v>
      </c>
      <c r="BT132" s="197">
        <f>IF(COUNTIF(BU$76:BU132,BU132)=1,MAX(BT$76:BT131)+1,"")</f>
        <v>9</v>
      </c>
      <c r="BU132" s="1720">
        <v>107.5</v>
      </c>
      <c r="BV132" s="1720">
        <v>250</v>
      </c>
      <c r="BW132" s="1720">
        <v>185</v>
      </c>
      <c r="BX132" s="1720" t="s">
        <v>1507</v>
      </c>
      <c r="BY132" s="1772"/>
      <c r="CB132" s="1720">
        <v>508</v>
      </c>
      <c r="CC132" s="1720">
        <v>490</v>
      </c>
      <c r="CD132" s="1720">
        <v>140</v>
      </c>
      <c r="CE132" s="1720">
        <v>90</v>
      </c>
      <c r="CF132" s="1720">
        <v>570</v>
      </c>
      <c r="CG132" s="1720">
        <v>7247251</v>
      </c>
      <c r="CH132" s="328"/>
    </row>
    <row r="133" spans="1:86" x14ac:dyDescent="0.3">
      <c r="A133" s="1720">
        <v>132</v>
      </c>
      <c r="B133" s="328"/>
      <c r="C133" s="1720"/>
      <c r="D133" s="1720"/>
      <c r="E133" s="1720"/>
      <c r="F133" s="1720"/>
      <c r="G133" s="1720">
        <v>1335</v>
      </c>
      <c r="H133" s="1720">
        <v>10</v>
      </c>
      <c r="I133" s="1720">
        <v>590</v>
      </c>
      <c r="J133" s="1720">
        <v>1360</v>
      </c>
      <c r="K133" s="1720">
        <v>1370</v>
      </c>
      <c r="L133" s="1720">
        <v>140</v>
      </c>
      <c r="M133" s="1720" t="s">
        <v>1374</v>
      </c>
      <c r="N133" s="328"/>
      <c r="O133" s="1720"/>
      <c r="BO133">
        <v>457.5</v>
      </c>
      <c r="BP133" t="s">
        <v>539</v>
      </c>
      <c r="BS133" s="196">
        <f>IF(MAX(BT133:BT1212)&lt;ROW(57:57),"",VLOOKUP(ROW(57:57),BT133:BU1212,2))</f>
        <v>230</v>
      </c>
      <c r="BT133" s="197" t="str">
        <f>IF(COUNTIF(BU$76:BU133,BU133)=1,MAX(BT$76:BT132)+1,"")</f>
        <v/>
      </c>
      <c r="BU133" s="1720">
        <v>107.5</v>
      </c>
      <c r="BV133" s="1720">
        <v>255</v>
      </c>
      <c r="BW133" s="1720">
        <v>185</v>
      </c>
      <c r="BX133" s="1720" t="s">
        <v>1507</v>
      </c>
      <c r="BY133" s="1772"/>
      <c r="CB133" s="1720">
        <v>507</v>
      </c>
      <c r="CC133" s="1720">
        <v>490</v>
      </c>
      <c r="CD133" s="1720">
        <v>140</v>
      </c>
      <c r="CE133" s="1720">
        <v>90</v>
      </c>
      <c r="CF133" s="1720">
        <v>570</v>
      </c>
      <c r="CG133" s="1720">
        <v>7247251</v>
      </c>
      <c r="CH133" s="328"/>
    </row>
    <row r="134" spans="1:86" x14ac:dyDescent="0.3">
      <c r="A134" s="1720">
        <v>133</v>
      </c>
      <c r="B134" s="328"/>
      <c r="C134" s="1720"/>
      <c r="D134" s="1720"/>
      <c r="E134" s="1720"/>
      <c r="F134" s="1720"/>
      <c r="G134" s="1720">
        <v>1350</v>
      </c>
      <c r="H134" s="1720">
        <v>5</v>
      </c>
      <c r="I134" s="1720">
        <v>495</v>
      </c>
      <c r="J134" s="1720"/>
      <c r="K134" s="1720"/>
      <c r="L134" s="1720"/>
      <c r="M134" s="1720" t="s">
        <v>1367</v>
      </c>
      <c r="N134" s="328"/>
      <c r="O134" s="1720"/>
      <c r="R134" s="328"/>
      <c r="S134" s="1720"/>
      <c r="T134" s="1720"/>
      <c r="U134" s="1720"/>
      <c r="V134" s="1720"/>
      <c r="W134" s="1720"/>
      <c r="Y134" s="1720"/>
      <c r="Z134" s="328"/>
      <c r="BO134">
        <v>460</v>
      </c>
      <c r="BP134" t="s">
        <v>540</v>
      </c>
      <c r="BS134" s="196">
        <f>IF(MAX(BT134:BT1213)&lt;ROW(58:58),"",VLOOKUP(ROW(58:58),BT134:BU1213,2))</f>
        <v>232.5</v>
      </c>
      <c r="BT134" s="197" t="str">
        <f>IF(COUNTIF(BU$76:BU134,BU134)=1,MAX(BT$76:BT133)+1,"")</f>
        <v/>
      </c>
      <c r="BU134" s="1720">
        <v>107.5</v>
      </c>
      <c r="BV134" s="1720">
        <v>255</v>
      </c>
      <c r="BW134" s="1720">
        <v>185</v>
      </c>
      <c r="BX134" s="1720" t="s">
        <v>1507</v>
      </c>
      <c r="BY134" s="1772"/>
      <c r="CB134" s="1720">
        <v>507</v>
      </c>
      <c r="CC134" s="1720">
        <v>490</v>
      </c>
      <c r="CD134" s="1720">
        <v>137</v>
      </c>
      <c r="CE134" s="1720">
        <v>90</v>
      </c>
      <c r="CF134" s="1720">
        <v>570</v>
      </c>
      <c r="CG134" s="1720">
        <v>7247251</v>
      </c>
      <c r="CH134" s="328"/>
    </row>
    <row r="135" spans="1:86" x14ac:dyDescent="0.3">
      <c r="A135" s="1720">
        <v>134</v>
      </c>
      <c r="B135" s="328"/>
      <c r="C135" s="1720"/>
      <c r="D135" s="1720">
        <v>1390</v>
      </c>
      <c r="E135" s="1720">
        <v>2.5</v>
      </c>
      <c r="F135" s="1720">
        <v>105</v>
      </c>
      <c r="G135" s="1720">
        <v>1360</v>
      </c>
      <c r="H135" s="1720">
        <v>7.5</v>
      </c>
      <c r="I135" s="1720">
        <v>950</v>
      </c>
      <c r="J135" s="1720">
        <v>1440</v>
      </c>
      <c r="K135" s="1720">
        <v>1465</v>
      </c>
      <c r="L135" s="1720">
        <v>280</v>
      </c>
      <c r="M135" s="1720"/>
      <c r="N135" s="328"/>
      <c r="O135" s="1720"/>
      <c r="R135" s="328"/>
      <c r="S135" s="1720"/>
      <c r="T135" s="1720"/>
      <c r="U135" s="1720"/>
      <c r="V135" s="1720"/>
      <c r="W135" s="1720"/>
      <c r="Y135" s="1720"/>
      <c r="Z135" s="328"/>
      <c r="BO135">
        <v>475</v>
      </c>
      <c r="BP135" t="s">
        <v>541</v>
      </c>
      <c r="BS135" s="196">
        <f>IF(MAX(BT135:BT1214)&lt;ROW(59:59),"",VLOOKUP(ROW(59:59),BT135:BU1214,2))</f>
        <v>235</v>
      </c>
      <c r="BT135" s="197" t="str">
        <f>IF(COUNTIF(BU$76:BU135,BU135)=1,MAX(BT$76:BT134)+1,"")</f>
        <v/>
      </c>
      <c r="BU135" s="1720">
        <v>107.5</v>
      </c>
      <c r="BV135" s="1720">
        <v>257</v>
      </c>
      <c r="BW135" s="1720">
        <v>185</v>
      </c>
      <c r="BX135" s="1720" t="s">
        <v>1507</v>
      </c>
      <c r="BY135" s="1772"/>
      <c r="CB135" s="1720">
        <v>508</v>
      </c>
      <c r="CC135" s="1720">
        <v>490</v>
      </c>
      <c r="CD135" s="1720">
        <v>140</v>
      </c>
      <c r="CE135" s="1720">
        <v>87</v>
      </c>
      <c r="CF135" s="1720">
        <v>570</v>
      </c>
      <c r="CG135" s="1720">
        <v>7247251</v>
      </c>
      <c r="CH135" s="328"/>
    </row>
    <row r="136" spans="1:86" x14ac:dyDescent="0.3">
      <c r="A136" s="1720">
        <v>135</v>
      </c>
      <c r="B136" s="328"/>
      <c r="C136" s="1720"/>
      <c r="D136" s="1720"/>
      <c r="E136" s="1720"/>
      <c r="F136" s="1720"/>
      <c r="G136" s="1720">
        <v>1410</v>
      </c>
      <c r="H136" s="1720">
        <v>12.5</v>
      </c>
      <c r="I136" s="1720">
        <v>570</v>
      </c>
      <c r="J136" s="1720">
        <v>1440</v>
      </c>
      <c r="K136" s="1720">
        <v>1460</v>
      </c>
      <c r="L136" s="1720">
        <v>165</v>
      </c>
      <c r="M136" s="1720" t="s">
        <v>1378</v>
      </c>
      <c r="N136" s="328"/>
      <c r="O136" s="1720"/>
      <c r="R136" s="328"/>
      <c r="S136" s="1720"/>
      <c r="T136" s="1720"/>
      <c r="U136" s="1720"/>
      <c r="V136" s="1720"/>
      <c r="W136" s="1720"/>
      <c r="Y136" s="1720"/>
      <c r="Z136" s="328"/>
      <c r="BO136">
        <v>480</v>
      </c>
      <c r="BP136" t="s">
        <v>542</v>
      </c>
      <c r="BS136" s="196">
        <f>IF(MAX(BT136:BT1215)&lt;ROW(60:60),"",VLOOKUP(ROW(60:60),BT136:BU1215,2))</f>
        <v>237.5</v>
      </c>
      <c r="BT136" s="197" t="str">
        <f>IF(COUNTIF(BU$76:BU136,BU136)=1,MAX(BT$76:BT135)+1,"")</f>
        <v/>
      </c>
      <c r="BU136" s="1720">
        <v>107.5</v>
      </c>
      <c r="BV136" s="1720">
        <v>260</v>
      </c>
      <c r="BW136" s="1720">
        <v>185</v>
      </c>
      <c r="BX136" s="1720" t="s">
        <v>1507</v>
      </c>
      <c r="BY136" s="1772"/>
      <c r="CB136" s="1720">
        <v>575</v>
      </c>
      <c r="CC136" s="1720">
        <v>507.5</v>
      </c>
      <c r="CD136" s="1720">
        <v>490</v>
      </c>
      <c r="CE136" s="1720">
        <v>420</v>
      </c>
      <c r="CF136" s="1720">
        <v>640</v>
      </c>
      <c r="CG136" s="1720" t="s">
        <v>1283</v>
      </c>
      <c r="CH136" s="328"/>
    </row>
    <row r="137" spans="1:86" x14ac:dyDescent="0.3">
      <c r="A137" s="1720">
        <v>136</v>
      </c>
      <c r="B137" s="328"/>
      <c r="C137" s="1720"/>
      <c r="D137" s="1720"/>
      <c r="E137" s="1720"/>
      <c r="F137" s="1720"/>
      <c r="G137" s="1720">
        <v>1440</v>
      </c>
      <c r="H137" s="1720">
        <v>5</v>
      </c>
      <c r="I137" s="1720">
        <v>720</v>
      </c>
      <c r="J137" s="1720"/>
      <c r="K137" s="1720"/>
      <c r="L137" s="1720"/>
      <c r="M137" s="1720" t="s">
        <v>1367</v>
      </c>
      <c r="N137" s="328"/>
      <c r="O137" s="1720"/>
      <c r="R137" s="328"/>
      <c r="S137" s="1720"/>
      <c r="T137" s="1720"/>
      <c r="U137" s="1720"/>
      <c r="V137" s="1720"/>
      <c r="W137" s="1720"/>
      <c r="Y137" s="1720"/>
      <c r="Z137" s="328"/>
      <c r="BO137">
        <v>482.5</v>
      </c>
      <c r="BP137" t="s">
        <v>543</v>
      </c>
      <c r="BS137" s="196">
        <f>IF(MAX(BT137:BT1216)&lt;ROW(61:61),"",VLOOKUP(ROW(61:61),BT137:BU1216,2))</f>
        <v>240</v>
      </c>
      <c r="BT137" s="197" t="str">
        <f>IF(COUNTIF(BU$76:BU137,BU137)=1,MAX(BT$76:BT136)+1,"")</f>
        <v/>
      </c>
      <c r="BU137" s="1720">
        <v>107.5</v>
      </c>
      <c r="BV137" s="1720">
        <v>257</v>
      </c>
      <c r="BW137" s="1720">
        <v>185</v>
      </c>
      <c r="BX137" s="1720" t="s">
        <v>1507</v>
      </c>
      <c r="BY137" s="1772"/>
      <c r="CB137" s="1720">
        <v>575</v>
      </c>
      <c r="CC137" s="1720">
        <v>510</v>
      </c>
      <c r="CD137" s="1720">
        <v>490</v>
      </c>
      <c r="CE137" s="1720">
        <v>420</v>
      </c>
      <c r="CF137" s="1720">
        <v>640</v>
      </c>
      <c r="CG137" s="1720" t="s">
        <v>1284</v>
      </c>
      <c r="CH137" s="328"/>
    </row>
    <row r="138" spans="1:86" x14ac:dyDescent="0.3">
      <c r="A138" s="1720">
        <v>137</v>
      </c>
      <c r="B138" s="328"/>
      <c r="C138" s="1720"/>
      <c r="D138" s="1720"/>
      <c r="E138" s="1720"/>
      <c r="F138" s="1720"/>
      <c r="G138" s="1720">
        <v>1450</v>
      </c>
      <c r="H138" s="1720">
        <v>7.5</v>
      </c>
      <c r="I138" s="1720">
        <v>840</v>
      </c>
      <c r="J138" s="1720">
        <v>1505</v>
      </c>
      <c r="K138" s="1720">
        <v>1525</v>
      </c>
      <c r="L138" s="1720">
        <v>170</v>
      </c>
      <c r="M138" s="1720" t="s">
        <v>1379</v>
      </c>
      <c r="N138" s="328"/>
      <c r="O138" s="1720"/>
      <c r="R138" s="328"/>
      <c r="S138" s="1720"/>
      <c r="T138" s="1720"/>
      <c r="U138" s="1720"/>
      <c r="V138" s="1720"/>
      <c r="W138" s="1720"/>
      <c r="Y138" s="1720"/>
      <c r="Z138" s="328"/>
      <c r="BO138">
        <v>495</v>
      </c>
      <c r="BP138" t="s">
        <v>544</v>
      </c>
      <c r="BS138" s="196">
        <f>IF(MAX(BT138:BT1217)&lt;ROW(62:62),"",VLOOKUP(ROW(62:62),BT138:BU1217,2))</f>
        <v>242.5</v>
      </c>
      <c r="BT138" s="197" t="str">
        <f>IF(COUNTIF(BU$76:BU138,BU138)=1,MAX(BT$76:BT137)+1,"")</f>
        <v/>
      </c>
      <c r="BU138" s="1720">
        <v>107.5</v>
      </c>
      <c r="BV138" s="1720">
        <v>257</v>
      </c>
      <c r="BW138" s="1720">
        <v>185</v>
      </c>
      <c r="BX138" s="1720" t="s">
        <v>1507</v>
      </c>
      <c r="BY138" s="1772"/>
      <c r="CB138" s="1720">
        <v>583</v>
      </c>
      <c r="CC138" s="1720">
        <v>512.5</v>
      </c>
      <c r="CD138" s="1720">
        <v>490</v>
      </c>
      <c r="CE138" s="1720">
        <v>420</v>
      </c>
      <c r="CF138" s="1720">
        <v>640</v>
      </c>
      <c r="CG138" s="1720" t="s">
        <v>1285</v>
      </c>
      <c r="CH138" s="328"/>
    </row>
    <row r="139" spans="1:86" x14ac:dyDescent="0.3">
      <c r="A139" s="1720">
        <v>138</v>
      </c>
      <c r="B139" s="328"/>
      <c r="C139" s="1720"/>
      <c r="D139" s="1720"/>
      <c r="E139" s="1720"/>
      <c r="F139" s="1720"/>
      <c r="G139" s="1720">
        <v>1460</v>
      </c>
      <c r="H139" s="1720">
        <v>7.5</v>
      </c>
      <c r="I139" s="1720">
        <v>560</v>
      </c>
      <c r="J139" s="1720"/>
      <c r="K139" s="1720"/>
      <c r="L139" s="1720"/>
      <c r="M139" s="1720" t="s">
        <v>1367</v>
      </c>
      <c r="N139" s="328"/>
      <c r="O139" s="1720"/>
      <c r="R139" s="328"/>
      <c r="S139" s="1720"/>
      <c r="T139" s="1720"/>
      <c r="U139" s="1720"/>
      <c r="V139" s="1720"/>
      <c r="W139" s="1720"/>
      <c r="Y139" s="1720"/>
      <c r="Z139" s="328"/>
      <c r="BO139">
        <v>500</v>
      </c>
      <c r="BP139" t="s">
        <v>545</v>
      </c>
      <c r="BS139" s="196">
        <f>IF(MAX(BT139:BT1218)&lt;ROW(63:63),"",VLOOKUP(ROW(63:63),BT139:BU1218,2))</f>
        <v>245</v>
      </c>
      <c r="BT139" s="197" t="str">
        <f>IF(COUNTIF(BU$76:BU139,BU139)=1,MAX(BT$76:BT138)+1,"")</f>
        <v/>
      </c>
      <c r="BU139" s="1720">
        <v>107.5</v>
      </c>
      <c r="BV139" s="1720">
        <v>255</v>
      </c>
      <c r="BW139" s="1720">
        <v>185</v>
      </c>
      <c r="BX139" s="1720" t="s">
        <v>1507</v>
      </c>
      <c r="BY139" s="1772"/>
      <c r="CB139" s="1720">
        <v>561</v>
      </c>
      <c r="CC139" s="1720">
        <v>530</v>
      </c>
      <c r="CD139" s="1720">
        <v>403</v>
      </c>
      <c r="CE139" s="1720">
        <v>345</v>
      </c>
      <c r="CF139" s="1720">
        <v>640</v>
      </c>
      <c r="CG139" s="1720">
        <v>7247087</v>
      </c>
      <c r="CH139" s="328"/>
    </row>
    <row r="140" spans="1:86" x14ac:dyDescent="0.3">
      <c r="A140" s="1720">
        <v>139</v>
      </c>
      <c r="B140" s="328"/>
      <c r="C140" s="1720"/>
      <c r="D140" s="1720"/>
      <c r="E140" s="1720"/>
      <c r="F140" s="1720"/>
      <c r="G140" s="1720">
        <v>1550</v>
      </c>
      <c r="H140" s="1720">
        <v>41</v>
      </c>
      <c r="I140" s="1720">
        <v>960</v>
      </c>
      <c r="J140" s="1720">
        <v>1615</v>
      </c>
      <c r="K140" s="1720">
        <v>1660</v>
      </c>
      <c r="L140" s="1720">
        <v>290</v>
      </c>
      <c r="M140" s="1720" t="s">
        <v>1380</v>
      </c>
      <c r="N140" s="328"/>
      <c r="O140" s="1720"/>
      <c r="R140" s="328"/>
      <c r="S140" s="1720"/>
      <c r="T140" s="1720"/>
      <c r="U140" s="1720"/>
      <c r="V140" s="1720"/>
      <c r="W140" s="1720"/>
      <c r="Y140" s="1720"/>
      <c r="Z140" s="328"/>
      <c r="BO140">
        <v>502.5</v>
      </c>
      <c r="BP140" t="s">
        <v>546</v>
      </c>
      <c r="BS140" s="196">
        <f>IF(MAX(BT140:BT1219)&lt;ROW(64:64),"",VLOOKUP(ROW(64:64),BT140:BU1219,2))</f>
        <v>247.5</v>
      </c>
      <c r="BT140" s="197" t="str">
        <f>IF(COUNTIF(BU$76:BU140,BU140)=1,MAX(BT$76:BT139)+1,"")</f>
        <v/>
      </c>
      <c r="BU140" s="1720">
        <v>107.5</v>
      </c>
      <c r="BV140" s="1720">
        <v>260</v>
      </c>
      <c r="BW140" s="1720">
        <v>185</v>
      </c>
      <c r="BX140" s="1720" t="s">
        <v>1507</v>
      </c>
      <c r="BY140" s="1772"/>
      <c r="CB140" s="1720">
        <v>563</v>
      </c>
      <c r="CC140" s="1720">
        <v>540</v>
      </c>
      <c r="CD140" s="1720">
        <v>360</v>
      </c>
      <c r="CE140" s="1720">
        <v>305</v>
      </c>
      <c r="CF140" s="1720">
        <v>640</v>
      </c>
      <c r="CG140" s="1720">
        <v>10241569</v>
      </c>
      <c r="CH140" s="328"/>
    </row>
    <row r="141" spans="1:86" x14ac:dyDescent="0.3">
      <c r="A141" s="1720">
        <v>140</v>
      </c>
      <c r="B141" s="328"/>
      <c r="C141" s="1720"/>
      <c r="D141" s="1720"/>
      <c r="E141" s="1720"/>
      <c r="F141" s="1720"/>
      <c r="G141" s="1720">
        <v>1590</v>
      </c>
      <c r="H141" s="1720">
        <v>8.5</v>
      </c>
      <c r="I141" s="1720">
        <v>520</v>
      </c>
      <c r="J141" s="1720">
        <v>1665</v>
      </c>
      <c r="K141" s="1720">
        <v>1685</v>
      </c>
      <c r="L141" s="1720">
        <v>160</v>
      </c>
      <c r="M141" s="1720"/>
      <c r="N141" s="328"/>
      <c r="O141" s="1720"/>
      <c r="R141" s="328"/>
      <c r="S141" s="1720"/>
      <c r="T141" s="1720"/>
      <c r="U141" s="1720"/>
      <c r="V141" s="1720"/>
      <c r="W141" s="1720"/>
      <c r="Y141" s="1720"/>
      <c r="Z141" s="328"/>
      <c r="BO141">
        <v>505</v>
      </c>
      <c r="BP141" t="s">
        <v>547</v>
      </c>
      <c r="BS141" s="196">
        <f>IF(MAX(BT141:BT1220)&lt;ROW(65:65),"",VLOOKUP(ROW(65:65),BT141:BU1220,2))</f>
        <v>250</v>
      </c>
      <c r="BT141" s="197" t="str">
        <f>IF(COUNTIF(BU$76:BU141,BU141)=1,MAX(BT$76:BT140)+1,"")</f>
        <v/>
      </c>
      <c r="BU141" s="1720">
        <v>107.5</v>
      </c>
      <c r="BV141" s="1720">
        <v>257</v>
      </c>
      <c r="BW141" s="1720">
        <v>185</v>
      </c>
      <c r="BX141" s="1720" t="s">
        <v>1507</v>
      </c>
      <c r="BY141" s="1772"/>
      <c r="CB141" s="1720">
        <v>605</v>
      </c>
      <c r="CC141" s="1720">
        <v>600</v>
      </c>
      <c r="CD141" s="1720">
        <v>820</v>
      </c>
      <c r="CE141" s="1720">
        <v>660</v>
      </c>
      <c r="CF141" s="1720">
        <v>640</v>
      </c>
      <c r="CG141" s="1720" t="s">
        <v>1286</v>
      </c>
      <c r="CH141" s="328" t="s">
        <v>1908</v>
      </c>
    </row>
    <row r="142" spans="1:86" x14ac:dyDescent="0.3">
      <c r="A142" s="1720">
        <v>141</v>
      </c>
      <c r="B142" s="328"/>
      <c r="C142" s="1720"/>
      <c r="D142" s="1720"/>
      <c r="E142" s="1720"/>
      <c r="F142" s="1720"/>
      <c r="G142" s="1720">
        <v>1720</v>
      </c>
      <c r="H142" s="1720">
        <v>10</v>
      </c>
      <c r="I142" s="1720">
        <v>1150</v>
      </c>
      <c r="J142" s="1720">
        <v>1825</v>
      </c>
      <c r="K142" s="1720">
        <v>1835</v>
      </c>
      <c r="L142" s="1720">
        <v>200</v>
      </c>
      <c r="M142" s="1720" t="s">
        <v>1381</v>
      </c>
      <c r="N142" s="328"/>
      <c r="O142" s="1720"/>
      <c r="R142" s="328"/>
      <c r="S142" s="1720"/>
      <c r="T142" s="1720"/>
      <c r="U142" s="1720"/>
      <c r="V142" s="1720"/>
      <c r="W142" s="1720"/>
      <c r="Y142" s="1720"/>
      <c r="Z142" s="328"/>
      <c r="BO142">
        <v>507.5</v>
      </c>
      <c r="BP142" t="s">
        <v>548</v>
      </c>
      <c r="BS142" s="196">
        <f>IF(MAX(BT142:BT1221)&lt;ROW(66:66),"",VLOOKUP(ROW(66:66),BT142:BU1221,2))</f>
        <v>252.5</v>
      </c>
      <c r="BT142" s="197" t="str">
        <f>IF(COUNTIF(BU$76:BU142,BU142)=1,MAX(BT$76:BT141)+1,"")</f>
        <v/>
      </c>
      <c r="BU142" s="1720">
        <v>107.5</v>
      </c>
      <c r="BV142" s="1720">
        <v>265</v>
      </c>
      <c r="BW142" s="1720">
        <v>185</v>
      </c>
      <c r="BX142" s="1720" t="s">
        <v>1507</v>
      </c>
      <c r="BY142" s="1772"/>
      <c r="CB142" s="1720">
        <v>600</v>
      </c>
      <c r="CC142" s="1720">
        <v>567.5</v>
      </c>
      <c r="CD142" s="1720">
        <v>647</v>
      </c>
      <c r="CE142" s="1720">
        <v>565</v>
      </c>
      <c r="CF142" s="1720">
        <v>640</v>
      </c>
      <c r="CG142" s="1720" t="s">
        <v>1287</v>
      </c>
      <c r="CH142" s="328"/>
    </row>
    <row r="143" spans="1:86" x14ac:dyDescent="0.3">
      <c r="A143" s="1720">
        <v>142</v>
      </c>
      <c r="B143" s="328" t="s">
        <v>1372</v>
      </c>
      <c r="C143" s="1720"/>
      <c r="D143" s="1720"/>
      <c r="E143" s="1720"/>
      <c r="F143" s="1720"/>
      <c r="G143" s="1720">
        <v>1860</v>
      </c>
      <c r="H143" s="1720">
        <v>7.5</v>
      </c>
      <c r="I143" s="1720">
        <v>1060</v>
      </c>
      <c r="J143" s="1720">
        <v>1925</v>
      </c>
      <c r="K143" s="1720">
        <v>1950</v>
      </c>
      <c r="L143" s="1720">
        <v>250</v>
      </c>
      <c r="M143" s="1720"/>
      <c r="N143" s="328"/>
      <c r="O143" s="1720"/>
      <c r="BO143">
        <v>510</v>
      </c>
      <c r="BP143" t="s">
        <v>549</v>
      </c>
      <c r="BS143" s="196">
        <f>IF(MAX(BT143:BT1222)&lt;ROW(67:67),"",VLOOKUP(ROW(67:67),BT143:BU1222,2))</f>
        <v>255</v>
      </c>
      <c r="BT143" s="197">
        <f>IF(COUNTIF(BU$76:BU143,BU143)=1,MAX(BT$76:BT142)+1,"")</f>
        <v>10</v>
      </c>
      <c r="BU143" s="1720">
        <v>110</v>
      </c>
      <c r="BV143" s="1720">
        <v>258</v>
      </c>
      <c r="BW143" s="1720">
        <v>185</v>
      </c>
      <c r="BX143" s="1720" t="s">
        <v>1508</v>
      </c>
      <c r="BY143" s="1772"/>
      <c r="CB143" s="1720">
        <v>622</v>
      </c>
      <c r="CC143" s="1720">
        <v>575</v>
      </c>
      <c r="CD143" s="1720">
        <v>645</v>
      </c>
      <c r="CE143" s="1720">
        <v>570</v>
      </c>
      <c r="CF143" s="1720">
        <v>700</v>
      </c>
      <c r="CG143" s="1720" t="s">
        <v>1288</v>
      </c>
      <c r="CH143" s="328"/>
    </row>
    <row r="144" spans="1:86" x14ac:dyDescent="0.3">
      <c r="A144" s="1720">
        <v>143</v>
      </c>
      <c r="B144" s="328"/>
      <c r="C144" s="1720"/>
      <c r="D144" s="1720"/>
      <c r="E144" s="1720"/>
      <c r="F144" s="1720"/>
      <c r="G144" s="1720">
        <v>2110</v>
      </c>
      <c r="H144" s="1720">
        <v>5</v>
      </c>
      <c r="I144" s="1720">
        <v>410</v>
      </c>
      <c r="J144" s="1720">
        <v>2167</v>
      </c>
      <c r="K144" s="1720">
        <v>2196</v>
      </c>
      <c r="L144" s="1720">
        <v>420</v>
      </c>
      <c r="M144" s="1720" t="s">
        <v>1382</v>
      </c>
      <c r="N144" s="328"/>
      <c r="O144" s="1720"/>
      <c r="BO144">
        <v>515</v>
      </c>
      <c r="BP144" t="s">
        <v>550</v>
      </c>
      <c r="BS144" s="196">
        <f>IF(MAX(BT144:BT1223)&lt;ROW(68:68),"",VLOOKUP(ROW(68:68),BT144:BU1223,2))</f>
        <v>257.5</v>
      </c>
      <c r="BT144" s="197" t="str">
        <f>IF(COUNTIF(BU$76:BU144,BU144)=1,MAX(BT$76:BT143)+1,"")</f>
        <v/>
      </c>
      <c r="BU144" s="1720">
        <v>110</v>
      </c>
      <c r="BV144" s="1720">
        <v>260</v>
      </c>
      <c r="BW144" s="1720">
        <v>185</v>
      </c>
      <c r="BX144" s="1720" t="s">
        <v>1508</v>
      </c>
      <c r="BY144" s="1772"/>
      <c r="CB144" s="1720">
        <v>622</v>
      </c>
      <c r="CC144" s="1720">
        <v>575</v>
      </c>
      <c r="CD144" s="1720">
        <v>640</v>
      </c>
      <c r="CE144" s="1720">
        <v>565</v>
      </c>
      <c r="CF144" s="1720">
        <v>700</v>
      </c>
      <c r="CG144" s="1720" t="s">
        <v>1288</v>
      </c>
      <c r="CH144" s="328"/>
    </row>
    <row r="145" spans="1:86" x14ac:dyDescent="0.3">
      <c r="A145" s="1720">
        <v>144</v>
      </c>
      <c r="B145" s="328"/>
      <c r="C145" s="1720"/>
      <c r="D145" s="1720"/>
      <c r="E145" s="1720"/>
      <c r="F145" s="1720"/>
      <c r="G145" s="1720">
        <v>2120</v>
      </c>
      <c r="H145" s="1720">
        <v>7.5</v>
      </c>
      <c r="I145" s="1720">
        <v>1520</v>
      </c>
      <c r="J145" s="1720">
        <v>2196</v>
      </c>
      <c r="K145" s="1720">
        <v>2212</v>
      </c>
      <c r="L145" s="1720">
        <v>240</v>
      </c>
      <c r="M145" s="1720" t="s">
        <v>1383</v>
      </c>
      <c r="N145" s="328"/>
      <c r="O145" s="1720"/>
      <c r="BO145">
        <v>517.5</v>
      </c>
      <c r="BP145" t="s">
        <v>551</v>
      </c>
      <c r="BS145" s="196">
        <f>IF(MAX(BT145:BT1224)&lt;ROW(69:69),"",VLOOKUP(ROW(69:69),BT145:BU1224,2))</f>
        <v>260</v>
      </c>
      <c r="BT145" s="197" t="str">
        <f>IF(COUNTIF(BU$76:BU145,BU145)=1,MAX(BT$76:BT144)+1,"")</f>
        <v/>
      </c>
      <c r="BU145" s="1720">
        <v>110</v>
      </c>
      <c r="BV145" s="1720">
        <v>255</v>
      </c>
      <c r="BW145" s="1720">
        <v>185</v>
      </c>
      <c r="BX145" s="1720" t="s">
        <v>1508</v>
      </c>
      <c r="BY145" s="1772"/>
      <c r="CB145" s="1720">
        <v>620</v>
      </c>
      <c r="CC145" s="1720">
        <v>580</v>
      </c>
      <c r="CD145" s="1720">
        <v>638</v>
      </c>
      <c r="CE145" s="1720">
        <v>583</v>
      </c>
      <c r="CF145" s="1720">
        <v>670</v>
      </c>
      <c r="CG145" s="1720" t="s">
        <v>1289</v>
      </c>
      <c r="CH145" s="328"/>
    </row>
    <row r="146" spans="1:86" x14ac:dyDescent="0.3">
      <c r="A146" s="1720">
        <v>145</v>
      </c>
      <c r="B146" s="328"/>
      <c r="C146" s="1720"/>
      <c r="D146" s="1720"/>
      <c r="E146" s="1720"/>
      <c r="F146" s="1720"/>
      <c r="G146" s="1720"/>
      <c r="H146" s="1720"/>
      <c r="I146" s="1720"/>
      <c r="J146" s="1720">
        <v>1530</v>
      </c>
      <c r="K146" s="1720">
        <v>1585</v>
      </c>
      <c r="L146" s="1720">
        <v>160</v>
      </c>
      <c r="M146" s="1720" t="s">
        <v>1384</v>
      </c>
      <c r="N146" s="328"/>
      <c r="O146" s="1720"/>
      <c r="BO146">
        <v>520</v>
      </c>
      <c r="BP146" t="s">
        <v>552</v>
      </c>
      <c r="BS146" s="196">
        <f>IF(MAX(BT146:BT1225)&lt;ROW(70:70),"",VLOOKUP(ROW(70:70),BT146:BU1225,2))</f>
        <v>262.5</v>
      </c>
      <c r="BT146" s="197" t="str">
        <f>IF(COUNTIF(BU$76:BU146,BU146)=1,MAX(BT$76:BT145)+1,"")</f>
        <v/>
      </c>
      <c r="BU146" s="1720">
        <v>110</v>
      </c>
      <c r="BV146" s="1720">
        <v>260</v>
      </c>
      <c r="BW146" s="1720">
        <v>185</v>
      </c>
      <c r="BX146" s="1720" t="s">
        <v>1508</v>
      </c>
      <c r="BY146" s="1772"/>
      <c r="CB146" s="1720">
        <v>620</v>
      </c>
      <c r="CC146" s="1720">
        <v>590</v>
      </c>
      <c r="CD146" s="1720">
        <v>643</v>
      </c>
      <c r="CE146" s="1720">
        <v>588</v>
      </c>
      <c r="CF146" s="1720">
        <v>670</v>
      </c>
      <c r="CG146" s="1720" t="s">
        <v>1290</v>
      </c>
      <c r="CH146" s="328"/>
    </row>
    <row r="147" spans="1:86" x14ac:dyDescent="0.3">
      <c r="BO147">
        <v>522.5</v>
      </c>
      <c r="BP147" t="s">
        <v>553</v>
      </c>
      <c r="BS147" s="196">
        <f>IF(MAX(BT147:BT1226)&lt;ROW(71:71),"",VLOOKUP(ROW(71:71),BT147:BU1226,2))</f>
        <v>265</v>
      </c>
      <c r="BT147" s="197" t="str">
        <f>IF(COUNTIF(BU$76:BU147,BU147)=1,MAX(BT$76:BT146)+1,"")</f>
        <v/>
      </c>
      <c r="BU147" s="1720">
        <v>110</v>
      </c>
      <c r="BV147" s="1720">
        <v>260</v>
      </c>
      <c r="BW147" s="1720">
        <v>185</v>
      </c>
      <c r="BX147" s="1720" t="s">
        <v>1508</v>
      </c>
      <c r="BY147" s="1772"/>
      <c r="CB147" s="1720">
        <v>667</v>
      </c>
      <c r="CC147" s="1720">
        <v>615</v>
      </c>
      <c r="CD147" s="1720">
        <v>490</v>
      </c>
      <c r="CE147" s="1720">
        <v>400</v>
      </c>
      <c r="CF147" s="1720">
        <v>700</v>
      </c>
      <c r="CG147" s="1720">
        <v>10243107</v>
      </c>
      <c r="CH147" s="328"/>
    </row>
    <row r="148" spans="1:86" x14ac:dyDescent="0.3">
      <c r="BO148">
        <v>525</v>
      </c>
      <c r="BP148" t="s">
        <v>554</v>
      </c>
      <c r="BS148" s="196">
        <f>IF(MAX(BT148:BT1227)&lt;ROW(72:72),"",VLOOKUP(ROW(72:72),BT148:BU1227,2))</f>
        <v>267.5</v>
      </c>
      <c r="BT148" s="197" t="str">
        <f>IF(COUNTIF(BU$76:BU148,BU148)=1,MAX(BT$76:BT147)+1,"")</f>
        <v/>
      </c>
      <c r="BU148" s="1720">
        <v>110</v>
      </c>
      <c r="BV148" s="1720">
        <v>260</v>
      </c>
      <c r="BW148" s="1720">
        <v>185</v>
      </c>
      <c r="BX148" s="1720" t="s">
        <v>1508</v>
      </c>
      <c r="BY148" s="1772"/>
      <c r="CB148" s="1720">
        <v>682</v>
      </c>
      <c r="CC148" s="1720">
        <v>640</v>
      </c>
      <c r="CD148" s="1720">
        <v>410</v>
      </c>
      <c r="CE148" s="1720">
        <v>343</v>
      </c>
      <c r="CF148" s="1720">
        <v>700</v>
      </c>
      <c r="CG148" s="1720" t="s">
        <v>1291</v>
      </c>
      <c r="CH148" s="328" t="s">
        <v>1909</v>
      </c>
    </row>
    <row r="149" spans="1:86" x14ac:dyDescent="0.3">
      <c r="BO149">
        <v>527.5</v>
      </c>
      <c r="BP149" t="s">
        <v>555</v>
      </c>
      <c r="BS149" s="196">
        <f>IF(MAX(BT149:BT1228)&lt;ROW(73:73),"",VLOOKUP(ROW(73:73),BT149:BU1228,2))</f>
        <v>270</v>
      </c>
      <c r="BT149" s="197" t="str">
        <f>IF(COUNTIF(BU$76:BU149,BU149)=1,MAX(BT$76:BT148)+1,"")</f>
        <v/>
      </c>
      <c r="BU149" s="1720">
        <v>110</v>
      </c>
      <c r="BV149" s="1720">
        <v>250</v>
      </c>
      <c r="BW149" s="1720">
        <v>185</v>
      </c>
      <c r="BX149" s="1720" t="s">
        <v>1508</v>
      </c>
      <c r="BY149" s="1772"/>
    </row>
    <row r="150" spans="1:86" x14ac:dyDescent="0.3">
      <c r="BO150">
        <v>530</v>
      </c>
      <c r="BP150" t="s">
        <v>556</v>
      </c>
      <c r="BS150" s="196">
        <f>IF(MAX(BT150:BT1229)&lt;ROW(74:74),"",VLOOKUP(ROW(74:74),BT150:BU1229,2))</f>
        <v>275</v>
      </c>
      <c r="BT150" s="197" t="str">
        <f>IF(COUNTIF(BU$76:BU150,BU150)=1,MAX(BT$76:BT149)+1,"")</f>
        <v/>
      </c>
      <c r="BU150" s="1720">
        <v>110</v>
      </c>
      <c r="BV150" s="1720">
        <v>260</v>
      </c>
      <c r="BW150" s="1720">
        <v>185</v>
      </c>
      <c r="BX150" s="1720" t="s">
        <v>1508</v>
      </c>
      <c r="BY150" s="1772"/>
    </row>
    <row r="151" spans="1:86" x14ac:dyDescent="0.3">
      <c r="BO151">
        <v>532.5</v>
      </c>
      <c r="BP151" t="s">
        <v>557</v>
      </c>
      <c r="BS151" s="196">
        <f>IF(MAX(BT151:BT1230)&lt;ROW(75:75),"",VLOOKUP(ROW(75:75),BT151:BU1230,2))</f>
        <v>277.5</v>
      </c>
      <c r="BT151" s="197" t="str">
        <f>IF(COUNTIF(BU$76:BU151,BU151)=1,MAX(BT$76:BT150)+1,"")</f>
        <v/>
      </c>
      <c r="BU151" s="1720">
        <v>110</v>
      </c>
      <c r="BV151" s="1720">
        <v>257</v>
      </c>
      <c r="BW151" s="1720">
        <v>185</v>
      </c>
      <c r="BX151" s="1720" t="s">
        <v>1508</v>
      </c>
      <c r="BY151" s="1772"/>
    </row>
    <row r="152" spans="1:86" x14ac:dyDescent="0.3">
      <c r="BO152">
        <v>535</v>
      </c>
      <c r="BP152" t="s">
        <v>558</v>
      </c>
      <c r="BS152" s="196">
        <f>IF(MAX(BT152:BT1231)&lt;ROW(76:76),"",VLOOKUP(ROW(76:76),BT152:BU1231,2))</f>
        <v>280</v>
      </c>
      <c r="BT152" s="197" t="str">
        <f>IF(COUNTIF(BU$76:BU152,BU152)=1,MAX(BT$76:BT151)+1,"")</f>
        <v/>
      </c>
      <c r="BU152" s="1720">
        <v>110</v>
      </c>
      <c r="BV152" s="1720">
        <v>260</v>
      </c>
      <c r="BW152" s="1720">
        <v>185</v>
      </c>
      <c r="BX152" s="1720" t="s">
        <v>1508</v>
      </c>
      <c r="BY152" s="1772"/>
    </row>
    <row r="153" spans="1:86" x14ac:dyDescent="0.3">
      <c r="BO153">
        <v>537.5</v>
      </c>
      <c r="BP153" t="s">
        <v>559</v>
      </c>
      <c r="BS153" s="196">
        <f>IF(MAX(BT153:BT1232)&lt;ROW(77:77),"",VLOOKUP(ROW(77:77),BT153:BU1232,2))</f>
        <v>282.5</v>
      </c>
      <c r="BT153" s="197" t="str">
        <f>IF(COUNTIF(BU$76:BU153,BU153)=1,MAX(BT$76:BT152)+1,"")</f>
        <v/>
      </c>
      <c r="BU153" s="1720">
        <v>110</v>
      </c>
      <c r="BV153" s="1720">
        <v>260</v>
      </c>
      <c r="BW153" s="1720">
        <v>185</v>
      </c>
      <c r="BX153" s="1720" t="s">
        <v>1508</v>
      </c>
      <c r="BY153" s="1772"/>
    </row>
    <row r="154" spans="1:86" x14ac:dyDescent="0.3">
      <c r="BO154">
        <v>545</v>
      </c>
      <c r="BP154" t="s">
        <v>560</v>
      </c>
      <c r="BS154" s="196">
        <f>IF(MAX(BT154:BT1233)&lt;ROW(78:78),"",VLOOKUP(ROW(78:78),BT154:BU1233,2))</f>
        <v>285</v>
      </c>
      <c r="BT154" s="197" t="str">
        <f>IF(COUNTIF(BU$76:BU154,BU154)=1,MAX(BT$76:BT153)+1,"")</f>
        <v/>
      </c>
      <c r="BU154" s="1720">
        <v>110</v>
      </c>
      <c r="BV154" s="1720">
        <v>255</v>
      </c>
      <c r="BW154" s="1720">
        <v>185</v>
      </c>
      <c r="BX154" s="1720" t="s">
        <v>1508</v>
      </c>
      <c r="BY154" s="1772"/>
    </row>
    <row r="155" spans="1:86" x14ac:dyDescent="0.3">
      <c r="BO155">
        <v>547.5</v>
      </c>
      <c r="BP155" t="s">
        <v>561</v>
      </c>
      <c r="BS155" s="196">
        <f>IF(MAX(BT155:BT1234)&lt;ROW(79:79),"",VLOOKUP(ROW(79:79),BT155:BU1234,2))</f>
        <v>287.5</v>
      </c>
      <c r="BT155" s="197" t="str">
        <f>IF(COUNTIF(BU$76:BU155,BU155)=1,MAX(BT$76:BT154)+1,"")</f>
        <v/>
      </c>
      <c r="BU155" s="1720">
        <v>110</v>
      </c>
      <c r="BV155" s="1720">
        <v>255</v>
      </c>
      <c r="BW155" s="1720">
        <v>185</v>
      </c>
      <c r="BX155" s="1720" t="s">
        <v>1508</v>
      </c>
      <c r="BY155" s="1772"/>
    </row>
    <row r="156" spans="1:86" x14ac:dyDescent="0.3">
      <c r="BO156">
        <v>555</v>
      </c>
      <c r="BP156" t="s">
        <v>562</v>
      </c>
      <c r="BS156" s="196">
        <f>IF(MAX(BT156:BT1235)&lt;ROW(80:80),"",VLOOKUP(ROW(80:80),BT156:BU1235,2))</f>
        <v>290</v>
      </c>
      <c r="BT156" s="197">
        <f>IF(COUNTIF(BU$76:BU156,BU156)=1,MAX(BT$76:BT155)+1,"")</f>
        <v>11</v>
      </c>
      <c r="BU156" s="1720">
        <v>112.5</v>
      </c>
      <c r="BV156" s="1720">
        <v>320</v>
      </c>
      <c r="BW156" s="1720">
        <v>140</v>
      </c>
      <c r="BX156" s="1720" t="s">
        <v>1509</v>
      </c>
      <c r="BY156" s="1772" t="s">
        <v>1861</v>
      </c>
    </row>
    <row r="157" spans="1:86" x14ac:dyDescent="0.3">
      <c r="BO157">
        <v>560</v>
      </c>
      <c r="BP157" t="s">
        <v>563</v>
      </c>
      <c r="BS157" s="196">
        <f>IF(MAX(BT157:BT1236)&lt;ROW(81:81),"",VLOOKUP(ROW(81:81),BT157:BU1236,2))</f>
        <v>292.5</v>
      </c>
      <c r="BT157" s="197" t="str">
        <f>IF(COUNTIF(BU$76:BU157,BU157)=1,MAX(BT$76:BT156)+1,"")</f>
        <v/>
      </c>
      <c r="BU157" s="1720">
        <v>112.5</v>
      </c>
      <c r="BV157" s="1720">
        <v>315</v>
      </c>
      <c r="BW157" s="1720">
        <v>185</v>
      </c>
      <c r="BX157" s="1720" t="s">
        <v>1509</v>
      </c>
      <c r="BY157" s="1772" t="s">
        <v>1861</v>
      </c>
    </row>
    <row r="158" spans="1:86" x14ac:dyDescent="0.3">
      <c r="BO158">
        <v>565</v>
      </c>
      <c r="BP158" t="s">
        <v>564</v>
      </c>
      <c r="BS158" s="196">
        <f>IF(MAX(BT158:BT1237)&lt;ROW(82:82),"",VLOOKUP(ROW(82:82),BT158:BU1237,2))</f>
        <v>295</v>
      </c>
      <c r="BT158" s="197" t="str">
        <f>IF(COUNTIF(BU$76:BU158,BU158)=1,MAX(BT$76:BT157)+1,"")</f>
        <v/>
      </c>
      <c r="BU158" s="1720">
        <v>112.5</v>
      </c>
      <c r="BV158" s="1720">
        <v>320</v>
      </c>
      <c r="BW158" s="1720">
        <v>140</v>
      </c>
      <c r="BX158" s="1720" t="s">
        <v>1509</v>
      </c>
      <c r="BY158" s="1772" t="s">
        <v>1861</v>
      </c>
    </row>
    <row r="159" spans="1:86" x14ac:dyDescent="0.3">
      <c r="BO159">
        <v>572.5</v>
      </c>
      <c r="BP159" t="s">
        <v>565</v>
      </c>
      <c r="BS159" s="196">
        <f>IF(MAX(BT159:BT1238)&lt;ROW(83:83),"",VLOOKUP(ROW(83:83),BT159:BU1238,2))</f>
        <v>297.5</v>
      </c>
      <c r="BT159" s="197" t="str">
        <f>IF(COUNTIF(BU$76:BU159,BU159)=1,MAX(BT$76:BT158)+1,"")</f>
        <v/>
      </c>
      <c r="BU159" s="1720">
        <v>112.5</v>
      </c>
      <c r="BV159" s="1720">
        <v>255</v>
      </c>
      <c r="BW159" s="1720">
        <v>185</v>
      </c>
      <c r="BX159" s="1720" t="s">
        <v>1510</v>
      </c>
      <c r="BY159" s="1772"/>
    </row>
    <row r="160" spans="1:86" x14ac:dyDescent="0.3">
      <c r="BO160">
        <v>575</v>
      </c>
      <c r="BP160" t="s">
        <v>566</v>
      </c>
      <c r="BS160" s="196">
        <f>IF(MAX(BT160:BT1239)&lt;ROW(84:84),"",VLOOKUP(ROW(84:84),BT160:BU1239,2))</f>
        <v>300</v>
      </c>
      <c r="BT160" s="197" t="str">
        <f>IF(COUNTIF(BU$76:BU160,BU160)=1,MAX(BT$76:BT159)+1,"")</f>
        <v/>
      </c>
      <c r="BU160" s="1720">
        <v>112.5</v>
      </c>
      <c r="BV160" s="1720">
        <v>260</v>
      </c>
      <c r="BW160" s="1720">
        <v>185</v>
      </c>
      <c r="BX160" s="1720" t="s">
        <v>1510</v>
      </c>
      <c r="BY160" s="1772"/>
    </row>
    <row r="161" spans="67:77" x14ac:dyDescent="0.3">
      <c r="BO161">
        <v>580</v>
      </c>
      <c r="BP161" t="s">
        <v>567</v>
      </c>
      <c r="BS161" s="196">
        <f>IF(MAX(BT161:BT1240)&lt;ROW(85:85),"",VLOOKUP(ROW(85:85),BT161:BU1240,2))</f>
        <v>302.5</v>
      </c>
      <c r="BT161" s="197" t="str">
        <f>IF(COUNTIF(BU$76:BU161,BU161)=1,MAX(BT$76:BT160)+1,"")</f>
        <v/>
      </c>
      <c r="BU161" s="1720">
        <v>112.5</v>
      </c>
      <c r="BV161" s="1720">
        <v>255</v>
      </c>
      <c r="BW161" s="1720">
        <v>185</v>
      </c>
      <c r="BX161" s="1720" t="s">
        <v>1510</v>
      </c>
      <c r="BY161" s="1772"/>
    </row>
    <row r="162" spans="67:77" x14ac:dyDescent="0.3">
      <c r="BO162">
        <v>585</v>
      </c>
      <c r="BP162" t="s">
        <v>568</v>
      </c>
      <c r="BS162" s="196">
        <f>IF(MAX(BT162:BT1241)&lt;ROW(86:86),"",VLOOKUP(ROW(86:86),BT162:BU1241,2))</f>
        <v>305</v>
      </c>
      <c r="BT162" s="197" t="str">
        <f>IF(COUNTIF(BU$76:BU162,BU162)=1,MAX(BT$76:BT161)+1,"")</f>
        <v/>
      </c>
      <c r="BU162" s="1720">
        <v>112.5</v>
      </c>
      <c r="BV162" s="1720">
        <v>260</v>
      </c>
      <c r="BW162" s="1720">
        <v>185</v>
      </c>
      <c r="BX162" s="1720" t="s">
        <v>1510</v>
      </c>
      <c r="BY162" s="1772"/>
    </row>
    <row r="163" spans="67:77" x14ac:dyDescent="0.3">
      <c r="BO163">
        <v>590</v>
      </c>
      <c r="BP163" t="s">
        <v>569</v>
      </c>
      <c r="BS163" s="196">
        <f>IF(MAX(BT163:BT1242)&lt;ROW(87:87),"",VLOOKUP(ROW(87:87),BT163:BU1242,2))</f>
        <v>307.5</v>
      </c>
      <c r="BT163" s="197" t="str">
        <f>IF(COUNTIF(BU$76:BU163,BU163)=1,MAX(BT$76:BT162)+1,"")</f>
        <v/>
      </c>
      <c r="BU163" s="1720">
        <v>112.5</v>
      </c>
      <c r="BV163" s="1720">
        <v>258</v>
      </c>
      <c r="BW163" s="1720">
        <v>185</v>
      </c>
      <c r="BX163" s="1720" t="s">
        <v>1510</v>
      </c>
      <c r="BY163" s="1772"/>
    </row>
    <row r="164" spans="67:77" x14ac:dyDescent="0.3">
      <c r="BO164">
        <v>592.5</v>
      </c>
      <c r="BP164" t="s">
        <v>570</v>
      </c>
      <c r="BS164" s="196">
        <f>IF(MAX(BT164:BT1243)&lt;ROW(88:88),"",VLOOKUP(ROW(88:88),BT164:BU1243,2))</f>
        <v>310</v>
      </c>
      <c r="BT164" s="197" t="str">
        <f>IF(COUNTIF(BU$76:BU164,BU164)=1,MAX(BT$76:BT163)+1,"")</f>
        <v/>
      </c>
      <c r="BU164" s="1720">
        <v>112.5</v>
      </c>
      <c r="BV164" s="1720">
        <v>255</v>
      </c>
      <c r="BW164" s="1720">
        <v>185</v>
      </c>
      <c r="BX164" s="1720" t="s">
        <v>1510</v>
      </c>
      <c r="BY164" s="1772"/>
    </row>
    <row r="165" spans="67:77" x14ac:dyDescent="0.3">
      <c r="BO165">
        <v>595</v>
      </c>
      <c r="BP165" t="s">
        <v>571</v>
      </c>
      <c r="BS165" s="196">
        <f>IF(MAX(BT165:BT1244)&lt;ROW(89:89),"",VLOOKUP(ROW(89:89),BT165:BU1244,2))</f>
        <v>312.5</v>
      </c>
      <c r="BT165" s="197" t="str">
        <f>IF(COUNTIF(BU$76:BU165,BU165)=1,MAX(BT$76:BT164)+1,"")</f>
        <v/>
      </c>
      <c r="BU165" s="1720">
        <v>112.5</v>
      </c>
      <c r="BV165" s="1720">
        <v>255</v>
      </c>
      <c r="BW165" s="1720">
        <v>185</v>
      </c>
      <c r="BX165" s="1720" t="s">
        <v>1510</v>
      </c>
      <c r="BY165" s="1772"/>
    </row>
    <row r="166" spans="67:77" x14ac:dyDescent="0.3">
      <c r="BO166">
        <v>597.5</v>
      </c>
      <c r="BP166" t="s">
        <v>572</v>
      </c>
      <c r="BS166" s="196">
        <f>IF(MAX(BT166:BT1245)&lt;ROW(90:90),"",VLOOKUP(ROW(90:90),BT166:BU1245,2))</f>
        <v>315</v>
      </c>
      <c r="BT166" s="197" t="str">
        <f>IF(COUNTIF(BU$76:BU166,BU166)=1,MAX(BT$76:BT165)+1,"")</f>
        <v/>
      </c>
      <c r="BU166" s="1720">
        <v>112.5</v>
      </c>
      <c r="BV166" s="1720">
        <v>260</v>
      </c>
      <c r="BW166" s="1720">
        <v>185</v>
      </c>
      <c r="BX166" s="1720" t="s">
        <v>1510</v>
      </c>
      <c r="BY166" s="1772"/>
    </row>
    <row r="167" spans="67:77" x14ac:dyDescent="0.3">
      <c r="BO167">
        <v>600</v>
      </c>
      <c r="BP167" t="s">
        <v>573</v>
      </c>
      <c r="BS167" s="196">
        <f>IF(MAX(BT167:BT1246)&lt;ROW(91:91),"",VLOOKUP(ROW(91:91),BT167:BU1246,2))</f>
        <v>317.5</v>
      </c>
      <c r="BT167" s="197" t="str">
        <f>IF(COUNTIF(BU$76:BU167,BU167)=1,MAX(BT$76:BT166)+1,"")</f>
        <v/>
      </c>
      <c r="BU167" s="1720">
        <v>112.5</v>
      </c>
      <c r="BV167" s="1720">
        <v>255</v>
      </c>
      <c r="BW167" s="1720">
        <v>185</v>
      </c>
      <c r="BX167" s="1720" t="s">
        <v>1510</v>
      </c>
      <c r="BY167" s="1772"/>
    </row>
    <row r="168" spans="67:77" x14ac:dyDescent="0.3">
      <c r="BO168">
        <v>610</v>
      </c>
      <c r="BP168" t="s">
        <v>574</v>
      </c>
      <c r="BS168" s="196">
        <f>IF(MAX(BT168:BT1247)&lt;ROW(92:92),"",VLOOKUP(ROW(92:92),BT168:BU1247,2))</f>
        <v>320</v>
      </c>
      <c r="BT168" s="197">
        <f>IF(COUNTIF(BU$76:BU168,BU168)=1,MAX(BT$76:BT167)+1,"")</f>
        <v>12</v>
      </c>
      <c r="BU168" s="1720">
        <v>115</v>
      </c>
      <c r="BV168" s="1720">
        <v>255</v>
      </c>
      <c r="BW168" s="1720">
        <v>185</v>
      </c>
      <c r="BX168" s="1720" t="s">
        <v>1511</v>
      </c>
      <c r="BY168" s="1772"/>
    </row>
    <row r="169" spans="67:77" x14ac:dyDescent="0.3">
      <c r="BO169">
        <v>620</v>
      </c>
      <c r="BP169" t="s">
        <v>575</v>
      </c>
      <c r="BS169" s="196">
        <f>IF(MAX(BT169:BT1248)&lt;ROW(93:93),"",VLOOKUP(ROW(93:93),BT169:BU1248,2))</f>
        <v>322.5</v>
      </c>
      <c r="BT169" s="197" t="str">
        <f>IF(COUNTIF(BU$76:BU169,BU169)=1,MAX(BT$76:BT168)+1,"")</f>
        <v/>
      </c>
      <c r="BU169" s="1720">
        <v>115</v>
      </c>
      <c r="BV169" s="1720">
        <v>257</v>
      </c>
      <c r="BW169" s="1720">
        <v>185</v>
      </c>
      <c r="BX169" s="1720" t="s">
        <v>1511</v>
      </c>
      <c r="BY169" s="1772"/>
    </row>
    <row r="170" spans="67:77" x14ac:dyDescent="0.3">
      <c r="BO170">
        <v>622.5</v>
      </c>
      <c r="BP170" t="s">
        <v>576</v>
      </c>
      <c r="BS170" s="196">
        <f>IF(MAX(BT170:BT1249)&lt;ROW(94:94),"",VLOOKUP(ROW(94:94),BT170:BU1249,2))</f>
        <v>325</v>
      </c>
      <c r="BT170" s="197" t="str">
        <f>IF(COUNTIF(BU$76:BU170,BU170)=1,MAX(BT$76:BT169)+1,"")</f>
        <v/>
      </c>
      <c r="BU170" s="1720">
        <v>115</v>
      </c>
      <c r="BV170" s="1720">
        <v>257</v>
      </c>
      <c r="BW170" s="1720">
        <v>185</v>
      </c>
      <c r="BX170" s="1720" t="s">
        <v>1511</v>
      </c>
      <c r="BY170" s="1772"/>
    </row>
    <row r="171" spans="67:77" x14ac:dyDescent="0.3">
      <c r="BO171">
        <v>625</v>
      </c>
      <c r="BP171" t="s">
        <v>577</v>
      </c>
      <c r="BS171" s="196">
        <f>IF(MAX(BT171:BT1250)&lt;ROW(95:95),"",VLOOKUP(ROW(95:95),BT171:BU1250,2))</f>
        <v>327.5</v>
      </c>
      <c r="BT171" s="197" t="str">
        <f>IF(COUNTIF(BU$76:BU171,BU171)=1,MAX(BT$76:BT170)+1,"")</f>
        <v/>
      </c>
      <c r="BU171" s="1720">
        <v>115</v>
      </c>
      <c r="BV171" s="1720">
        <v>260</v>
      </c>
      <c r="BW171" s="1720">
        <v>185</v>
      </c>
      <c r="BX171" s="1720" t="s">
        <v>1511</v>
      </c>
      <c r="BY171" s="1772"/>
    </row>
    <row r="172" spans="67:77" x14ac:dyDescent="0.3">
      <c r="BO172">
        <v>627.5</v>
      </c>
      <c r="BP172" t="s">
        <v>578</v>
      </c>
      <c r="BS172" s="196">
        <f>IF(MAX(BT172:BT1251)&lt;ROW(96:96),"",VLOOKUP(ROW(96:96),BT172:BU1251,2))</f>
        <v>330</v>
      </c>
      <c r="BT172" s="197" t="str">
        <f>IF(COUNTIF(BU$76:BU172,BU172)=1,MAX(BT$76:BT171)+1,"")</f>
        <v/>
      </c>
      <c r="BU172" s="1720">
        <v>115</v>
      </c>
      <c r="BV172" s="1720">
        <v>260</v>
      </c>
      <c r="BW172" s="1720">
        <v>185</v>
      </c>
      <c r="BX172" s="1720" t="s">
        <v>1511</v>
      </c>
      <c r="BY172" s="1772"/>
    </row>
    <row r="173" spans="67:77" x14ac:dyDescent="0.3">
      <c r="BO173">
        <v>630</v>
      </c>
      <c r="BP173" t="s">
        <v>579</v>
      </c>
      <c r="BS173" s="196">
        <f>IF(MAX(BT173:BT1252)&lt;ROW(97:97),"",VLOOKUP(ROW(97:97),BT173:BU1252,2))</f>
        <v>332.5</v>
      </c>
      <c r="BT173" s="197" t="str">
        <f>IF(COUNTIF(BU$76:BU173,BU173)=1,MAX(BT$76:BT172)+1,"")</f>
        <v/>
      </c>
      <c r="BU173" s="1720">
        <v>115</v>
      </c>
      <c r="BV173" s="1720">
        <v>257</v>
      </c>
      <c r="BW173" s="1720">
        <v>185</v>
      </c>
      <c r="BX173" s="1720" t="s">
        <v>1511</v>
      </c>
      <c r="BY173" s="1772"/>
    </row>
    <row r="174" spans="67:77" x14ac:dyDescent="0.3">
      <c r="BO174">
        <v>635</v>
      </c>
      <c r="BP174" t="s">
        <v>580</v>
      </c>
      <c r="BS174" s="196">
        <f>IF(MAX(BT174:BT1253)&lt;ROW(98:98),"",VLOOKUP(ROW(98:98),BT174:BU1253,2))</f>
        <v>335</v>
      </c>
      <c r="BT174" s="197" t="str">
        <f>IF(COUNTIF(BU$76:BU174,BU174)=1,MAX(BT$76:BT173)+1,"")</f>
        <v/>
      </c>
      <c r="BU174" s="1720">
        <v>115</v>
      </c>
      <c r="BV174" s="1720">
        <v>257</v>
      </c>
      <c r="BW174" s="1720">
        <v>185</v>
      </c>
      <c r="BX174" s="1720" t="s">
        <v>1511</v>
      </c>
      <c r="BY174" s="1772"/>
    </row>
    <row r="175" spans="67:77" x14ac:dyDescent="0.3">
      <c r="BO175">
        <v>637.5</v>
      </c>
      <c r="BP175" t="s">
        <v>581</v>
      </c>
      <c r="BS175" s="196">
        <f>IF(MAX(BT175:BT1254)&lt;ROW(99:99),"",VLOOKUP(ROW(99:99),BT175:BU1254,2))</f>
        <v>337.5</v>
      </c>
      <c r="BT175" s="197" t="str">
        <f>IF(COUNTIF(BU$76:BU175,BU175)=1,MAX(BT$76:BT174)+1,"")</f>
        <v/>
      </c>
      <c r="BU175" s="1720">
        <v>115</v>
      </c>
      <c r="BV175" s="1720">
        <v>260</v>
      </c>
      <c r="BW175" s="1720">
        <v>185</v>
      </c>
      <c r="BX175" s="1720" t="s">
        <v>1511</v>
      </c>
      <c r="BY175" s="1772"/>
    </row>
    <row r="176" spans="67:77" x14ac:dyDescent="0.3">
      <c r="BO176">
        <v>642.5</v>
      </c>
      <c r="BP176" t="s">
        <v>948</v>
      </c>
      <c r="BS176" s="196">
        <f>IF(MAX(BT176:BT1255)&lt;ROW(100:100),"",VLOOKUP(ROW(100:100),BT176:BU1255,2))</f>
        <v>340</v>
      </c>
      <c r="BT176" s="197" t="str">
        <f>IF(COUNTIF(BU$76:BU176,BU176)=1,MAX(BT$76:BT175)+1,"")</f>
        <v/>
      </c>
      <c r="BU176" s="1720">
        <v>115</v>
      </c>
      <c r="BV176" s="1720">
        <v>257</v>
      </c>
      <c r="BW176" s="1720">
        <v>185</v>
      </c>
      <c r="BX176" s="1720" t="s">
        <v>1511</v>
      </c>
      <c r="BY176" s="1772"/>
    </row>
    <row r="177" spans="67:77" x14ac:dyDescent="0.3">
      <c r="BO177">
        <v>650</v>
      </c>
      <c r="BP177" t="s">
        <v>582</v>
      </c>
      <c r="BS177" s="196">
        <f>IF(MAX(BT177:BT1256)&lt;ROW(101:101),"",VLOOKUP(ROW(101:101),BT177:BU1256,2))</f>
        <v>347.5</v>
      </c>
      <c r="BT177" s="197">
        <f>IF(COUNTIF(BU$76:BU177,BU177)=1,MAX(BT$76:BT176)+1,"")</f>
        <v>13</v>
      </c>
      <c r="BU177" s="1720">
        <v>117.5</v>
      </c>
      <c r="BV177" s="1720">
        <v>255</v>
      </c>
      <c r="BW177" s="1720">
        <v>185</v>
      </c>
      <c r="BX177" s="1720" t="s">
        <v>1512</v>
      </c>
      <c r="BY177" s="1772"/>
    </row>
    <row r="178" spans="67:77" x14ac:dyDescent="0.3">
      <c r="BO178">
        <v>652.5</v>
      </c>
      <c r="BP178" t="s">
        <v>583</v>
      </c>
      <c r="BS178" s="196">
        <f>IF(MAX(BT178:BT1257)&lt;ROW(102:102),"",VLOOKUP(ROW(102:102),BT178:BU1257,2))</f>
        <v>350</v>
      </c>
      <c r="BT178" s="197" t="str">
        <f>IF(COUNTIF(BU$76:BU178,BU178)=1,MAX(BT$76:BT177)+1,"")</f>
        <v/>
      </c>
      <c r="BU178" s="1720">
        <v>117.5</v>
      </c>
      <c r="BV178" s="1720">
        <v>260</v>
      </c>
      <c r="BW178" s="1720">
        <v>185</v>
      </c>
      <c r="BX178" s="1720" t="s">
        <v>1512</v>
      </c>
      <c r="BY178" s="1772"/>
    </row>
    <row r="179" spans="67:77" x14ac:dyDescent="0.3">
      <c r="BO179">
        <v>655</v>
      </c>
      <c r="BP179" t="s">
        <v>584</v>
      </c>
      <c r="BS179" s="196">
        <f>IF(MAX(BT179:BT1258)&lt;ROW(103:103),"",VLOOKUP(ROW(103:103),BT179:BU1258,2))</f>
        <v>355</v>
      </c>
      <c r="BT179" s="197" t="str">
        <f>IF(COUNTIF(BU$76:BU179,BU179)=1,MAX(BT$76:BT178)+1,"")</f>
        <v/>
      </c>
      <c r="BU179" s="1720">
        <v>117.5</v>
      </c>
      <c r="BV179" s="1720">
        <v>260</v>
      </c>
      <c r="BW179" s="1720">
        <v>185</v>
      </c>
      <c r="BX179" s="1720" t="s">
        <v>1512</v>
      </c>
      <c r="BY179" s="1772"/>
    </row>
    <row r="180" spans="67:77" x14ac:dyDescent="0.3">
      <c r="BO180">
        <v>657.5</v>
      </c>
      <c r="BP180" t="s">
        <v>585</v>
      </c>
      <c r="BS180" s="196">
        <f>IF(MAX(BT180:BT1259)&lt;ROW(104:104),"",VLOOKUP(ROW(104:104),BT180:BU1259,2))</f>
        <v>360</v>
      </c>
      <c r="BT180" s="197">
        <f>IF(COUNTIF(BU$76:BU180,BU180)=1,MAX(BT$76:BT179)+1,"")</f>
        <v>14</v>
      </c>
      <c r="BU180" s="1720">
        <v>120</v>
      </c>
      <c r="BV180" s="1720">
        <v>260</v>
      </c>
      <c r="BW180" s="1720">
        <v>185</v>
      </c>
      <c r="BX180" s="1720" t="s">
        <v>1513</v>
      </c>
      <c r="BY180" s="1772"/>
    </row>
    <row r="181" spans="67:77" x14ac:dyDescent="0.3">
      <c r="BO181">
        <v>660</v>
      </c>
      <c r="BP181" t="s">
        <v>586</v>
      </c>
      <c r="BS181" s="196">
        <f>IF(MAX(BT181:BT1260)&lt;ROW(105:105),"",VLOOKUP(ROW(105:105),BT181:BU1260,2))</f>
        <v>365</v>
      </c>
      <c r="BT181" s="197" t="str">
        <f>IF(COUNTIF(BU$76:BU181,BU181)=1,MAX(BT$76:BT180)+1,"")</f>
        <v/>
      </c>
      <c r="BU181" s="1720">
        <v>120</v>
      </c>
      <c r="BV181" s="1720">
        <v>260</v>
      </c>
      <c r="BW181" s="1720">
        <v>185</v>
      </c>
      <c r="BX181" s="1720" t="s">
        <v>1513</v>
      </c>
      <c r="BY181" s="1772"/>
    </row>
    <row r="182" spans="67:77" x14ac:dyDescent="0.3">
      <c r="BO182">
        <v>665</v>
      </c>
      <c r="BP182" t="s">
        <v>825</v>
      </c>
      <c r="BS182" s="196">
        <f>IF(MAX(BT182:BT1261)&lt;ROW(106:106),"",VLOOKUP(ROW(106:106),BT182:BU1261,2))</f>
        <v>367.5</v>
      </c>
      <c r="BT182" s="197" t="str">
        <f>IF(COUNTIF(BU$76:BU182,BU182)=1,MAX(BT$76:BT181)+1,"")</f>
        <v/>
      </c>
      <c r="BU182" s="1720">
        <v>120</v>
      </c>
      <c r="BV182" s="1720">
        <v>255</v>
      </c>
      <c r="BW182" s="1720">
        <v>185</v>
      </c>
      <c r="BX182" s="1720" t="s">
        <v>1513</v>
      </c>
      <c r="BY182" s="1772"/>
    </row>
    <row r="183" spans="67:77" x14ac:dyDescent="0.3">
      <c r="BO183">
        <v>667.5</v>
      </c>
      <c r="BP183" t="s">
        <v>826</v>
      </c>
      <c r="BS183" s="196">
        <f>IF(MAX(BT183:BT1262)&lt;ROW(107:107),"",VLOOKUP(ROW(107:107),BT183:BU1262,2))</f>
        <v>370</v>
      </c>
      <c r="BT183" s="197" t="str">
        <f>IF(COUNTIF(BU$76:BU183,BU183)=1,MAX(BT$76:BT182)+1,"")</f>
        <v/>
      </c>
      <c r="BU183" s="1720">
        <v>120</v>
      </c>
      <c r="BV183" s="1720">
        <v>258</v>
      </c>
      <c r="BW183" s="1720">
        <v>185</v>
      </c>
      <c r="BX183" s="1720" t="s">
        <v>1513</v>
      </c>
      <c r="BY183" s="1772"/>
    </row>
    <row r="184" spans="67:77" x14ac:dyDescent="0.3">
      <c r="BO184">
        <v>700</v>
      </c>
      <c r="BP184" t="s">
        <v>827</v>
      </c>
      <c r="BS184" s="196">
        <f>IF(MAX(BT184:BT1263)&lt;ROW(108:108),"",VLOOKUP(ROW(108:108),BT184:BU1263,2))</f>
        <v>372.5</v>
      </c>
      <c r="BT184" s="197" t="str">
        <f>IF(COUNTIF(BU$76:BU184,BU184)=1,MAX(BT$76:BT183)+1,"")</f>
        <v/>
      </c>
      <c r="BU184" s="1720">
        <v>120</v>
      </c>
      <c r="BV184" s="1720">
        <v>258</v>
      </c>
      <c r="BW184" s="1720">
        <v>185</v>
      </c>
      <c r="BX184" s="1720" t="s">
        <v>1513</v>
      </c>
      <c r="BY184" s="1772"/>
    </row>
    <row r="185" spans="67:77" x14ac:dyDescent="0.3">
      <c r="BS185" s="196">
        <f>IF(MAX(BT185:BT1264)&lt;ROW(109:109),"",VLOOKUP(ROW(109:109),BT185:BU1264,2))</f>
        <v>377.5</v>
      </c>
      <c r="BT185" s="197">
        <f>IF(COUNTIF(BU$76:BU185,BU185)=1,MAX(BT$76:BT184)+1,"")</f>
        <v>15</v>
      </c>
      <c r="BU185" s="1720">
        <v>122.5</v>
      </c>
      <c r="BV185" s="1720">
        <v>257</v>
      </c>
      <c r="BW185" s="1720">
        <v>185</v>
      </c>
      <c r="BX185" s="1720" t="s">
        <v>1514</v>
      </c>
      <c r="BY185" s="1772"/>
    </row>
    <row r="186" spans="67:77" x14ac:dyDescent="0.3">
      <c r="BS186" s="196">
        <f>IF(MAX(BT186:BT1265)&lt;ROW(110:110),"",VLOOKUP(ROW(110:110),BT186:BU1265,2))</f>
        <v>380</v>
      </c>
      <c r="BT186" s="197" t="str">
        <f>IF(COUNTIF(BU$76:BU186,BU186)=1,MAX(BT$76:BT185)+1,"")</f>
        <v/>
      </c>
      <c r="BU186" s="1720">
        <v>122.5</v>
      </c>
      <c r="BV186" s="1720">
        <v>260</v>
      </c>
      <c r="BW186" s="1720">
        <v>185</v>
      </c>
      <c r="BX186" s="1720" t="s">
        <v>1514</v>
      </c>
      <c r="BY186" s="1772"/>
    </row>
    <row r="187" spans="67:77" x14ac:dyDescent="0.3">
      <c r="BS187" s="196">
        <f>IF(MAX(BT187:BT1266)&lt;ROW(111:111),"",VLOOKUP(ROW(111:111),BT187:BU1266,2))</f>
        <v>382.5</v>
      </c>
      <c r="BT187" s="197" t="str">
        <f>IF(COUNTIF(BU$76:BU187,BU187)=1,MAX(BT$76:BT186)+1,"")</f>
        <v/>
      </c>
      <c r="BU187" s="1720">
        <v>122.5</v>
      </c>
      <c r="BV187" s="1720">
        <v>260</v>
      </c>
      <c r="BW187" s="1720">
        <v>185</v>
      </c>
      <c r="BX187" s="1720" t="s">
        <v>1514</v>
      </c>
      <c r="BY187" s="1772"/>
    </row>
    <row r="188" spans="67:77" x14ac:dyDescent="0.3">
      <c r="BS188" s="196">
        <f>IF(MAX(BT188:BT1267)&lt;ROW(112:112),"",VLOOKUP(ROW(112:112),BT188:BU1267,2))</f>
        <v>385</v>
      </c>
      <c r="BT188" s="197" t="str">
        <f>IF(COUNTIF(BU$76:BU188,BU188)=1,MAX(BT$76:BT187)+1,"")</f>
        <v/>
      </c>
      <c r="BU188" s="1720">
        <v>122.5</v>
      </c>
      <c r="BV188" s="1720">
        <v>260</v>
      </c>
      <c r="BW188" s="1720">
        <v>185</v>
      </c>
      <c r="BX188" s="1720" t="s">
        <v>1514</v>
      </c>
      <c r="BY188" s="1772"/>
    </row>
    <row r="189" spans="67:77" x14ac:dyDescent="0.3">
      <c r="BS189" s="196">
        <f>IF(MAX(BT189:BT1268)&lt;ROW(113:113),"",VLOOKUP(ROW(113:113),BT189:BU1268,2))</f>
        <v>390</v>
      </c>
      <c r="BT189" s="197" t="str">
        <f>IF(COUNTIF(BU$76:BU189,BU189)=1,MAX(BT$76:BT188)+1,"")</f>
        <v/>
      </c>
      <c r="BU189" s="1720">
        <v>122.5</v>
      </c>
      <c r="BV189" s="1720">
        <v>320</v>
      </c>
      <c r="BW189" s="1720">
        <v>185</v>
      </c>
      <c r="BX189" s="1720" t="s">
        <v>1515</v>
      </c>
      <c r="BY189" s="1772"/>
    </row>
    <row r="190" spans="67:77" x14ac:dyDescent="0.3">
      <c r="BS190" s="196">
        <f>IF(MAX(BT190:BT1269)&lt;ROW(114:114),"",VLOOKUP(ROW(114:114),BT190:BU1269,2))</f>
        <v>392.5</v>
      </c>
      <c r="BT190" s="197">
        <f>IF(COUNTIF(BU$76:BU190,BU190)=1,MAX(BT$76:BT189)+1,"")</f>
        <v>16</v>
      </c>
      <c r="BU190" s="1720">
        <v>125</v>
      </c>
      <c r="BV190" s="1720">
        <v>255</v>
      </c>
      <c r="BW190" s="1720">
        <v>185</v>
      </c>
      <c r="BX190" s="1720" t="s">
        <v>1516</v>
      </c>
      <c r="BY190" s="1772"/>
    </row>
    <row r="191" spans="67:77" x14ac:dyDescent="0.3">
      <c r="BS191" s="196">
        <f>IF(MAX(BT191:BT1270)&lt;ROW(115:115),"",VLOOKUP(ROW(115:115),BT191:BU1270,2))</f>
        <v>397.5</v>
      </c>
      <c r="BT191" s="197" t="str">
        <f>IF(COUNTIF(BU$76:BU191,BU191)=1,MAX(BT$76:BT190)+1,"")</f>
        <v/>
      </c>
      <c r="BU191" s="1720">
        <v>125</v>
      </c>
      <c r="BV191" s="1720">
        <v>260</v>
      </c>
      <c r="BW191" s="1720">
        <v>185</v>
      </c>
      <c r="BX191" s="1720" t="s">
        <v>1516</v>
      </c>
      <c r="BY191" s="1772"/>
    </row>
    <row r="192" spans="67:77" x14ac:dyDescent="0.3">
      <c r="BS192" s="196">
        <f>IF(MAX(BT192:BT1271)&lt;ROW(116:116),"",VLOOKUP(ROW(116:116),BT192:BU1271,2))</f>
        <v>405</v>
      </c>
      <c r="BT192" s="197" t="str">
        <f>IF(COUNTIF(BU$76:BU192,BU192)=1,MAX(BT$76:BT191)+1,"")</f>
        <v/>
      </c>
      <c r="BU192" s="1720">
        <v>125</v>
      </c>
      <c r="BV192" s="1720">
        <v>257</v>
      </c>
      <c r="BW192" s="1720">
        <v>185</v>
      </c>
      <c r="BX192" s="1720" t="s">
        <v>1516</v>
      </c>
      <c r="BY192" s="1772"/>
    </row>
    <row r="193" spans="71:77" x14ac:dyDescent="0.3">
      <c r="BS193" s="196">
        <f>IF(MAX(BT193:BT1272)&lt;ROW(117:117),"",VLOOKUP(ROW(117:117),BT193:BU1272,2))</f>
        <v>410</v>
      </c>
      <c r="BT193" s="197" t="str">
        <f>IF(COUNTIF(BU$76:BU193,BU193)=1,MAX(BT$76:BT192)+1,"")</f>
        <v/>
      </c>
      <c r="BU193" s="1720">
        <v>125</v>
      </c>
      <c r="BV193" s="1720">
        <v>315</v>
      </c>
      <c r="BW193" s="1720">
        <v>185</v>
      </c>
      <c r="BX193" s="1720" t="s">
        <v>1515</v>
      </c>
      <c r="BY193" s="1772"/>
    </row>
    <row r="194" spans="71:77" x14ac:dyDescent="0.3">
      <c r="BS194" s="196">
        <f>IF(MAX(BT194:BT1273)&lt;ROW(118:118),"",VLOOKUP(ROW(118:118),BT194:BU1273,2))</f>
        <v>412.5</v>
      </c>
      <c r="BT194" s="197" t="str">
        <f>IF(COUNTIF(BU$76:BU194,BU194)=1,MAX(BT$76:BT193)+1,"")</f>
        <v/>
      </c>
      <c r="BU194" s="1720">
        <v>125</v>
      </c>
      <c r="BV194" s="1720">
        <v>260</v>
      </c>
      <c r="BW194" s="1720">
        <v>185</v>
      </c>
      <c r="BX194" s="1720" t="s">
        <v>1516</v>
      </c>
      <c r="BY194" s="1772"/>
    </row>
    <row r="195" spans="71:77" x14ac:dyDescent="0.3">
      <c r="BS195" s="196">
        <f>IF(MAX(BT195:BT1274)&lt;ROW(119:119),"",VLOOKUP(ROW(119:119),BT195:BU1274,2))</f>
        <v>415</v>
      </c>
      <c r="BT195" s="197" t="str">
        <f>IF(COUNTIF(BU$76:BU195,BU195)=1,MAX(BT$76:BT194)+1,"")</f>
        <v/>
      </c>
      <c r="BU195" s="1720">
        <v>125</v>
      </c>
      <c r="BV195" s="1720">
        <v>255</v>
      </c>
      <c r="BW195" s="1720">
        <v>185</v>
      </c>
      <c r="BX195" s="1720" t="s">
        <v>1516</v>
      </c>
      <c r="BY195" s="1772"/>
    </row>
    <row r="196" spans="71:77" x14ac:dyDescent="0.3">
      <c r="BS196" s="196">
        <f>IF(MAX(BT196:BT1275)&lt;ROW(120:120),"",VLOOKUP(ROW(120:120),BT196:BU1275,2))</f>
        <v>417.5</v>
      </c>
      <c r="BT196" s="197" t="str">
        <f>IF(COUNTIF(BU$76:BU196,BU196)=1,MAX(BT$76:BT195)+1,"")</f>
        <v/>
      </c>
      <c r="BU196" s="1720">
        <v>125</v>
      </c>
      <c r="BV196" s="1720">
        <v>260</v>
      </c>
      <c r="BW196" s="1720">
        <v>185</v>
      </c>
      <c r="BX196" s="1720" t="s">
        <v>1516</v>
      </c>
      <c r="BY196" s="1772"/>
    </row>
    <row r="197" spans="71:77" x14ac:dyDescent="0.3">
      <c r="BS197" s="196">
        <f>IF(MAX(BT197:BT1276)&lt;ROW(121:121),"",VLOOKUP(ROW(121:121),BT197:BU1276,2))</f>
        <v>420</v>
      </c>
      <c r="BT197" s="197">
        <f>IF(COUNTIF(BU$76:BU197,BU197)=1,MAX(BT$76:BT196)+1,"")</f>
        <v>17</v>
      </c>
      <c r="BU197" s="1720">
        <v>127.5</v>
      </c>
      <c r="BV197" s="1720">
        <v>255</v>
      </c>
      <c r="BW197" s="1720">
        <v>185</v>
      </c>
      <c r="BX197" s="1720" t="s">
        <v>1517</v>
      </c>
      <c r="BY197" s="1772"/>
    </row>
    <row r="198" spans="71:77" x14ac:dyDescent="0.3">
      <c r="BS198" s="196">
        <f>IF(MAX(BT198:BT1277)&lt;ROW(122:122),"",VLOOKUP(ROW(122:122),BT198:BU1277,2))</f>
        <v>425</v>
      </c>
      <c r="BT198" s="197" t="str">
        <f>IF(COUNTIF(BU$76:BU198,BU198)=1,MAX(BT$76:BT197)+1,"")</f>
        <v/>
      </c>
      <c r="BU198" s="1720">
        <v>127.5</v>
      </c>
      <c r="BV198" s="1720">
        <v>315</v>
      </c>
      <c r="BW198" s="1720">
        <v>185</v>
      </c>
      <c r="BX198" s="1720" t="s">
        <v>1518</v>
      </c>
      <c r="BY198" s="1772"/>
    </row>
    <row r="199" spans="71:77" x14ac:dyDescent="0.3">
      <c r="BS199" s="196">
        <f>IF(MAX(BT199:BT1278)&lt;ROW(123:123),"",VLOOKUP(ROW(123:123),BT199:BU1278,2))</f>
        <v>427.5</v>
      </c>
      <c r="BT199" s="197" t="str">
        <f>IF(COUNTIF(BU$76:BU199,BU199)=1,MAX(BT$76:BT198)+1,"")</f>
        <v/>
      </c>
      <c r="BU199" s="1720">
        <v>127.5</v>
      </c>
      <c r="BV199" s="1720">
        <v>255</v>
      </c>
      <c r="BW199" s="1720">
        <v>185</v>
      </c>
      <c r="BX199" s="1720" t="s">
        <v>1517</v>
      </c>
      <c r="BY199" s="1772"/>
    </row>
    <row r="200" spans="71:77" x14ac:dyDescent="0.3">
      <c r="BS200" s="196">
        <f>IF(MAX(BT200:BT1279)&lt;ROW(124:124),"",VLOOKUP(ROW(124:124),BT200:BU1279,2))</f>
        <v>430</v>
      </c>
      <c r="BT200" s="197" t="str">
        <f>IF(COUNTIF(BU$76:BU200,BU200)=1,MAX(BT$76:BT199)+1,"")</f>
        <v/>
      </c>
      <c r="BU200" s="1720">
        <v>127.5</v>
      </c>
      <c r="BV200" s="1720">
        <v>315</v>
      </c>
      <c r="BW200" s="1720">
        <v>185</v>
      </c>
      <c r="BX200" s="1720" t="s">
        <v>1517</v>
      </c>
      <c r="BY200" s="1772"/>
    </row>
    <row r="201" spans="71:77" x14ac:dyDescent="0.3">
      <c r="BS201" s="196">
        <f>IF(MAX(BT201:BT1280)&lt;ROW(125:125),"",VLOOKUP(ROW(125:125),BT201:BU1280,2))</f>
        <v>432.5</v>
      </c>
      <c r="BT201" s="197">
        <f>IF(COUNTIF(BU$76:BU201,BU201)=1,MAX(BT$76:BT200)+1,"")</f>
        <v>18</v>
      </c>
      <c r="BU201" s="1720">
        <v>130</v>
      </c>
      <c r="BV201" s="1720">
        <v>255</v>
      </c>
      <c r="BW201" s="1720">
        <v>185</v>
      </c>
      <c r="BX201" s="1720" t="s">
        <v>1519</v>
      </c>
      <c r="BY201" s="1772"/>
    </row>
    <row r="202" spans="71:77" x14ac:dyDescent="0.3">
      <c r="BS202" s="196">
        <f>IF(MAX(BT202:BT1281)&lt;ROW(126:126),"",VLOOKUP(ROW(126:126),BT202:BU1281,2))</f>
        <v>440</v>
      </c>
      <c r="BT202" s="197" t="str">
        <f>IF(COUNTIF(BU$76:BU202,BU202)=1,MAX(BT$76:BT201)+1,"")</f>
        <v/>
      </c>
      <c r="BU202" s="1720">
        <v>130</v>
      </c>
      <c r="BV202" s="1720">
        <v>255</v>
      </c>
      <c r="BW202" s="1720">
        <v>185</v>
      </c>
      <c r="BX202" s="1720" t="s">
        <v>1519</v>
      </c>
      <c r="BY202" s="1772"/>
    </row>
    <row r="203" spans="71:77" x14ac:dyDescent="0.3">
      <c r="BS203" s="196">
        <f>IF(MAX(BT203:BT1282)&lt;ROW(127:127),"",VLOOKUP(ROW(127:127),BT203:BU1282,2))</f>
        <v>442.5</v>
      </c>
      <c r="BT203" s="197" t="str">
        <f>IF(COUNTIF(BU$76:BU203,BU203)=1,MAX(BT$76:BT202)+1,"")</f>
        <v/>
      </c>
      <c r="BU203" s="1720">
        <v>130</v>
      </c>
      <c r="BV203" s="1720">
        <v>375</v>
      </c>
      <c r="BW203" s="1720">
        <v>185</v>
      </c>
      <c r="BX203" s="1720" t="s">
        <v>1520</v>
      </c>
      <c r="BY203" s="1772"/>
    </row>
    <row r="204" spans="71:77" x14ac:dyDescent="0.3">
      <c r="BS204" s="196">
        <f>IF(MAX(BT204:BT1283)&lt;ROW(128:128),"",VLOOKUP(ROW(128:128),BT204:BU1283,2))</f>
        <v>445</v>
      </c>
      <c r="BT204" s="197" t="str">
        <f>IF(COUNTIF(BU$76:BU204,BU204)=1,MAX(BT$76:BT203)+1,"")</f>
        <v/>
      </c>
      <c r="BU204" s="1720">
        <v>130</v>
      </c>
      <c r="BV204" s="1720">
        <v>318</v>
      </c>
      <c r="BW204" s="1720">
        <v>185</v>
      </c>
      <c r="BX204" s="1720" t="s">
        <v>1521</v>
      </c>
      <c r="BY204" s="1772"/>
    </row>
    <row r="205" spans="71:77" x14ac:dyDescent="0.3">
      <c r="BS205" s="196">
        <f>IF(MAX(BT205:BT1284)&lt;ROW(129:129),"",VLOOKUP(ROW(129:129),BT205:BU1284,2))</f>
        <v>447.5</v>
      </c>
      <c r="BT205" s="197" t="str">
        <f>IF(COUNTIF(BU$76:BU205,BU205)=1,MAX(BT$76:BT204)+1,"")</f>
        <v/>
      </c>
      <c r="BU205" s="1720">
        <v>130</v>
      </c>
      <c r="BV205" s="1720">
        <v>320</v>
      </c>
      <c r="BW205" s="1720">
        <v>185</v>
      </c>
      <c r="BX205" s="1720" t="s">
        <v>1521</v>
      </c>
      <c r="BY205" s="1772"/>
    </row>
    <row r="206" spans="71:77" x14ac:dyDescent="0.3">
      <c r="BS206" s="196">
        <f>IF(MAX(BT206:BT1285)&lt;ROW(130:130),"",VLOOKUP(ROW(130:130),BT206:BU1285,2))</f>
        <v>457.5</v>
      </c>
      <c r="BT206" s="197" t="str">
        <f>IF(COUNTIF(BU$76:BU206,BU206)=1,MAX(BT$76:BT205)+1,"")</f>
        <v/>
      </c>
      <c r="BU206" s="1720">
        <v>130</v>
      </c>
      <c r="BV206" s="1720">
        <v>320</v>
      </c>
      <c r="BW206" s="1720">
        <v>185</v>
      </c>
      <c r="BX206" s="1720" t="s">
        <v>1521</v>
      </c>
      <c r="BY206" s="1772"/>
    </row>
    <row r="207" spans="71:77" x14ac:dyDescent="0.3">
      <c r="BS207" s="196">
        <f>IF(MAX(BT207:BT1286)&lt;ROW(131:131),"",VLOOKUP(ROW(131:131),BT207:BU1286,2))</f>
        <v>460</v>
      </c>
      <c r="BT207" s="197" t="str">
        <f>IF(COUNTIF(BU$76:BU207,BU207)=1,MAX(BT$76:BT206)+1,"")</f>
        <v/>
      </c>
      <c r="BU207" s="1720">
        <v>130</v>
      </c>
      <c r="BV207" s="1720">
        <v>318</v>
      </c>
      <c r="BW207" s="1720">
        <v>185</v>
      </c>
      <c r="BX207" s="1720" t="s">
        <v>1521</v>
      </c>
      <c r="BY207" s="1772"/>
    </row>
    <row r="208" spans="71:77" x14ac:dyDescent="0.3">
      <c r="BS208" s="196">
        <f>IF(MAX(BT208:BT1287)&lt;ROW(132:132),"",VLOOKUP(ROW(132:132),BT208:BU1287,2))</f>
        <v>475</v>
      </c>
      <c r="BT208" s="197" t="str">
        <f>IF(COUNTIF(BU$76:BU208,BU208)=1,MAX(BT$76:BT207)+1,"")</f>
        <v/>
      </c>
      <c r="BU208" s="1720">
        <v>130</v>
      </c>
      <c r="BV208" s="1720">
        <v>258</v>
      </c>
      <c r="BW208" s="1720">
        <v>185</v>
      </c>
      <c r="BX208" s="1720" t="s">
        <v>1519</v>
      </c>
      <c r="BY208" s="1772"/>
    </row>
    <row r="209" spans="71:77" x14ac:dyDescent="0.3">
      <c r="BS209" s="196">
        <f>IF(MAX(BT209:BT1288)&lt;ROW(133:133),"",VLOOKUP(ROW(133:133),BT209:BU1288,2))</f>
        <v>480</v>
      </c>
      <c r="BT209" s="197" t="str">
        <f>IF(COUNTIF(BU$76:BU209,BU209)=1,MAX(BT$76:BT208)+1,"")</f>
        <v/>
      </c>
      <c r="BU209" s="1720">
        <v>130</v>
      </c>
      <c r="BV209" s="1720">
        <v>315</v>
      </c>
      <c r="BW209" s="1720">
        <v>185</v>
      </c>
      <c r="BX209" s="1720" t="s">
        <v>1521</v>
      </c>
      <c r="BY209" s="1772"/>
    </row>
    <row r="210" spans="71:77" x14ac:dyDescent="0.3">
      <c r="BS210" s="196">
        <f>IF(MAX(BT210:BT1289)&lt;ROW(134:134),"",VLOOKUP(ROW(134:134),BT210:BU1289,2))</f>
        <v>482.5</v>
      </c>
      <c r="BT210" s="197" t="str">
        <f>IF(COUNTIF(BU$76:BU210,BU210)=1,MAX(BT$76:BT209)+1,"")</f>
        <v/>
      </c>
      <c r="BU210" s="1720">
        <v>130</v>
      </c>
      <c r="BV210" s="1720">
        <v>257</v>
      </c>
      <c r="BW210" s="1720">
        <v>185</v>
      </c>
      <c r="BX210" s="1720" t="s">
        <v>1519</v>
      </c>
      <c r="BY210" s="1772"/>
    </row>
    <row r="211" spans="71:77" x14ac:dyDescent="0.3">
      <c r="BS211" s="196">
        <f>IF(MAX(BT211:BT1290)&lt;ROW(135:135),"",VLOOKUP(ROW(135:135),BT211:BU1290,2))</f>
        <v>495</v>
      </c>
      <c r="BT211" s="197" t="str">
        <f>IF(COUNTIF(BU$76:BU211,BU211)=1,MAX(BT$76:BT210)+1,"")</f>
        <v/>
      </c>
      <c r="BU211" s="1720">
        <v>130</v>
      </c>
      <c r="BV211" s="1720">
        <v>255</v>
      </c>
      <c r="BW211" s="1720">
        <v>185</v>
      </c>
      <c r="BX211" s="1720" t="s">
        <v>1519</v>
      </c>
      <c r="BY211" s="1772"/>
    </row>
    <row r="212" spans="71:77" x14ac:dyDescent="0.3">
      <c r="BS212" s="196">
        <f>IF(MAX(BT212:BT1291)&lt;ROW(136:136),"",VLOOKUP(ROW(136:136),BT212:BU1291,2))</f>
        <v>500</v>
      </c>
      <c r="BT212" s="197" t="str">
        <f>IF(COUNTIF(BU$76:BU212,BU212)=1,MAX(BT$76:BT211)+1,"")</f>
        <v/>
      </c>
      <c r="BU212" s="1720">
        <v>130</v>
      </c>
      <c r="BV212" s="1720">
        <v>320</v>
      </c>
      <c r="BW212" s="1720">
        <v>185</v>
      </c>
      <c r="BX212" s="1720" t="s">
        <v>1521</v>
      </c>
      <c r="BY212" s="1772"/>
    </row>
    <row r="213" spans="71:77" x14ac:dyDescent="0.3">
      <c r="BS213" s="196">
        <f>IF(MAX(BT213:BT1292)&lt;ROW(137:137),"",VLOOKUP(ROW(137:137),BT213:BU1292,2))</f>
        <v>502.5</v>
      </c>
      <c r="BT213" s="197">
        <f>IF(COUNTIF(BU$76:BU213,BU213)=1,MAX(BT$76:BT212)+1,"")</f>
        <v>19</v>
      </c>
      <c r="BU213" s="1720">
        <v>132.5</v>
      </c>
      <c r="BV213" s="1720">
        <v>375</v>
      </c>
      <c r="BW213" s="1720">
        <v>185</v>
      </c>
      <c r="BX213" s="1720" t="s">
        <v>1522</v>
      </c>
      <c r="BY213" s="1772"/>
    </row>
    <row r="214" spans="71:77" x14ac:dyDescent="0.3">
      <c r="BS214" s="196">
        <f>IF(MAX(BT214:BT1293)&lt;ROW(138:138),"",VLOOKUP(ROW(138:138),BT214:BU1293,2))</f>
        <v>505</v>
      </c>
      <c r="BT214" s="197" t="str">
        <f>IF(COUNTIF(BU$76:BU214,BU214)=1,MAX(BT$76:BT213)+1,"")</f>
        <v/>
      </c>
      <c r="BU214" s="1720">
        <v>132.5</v>
      </c>
      <c r="BV214" s="1720">
        <v>320</v>
      </c>
      <c r="BW214" s="1720">
        <v>185</v>
      </c>
      <c r="BX214" s="1720" t="s">
        <v>1523</v>
      </c>
      <c r="BY214" s="1772"/>
    </row>
    <row r="215" spans="71:77" x14ac:dyDescent="0.3">
      <c r="BS215" s="196">
        <f>IF(MAX(BT215:BT1294)&lt;ROW(139:139),"",VLOOKUP(ROW(139:139),BT215:BU1294,2))</f>
        <v>507.5</v>
      </c>
      <c r="BT215" s="197" t="str">
        <f>IF(COUNTIF(BU$76:BU215,BU215)=1,MAX(BT$76:BT214)+1,"")</f>
        <v/>
      </c>
      <c r="BU215" s="1720">
        <v>132.5</v>
      </c>
      <c r="BV215" s="1720">
        <v>320</v>
      </c>
      <c r="BW215" s="1720">
        <v>185</v>
      </c>
      <c r="BX215" s="1720" t="s">
        <v>1524</v>
      </c>
      <c r="BY215" s="1772"/>
    </row>
    <row r="216" spans="71:77" x14ac:dyDescent="0.3">
      <c r="BS216" s="196">
        <f>IF(MAX(BT216:BT1295)&lt;ROW(140:140),"",VLOOKUP(ROW(140:140),BT216:BU1295,2))</f>
        <v>510</v>
      </c>
      <c r="BT216" s="197" t="str">
        <f>IF(COUNTIF(BU$76:BU216,BU216)=1,MAX(BT$76:BT215)+1,"")</f>
        <v/>
      </c>
      <c r="BU216" s="1720">
        <v>132.5</v>
      </c>
      <c r="BV216" s="1720">
        <v>373</v>
      </c>
      <c r="BW216" s="1720">
        <v>185</v>
      </c>
      <c r="BX216" s="1720" t="s">
        <v>1522</v>
      </c>
      <c r="BY216" s="1772"/>
    </row>
    <row r="217" spans="71:77" x14ac:dyDescent="0.3">
      <c r="BS217" s="196">
        <f>IF(MAX(BT217:BT1296)&lt;ROW(141:141),"",VLOOKUP(ROW(141:141),BT217:BU1296,2))</f>
        <v>515</v>
      </c>
      <c r="BT217" s="197">
        <f>IF(COUNTIF(BU$76:BU217,BU217)=1,MAX(BT$76:BT216)+1,"")</f>
        <v>20</v>
      </c>
      <c r="BU217" s="1720">
        <v>135</v>
      </c>
      <c r="BV217" s="1720">
        <v>377</v>
      </c>
      <c r="BW217" s="1720">
        <v>185</v>
      </c>
      <c r="BX217" s="1720" t="s">
        <v>1525</v>
      </c>
      <c r="BY217" s="1772"/>
    </row>
    <row r="218" spans="71:77" x14ac:dyDescent="0.3">
      <c r="BS218" s="196">
        <f>IF(MAX(BT218:BT1297)&lt;ROW(142:142),"",VLOOKUP(ROW(142:142),BT218:BU1297,2))</f>
        <v>517.5</v>
      </c>
      <c r="BT218" s="197" t="str">
        <f>IF(COUNTIF(BU$76:BU218,BU218)=1,MAX(BT$76:BT217)+1,"")</f>
        <v/>
      </c>
      <c r="BU218" s="1720">
        <v>135</v>
      </c>
      <c r="BV218" s="1720">
        <v>380</v>
      </c>
      <c r="BW218" s="1720">
        <v>185</v>
      </c>
      <c r="BX218" s="1720" t="s">
        <v>1525</v>
      </c>
      <c r="BY218" s="1772"/>
    </row>
    <row r="219" spans="71:77" x14ac:dyDescent="0.3">
      <c r="BS219" s="196">
        <f>IF(MAX(BT219:BT1298)&lt;ROW(143:143),"",VLOOKUP(ROW(143:143),BT219:BU1298,2))</f>
        <v>520</v>
      </c>
      <c r="BT219" s="197" t="str">
        <f>IF(COUNTIF(BU$76:BU219,BU219)=1,MAX(BT$76:BT218)+1,"")</f>
        <v/>
      </c>
      <c r="BU219" s="1720">
        <v>135</v>
      </c>
      <c r="BV219" s="1720">
        <v>260</v>
      </c>
      <c r="BW219" s="1720">
        <v>185</v>
      </c>
      <c r="BX219" s="1720" t="s">
        <v>1526</v>
      </c>
      <c r="BY219" s="1772"/>
    </row>
    <row r="220" spans="71:77" x14ac:dyDescent="0.3">
      <c r="BS220" s="196">
        <f>IF(MAX(BT220:BT1299)&lt;ROW(144:144),"",VLOOKUP(ROW(144:144),BT220:BU1299,2))</f>
        <v>522.5</v>
      </c>
      <c r="BT220" s="197" t="str">
        <f>IF(COUNTIF(BU$76:BU220,BU220)=1,MAX(BT$76:BT219)+1,"")</f>
        <v/>
      </c>
      <c r="BU220" s="1720">
        <v>135</v>
      </c>
      <c r="BV220" s="1720">
        <v>257</v>
      </c>
      <c r="BW220" s="1720">
        <v>185</v>
      </c>
      <c r="BX220" s="1720" t="s">
        <v>1526</v>
      </c>
      <c r="BY220" s="1772"/>
    </row>
    <row r="221" spans="71:77" x14ac:dyDescent="0.3">
      <c r="BS221" s="196">
        <f>IF(MAX(BT221:BT1300)&lt;ROW(145:145),"",VLOOKUP(ROW(145:145),BT221:BU1300,2))</f>
        <v>525</v>
      </c>
      <c r="BT221" s="197" t="str">
        <f>IF(COUNTIF(BU$76:BU221,BU221)=1,MAX(BT$76:BT220)+1,"")</f>
        <v/>
      </c>
      <c r="BU221" s="1720">
        <v>135</v>
      </c>
      <c r="BV221" s="1720">
        <v>257</v>
      </c>
      <c r="BW221" s="1720">
        <v>185</v>
      </c>
      <c r="BX221" s="1720" t="s">
        <v>1526</v>
      </c>
      <c r="BY221" s="1772"/>
    </row>
    <row r="222" spans="71:77" x14ac:dyDescent="0.3">
      <c r="BS222" s="196">
        <f>IF(MAX(BT222:BT1301)&lt;ROW(146:146),"",VLOOKUP(ROW(146:146),BT222:BU1301,2))</f>
        <v>527.5</v>
      </c>
      <c r="BT222" s="197" t="str">
        <f>IF(COUNTIF(BU$76:BU222,BU222)=1,MAX(BT$76:BT221)+1,"")</f>
        <v/>
      </c>
      <c r="BU222" s="1720">
        <v>135</v>
      </c>
      <c r="BV222" s="1720">
        <v>255</v>
      </c>
      <c r="BW222" s="1720">
        <v>185</v>
      </c>
      <c r="BX222" s="1720" t="s">
        <v>1527</v>
      </c>
      <c r="BY222" s="1772"/>
    </row>
    <row r="223" spans="71:77" x14ac:dyDescent="0.3">
      <c r="BS223" s="196">
        <f>IF(MAX(BT223:BT1302)&lt;ROW(147:147),"",VLOOKUP(ROW(147:147),BT223:BU1302,2))</f>
        <v>530</v>
      </c>
      <c r="BT223" s="197" t="str">
        <f>IF(COUNTIF(BU$76:BU223,BU223)=1,MAX(BT$76:BT222)+1,"")</f>
        <v/>
      </c>
      <c r="BU223" s="1720">
        <v>135</v>
      </c>
      <c r="BV223" s="1720">
        <v>260</v>
      </c>
      <c r="BW223" s="1720">
        <v>185</v>
      </c>
      <c r="BX223" s="1720" t="s">
        <v>1526</v>
      </c>
      <c r="BY223" s="1772"/>
    </row>
    <row r="224" spans="71:77" x14ac:dyDescent="0.3">
      <c r="BS224" s="196">
        <f>IF(MAX(BT224:BT1303)&lt;ROW(148:148),"",VLOOKUP(ROW(148:148),BT224:BU1303,2))</f>
        <v>532.5</v>
      </c>
      <c r="BT224" s="197" t="str">
        <f>IF(COUNTIF(BU$76:BU224,BU224)=1,MAX(BT$76:BT223)+1,"")</f>
        <v/>
      </c>
      <c r="BU224" s="1720">
        <v>135</v>
      </c>
      <c r="BV224" s="1720">
        <v>255</v>
      </c>
      <c r="BW224" s="1720">
        <v>185</v>
      </c>
      <c r="BX224" s="1720" t="s">
        <v>1526</v>
      </c>
      <c r="BY224" s="1772"/>
    </row>
    <row r="225" spans="71:77" x14ac:dyDescent="0.3">
      <c r="BS225" s="196">
        <f>IF(MAX(BT225:BT1304)&lt;ROW(149:149),"",VLOOKUP(ROW(149:149),BT225:BU1304,2))</f>
        <v>535</v>
      </c>
      <c r="BT225" s="197">
        <f>IF(COUNTIF(BU$76:BU225,BU225)=1,MAX(BT$76:BT224)+1,"")</f>
        <v>21</v>
      </c>
      <c r="BU225" s="1720">
        <v>137.5</v>
      </c>
      <c r="BV225" s="1720">
        <v>265</v>
      </c>
      <c r="BW225" s="1720">
        <v>285</v>
      </c>
      <c r="BX225" s="1720" t="s">
        <v>1528</v>
      </c>
      <c r="BY225" s="1772"/>
    </row>
    <row r="226" spans="71:77" x14ac:dyDescent="0.3">
      <c r="BS226" s="196">
        <f>IF(MAX(BT226:BT1305)&lt;ROW(150:150),"",VLOOKUP(ROW(150:150),BT226:BU1305,2))</f>
        <v>537.5</v>
      </c>
      <c r="BT226" s="197">
        <f>IF(COUNTIF(BU$76:BU226,BU226)=1,MAX(BT$76:BT225)+1,"")</f>
        <v>22</v>
      </c>
      <c r="BU226" s="1720">
        <v>140</v>
      </c>
      <c r="BV226" s="1720">
        <v>375</v>
      </c>
      <c r="BW226" s="1720">
        <v>285</v>
      </c>
      <c r="BX226" s="1720" t="s">
        <v>1529</v>
      </c>
      <c r="BY226" s="1772"/>
    </row>
    <row r="227" spans="71:77" x14ac:dyDescent="0.3">
      <c r="BS227" s="196">
        <f>IF(MAX(BT227:BT1306)&lt;ROW(151:151),"",VLOOKUP(ROW(151:151),BT227:BU1306,2))</f>
        <v>545</v>
      </c>
      <c r="BT227" s="197" t="str">
        <f>IF(COUNTIF(BU$76:BU227,BU227)=1,MAX(BT$76:BT226)+1,"")</f>
        <v/>
      </c>
      <c r="BU227" s="1720">
        <v>140</v>
      </c>
      <c r="BV227" s="1720">
        <v>317</v>
      </c>
      <c r="BW227" s="1720">
        <v>285</v>
      </c>
      <c r="BX227" s="1720" t="s">
        <v>1530</v>
      </c>
      <c r="BY227" s="1772"/>
    </row>
    <row r="228" spans="71:77" x14ac:dyDescent="0.3">
      <c r="BS228" s="196">
        <f>IF(MAX(BT228:BT1307)&lt;ROW(152:152),"",VLOOKUP(ROW(152:152),BT228:BU1307,2))</f>
        <v>547.5</v>
      </c>
      <c r="BT228" s="197" t="str">
        <f>IF(COUNTIF(BU$76:BU228,BU228)=1,MAX(BT$76:BT227)+1,"")</f>
        <v/>
      </c>
      <c r="BU228" s="1720">
        <v>140</v>
      </c>
      <c r="BV228" s="1720">
        <v>377</v>
      </c>
      <c r="BW228" s="1720">
        <v>285</v>
      </c>
      <c r="BX228" s="1720" t="s">
        <v>1529</v>
      </c>
      <c r="BY228" s="1772"/>
    </row>
    <row r="229" spans="71:77" x14ac:dyDescent="0.3">
      <c r="BS229" s="196">
        <f>IF(MAX(BT229:BT1308)&lt;ROW(153:153),"",VLOOKUP(ROW(153:153),BT229:BU1308,2))</f>
        <v>555</v>
      </c>
      <c r="BT229" s="197" t="str">
        <f>IF(COUNTIF(BU$76:BU229,BU229)=1,MAX(BT$76:BT228)+1,"")</f>
        <v/>
      </c>
      <c r="BU229" s="1720">
        <v>140</v>
      </c>
      <c r="BV229" s="1720">
        <v>263</v>
      </c>
      <c r="BW229" s="1720">
        <v>285</v>
      </c>
      <c r="BX229" s="1720" t="s">
        <v>1531</v>
      </c>
      <c r="BY229" s="1772"/>
    </row>
    <row r="230" spans="71:77" x14ac:dyDescent="0.3">
      <c r="BS230" s="196">
        <f>IF(MAX(BT230:BT1309)&lt;ROW(154:154),"",VLOOKUP(ROW(154:154),BT230:BU1309,2))</f>
        <v>560</v>
      </c>
      <c r="BT230" s="197" t="str">
        <f>IF(COUNTIF(BU$76:BU230,BU230)=1,MAX(BT$76:BT229)+1,"")</f>
        <v/>
      </c>
      <c r="BU230" s="1720">
        <v>140</v>
      </c>
      <c r="BV230" s="1720">
        <v>377</v>
      </c>
      <c r="BW230" s="1720">
        <v>285</v>
      </c>
      <c r="BX230" s="1720" t="s">
        <v>1529</v>
      </c>
      <c r="BY230" s="1772"/>
    </row>
    <row r="231" spans="71:77" x14ac:dyDescent="0.3">
      <c r="BS231" s="196">
        <f>IF(MAX(BT231:BT1310)&lt;ROW(155:155),"",VLOOKUP(ROW(155:155),BT231:BU1310,2))</f>
        <v>565</v>
      </c>
      <c r="BT231" s="197" t="str">
        <f>IF(COUNTIF(BU$76:BU231,BU231)=1,MAX(BT$76:BT230)+1,"")</f>
        <v/>
      </c>
      <c r="BU231" s="1720">
        <v>140</v>
      </c>
      <c r="BV231" s="1720">
        <v>320</v>
      </c>
      <c r="BW231" s="1720">
        <v>285</v>
      </c>
      <c r="BX231" s="1720" t="s">
        <v>1530</v>
      </c>
      <c r="BY231" s="1772"/>
    </row>
    <row r="232" spans="71:77" x14ac:dyDescent="0.3">
      <c r="BS232" s="196">
        <f>IF(MAX(BT232:BT1311)&lt;ROW(156:156),"",VLOOKUP(ROW(156:156),BT232:BU1311,2))</f>
        <v>572.5</v>
      </c>
      <c r="BT232" s="197" t="str">
        <f>IF(COUNTIF(BU$76:BU232,BU232)=1,MAX(BT$76:BT231)+1,"")</f>
        <v/>
      </c>
      <c r="BU232" s="1720">
        <v>140</v>
      </c>
      <c r="BV232" s="1720">
        <v>320</v>
      </c>
      <c r="BW232" s="1720">
        <v>285</v>
      </c>
      <c r="BX232" s="1720" t="s">
        <v>1530</v>
      </c>
      <c r="BY232" s="1772"/>
    </row>
    <row r="233" spans="71:77" x14ac:dyDescent="0.3">
      <c r="BS233" s="196">
        <f>IF(MAX(BT233:BT1312)&lt;ROW(157:157),"",VLOOKUP(ROW(157:157),BT233:BU1312,2))</f>
        <v>575</v>
      </c>
      <c r="BT233" s="197" t="str">
        <f>IF(COUNTIF(BU$76:BU233,BU233)=1,MAX(BT$76:BT232)+1,"")</f>
        <v/>
      </c>
      <c r="BU233" s="1720">
        <v>140</v>
      </c>
      <c r="BV233" s="1720">
        <v>265</v>
      </c>
      <c r="BW233" s="1720">
        <v>285</v>
      </c>
      <c r="BX233" s="1720" t="s">
        <v>1531</v>
      </c>
      <c r="BY233" s="1772"/>
    </row>
    <row r="234" spans="71:77" x14ac:dyDescent="0.3">
      <c r="BS234" s="196">
        <f>IF(MAX(BT234:BT1313)&lt;ROW(158:158),"",VLOOKUP(ROW(158:158),BT234:BU1313,2))</f>
        <v>580</v>
      </c>
      <c r="BT234" s="197" t="str">
        <f>IF(COUNTIF(BU$76:BU234,BU234)=1,MAX(BT$76:BT233)+1,"")</f>
        <v/>
      </c>
      <c r="BU234" s="1720">
        <v>140</v>
      </c>
      <c r="BV234" s="1720">
        <v>315</v>
      </c>
      <c r="BW234" s="1720">
        <v>285</v>
      </c>
      <c r="BX234" s="1720" t="s">
        <v>1530</v>
      </c>
      <c r="BY234" s="1772"/>
    </row>
    <row r="235" spans="71:77" x14ac:dyDescent="0.3">
      <c r="BS235" s="196">
        <f>IF(MAX(BT235:BT1314)&lt;ROW(159:159),"",VLOOKUP(ROW(159:159),BT235:BU1314,2))</f>
        <v>585</v>
      </c>
      <c r="BT235" s="197" t="str">
        <f>IF(COUNTIF(BU$76:BU235,BU235)=1,MAX(BT$76:BT234)+1,"")</f>
        <v/>
      </c>
      <c r="BU235" s="1720">
        <v>140</v>
      </c>
      <c r="BV235" s="1720">
        <v>320</v>
      </c>
      <c r="BW235" s="1720">
        <v>285</v>
      </c>
      <c r="BX235" s="1720" t="s">
        <v>1530</v>
      </c>
      <c r="BY235" s="1772"/>
    </row>
    <row r="236" spans="71:77" x14ac:dyDescent="0.3">
      <c r="BS236" s="196">
        <f>IF(MAX(BT236:BT1315)&lt;ROW(160:160),"",VLOOKUP(ROW(160:160),BT236:BU1315,2))</f>
        <v>590</v>
      </c>
      <c r="BT236" s="197" t="str">
        <f>IF(COUNTIF(BU$76:BU236,BU236)=1,MAX(BT$76:BT235)+1,"")</f>
        <v/>
      </c>
      <c r="BU236" s="1720">
        <v>140</v>
      </c>
      <c r="BV236" s="1720">
        <v>263</v>
      </c>
      <c r="BW236" s="1720">
        <v>285</v>
      </c>
      <c r="BX236" s="1720" t="s">
        <v>1531</v>
      </c>
      <c r="BY236" s="1772"/>
    </row>
    <row r="237" spans="71:77" x14ac:dyDescent="0.3">
      <c r="BS237" s="196">
        <f>IF(MAX(BT237:BT1316)&lt;ROW(161:161),"",VLOOKUP(ROW(161:161),BT237:BU1316,2))</f>
        <v>592.5</v>
      </c>
      <c r="BT237" s="197" t="str">
        <f>IF(COUNTIF(BU$76:BU237,BU237)=1,MAX(BT$76:BT236)+1,"")</f>
        <v/>
      </c>
      <c r="BU237" s="1720">
        <v>140</v>
      </c>
      <c r="BV237" s="1720">
        <v>263</v>
      </c>
      <c r="BW237" s="1720">
        <v>285</v>
      </c>
      <c r="BX237" s="1720" t="s">
        <v>1531</v>
      </c>
      <c r="BY237" s="1772"/>
    </row>
    <row r="238" spans="71:77" x14ac:dyDescent="0.3">
      <c r="BS238" s="196">
        <f>IF(MAX(BT238:BT1317)&lt;ROW(162:162),"",VLOOKUP(ROW(162:162),BT238:BU1317,2))</f>
        <v>595</v>
      </c>
      <c r="BT238" s="197" t="str">
        <f>IF(COUNTIF(BU$76:BU238,BU238)=1,MAX(BT$76:BT237)+1,"")</f>
        <v/>
      </c>
      <c r="BU238" s="1720">
        <v>140</v>
      </c>
      <c r="BV238" s="1720">
        <v>320</v>
      </c>
      <c r="BW238" s="1720">
        <v>285</v>
      </c>
      <c r="BX238" s="1720" t="s">
        <v>1530</v>
      </c>
      <c r="BY238" s="1772"/>
    </row>
    <row r="239" spans="71:77" x14ac:dyDescent="0.3">
      <c r="BS239" s="196">
        <f>IF(MAX(BT239:BT1318)&lt;ROW(163:163),"",VLOOKUP(ROW(163:163),BT239:BU1318,2))</f>
        <v>597.5</v>
      </c>
      <c r="BT239" s="197" t="str">
        <f>IF(COUNTIF(BU$76:BU239,BU239)=1,MAX(BT$76:BT238)+1,"")</f>
        <v/>
      </c>
      <c r="BU239" s="1720">
        <v>140</v>
      </c>
      <c r="BV239" s="1720">
        <v>262</v>
      </c>
      <c r="BW239" s="1720">
        <v>285</v>
      </c>
      <c r="BX239" s="1720" t="s">
        <v>1531</v>
      </c>
      <c r="BY239" s="1772"/>
    </row>
    <row r="240" spans="71:77" x14ac:dyDescent="0.3">
      <c r="BS240" s="196">
        <f>IF(MAX(BT240:BT1319)&lt;ROW(164:164),"",VLOOKUP(ROW(164:164),BT240:BU1319,2))</f>
        <v>600</v>
      </c>
      <c r="BT240" s="197" t="str">
        <f>IF(COUNTIF(BU$76:BU240,BU240)=1,MAX(BT$76:BT239)+1,"")</f>
        <v/>
      </c>
      <c r="BU240" s="1720">
        <v>140</v>
      </c>
      <c r="BV240" s="1720">
        <v>320</v>
      </c>
      <c r="BW240" s="1720">
        <v>285</v>
      </c>
      <c r="BX240" s="1720" t="s">
        <v>1530</v>
      </c>
      <c r="BY240" s="1772"/>
    </row>
    <row r="241" spans="71:77" x14ac:dyDescent="0.3">
      <c r="BS241" s="196">
        <f>IF(MAX(BT241:BT1320)&lt;ROW(165:165),"",VLOOKUP(ROW(165:165),BT241:BU1320,2))</f>
        <v>610</v>
      </c>
      <c r="BT241" s="197" t="str">
        <f>IF(COUNTIF(BU$76:BU241,BU241)=1,MAX(BT$76:BT240)+1,"")</f>
        <v/>
      </c>
      <c r="BU241" s="1720">
        <v>140</v>
      </c>
      <c r="BV241" s="1720">
        <v>320</v>
      </c>
      <c r="BW241" s="1720">
        <v>285</v>
      </c>
      <c r="BX241" s="1720" t="s">
        <v>1530</v>
      </c>
      <c r="BY241" s="1772"/>
    </row>
    <row r="242" spans="71:77" x14ac:dyDescent="0.3">
      <c r="BS242" s="196">
        <f>IF(MAX(BT242:BT1321)&lt;ROW(166:166),"",VLOOKUP(ROW(166:166),BT242:BU1321,2))</f>
        <v>620</v>
      </c>
      <c r="BT242" s="197" t="str">
        <f>IF(COUNTIF(BU$76:BU242,BU242)=1,MAX(BT$76:BT241)+1,"")</f>
        <v/>
      </c>
      <c r="BU242" s="1720">
        <v>140</v>
      </c>
      <c r="BV242" s="1720">
        <v>260</v>
      </c>
      <c r="BW242" s="1720">
        <v>285</v>
      </c>
      <c r="BX242" s="1720" t="s">
        <v>1531</v>
      </c>
      <c r="BY242" s="1772"/>
    </row>
    <row r="243" spans="71:77" x14ac:dyDescent="0.3">
      <c r="BS243" s="196">
        <f>IF(MAX(BT243:BT1322)&lt;ROW(167:167),"",VLOOKUP(ROW(167:167),BT243:BU1322,2))</f>
        <v>622.5</v>
      </c>
      <c r="BT243" s="197" t="str">
        <f>IF(COUNTIF(BU$76:BU243,BU243)=1,MAX(BT$76:BT242)+1,"")</f>
        <v/>
      </c>
      <c r="BU243" s="1720">
        <v>140</v>
      </c>
      <c r="BV243" s="1720">
        <v>265</v>
      </c>
      <c r="BW243" s="1720">
        <v>285</v>
      </c>
      <c r="BX243" s="1720" t="s">
        <v>1531</v>
      </c>
      <c r="BY243" s="1772"/>
    </row>
    <row r="244" spans="71:77" x14ac:dyDescent="0.3">
      <c r="BS244" s="196">
        <f>IF(MAX(BT244:BT1323)&lt;ROW(168:168),"",VLOOKUP(ROW(168:168),BT244:BU1323,2))</f>
        <v>625</v>
      </c>
      <c r="BT244" s="197" t="str">
        <f>IF(COUNTIF(BU$76:BU244,BU244)=1,MAX(BT$76:BT243)+1,"")</f>
        <v/>
      </c>
      <c r="BU244" s="1720">
        <v>140</v>
      </c>
      <c r="BV244" s="1720">
        <v>263</v>
      </c>
      <c r="BW244" s="1720">
        <v>285</v>
      </c>
      <c r="BX244" s="1720" t="s">
        <v>1531</v>
      </c>
      <c r="BY244" s="1772"/>
    </row>
    <row r="245" spans="71:77" x14ac:dyDescent="0.3">
      <c r="BS245" s="196">
        <f>IF(MAX(BT245:BT1324)&lt;ROW(169:169),"",VLOOKUP(ROW(169:169),BT245:BU1324,2))</f>
        <v>627.5</v>
      </c>
      <c r="BT245" s="197" t="str">
        <f>IF(COUNTIF(BU$76:BU245,BU245)=1,MAX(BT$76:BT244)+1,"")</f>
        <v/>
      </c>
      <c r="BU245" s="1720">
        <v>140</v>
      </c>
      <c r="BV245" s="1720">
        <v>265</v>
      </c>
      <c r="BW245" s="1720">
        <v>285</v>
      </c>
      <c r="BX245" s="1720" t="s">
        <v>1531</v>
      </c>
      <c r="BY245" s="1772"/>
    </row>
    <row r="246" spans="71:77" x14ac:dyDescent="0.3">
      <c r="BS246" s="196">
        <f>IF(MAX(BT246:BT1325)&lt;ROW(170:170),"",VLOOKUP(ROW(170:170),BT246:BU1325,2))</f>
        <v>630</v>
      </c>
      <c r="BT246" s="197" t="str">
        <f>IF(COUNTIF(BU$76:BU246,BU246)=1,MAX(BT$76:BT245)+1,"")</f>
        <v/>
      </c>
      <c r="BU246" s="1720">
        <v>140</v>
      </c>
      <c r="BV246" s="1720">
        <v>265</v>
      </c>
      <c r="BW246" s="1720">
        <v>285</v>
      </c>
      <c r="BX246" s="1720" t="s">
        <v>1531</v>
      </c>
      <c r="BY246" s="1772"/>
    </row>
    <row r="247" spans="71:77" x14ac:dyDescent="0.3">
      <c r="BS247" s="196">
        <f>IF(MAX(BT247:BT1326)&lt;ROW(171:171),"",VLOOKUP(ROW(171:171),BT247:BU1326,2))</f>
        <v>635</v>
      </c>
      <c r="BT247" s="197" t="str">
        <f>IF(COUNTIF(BU$76:BU247,BU247)=1,MAX(BT$76:BT246)+1,"")</f>
        <v/>
      </c>
      <c r="BU247" s="1720">
        <v>140</v>
      </c>
      <c r="BV247" s="1720">
        <v>378</v>
      </c>
      <c r="BW247" s="1720">
        <v>285</v>
      </c>
      <c r="BX247" s="1720" t="s">
        <v>1529</v>
      </c>
      <c r="BY247" s="1772"/>
    </row>
    <row r="248" spans="71:77" x14ac:dyDescent="0.3">
      <c r="BS248" s="196">
        <f>IF(MAX(BT248:BT1327)&lt;ROW(172:172),"",VLOOKUP(ROW(172:172),BT248:BU1327,2))</f>
        <v>637.5</v>
      </c>
      <c r="BT248" s="197">
        <f>IF(COUNTIF(BU$76:BU248,BU248)=1,MAX(BT$76:BT247)+1,"")</f>
        <v>23</v>
      </c>
      <c r="BU248" s="1720">
        <v>142.5</v>
      </c>
      <c r="BV248" s="1720">
        <v>320</v>
      </c>
      <c r="BW248" s="1720">
        <v>285</v>
      </c>
      <c r="BX248" s="1720" t="s">
        <v>1532</v>
      </c>
      <c r="BY248" s="1772"/>
    </row>
    <row r="249" spans="71:77" x14ac:dyDescent="0.3">
      <c r="BS249" s="196">
        <f>IF(MAX(BT249:BT1328)&lt;ROW(173:173),"",VLOOKUP(ROW(173:173),BT249:BU1328,2))</f>
        <v>642.5</v>
      </c>
      <c r="BT249" s="197" t="str">
        <f>IF(COUNTIF(BU$76:BU249,BU249)=1,MAX(BT$76:BT248)+1,"")</f>
        <v/>
      </c>
      <c r="BU249" s="1720">
        <v>142.5</v>
      </c>
      <c r="BV249" s="1720">
        <v>317</v>
      </c>
      <c r="BW249" s="1720">
        <v>285</v>
      </c>
      <c r="BX249" s="1720" t="s">
        <v>1532</v>
      </c>
      <c r="BY249" s="1772"/>
    </row>
    <row r="250" spans="71:77" x14ac:dyDescent="0.3">
      <c r="BS250" s="196">
        <f>IF(MAX(BT250:BT1329)&lt;ROW(174:174),"",VLOOKUP(ROW(174:174),BT250:BU1329,2))</f>
        <v>650</v>
      </c>
      <c r="BT250" s="197" t="str">
        <f>IF(COUNTIF(BU$76:BU250,BU250)=1,MAX(BT$76:BT249)+1,"")</f>
        <v/>
      </c>
      <c r="BU250" s="1720">
        <v>142.5</v>
      </c>
      <c r="BV250" s="1720">
        <v>265</v>
      </c>
      <c r="BW250" s="1720">
        <v>285</v>
      </c>
      <c r="BX250" s="1720" t="s">
        <v>1533</v>
      </c>
      <c r="BY250" s="1772"/>
    </row>
    <row r="251" spans="71:77" x14ac:dyDescent="0.3">
      <c r="BS251" s="196">
        <f>IF(MAX(BT251:BT1330)&lt;ROW(175:175),"",VLOOKUP(ROW(175:175),BT251:BU1330,2))</f>
        <v>652.5</v>
      </c>
      <c r="BT251" s="197" t="str">
        <f>IF(COUNTIF(BU$76:BU251,BU251)=1,MAX(BT$76:BT250)+1,"")</f>
        <v/>
      </c>
      <c r="BU251" s="1720">
        <v>142.5</v>
      </c>
      <c r="BV251" s="1720">
        <v>318</v>
      </c>
      <c r="BW251" s="1720">
        <v>285</v>
      </c>
      <c r="BX251" s="1720" t="s">
        <v>1532</v>
      </c>
      <c r="BY251" s="1772"/>
    </row>
    <row r="252" spans="71:77" x14ac:dyDescent="0.3">
      <c r="BS252" s="196">
        <f>IF(MAX(BT252:BT1331)&lt;ROW(176:176),"",VLOOKUP(ROW(176:176),BT252:BU1331,2))</f>
        <v>655</v>
      </c>
      <c r="BT252" s="197" t="str">
        <f>IF(COUNTIF(BU$76:BU252,BU252)=1,MAX(BT$76:BT251)+1,"")</f>
        <v/>
      </c>
      <c r="BU252" s="1720">
        <v>142.5</v>
      </c>
      <c r="BV252" s="1720">
        <v>378</v>
      </c>
      <c r="BW252" s="1720">
        <v>285</v>
      </c>
      <c r="BX252" s="1720" t="s">
        <v>1534</v>
      </c>
      <c r="BY252" s="1772"/>
    </row>
    <row r="253" spans="71:77" x14ac:dyDescent="0.3">
      <c r="BS253" s="196">
        <f>IF(MAX(BT253:BT1332)&lt;ROW(177:177),"",VLOOKUP(ROW(177:177),BT253:BU1332,2))</f>
        <v>657.5</v>
      </c>
      <c r="BT253" s="197" t="str">
        <f>IF(COUNTIF(BU$76:BU253,BU253)=1,MAX(BT$76:BT252)+1,"")</f>
        <v/>
      </c>
      <c r="BU253" s="1720">
        <v>142.5</v>
      </c>
      <c r="BV253" s="1720">
        <v>260</v>
      </c>
      <c r="BW253" s="1720">
        <v>285</v>
      </c>
      <c r="BX253" s="1720" t="s">
        <v>1533</v>
      </c>
      <c r="BY253" s="1772"/>
    </row>
    <row r="254" spans="71:77" x14ac:dyDescent="0.3">
      <c r="BS254" s="196">
        <f>IF(MAX(BT254:BT1333)&lt;ROW(178:178),"",VLOOKUP(ROW(178:178),BT254:BU1333,2))</f>
        <v>660</v>
      </c>
      <c r="BT254" s="197" t="str">
        <f>IF(COUNTIF(BU$76:BU254,BU254)=1,MAX(BT$76:BT253)+1,"")</f>
        <v/>
      </c>
      <c r="BU254" s="1720">
        <v>142.5</v>
      </c>
      <c r="BV254" s="1720">
        <v>320</v>
      </c>
      <c r="BW254" s="1720">
        <v>285</v>
      </c>
      <c r="BX254" s="1720" t="s">
        <v>1532</v>
      </c>
      <c r="BY254" s="1772"/>
    </row>
    <row r="255" spans="71:77" x14ac:dyDescent="0.3">
      <c r="BS255" s="196">
        <f>IF(MAX(BT255:BT1334)&lt;ROW(179:179),"",VLOOKUP(ROW(179:179),BT255:BU1334,2))</f>
        <v>665</v>
      </c>
      <c r="BT255" s="197" t="str">
        <f>IF(COUNTIF(BU$76:BU255,BU255)=1,MAX(BT$76:BT254)+1,"")</f>
        <v/>
      </c>
      <c r="BU255" s="1720">
        <v>142.5</v>
      </c>
      <c r="BV255" s="1720">
        <v>265</v>
      </c>
      <c r="BW255" s="1720">
        <v>285</v>
      </c>
      <c r="BX255" s="1720" t="s">
        <v>1533</v>
      </c>
      <c r="BY255" s="1772"/>
    </row>
    <row r="256" spans="71:77" x14ac:dyDescent="0.3">
      <c r="BS256" s="196">
        <f>IF(MAX(BT256:BT1335)&lt;ROW(180:180),"",VLOOKUP(ROW(180:180),BT256:BU1335,2))</f>
        <v>667.5</v>
      </c>
      <c r="BT256" s="197">
        <f>IF(COUNTIF(BU$76:BU256,BU256)=1,MAX(BT$76:BT255)+1,"")</f>
        <v>24</v>
      </c>
      <c r="BU256" s="1720">
        <v>145</v>
      </c>
      <c r="BV256" s="1720">
        <v>260</v>
      </c>
      <c r="BW256" s="1720">
        <v>285</v>
      </c>
      <c r="BX256" s="1720" t="s">
        <v>1535</v>
      </c>
      <c r="BY256" s="1772"/>
    </row>
    <row r="257" spans="71:77" x14ac:dyDescent="0.3">
      <c r="BS257" s="196">
        <f>IF(MAX(BT257:BT1336)&lt;ROW(181:181),"",VLOOKUP(ROW(181:181),BT257:BU1336,2))</f>
        <v>700</v>
      </c>
      <c r="BT257" s="197" t="str">
        <f>IF(COUNTIF(BU$76:BU257,BU257)=1,MAX(BT$76:BT256)+1,"")</f>
        <v/>
      </c>
      <c r="BU257" s="1720">
        <v>145</v>
      </c>
      <c r="BV257" s="1720">
        <v>265</v>
      </c>
      <c r="BW257" s="1720">
        <v>285</v>
      </c>
      <c r="BX257" s="1720" t="s">
        <v>1535</v>
      </c>
      <c r="BY257" s="1772"/>
    </row>
    <row r="258" spans="71:77" x14ac:dyDescent="0.3">
      <c r="BS258" s="196">
        <f>IF(MAX(BT258:BT1337)&lt;ROW(182:182),"",VLOOKUP(ROW(182:182),BT258:BU1337,2))</f>
        <v>0</v>
      </c>
      <c r="BT258" s="197" t="str">
        <f>IF(COUNTIF(BU$76:BU258,BU258)=1,MAX(BT$76:BT257)+1,"")</f>
        <v/>
      </c>
      <c r="BU258" s="1720">
        <v>145</v>
      </c>
      <c r="BV258" s="1720">
        <v>265</v>
      </c>
      <c r="BW258" s="1720">
        <v>285</v>
      </c>
      <c r="BX258" s="1720" t="s">
        <v>1535</v>
      </c>
      <c r="BY258" s="1772"/>
    </row>
    <row r="259" spans="71:77" x14ac:dyDescent="0.3">
      <c r="BS259" s="196">
        <f>IF(MAX(BT259:BT1338)&lt;ROW(183:183),"",VLOOKUP(ROW(183:183),BT259:BU1338,2))</f>
        <v>0</v>
      </c>
      <c r="BT259" s="197" t="str">
        <f>IF(COUNTIF(BU$76:BU259,BU259)=1,MAX(BT$76:BT258)+1,"")</f>
        <v/>
      </c>
      <c r="BU259" s="1720">
        <v>145</v>
      </c>
      <c r="BV259" s="1720">
        <v>270</v>
      </c>
      <c r="BW259" s="1720">
        <v>285</v>
      </c>
      <c r="BX259" s="1720" t="s">
        <v>1535</v>
      </c>
      <c r="BY259" s="1772"/>
    </row>
    <row r="260" spans="71:77" x14ac:dyDescent="0.3">
      <c r="BS260" s="196">
        <f>IF(MAX(BT260:BT1339)&lt;ROW(184:184),"",VLOOKUP(ROW(184:184),BT260:BU1339,2))</f>
        <v>0</v>
      </c>
      <c r="BT260" s="197" t="str">
        <f>IF(COUNTIF(BU$76:BU260,BU260)=1,MAX(BT$76:BT259)+1,"")</f>
        <v/>
      </c>
      <c r="BU260" s="1720">
        <v>145</v>
      </c>
      <c r="BV260" s="1720">
        <v>263</v>
      </c>
      <c r="BW260" s="1720">
        <v>285</v>
      </c>
      <c r="BX260" s="1720" t="s">
        <v>1535</v>
      </c>
      <c r="BY260" s="1772"/>
    </row>
    <row r="261" spans="71:77" x14ac:dyDescent="0.3">
      <c r="BS261" s="196">
        <f>IF(MAX(BT261:BT1340)&lt;ROW(185:185),"",VLOOKUP(ROW(185:185),BT261:BU1340,2))</f>
        <v>0</v>
      </c>
      <c r="BT261" s="197" t="str">
        <f>IF(COUNTIF(BU$76:BU261,BU261)=1,MAX(BT$76:BT260)+1,"")</f>
        <v/>
      </c>
      <c r="BU261" s="1720">
        <v>145</v>
      </c>
      <c r="BV261" s="1720">
        <v>265</v>
      </c>
      <c r="BW261" s="1720">
        <v>285</v>
      </c>
      <c r="BX261" s="1720" t="s">
        <v>1535</v>
      </c>
      <c r="BY261" s="1772"/>
    </row>
    <row r="262" spans="71:77" x14ac:dyDescent="0.3">
      <c r="BS262" s="196">
        <f>IF(MAX(BT262:BT1341)&lt;ROW(186:186),"",VLOOKUP(ROW(186:186),BT262:BU1341,2))</f>
        <v>0</v>
      </c>
      <c r="BT262" s="197" t="str">
        <f>IF(COUNTIF(BU$76:BU262,BU262)=1,MAX(BT$76:BT261)+1,"")</f>
        <v/>
      </c>
      <c r="BU262" s="1720">
        <v>145</v>
      </c>
      <c r="BV262" s="1720">
        <v>320</v>
      </c>
      <c r="BW262" s="1720">
        <v>285</v>
      </c>
      <c r="BX262" s="1720" t="s">
        <v>1536</v>
      </c>
      <c r="BY262" s="1772"/>
    </row>
    <row r="263" spans="71:77" x14ac:dyDescent="0.3">
      <c r="BS263" s="196" t="str">
        <f>IF(MAX(BT263:BT1342)&lt;ROW(187:187),"",VLOOKUP(ROW(187:187),BT263:BU1342,2))</f>
        <v/>
      </c>
      <c r="BT263" s="197" t="str">
        <f>IF(COUNTIF(BU$76:BU263,BU263)=1,MAX(BT$76:BT262)+1,"")</f>
        <v/>
      </c>
      <c r="BU263" s="1720">
        <v>145</v>
      </c>
      <c r="BV263" s="1720">
        <v>318</v>
      </c>
      <c r="BW263" s="1720">
        <v>285</v>
      </c>
      <c r="BX263" s="1720" t="s">
        <v>1536</v>
      </c>
      <c r="BY263" s="1772"/>
    </row>
    <row r="264" spans="71:77" x14ac:dyDescent="0.3">
      <c r="BS264" s="196" t="str">
        <f>IF(MAX(BT264:BT1343)&lt;ROW(188:188),"",VLOOKUP(ROW(188:188),BT264:BU1343,2))</f>
        <v/>
      </c>
      <c r="BT264" s="197" t="str">
        <f>IF(COUNTIF(BU$76:BU264,BU264)=1,MAX(BT$76:BT263)+1,"")</f>
        <v/>
      </c>
      <c r="BU264" s="1720">
        <v>145</v>
      </c>
      <c r="BV264" s="1720">
        <v>263</v>
      </c>
      <c r="BW264" s="1720">
        <v>285</v>
      </c>
      <c r="BX264" s="1720" t="s">
        <v>1535</v>
      </c>
      <c r="BY264" s="1772"/>
    </row>
    <row r="265" spans="71:77" x14ac:dyDescent="0.3">
      <c r="BS265" s="196" t="str">
        <f>IF(MAX(BT265:BT1344)&lt;ROW(189:189),"",VLOOKUP(ROW(189:189),BT265:BU1344,2))</f>
        <v/>
      </c>
      <c r="BT265" s="197" t="str">
        <f>IF(COUNTIF(BU$76:BU265,BU265)=1,MAX(BT$76:BT264)+1,"")</f>
        <v/>
      </c>
      <c r="BU265" s="1720">
        <v>145</v>
      </c>
      <c r="BV265" s="1720">
        <v>265</v>
      </c>
      <c r="BW265" s="1720">
        <v>285</v>
      </c>
      <c r="BX265" s="1720" t="s">
        <v>1535</v>
      </c>
      <c r="BY265" s="1772"/>
    </row>
    <row r="266" spans="71:77" x14ac:dyDescent="0.3">
      <c r="BS266" s="196" t="str">
        <f>IF(MAX(BT266:BT1345)&lt;ROW(190:190),"",VLOOKUP(ROW(190:190),BT266:BU1345,2))</f>
        <v/>
      </c>
      <c r="BT266" s="197" t="str">
        <f>IF(COUNTIF(BU$76:BU266,BU266)=1,MAX(BT$76:BT265)+1,"")</f>
        <v/>
      </c>
      <c r="BU266" s="1720">
        <v>145</v>
      </c>
      <c r="BV266" s="1720">
        <v>265</v>
      </c>
      <c r="BW266" s="1720">
        <v>285</v>
      </c>
      <c r="BX266" s="1720" t="s">
        <v>1535</v>
      </c>
      <c r="BY266" s="1772"/>
    </row>
    <row r="267" spans="71:77" x14ac:dyDescent="0.3">
      <c r="BS267" s="196" t="str">
        <f>IF(MAX(BT267:BT1346)&lt;ROW(191:191),"",VLOOKUP(ROW(191:191),BT267:BU1346,2))</f>
        <v/>
      </c>
      <c r="BT267" s="197" t="str">
        <f>IF(COUNTIF(BU$76:BU267,BU267)=1,MAX(BT$76:BT266)+1,"")</f>
        <v/>
      </c>
      <c r="BU267" s="1720">
        <v>145</v>
      </c>
      <c r="BV267" s="1720">
        <v>265</v>
      </c>
      <c r="BW267" s="1720">
        <v>285</v>
      </c>
      <c r="BX267" s="1720" t="s">
        <v>1535</v>
      </c>
      <c r="BY267" s="1772"/>
    </row>
    <row r="268" spans="71:77" x14ac:dyDescent="0.3">
      <c r="BS268" s="196" t="str">
        <f>IF(MAX(BT268:BT1347)&lt;ROW(192:192),"",VLOOKUP(ROW(192:192),BT268:BU1347,2))</f>
        <v/>
      </c>
      <c r="BT268" s="197" t="str">
        <f>IF(COUNTIF(BU$76:BU268,BU268)=1,MAX(BT$76:BT267)+1,"")</f>
        <v/>
      </c>
      <c r="BU268" s="1720">
        <v>145</v>
      </c>
      <c r="BV268" s="1720">
        <v>265</v>
      </c>
      <c r="BW268" s="1720">
        <v>285</v>
      </c>
      <c r="BX268" s="1720" t="s">
        <v>1535</v>
      </c>
      <c r="BY268" s="1772"/>
    </row>
    <row r="269" spans="71:77" x14ac:dyDescent="0.3">
      <c r="BS269" s="196" t="str">
        <f>IF(MAX(BT269:BT1348)&lt;ROW(193:193),"",VLOOKUP(ROW(193:193),BT269:BU1348,2))</f>
        <v/>
      </c>
      <c r="BT269" s="197" t="str">
        <f>IF(COUNTIF(BU$76:BU269,BU269)=1,MAX(BT$76:BT268)+1,"")</f>
        <v/>
      </c>
      <c r="BU269" s="1720">
        <v>145</v>
      </c>
      <c r="BV269" s="1720">
        <v>265</v>
      </c>
      <c r="BW269" s="1720">
        <v>285</v>
      </c>
      <c r="BX269" s="1720" t="s">
        <v>1535</v>
      </c>
      <c r="BY269" s="1772"/>
    </row>
    <row r="270" spans="71:77" x14ac:dyDescent="0.3">
      <c r="BS270" s="196" t="str">
        <f>IF(MAX(BT270:BT1349)&lt;ROW(194:194),"",VLOOKUP(ROW(194:194),BT270:BU1349,2))</f>
        <v/>
      </c>
      <c r="BT270" s="197" t="str">
        <f>IF(COUNTIF(BU$76:BU270,BU270)=1,MAX(BT$76:BT269)+1,"")</f>
        <v/>
      </c>
      <c r="BU270" s="1720">
        <v>145</v>
      </c>
      <c r="BV270" s="1720">
        <v>265</v>
      </c>
      <c r="BW270" s="1720">
        <v>285</v>
      </c>
      <c r="BX270" s="1720" t="s">
        <v>1535</v>
      </c>
      <c r="BY270" s="1772"/>
    </row>
    <row r="271" spans="71:77" x14ac:dyDescent="0.3">
      <c r="BS271" s="196" t="str">
        <f>IF(MAX(BT271:BT1350)&lt;ROW(195:195),"",VLOOKUP(ROW(195:195),BT271:BU1350,2))</f>
        <v/>
      </c>
      <c r="BT271" s="197" t="str">
        <f>IF(COUNTIF(BU$76:BU271,BU271)=1,MAX(BT$76:BT270)+1,"")</f>
        <v/>
      </c>
      <c r="BU271" s="1720">
        <v>145</v>
      </c>
      <c r="BV271" s="1720">
        <v>265</v>
      </c>
      <c r="BW271" s="1720">
        <v>285</v>
      </c>
      <c r="BX271" s="1720" t="s">
        <v>1535</v>
      </c>
      <c r="BY271" s="1772"/>
    </row>
    <row r="272" spans="71:77" x14ac:dyDescent="0.3">
      <c r="BS272" s="196" t="str">
        <f>IF(MAX(BT272:BT1351)&lt;ROW(196:196),"",VLOOKUP(ROW(196:196),BT272:BU1351,2))</f>
        <v/>
      </c>
      <c r="BT272" s="197">
        <f>IF(COUNTIF(BU$76:BU272,BU272)=1,MAX(BT$76:BT271)+1,"")</f>
        <v>25</v>
      </c>
      <c r="BU272" s="1720">
        <v>147.5</v>
      </c>
      <c r="BV272" s="1720">
        <v>380</v>
      </c>
      <c r="BW272" s="1720">
        <v>285</v>
      </c>
      <c r="BX272" s="1720" t="s">
        <v>1537</v>
      </c>
      <c r="BY272" s="1772"/>
    </row>
    <row r="273" spans="71:77" x14ac:dyDescent="0.3">
      <c r="BS273" s="196" t="str">
        <f>IF(MAX(BT273:BT1352)&lt;ROW(197:197),"",VLOOKUP(ROW(197:197),BT273:BU1352,2))</f>
        <v/>
      </c>
      <c r="BT273" s="197" t="str">
        <f>IF(COUNTIF(BU$76:BU273,BU273)=1,MAX(BT$76:BT272)+1,"")</f>
        <v/>
      </c>
      <c r="BU273" s="1720">
        <v>147.5</v>
      </c>
      <c r="BV273" s="1720">
        <v>318</v>
      </c>
      <c r="BW273" s="1720">
        <v>285</v>
      </c>
      <c r="BX273" s="1720" t="s">
        <v>1538</v>
      </c>
      <c r="BY273" s="1772"/>
    </row>
    <row r="274" spans="71:77" x14ac:dyDescent="0.3">
      <c r="BS274" s="196" t="str">
        <f>IF(MAX(BT274:BT1353)&lt;ROW(198:198),"",VLOOKUP(ROW(198:198),BT274:BU1353,2))</f>
        <v/>
      </c>
      <c r="BT274" s="197" t="str">
        <f>IF(COUNTIF(BU$76:BU274,BU274)=1,MAX(BT$76:BT273)+1,"")</f>
        <v/>
      </c>
      <c r="BU274" s="1720">
        <v>147.5</v>
      </c>
      <c r="BV274" s="1720">
        <v>320</v>
      </c>
      <c r="BW274" s="1720">
        <v>285</v>
      </c>
      <c r="BX274" s="1720" t="s">
        <v>1538</v>
      </c>
      <c r="BY274" s="1772"/>
    </row>
    <row r="275" spans="71:77" x14ac:dyDescent="0.3">
      <c r="BS275" s="196" t="str">
        <f>IF(MAX(BT275:BT1354)&lt;ROW(199:199),"",VLOOKUP(ROW(199:199),BT275:BU1354,2))</f>
        <v/>
      </c>
      <c r="BT275" s="197" t="str">
        <f>IF(COUNTIF(BU$76:BU275,BU275)=1,MAX(BT$76:BT274)+1,"")</f>
        <v/>
      </c>
      <c r="BU275" s="1720">
        <v>147.5</v>
      </c>
      <c r="BV275" s="1720">
        <v>317</v>
      </c>
      <c r="BW275" s="1720">
        <v>285</v>
      </c>
      <c r="BX275" s="1720" t="s">
        <v>1538</v>
      </c>
      <c r="BY275" s="1772"/>
    </row>
    <row r="276" spans="71:77" x14ac:dyDescent="0.3">
      <c r="BS276" s="196" t="str">
        <f>IF(MAX(BT276:BT1355)&lt;ROW(200:200),"",VLOOKUP(ROW(200:200),BT276:BU1355,2))</f>
        <v/>
      </c>
      <c r="BT276" s="197" t="str">
        <f>IF(COUNTIF(BU$76:BU276,BU276)=1,MAX(BT$76:BT275)+1,"")</f>
        <v/>
      </c>
      <c r="BU276" s="1720">
        <v>147.5</v>
      </c>
      <c r="BV276" s="1720">
        <v>263</v>
      </c>
      <c r="BW276" s="1720">
        <v>285</v>
      </c>
      <c r="BX276" s="1720" t="s">
        <v>1539</v>
      </c>
      <c r="BY276" s="1772"/>
    </row>
    <row r="277" spans="71:77" x14ac:dyDescent="0.3">
      <c r="BS277" s="196" t="str">
        <f>IF(MAX(BT277:BT1356)&lt;ROW(201:201),"",VLOOKUP(ROW(201:201),BT277:BU1356,2))</f>
        <v/>
      </c>
      <c r="BT277" s="197" t="str">
        <f>IF(COUNTIF(BU$76:BU277,BU277)=1,MAX(BT$76:BT276)+1,"")</f>
        <v/>
      </c>
      <c r="BU277" s="1720">
        <v>147.5</v>
      </c>
      <c r="BV277" s="1720">
        <v>267</v>
      </c>
      <c r="BW277" s="1720">
        <v>285</v>
      </c>
      <c r="BX277" s="1720" t="s">
        <v>1539</v>
      </c>
      <c r="BY277" s="1772"/>
    </row>
    <row r="278" spans="71:77" x14ac:dyDescent="0.3">
      <c r="BS278" s="196" t="str">
        <f>IF(MAX(BT278:BT1357)&lt;ROW(202:202),"",VLOOKUP(ROW(202:202),BT278:BU1357,2))</f>
        <v/>
      </c>
      <c r="BT278" s="197" t="str">
        <f>IF(COUNTIF(BU$76:BU278,BU278)=1,MAX(BT$76:BT277)+1,"")</f>
        <v/>
      </c>
      <c r="BU278" s="1720">
        <v>147.5</v>
      </c>
      <c r="BV278" s="1720">
        <v>318</v>
      </c>
      <c r="BW278" s="1720">
        <v>285</v>
      </c>
      <c r="BX278" s="1720" t="s">
        <v>1538</v>
      </c>
      <c r="BY278" s="1772"/>
    </row>
    <row r="279" spans="71:77" x14ac:dyDescent="0.3">
      <c r="BS279" s="196" t="str">
        <f>IF(MAX(BT279:BT1358)&lt;ROW(203:203),"",VLOOKUP(ROW(203:203),BT279:BU1358,2))</f>
        <v/>
      </c>
      <c r="BT279" s="197" t="str">
        <f>IF(COUNTIF(BU$76:BU279,BU279)=1,MAX(BT$76:BT278)+1,"")</f>
        <v/>
      </c>
      <c r="BU279" s="1720">
        <v>147.5</v>
      </c>
      <c r="BV279" s="1720">
        <v>375</v>
      </c>
      <c r="BW279" s="1720">
        <v>285</v>
      </c>
      <c r="BX279" s="1720" t="s">
        <v>1537</v>
      </c>
      <c r="BY279" s="1772"/>
    </row>
    <row r="280" spans="71:77" x14ac:dyDescent="0.3">
      <c r="BS280" s="196" t="str">
        <f>IF(MAX(BT280:BT1359)&lt;ROW(204:204),"",VLOOKUP(ROW(204:204),BT280:BU1359,2))</f>
        <v/>
      </c>
      <c r="BT280" s="197" t="str">
        <f>IF(COUNTIF(BU$76:BU280,BU280)=1,MAX(BT$76:BT279)+1,"")</f>
        <v/>
      </c>
      <c r="BU280" s="1720">
        <v>147.5</v>
      </c>
      <c r="BV280" s="1720">
        <v>265</v>
      </c>
      <c r="BW280" s="1720">
        <v>285</v>
      </c>
      <c r="BX280" s="1720" t="s">
        <v>1539</v>
      </c>
      <c r="BY280" s="1772"/>
    </row>
    <row r="281" spans="71:77" x14ac:dyDescent="0.3">
      <c r="BS281" s="196" t="str">
        <f>IF(MAX(BT281:BT1360)&lt;ROW(205:205),"",VLOOKUP(ROW(205:205),BT281:BU1360,2))</f>
        <v/>
      </c>
      <c r="BT281" s="197" t="str">
        <f>IF(COUNTIF(BU$76:BU281,BU281)=1,MAX(BT$76:BT280)+1,"")</f>
        <v/>
      </c>
      <c r="BU281" s="1720">
        <v>147.5</v>
      </c>
      <c r="BV281" s="1720">
        <v>263</v>
      </c>
      <c r="BW281" s="1720">
        <v>285</v>
      </c>
      <c r="BX281" s="1720" t="s">
        <v>1539</v>
      </c>
      <c r="BY281" s="1772"/>
    </row>
    <row r="282" spans="71:77" x14ac:dyDescent="0.3">
      <c r="BS282" s="196" t="str">
        <f>IF(MAX(BT282:BT1361)&lt;ROW(206:206),"",VLOOKUP(ROW(206:206),BT282:BU1361,2))</f>
        <v/>
      </c>
      <c r="BT282" s="197">
        <f>IF(COUNTIF(BU$76:BU282,BU282)=1,MAX(BT$76:BT281)+1,"")</f>
        <v>26</v>
      </c>
      <c r="BU282" s="1720">
        <v>150</v>
      </c>
      <c r="BV282" s="1720">
        <v>315</v>
      </c>
      <c r="BW282" s="1720">
        <v>285</v>
      </c>
      <c r="BX282" s="1720" t="s">
        <v>1540</v>
      </c>
      <c r="BY282" s="1772"/>
    </row>
    <row r="283" spans="71:77" x14ac:dyDescent="0.3">
      <c r="BS283" s="196" t="str">
        <f>IF(MAX(BT283:BT1362)&lt;ROW(207:207),"",VLOOKUP(ROW(207:207),BT283:BU1362,2))</f>
        <v/>
      </c>
      <c r="BT283" s="197" t="str">
        <f>IF(COUNTIF(BU$76:BU283,BU283)=1,MAX(BT$76:BT282)+1,"")</f>
        <v/>
      </c>
      <c r="BU283" s="1720">
        <v>150</v>
      </c>
      <c r="BV283" s="1720">
        <v>320</v>
      </c>
      <c r="BW283" s="1720">
        <v>285</v>
      </c>
      <c r="BX283" s="1720" t="s">
        <v>1540</v>
      </c>
      <c r="BY283" s="1772"/>
    </row>
    <row r="284" spans="71:77" x14ac:dyDescent="0.3">
      <c r="BS284" s="196" t="str">
        <f>IF(MAX(BT284:BT1363)&lt;ROW(208:208),"",VLOOKUP(ROW(208:208),BT284:BU1363,2))</f>
        <v/>
      </c>
      <c r="BT284" s="197" t="str">
        <f>IF(COUNTIF(BU$76:BU284,BU284)=1,MAX(BT$76:BT283)+1,"")</f>
        <v/>
      </c>
      <c r="BU284" s="1720">
        <v>150</v>
      </c>
      <c r="BV284" s="1720">
        <v>250</v>
      </c>
      <c r="BW284" s="1720">
        <v>285</v>
      </c>
      <c r="BX284" s="1720" t="s">
        <v>1541</v>
      </c>
      <c r="BY284" s="1772"/>
    </row>
    <row r="285" spans="71:77" x14ac:dyDescent="0.3">
      <c r="BS285" s="196" t="str">
        <f>IF(MAX(BT285:BT1364)&lt;ROW(209:209),"",VLOOKUP(ROW(209:209),BT285:BU1364,2))</f>
        <v/>
      </c>
      <c r="BT285" s="197" t="str">
        <f>IF(COUNTIF(BU$76:BU285,BU285)=1,MAX(BT$76:BT284)+1,"")</f>
        <v/>
      </c>
      <c r="BU285" s="1720">
        <v>150</v>
      </c>
      <c r="BV285" s="1720">
        <v>264</v>
      </c>
      <c r="BW285" s="1720">
        <v>285</v>
      </c>
      <c r="BX285" s="1720" t="s">
        <v>1541</v>
      </c>
      <c r="BY285" s="1772"/>
    </row>
    <row r="286" spans="71:77" x14ac:dyDescent="0.3">
      <c r="BS286" s="196" t="str">
        <f>IF(MAX(BT286:BT1365)&lt;ROW(210:210),"",VLOOKUP(ROW(210:210),BT286:BU1365,2))</f>
        <v/>
      </c>
      <c r="BT286" s="197" t="str">
        <f>IF(COUNTIF(BU$76:BU286,BU286)=1,MAX(BT$76:BT285)+1,"")</f>
        <v/>
      </c>
      <c r="BU286" s="1720">
        <v>150</v>
      </c>
      <c r="BV286" s="1720">
        <v>320</v>
      </c>
      <c r="BW286" s="1720">
        <v>285</v>
      </c>
      <c r="BX286" s="1720" t="s">
        <v>1540</v>
      </c>
      <c r="BY286" s="1772"/>
    </row>
    <row r="287" spans="71:77" x14ac:dyDescent="0.3">
      <c r="BS287" s="196" t="str">
        <f>IF(MAX(BT287:BT1366)&lt;ROW(211:211),"",VLOOKUP(ROW(211:211),BT287:BU1366,2))</f>
        <v/>
      </c>
      <c r="BT287" s="197" t="str">
        <f>IF(COUNTIF(BU$76:BU287,BU287)=1,MAX(BT$76:BT286)+1,"")</f>
        <v/>
      </c>
      <c r="BU287" s="1720">
        <v>150</v>
      </c>
      <c r="BV287" s="1720">
        <v>263</v>
      </c>
      <c r="BW287" s="1720">
        <v>285</v>
      </c>
      <c r="BX287" s="1720" t="s">
        <v>1541</v>
      </c>
      <c r="BY287" s="1772"/>
    </row>
    <row r="288" spans="71:77" x14ac:dyDescent="0.3">
      <c r="BS288" s="196" t="str">
        <f>IF(MAX(BT288:BT1367)&lt;ROW(212:212),"",VLOOKUP(ROW(212:212),BT288:BU1367,2))</f>
        <v/>
      </c>
      <c r="BT288" s="197" t="str">
        <f>IF(COUNTIF(BU$76:BU288,BU288)=1,MAX(BT$76:BT287)+1,"")</f>
        <v/>
      </c>
      <c r="BU288" s="1720">
        <v>150</v>
      </c>
      <c r="BV288" s="1720">
        <v>265</v>
      </c>
      <c r="BW288" s="1720">
        <v>285</v>
      </c>
      <c r="BX288" s="1720" t="s">
        <v>1541</v>
      </c>
      <c r="BY288" s="1772"/>
    </row>
    <row r="289" spans="71:77" x14ac:dyDescent="0.3">
      <c r="BS289" s="196" t="str">
        <f>IF(MAX(BT289:BT1368)&lt;ROW(213:213),"",VLOOKUP(ROW(213:213),BT289:BU1368,2))</f>
        <v/>
      </c>
      <c r="BT289" s="197" t="str">
        <f>IF(COUNTIF(BU$76:BU289,BU289)=1,MAX(BT$76:BT288)+1,"")</f>
        <v/>
      </c>
      <c r="BU289" s="1720">
        <v>150</v>
      </c>
      <c r="BV289" s="1720">
        <v>262</v>
      </c>
      <c r="BW289" s="1720">
        <v>285</v>
      </c>
      <c r="BX289" s="1720" t="s">
        <v>1541</v>
      </c>
      <c r="BY289" s="1772"/>
    </row>
    <row r="290" spans="71:77" x14ac:dyDescent="0.3">
      <c r="BS290" s="196" t="str">
        <f>IF(MAX(BT290:BT1369)&lt;ROW(214:214),"",VLOOKUP(ROW(214:214),BT290:BU1369,2))</f>
        <v/>
      </c>
      <c r="BT290" s="197" t="str">
        <f>IF(COUNTIF(BU$76:BU290,BU290)=1,MAX(BT$76:BT289)+1,"")</f>
        <v/>
      </c>
      <c r="BU290" s="1720">
        <v>150</v>
      </c>
      <c r="BV290" s="1720">
        <v>320</v>
      </c>
      <c r="BW290" s="1720">
        <v>285</v>
      </c>
      <c r="BX290" s="1720" t="s">
        <v>1540</v>
      </c>
      <c r="BY290" s="1772"/>
    </row>
    <row r="291" spans="71:77" x14ac:dyDescent="0.3">
      <c r="BS291" s="196" t="str">
        <f>IF(MAX(BT291:BT1370)&lt;ROW(215:215),"",VLOOKUP(ROW(215:215),BT291:BU1370,2))</f>
        <v/>
      </c>
      <c r="BT291" s="197" t="str">
        <f>IF(COUNTIF(BU$76:BU291,BU291)=1,MAX(BT$76:BT290)+1,"")</f>
        <v/>
      </c>
      <c r="BU291" s="1720">
        <v>150</v>
      </c>
      <c r="BV291" s="1720">
        <v>263</v>
      </c>
      <c r="BW291" s="1720">
        <v>285</v>
      </c>
      <c r="BX291" s="1720" t="s">
        <v>1541</v>
      </c>
      <c r="BY291" s="1772"/>
    </row>
    <row r="292" spans="71:77" x14ac:dyDescent="0.3">
      <c r="BS292" s="196" t="str">
        <f>IF(MAX(BT292:BT1371)&lt;ROW(216:216),"",VLOOKUP(ROW(216:216),BT292:BU1371,2))</f>
        <v/>
      </c>
      <c r="BT292" s="197" t="str">
        <f>IF(COUNTIF(BU$76:BU292,BU292)=1,MAX(BT$76:BT291)+1,"")</f>
        <v/>
      </c>
      <c r="BU292" s="1720">
        <v>150</v>
      </c>
      <c r="BV292" s="1720">
        <v>265</v>
      </c>
      <c r="BW292" s="1720">
        <v>285</v>
      </c>
      <c r="BX292" s="1720" t="s">
        <v>1541</v>
      </c>
      <c r="BY292" s="1772"/>
    </row>
    <row r="293" spans="71:77" x14ac:dyDescent="0.3">
      <c r="BS293" s="196" t="str">
        <f>IF(MAX(BT293:BT1372)&lt;ROW(217:217),"",VLOOKUP(ROW(217:217),BT293:BU1372,2))</f>
        <v/>
      </c>
      <c r="BT293" s="197">
        <f>IF(COUNTIF(BU$76:BU293,BU293)=1,MAX(BT$76:BT292)+1,"")</f>
        <v>27</v>
      </c>
      <c r="BU293" s="1720">
        <v>155</v>
      </c>
      <c r="BV293" s="1720">
        <v>265</v>
      </c>
      <c r="BW293" s="1720">
        <v>285</v>
      </c>
      <c r="BX293" s="1720" t="s">
        <v>1542</v>
      </c>
      <c r="BY293" s="1772"/>
    </row>
    <row r="294" spans="71:77" x14ac:dyDescent="0.3">
      <c r="BS294" s="196" t="str">
        <f>IF(MAX(BT294:BT1373)&lt;ROW(218:218),"",VLOOKUP(ROW(218:218),BT294:BU1373,2))</f>
        <v/>
      </c>
      <c r="BT294" s="197" t="str">
        <f>IF(COUNTIF(BU$76:BU294,BU294)=1,MAX(BT$76:BT293)+1,"")</f>
        <v/>
      </c>
      <c r="BU294" s="1720">
        <v>155</v>
      </c>
      <c r="BV294" s="1720">
        <v>260</v>
      </c>
      <c r="BW294" s="1720">
        <v>185</v>
      </c>
      <c r="BX294" s="1720" t="s">
        <v>1542</v>
      </c>
      <c r="BY294" s="1772"/>
    </row>
    <row r="295" spans="71:77" x14ac:dyDescent="0.3">
      <c r="BS295" s="196" t="str">
        <f>IF(MAX(BT295:BT1374)&lt;ROW(219:219),"",VLOOKUP(ROW(219:219),BT295:BU1374,2))</f>
        <v/>
      </c>
      <c r="BT295" s="197" t="str">
        <f>IF(COUNTIF(BU$76:BU295,BU295)=1,MAX(BT$76:BT294)+1,"")</f>
        <v/>
      </c>
      <c r="BU295" s="1720">
        <v>155</v>
      </c>
      <c r="BV295" s="1720">
        <v>265</v>
      </c>
      <c r="BW295" s="1720">
        <v>285</v>
      </c>
      <c r="BX295" s="1720" t="s">
        <v>1542</v>
      </c>
      <c r="BY295" s="1772"/>
    </row>
    <row r="296" spans="71:77" x14ac:dyDescent="0.3">
      <c r="BS296" s="196" t="str">
        <f>IF(MAX(BT296:BT1375)&lt;ROW(220:220),"",VLOOKUP(ROW(220:220),BT296:BU1375,2))</f>
        <v/>
      </c>
      <c r="BT296" s="197" t="str">
        <f>IF(COUNTIF(BU$76:BU296,BU296)=1,MAX(BT$76:BT295)+1,"")</f>
        <v/>
      </c>
      <c r="BU296" s="1720">
        <v>155</v>
      </c>
      <c r="BV296" s="1720">
        <v>265</v>
      </c>
      <c r="BW296" s="1720">
        <v>285</v>
      </c>
      <c r="BX296" s="1720" t="s">
        <v>1542</v>
      </c>
      <c r="BY296" s="1772"/>
    </row>
    <row r="297" spans="71:77" x14ac:dyDescent="0.3">
      <c r="BS297" s="196" t="str">
        <f>IF(MAX(BT297:BT1376)&lt;ROW(221:221),"",VLOOKUP(ROW(221:221),BT297:BU1376,2))</f>
        <v/>
      </c>
      <c r="BT297" s="197" t="str">
        <f>IF(COUNTIF(BU$76:BU297,BU297)=1,MAX(BT$76:BT296)+1,"")</f>
        <v/>
      </c>
      <c r="BU297" s="1720">
        <v>155</v>
      </c>
      <c r="BV297" s="1720">
        <v>260</v>
      </c>
      <c r="BW297" s="1720">
        <v>285</v>
      </c>
      <c r="BX297" s="1720" t="s">
        <v>1542</v>
      </c>
      <c r="BY297" s="1772"/>
    </row>
    <row r="298" spans="71:77" x14ac:dyDescent="0.3">
      <c r="BS298" s="196" t="str">
        <f>IF(MAX(BT298:BT1377)&lt;ROW(222:222),"",VLOOKUP(ROW(222:222),BT298:BU1377,2))</f>
        <v/>
      </c>
      <c r="BT298" s="197" t="str">
        <f>IF(COUNTIF(BU$76:BU298,BU298)=1,MAX(BT$76:BT297)+1,"")</f>
        <v/>
      </c>
      <c r="BU298" s="1720">
        <v>155</v>
      </c>
      <c r="BV298" s="1720">
        <v>265</v>
      </c>
      <c r="BW298" s="1720">
        <v>285</v>
      </c>
      <c r="BX298" s="1720" t="s">
        <v>1542</v>
      </c>
      <c r="BY298" s="1772"/>
    </row>
    <row r="299" spans="71:77" x14ac:dyDescent="0.3">
      <c r="BS299" s="196" t="str">
        <f>IF(MAX(BT299:BT1378)&lt;ROW(223:223),"",VLOOKUP(ROW(223:223),BT299:BU1378,2))</f>
        <v/>
      </c>
      <c r="BT299" s="197" t="str">
        <f>IF(COUNTIF(BU$76:BU299,BU299)=1,MAX(BT$76:BT298)+1,"")</f>
        <v/>
      </c>
      <c r="BU299" s="1720">
        <v>155</v>
      </c>
      <c r="BV299" s="1720">
        <v>265</v>
      </c>
      <c r="BW299" s="1720">
        <v>285</v>
      </c>
      <c r="BX299" s="1720" t="s">
        <v>1542</v>
      </c>
      <c r="BY299" s="1772"/>
    </row>
    <row r="300" spans="71:77" x14ac:dyDescent="0.3">
      <c r="BS300" s="196" t="str">
        <f>IF(MAX(BT300:BT1379)&lt;ROW(224:224),"",VLOOKUP(ROW(224:224),BT300:BU1379,2))</f>
        <v/>
      </c>
      <c r="BT300" s="197" t="str">
        <f>IF(COUNTIF(BU$76:BU300,BU300)=1,MAX(BT$76:BT299)+1,"")</f>
        <v/>
      </c>
      <c r="BU300" s="1720">
        <v>155</v>
      </c>
      <c r="BV300" s="1720">
        <v>265</v>
      </c>
      <c r="BW300" s="1720">
        <v>285</v>
      </c>
      <c r="BX300" s="1720" t="s">
        <v>1542</v>
      </c>
      <c r="BY300" s="1772"/>
    </row>
    <row r="301" spans="71:77" x14ac:dyDescent="0.3">
      <c r="BS301" s="196" t="str">
        <f>IF(MAX(BT301:BT1380)&lt;ROW(225:225),"",VLOOKUP(ROW(225:225),BT301:BU1380,2))</f>
        <v/>
      </c>
      <c r="BT301" s="197" t="str">
        <f>IF(COUNTIF(BU$76:BU301,BU301)=1,MAX(BT$76:BT300)+1,"")</f>
        <v/>
      </c>
      <c r="BU301" s="1720">
        <v>155</v>
      </c>
      <c r="BV301" s="1720">
        <v>264</v>
      </c>
      <c r="BW301" s="1720">
        <v>285</v>
      </c>
      <c r="BX301" s="1720" t="s">
        <v>1542</v>
      </c>
      <c r="BY301" s="1772"/>
    </row>
    <row r="302" spans="71:77" x14ac:dyDescent="0.3">
      <c r="BS302" s="196" t="str">
        <f>IF(MAX(BT302:BT1381)&lt;ROW(226:226),"",VLOOKUP(ROW(226:226),BT302:BU1381,2))</f>
        <v/>
      </c>
      <c r="BT302" s="197">
        <f>IF(COUNTIF(BU$76:BU302,BU302)=1,MAX(BT$76:BT301)+1,"")</f>
        <v>28</v>
      </c>
      <c r="BU302" s="1720">
        <v>157.5</v>
      </c>
      <c r="BV302" s="1720">
        <v>260</v>
      </c>
      <c r="BW302" s="1720">
        <v>285</v>
      </c>
      <c r="BX302" s="1720" t="s">
        <v>1543</v>
      </c>
      <c r="BY302" s="1772"/>
    </row>
    <row r="303" spans="71:77" x14ac:dyDescent="0.3">
      <c r="BS303" s="196" t="str">
        <f>IF(MAX(BT303:BT1382)&lt;ROW(227:227),"",VLOOKUP(ROW(227:227),BT303:BU1382,2))</f>
        <v/>
      </c>
      <c r="BT303" s="197" t="str">
        <f>IF(COUNTIF(BU$76:BU303,BU303)=1,MAX(BT$76:BT302)+1,"")</f>
        <v/>
      </c>
      <c r="BU303" s="1720">
        <v>157.5</v>
      </c>
      <c r="BV303" s="1720">
        <v>263</v>
      </c>
      <c r="BW303" s="1720">
        <v>285</v>
      </c>
      <c r="BX303" s="1720" t="s">
        <v>1543</v>
      </c>
      <c r="BY303" s="1772"/>
    </row>
    <row r="304" spans="71:77" x14ac:dyDescent="0.3">
      <c r="BS304" s="196" t="str">
        <f>IF(MAX(BT304:BT1383)&lt;ROW(228:228),"",VLOOKUP(ROW(228:228),BT304:BU1383,2))</f>
        <v/>
      </c>
      <c r="BT304" s="197" t="str">
        <f>IF(COUNTIF(BU$76:BU304,BU304)=1,MAX(BT$76:BT303)+1,"")</f>
        <v/>
      </c>
      <c r="BU304" s="1720">
        <v>157.5</v>
      </c>
      <c r="BV304" s="1720">
        <v>265</v>
      </c>
      <c r="BW304" s="1720">
        <v>285</v>
      </c>
      <c r="BX304" s="1720" t="s">
        <v>1543</v>
      </c>
      <c r="BY304" s="1772"/>
    </row>
    <row r="305" spans="71:77" x14ac:dyDescent="0.3">
      <c r="BS305" s="196" t="str">
        <f>IF(MAX(BT305:BT1384)&lt;ROW(229:229),"",VLOOKUP(ROW(229:229),BT305:BU1384,2))</f>
        <v/>
      </c>
      <c r="BT305" s="197">
        <f>IF(COUNTIF(BU$76:BU305,BU305)=1,MAX(BT$76:BT304)+1,"")</f>
        <v>29</v>
      </c>
      <c r="BU305" s="1720">
        <v>160</v>
      </c>
      <c r="BV305" s="1720">
        <v>265</v>
      </c>
      <c r="BW305" s="1720">
        <v>285</v>
      </c>
      <c r="BX305" s="1720" t="s">
        <v>1544</v>
      </c>
      <c r="BY305" s="1772"/>
    </row>
    <row r="306" spans="71:77" x14ac:dyDescent="0.3">
      <c r="BS306" s="196" t="str">
        <f>IF(MAX(BT306:BT1385)&lt;ROW(230:230),"",VLOOKUP(ROW(230:230),BT306:BU1385,2))</f>
        <v/>
      </c>
      <c r="BT306" s="197" t="str">
        <f>IF(COUNTIF(BU$76:BU306,BU306)=1,MAX(BT$76:BT305)+1,"")</f>
        <v/>
      </c>
      <c r="BU306" s="1720">
        <v>160</v>
      </c>
      <c r="BV306" s="1720">
        <v>265</v>
      </c>
      <c r="BW306" s="1720">
        <v>285</v>
      </c>
      <c r="BX306" s="1720" t="s">
        <v>1544</v>
      </c>
      <c r="BY306" s="1772"/>
    </row>
    <row r="307" spans="71:77" x14ac:dyDescent="0.3">
      <c r="BS307" s="196" t="str">
        <f>IF(MAX(BT307:BT1386)&lt;ROW(231:231),"",VLOOKUP(ROW(231:231),BT307:BU1386,2))</f>
        <v/>
      </c>
      <c r="BT307" s="197" t="str">
        <f>IF(COUNTIF(BU$76:BU307,BU307)=1,MAX(BT$76:BT306)+1,"")</f>
        <v/>
      </c>
      <c r="BU307" s="1720">
        <v>160</v>
      </c>
      <c r="BV307" s="1720">
        <v>256</v>
      </c>
      <c r="BW307" s="1720">
        <v>285</v>
      </c>
      <c r="BX307" s="1720" t="s">
        <v>1544</v>
      </c>
      <c r="BY307" s="1772"/>
    </row>
    <row r="308" spans="71:77" x14ac:dyDescent="0.3">
      <c r="BS308" s="196" t="str">
        <f>IF(MAX(BT308:BT1387)&lt;ROW(232:232),"",VLOOKUP(ROW(232:232),BT308:BU1387,2))</f>
        <v/>
      </c>
      <c r="BT308" s="197" t="str">
        <f>IF(COUNTIF(BU$76:BU308,BU308)=1,MAX(BT$76:BT307)+1,"")</f>
        <v/>
      </c>
      <c r="BU308" s="1720">
        <v>160</v>
      </c>
      <c r="BV308" s="1720">
        <v>260</v>
      </c>
      <c r="BW308" s="1720">
        <v>285</v>
      </c>
      <c r="BX308" s="1720" t="s">
        <v>1544</v>
      </c>
      <c r="BY308" s="1772"/>
    </row>
    <row r="309" spans="71:77" x14ac:dyDescent="0.3">
      <c r="BS309" s="196" t="str">
        <f>IF(MAX(BT309:BT1388)&lt;ROW(233:233),"",VLOOKUP(ROW(233:233),BT309:BU1388,2))</f>
        <v/>
      </c>
      <c r="BT309" s="197" t="str">
        <f>IF(COUNTIF(BU$76:BU309,BU309)=1,MAX(BT$76:BT308)+1,"")</f>
        <v/>
      </c>
      <c r="BU309" s="1720">
        <v>160</v>
      </c>
      <c r="BV309" s="1720">
        <v>380</v>
      </c>
      <c r="BW309" s="1720">
        <v>285</v>
      </c>
      <c r="BX309" s="1720" t="s">
        <v>1545</v>
      </c>
      <c r="BY309" s="1772"/>
    </row>
    <row r="310" spans="71:77" x14ac:dyDescent="0.3">
      <c r="BS310" s="196" t="str">
        <f>IF(MAX(BT310:BT1389)&lt;ROW(234:234),"",VLOOKUP(ROW(234:234),BT310:BU1389,2))</f>
        <v/>
      </c>
      <c r="BT310" s="197" t="str">
        <f>IF(COUNTIF(BU$76:BU310,BU310)=1,MAX(BT$76:BT309)+1,"")</f>
        <v/>
      </c>
      <c r="BU310" s="1720">
        <v>160</v>
      </c>
      <c r="BV310" s="1720">
        <v>380</v>
      </c>
      <c r="BW310" s="1720">
        <v>285</v>
      </c>
      <c r="BX310" s="1720" t="s">
        <v>1545</v>
      </c>
      <c r="BY310" s="1772"/>
    </row>
    <row r="311" spans="71:77" x14ac:dyDescent="0.3">
      <c r="BS311" s="196" t="str">
        <f>IF(MAX(BT311:BT1390)&lt;ROW(235:235),"",VLOOKUP(ROW(235:235),BT311:BU1390,2))</f>
        <v/>
      </c>
      <c r="BT311" s="197">
        <f>IF(COUNTIF(BU$76:BU311,BU311)=1,MAX(BT$76:BT310)+1,"")</f>
        <v>30</v>
      </c>
      <c r="BU311" s="1720">
        <v>162.5</v>
      </c>
      <c r="BV311" s="1720">
        <v>265</v>
      </c>
      <c r="BW311" s="1720">
        <v>285</v>
      </c>
      <c r="BX311" s="1720" t="s">
        <v>1546</v>
      </c>
      <c r="BY311" s="1772"/>
    </row>
    <row r="312" spans="71:77" x14ac:dyDescent="0.3">
      <c r="BS312" s="196" t="str">
        <f>IF(MAX(BT312:BT1391)&lt;ROW(236:236),"",VLOOKUP(ROW(236:236),BT312:BU1391,2))</f>
        <v/>
      </c>
      <c r="BT312" s="197" t="str">
        <f>IF(COUNTIF(BU$76:BU312,BU312)=1,MAX(BT$76:BT311)+1,"")</f>
        <v/>
      </c>
      <c r="BU312" s="1720">
        <v>162.5</v>
      </c>
      <c r="BV312" s="1720">
        <v>318</v>
      </c>
      <c r="BW312" s="1720">
        <v>285</v>
      </c>
      <c r="BX312" s="1720" t="s">
        <v>1547</v>
      </c>
      <c r="BY312" s="1772"/>
    </row>
    <row r="313" spans="71:77" x14ac:dyDescent="0.3">
      <c r="BS313" s="196" t="str">
        <f>IF(MAX(BT313:BT1392)&lt;ROW(237:237),"",VLOOKUP(ROW(237:237),BT313:BU1392,2))</f>
        <v/>
      </c>
      <c r="BT313" s="197" t="str">
        <f>IF(COUNTIF(BU$76:BU313,BU313)=1,MAX(BT$76:BT312)+1,"")</f>
        <v/>
      </c>
      <c r="BU313" s="1720">
        <v>162.5</v>
      </c>
      <c r="BV313" s="1720">
        <v>260</v>
      </c>
      <c r="BW313" s="1720">
        <v>285</v>
      </c>
      <c r="BX313" s="1720" t="s">
        <v>1546</v>
      </c>
      <c r="BY313" s="1772"/>
    </row>
    <row r="314" spans="71:77" x14ac:dyDescent="0.3">
      <c r="BS314" s="196" t="str">
        <f>IF(MAX(BT314:BT1393)&lt;ROW(238:238),"",VLOOKUP(ROW(238:238),BT314:BU1393,2))</f>
        <v/>
      </c>
      <c r="BT314" s="197" t="str">
        <f>IF(COUNTIF(BU$76:BU314,BU314)=1,MAX(BT$76:BT313)+1,"")</f>
        <v/>
      </c>
      <c r="BU314" s="1720">
        <v>162.5</v>
      </c>
      <c r="BV314" s="1720">
        <v>265</v>
      </c>
      <c r="BW314" s="1720">
        <v>285</v>
      </c>
      <c r="BX314" s="1720" t="s">
        <v>1546</v>
      </c>
      <c r="BY314" s="1772"/>
    </row>
    <row r="315" spans="71:77" x14ac:dyDescent="0.3">
      <c r="BS315" s="196" t="str">
        <f>IF(MAX(BT315:BT1394)&lt;ROW(239:239),"",VLOOKUP(ROW(239:239),BT315:BU1394,2))</f>
        <v/>
      </c>
      <c r="BT315" s="197" t="str">
        <f>IF(COUNTIF(BU$76:BU315,BU315)=1,MAX(BT$76:BT314)+1,"")</f>
        <v/>
      </c>
      <c r="BU315" s="1720">
        <v>162.5</v>
      </c>
      <c r="BV315" s="1720">
        <v>275</v>
      </c>
      <c r="BW315" s="1720">
        <v>285</v>
      </c>
      <c r="BX315" s="1720" t="s">
        <v>1546</v>
      </c>
      <c r="BY315" s="1772"/>
    </row>
    <row r="316" spans="71:77" x14ac:dyDescent="0.3">
      <c r="BS316" s="196" t="str">
        <f>IF(MAX(BT316:BT1395)&lt;ROW(240:240),"",VLOOKUP(ROW(240:240),BT316:BU1395,2))</f>
        <v/>
      </c>
      <c r="BT316" s="197">
        <f>IF(COUNTIF(BU$76:BU316,BU316)=1,MAX(BT$76:BT315)+1,"")</f>
        <v>31</v>
      </c>
      <c r="BU316" s="1720">
        <v>165</v>
      </c>
      <c r="BV316" s="1720">
        <v>265</v>
      </c>
      <c r="BW316" s="1720">
        <v>285</v>
      </c>
      <c r="BX316" s="1720" t="s">
        <v>1548</v>
      </c>
      <c r="BY316" s="1772"/>
    </row>
    <row r="317" spans="71:77" x14ac:dyDescent="0.3">
      <c r="BS317" s="196" t="str">
        <f>IF(MAX(BT317:BT1396)&lt;ROW(241:241),"",VLOOKUP(ROW(241:241),BT317:BU1396,2))</f>
        <v/>
      </c>
      <c r="BT317" s="197" t="str">
        <f>IF(COUNTIF(BU$76:BU317,BU317)=1,MAX(BT$76:BT316)+1,"")</f>
        <v/>
      </c>
      <c r="BU317" s="1720">
        <v>165</v>
      </c>
      <c r="BV317" s="1720">
        <v>260</v>
      </c>
      <c r="BW317" s="1720">
        <v>285</v>
      </c>
      <c r="BX317" s="1720" t="s">
        <v>1548</v>
      </c>
      <c r="BY317" s="1772"/>
    </row>
    <row r="318" spans="71:77" x14ac:dyDescent="0.3">
      <c r="BS318" s="196" t="str">
        <f>IF(MAX(BT318:BT1397)&lt;ROW(242:242),"",VLOOKUP(ROW(242:242),BT318:BU1397,2))</f>
        <v/>
      </c>
      <c r="BT318" s="197" t="str">
        <f>IF(COUNTIF(BU$76:BU318,BU318)=1,MAX(BT$76:BT317)+1,"")</f>
        <v/>
      </c>
      <c r="BU318" s="1720">
        <v>165</v>
      </c>
      <c r="BV318" s="1720">
        <v>320</v>
      </c>
      <c r="BW318" s="1720">
        <v>285</v>
      </c>
      <c r="BX318" s="1720" t="s">
        <v>1549</v>
      </c>
      <c r="BY318" s="1772"/>
    </row>
    <row r="319" spans="71:77" x14ac:dyDescent="0.3">
      <c r="BS319" s="196" t="str">
        <f>IF(MAX(BT319:BT1398)&lt;ROW(243:243),"",VLOOKUP(ROW(243:243),BT319:BU1398,2))</f>
        <v/>
      </c>
      <c r="BT319" s="197" t="str">
        <f>IF(COUNTIF(BU$76:BU319,BU319)=1,MAX(BT$76:BT318)+1,"")</f>
        <v/>
      </c>
      <c r="BU319" s="1720">
        <v>165</v>
      </c>
      <c r="BV319" s="1720">
        <v>265</v>
      </c>
      <c r="BW319" s="1720">
        <v>285</v>
      </c>
      <c r="BX319" s="1720" t="s">
        <v>1548</v>
      </c>
      <c r="BY319" s="1772"/>
    </row>
    <row r="320" spans="71:77" x14ac:dyDescent="0.3">
      <c r="BS320" s="196" t="str">
        <f>IF(MAX(BT320:BT1399)&lt;ROW(244:244),"",VLOOKUP(ROW(244:244),BT320:BU1399,2))</f>
        <v/>
      </c>
      <c r="BT320" s="197" t="str">
        <f>IF(COUNTIF(BU$76:BU320,BU320)=1,MAX(BT$76:BT319)+1,"")</f>
        <v/>
      </c>
      <c r="BU320" s="1720">
        <v>165</v>
      </c>
      <c r="BV320" s="1720">
        <v>265</v>
      </c>
      <c r="BW320" s="1720">
        <v>285</v>
      </c>
      <c r="BX320" s="1720" t="s">
        <v>1548</v>
      </c>
      <c r="BY320" s="1772"/>
    </row>
    <row r="321" spans="71:77" x14ac:dyDescent="0.3">
      <c r="BS321" s="196" t="str">
        <f>IF(MAX(BT321:BT1400)&lt;ROW(245:245),"",VLOOKUP(ROW(245:245),BT321:BU1400,2))</f>
        <v/>
      </c>
      <c r="BT321" s="197" t="str">
        <f>IF(COUNTIF(BU$76:BU321,BU321)=1,MAX(BT$76:BT320)+1,"")</f>
        <v/>
      </c>
      <c r="BU321" s="1720">
        <v>165</v>
      </c>
      <c r="BV321" s="1720">
        <v>263</v>
      </c>
      <c r="BW321" s="1720">
        <v>285</v>
      </c>
      <c r="BX321" s="1720" t="s">
        <v>1548</v>
      </c>
      <c r="BY321" s="1772"/>
    </row>
    <row r="322" spans="71:77" x14ac:dyDescent="0.3">
      <c r="BS322" s="196" t="str">
        <f>IF(MAX(BT322:BT1401)&lt;ROW(246:246),"",VLOOKUP(ROW(246:246),BT322:BU1401,2))</f>
        <v/>
      </c>
      <c r="BT322" s="197">
        <f>IF(COUNTIF(BU$76:BU322,BU322)=1,MAX(BT$76:BT321)+1,"")</f>
        <v>32</v>
      </c>
      <c r="BU322" s="1720">
        <v>167.5</v>
      </c>
      <c r="BV322" s="1720">
        <v>262</v>
      </c>
      <c r="BW322" s="1720">
        <v>285</v>
      </c>
      <c r="BX322" s="1720" t="s">
        <v>1550</v>
      </c>
      <c r="BY322" s="1772"/>
    </row>
    <row r="323" spans="71:77" x14ac:dyDescent="0.3">
      <c r="BS323" s="196" t="str">
        <f>IF(MAX(BT323:BT1402)&lt;ROW(247:247),"",VLOOKUP(ROW(247:247),BT323:BU1402,2))</f>
        <v/>
      </c>
      <c r="BT323" s="197" t="str">
        <f>IF(COUNTIF(BU$76:BU323,BU323)=1,MAX(BT$76:BT322)+1,"")</f>
        <v/>
      </c>
      <c r="BU323" s="1720">
        <v>167.5</v>
      </c>
      <c r="BV323" s="1720">
        <v>263</v>
      </c>
      <c r="BW323" s="1720">
        <v>285</v>
      </c>
      <c r="BX323" s="1720" t="s">
        <v>1550</v>
      </c>
      <c r="BY323" s="1772"/>
    </row>
    <row r="324" spans="71:77" x14ac:dyDescent="0.3">
      <c r="BS324" s="196" t="str">
        <f>IF(MAX(BT324:BT1403)&lt;ROW(248:248),"",VLOOKUP(ROW(248:248),BT324:BU1403,2))</f>
        <v/>
      </c>
      <c r="BT324" s="197" t="str">
        <f>IF(COUNTIF(BU$76:BU324,BU324)=1,MAX(BT$76:BT323)+1,"")</f>
        <v/>
      </c>
      <c r="BU324" s="1720">
        <v>167.5</v>
      </c>
      <c r="BV324" s="1720">
        <v>263</v>
      </c>
      <c r="BW324" s="1720">
        <v>285</v>
      </c>
      <c r="BX324" s="1720" t="s">
        <v>1550</v>
      </c>
      <c r="BY324" s="1772"/>
    </row>
    <row r="325" spans="71:77" x14ac:dyDescent="0.3">
      <c r="BS325" s="196" t="str">
        <f>IF(MAX(BT325:BT1404)&lt;ROW(249:249),"",VLOOKUP(ROW(249:249),BT325:BU1404,2))</f>
        <v/>
      </c>
      <c r="BT325" s="197" t="str">
        <f>IF(COUNTIF(BU$76:BU325,BU325)=1,MAX(BT$76:BT324)+1,"")</f>
        <v/>
      </c>
      <c r="BU325" s="1720">
        <v>167.5</v>
      </c>
      <c r="BV325" s="1720">
        <v>265</v>
      </c>
      <c r="BW325" s="1720">
        <v>285</v>
      </c>
      <c r="BX325" s="1720" t="s">
        <v>1550</v>
      </c>
      <c r="BY325" s="1772"/>
    </row>
    <row r="326" spans="71:77" x14ac:dyDescent="0.3">
      <c r="BS326" s="196" t="str">
        <f>IF(MAX(BT326:BT1405)&lt;ROW(250:250),"",VLOOKUP(ROW(250:250),BT326:BU1405,2))</f>
        <v/>
      </c>
      <c r="BT326" s="197" t="str">
        <f>IF(COUNTIF(BU$76:BU326,BU326)=1,MAX(BT$76:BT325)+1,"")</f>
        <v/>
      </c>
      <c r="BU326" s="1720">
        <v>167.5</v>
      </c>
      <c r="BV326" s="1720">
        <v>255</v>
      </c>
      <c r="BW326" s="1720">
        <v>285</v>
      </c>
      <c r="BX326" s="1720" t="s">
        <v>1550</v>
      </c>
      <c r="BY326" s="1772"/>
    </row>
    <row r="327" spans="71:77" x14ac:dyDescent="0.3">
      <c r="BS327" s="196" t="str">
        <f>IF(MAX(BT327:BT1406)&lt;ROW(251:251),"",VLOOKUP(ROW(251:251),BT327:BU1406,2))</f>
        <v/>
      </c>
      <c r="BT327" s="197" t="str">
        <f>IF(COUNTIF(BU$76:BU327,BU327)=1,MAX(BT$76:BT326)+1,"")</f>
        <v/>
      </c>
      <c r="BU327" s="1720">
        <v>167.5</v>
      </c>
      <c r="BV327" s="1720">
        <v>262</v>
      </c>
      <c r="BW327" s="1720">
        <v>285</v>
      </c>
      <c r="BX327" s="1720" t="s">
        <v>1550</v>
      </c>
      <c r="BY327" s="1772"/>
    </row>
    <row r="328" spans="71:77" x14ac:dyDescent="0.3">
      <c r="BS328" s="196" t="str">
        <f>IF(MAX(BT328:BT1407)&lt;ROW(252:252),"",VLOOKUP(ROW(252:252),BT328:BU1407,2))</f>
        <v/>
      </c>
      <c r="BT328" s="197" t="str">
        <f>IF(COUNTIF(BU$76:BU328,BU328)=1,MAX(BT$76:BT327)+1,"")</f>
        <v/>
      </c>
      <c r="BU328" s="1720">
        <v>167.5</v>
      </c>
      <c r="BV328" s="1720">
        <v>262</v>
      </c>
      <c r="BW328" s="1720">
        <v>285</v>
      </c>
      <c r="BX328" s="1720" t="s">
        <v>1550</v>
      </c>
      <c r="BY328" s="1772"/>
    </row>
    <row r="329" spans="71:77" x14ac:dyDescent="0.3">
      <c r="BS329" s="196" t="str">
        <f>IF(MAX(BT329:BT1408)&lt;ROW(253:253),"",VLOOKUP(ROW(253:253),BT329:BU1408,2))</f>
        <v/>
      </c>
      <c r="BT329" s="197" t="str">
        <f>IF(COUNTIF(BU$76:BU329,BU329)=1,MAX(BT$76:BT328)+1,"")</f>
        <v/>
      </c>
      <c r="BU329" s="1720">
        <v>167.5</v>
      </c>
      <c r="BV329" s="1720">
        <v>260</v>
      </c>
      <c r="BW329" s="1720">
        <v>285</v>
      </c>
      <c r="BX329" s="1720" t="s">
        <v>1550</v>
      </c>
      <c r="BY329" s="1772"/>
    </row>
    <row r="330" spans="71:77" x14ac:dyDescent="0.3">
      <c r="BS330" s="196" t="str">
        <f>IF(MAX(BT330:BT1409)&lt;ROW(254:254),"",VLOOKUP(ROW(254:254),BT330:BU1409,2))</f>
        <v/>
      </c>
      <c r="BT330" s="197">
        <f>IF(COUNTIF(BU$76:BU330,BU330)=1,MAX(BT$76:BT329)+1,"")</f>
        <v>33</v>
      </c>
      <c r="BU330" s="1720">
        <v>170</v>
      </c>
      <c r="BV330" s="1720">
        <v>265</v>
      </c>
      <c r="BW330" s="1720">
        <v>285</v>
      </c>
      <c r="BX330" s="1720" t="s">
        <v>1551</v>
      </c>
      <c r="BY330" s="1772"/>
    </row>
    <row r="331" spans="71:77" x14ac:dyDescent="0.3">
      <c r="BS331" s="196" t="str">
        <f>IF(MAX(BT331:BT1410)&lt;ROW(255:255),"",VLOOKUP(ROW(255:255),BT331:BU1410,2))</f>
        <v/>
      </c>
      <c r="BT331" s="197" t="str">
        <f>IF(COUNTIF(BU$76:BU331,BU331)=1,MAX(BT$76:BT330)+1,"")</f>
        <v/>
      </c>
      <c r="BU331" s="1720">
        <v>170</v>
      </c>
      <c r="BV331" s="1720">
        <v>320</v>
      </c>
      <c r="BW331" s="1720">
        <v>285</v>
      </c>
      <c r="BX331" s="1720" t="s">
        <v>1552</v>
      </c>
      <c r="BY331" s="1772"/>
    </row>
    <row r="332" spans="71:77" x14ac:dyDescent="0.3">
      <c r="BS332" s="196" t="str">
        <f>IF(MAX(BT332:BT1411)&lt;ROW(256:256),"",VLOOKUP(ROW(256:256),BT332:BU1411,2))</f>
        <v/>
      </c>
      <c r="BT332" s="197" t="str">
        <f>IF(COUNTIF(BU$76:BU332,BU332)=1,MAX(BT$76:BT331)+1,"")</f>
        <v/>
      </c>
      <c r="BU332" s="1720">
        <v>170</v>
      </c>
      <c r="BV332" s="1720">
        <v>265</v>
      </c>
      <c r="BW332" s="1720">
        <v>285</v>
      </c>
      <c r="BX332" s="1720" t="s">
        <v>1551</v>
      </c>
      <c r="BY332" s="1772"/>
    </row>
    <row r="333" spans="71:77" x14ac:dyDescent="0.3">
      <c r="BS333" s="196" t="str">
        <f>IF(MAX(BT333:BT1412)&lt;ROW(257:257),"",VLOOKUP(ROW(257:257),BT333:BU1412,2))</f>
        <v/>
      </c>
      <c r="BT333" s="197" t="str">
        <f>IF(COUNTIF(BU$76:BU333,BU333)=1,MAX(BT$76:BT332)+1,"")</f>
        <v/>
      </c>
      <c r="BU333" s="1720">
        <v>170</v>
      </c>
      <c r="BV333" s="1720">
        <v>377</v>
      </c>
      <c r="BW333" s="1720">
        <v>285</v>
      </c>
      <c r="BX333" s="1720" t="s">
        <v>1553</v>
      </c>
      <c r="BY333" s="1772"/>
    </row>
    <row r="334" spans="71:77" x14ac:dyDescent="0.3">
      <c r="BS334" s="196" t="str">
        <f>IF(MAX(BT334:BT1413)&lt;ROW(258:258),"",VLOOKUP(ROW(258:258),BT334:BU1413,2))</f>
        <v/>
      </c>
      <c r="BT334" s="197" t="str">
        <f>IF(COUNTIF(BU$76:BU334,BU334)=1,MAX(BT$76:BT333)+1,"")</f>
        <v/>
      </c>
      <c r="BU334" s="1720">
        <v>170</v>
      </c>
      <c r="BV334" s="1720">
        <v>265</v>
      </c>
      <c r="BW334" s="1720">
        <v>285</v>
      </c>
      <c r="BX334" s="1720" t="s">
        <v>1551</v>
      </c>
      <c r="BY334" s="1772"/>
    </row>
    <row r="335" spans="71:77" x14ac:dyDescent="0.3">
      <c r="BS335" s="196" t="str">
        <f>IF(MAX(BT335:BT1414)&lt;ROW(259:259),"",VLOOKUP(ROW(259:259),BT335:BU1414,2))</f>
        <v/>
      </c>
      <c r="BT335" s="197" t="str">
        <f>IF(COUNTIF(BU$76:BU335,BU335)=1,MAX(BT$76:BT334)+1,"")</f>
        <v/>
      </c>
      <c r="BU335" s="1720">
        <v>170</v>
      </c>
      <c r="BV335" s="1720">
        <v>317</v>
      </c>
      <c r="BW335" s="1720">
        <v>285</v>
      </c>
      <c r="BX335" s="1720" t="s">
        <v>1552</v>
      </c>
      <c r="BY335" s="1772"/>
    </row>
    <row r="336" spans="71:77" x14ac:dyDescent="0.3">
      <c r="BT336" s="197" t="str">
        <f>IF(COUNTIF(BU$76:BU336,BU336)=1,MAX(BT$76:BT335)+1,"")</f>
        <v/>
      </c>
      <c r="BU336" s="1720">
        <v>170</v>
      </c>
      <c r="BV336" s="1720">
        <v>320</v>
      </c>
      <c r="BW336" s="1720">
        <v>285</v>
      </c>
      <c r="BX336" s="1720" t="s">
        <v>1552</v>
      </c>
      <c r="BY336" s="1772"/>
    </row>
    <row r="337" spans="72:77" x14ac:dyDescent="0.3">
      <c r="BT337" s="197" t="str">
        <f>IF(COUNTIF(BU$76:BU337,BU337)=1,MAX(BT$76:BT336)+1,"")</f>
        <v/>
      </c>
      <c r="BU337" s="1720">
        <v>170</v>
      </c>
      <c r="BV337" s="1720">
        <v>260</v>
      </c>
      <c r="BW337" s="1720">
        <v>285</v>
      </c>
      <c r="BX337" s="1720" t="s">
        <v>1551</v>
      </c>
      <c r="BY337" s="1772"/>
    </row>
    <row r="338" spans="72:77" x14ac:dyDescent="0.3">
      <c r="BT338" s="197">
        <f>IF(COUNTIF(BU$76:BU338,BU338)=1,MAX(BT$76:BT337)+1,"")</f>
        <v>34</v>
      </c>
      <c r="BU338" s="1720">
        <v>172.5</v>
      </c>
      <c r="BV338" s="1720">
        <v>265</v>
      </c>
      <c r="BW338" s="1720">
        <v>285</v>
      </c>
      <c r="BX338" s="1720" t="s">
        <v>1554</v>
      </c>
      <c r="BY338" s="1772"/>
    </row>
    <row r="339" spans="72:77" x14ac:dyDescent="0.3">
      <c r="BT339" s="197" t="str">
        <f>IF(COUNTIF(BU$76:BU339,BU339)=1,MAX(BT$76:BT338)+1,"")</f>
        <v/>
      </c>
      <c r="BU339" s="1720">
        <v>172.5</v>
      </c>
      <c r="BV339" s="1720">
        <v>278</v>
      </c>
      <c r="BW339" s="1720">
        <v>285</v>
      </c>
      <c r="BX339" s="1720" t="s">
        <v>1554</v>
      </c>
      <c r="BY339" s="1772"/>
    </row>
    <row r="340" spans="72:77" x14ac:dyDescent="0.3">
      <c r="BT340" s="197" t="str">
        <f>IF(COUNTIF(BU$76:BU340,BU340)=1,MAX(BT$76:BT339)+1,"")</f>
        <v/>
      </c>
      <c r="BU340" s="1720">
        <v>172.5</v>
      </c>
      <c r="BV340" s="1720">
        <v>377</v>
      </c>
      <c r="BW340" s="1720">
        <v>285</v>
      </c>
      <c r="BX340" s="1720" t="s">
        <v>1555</v>
      </c>
      <c r="BY340" s="1772"/>
    </row>
    <row r="341" spans="72:77" x14ac:dyDescent="0.3">
      <c r="BT341" s="197" t="str">
        <f>IF(COUNTIF(BU$76:BU341,BU341)=1,MAX(BT$76:BT340)+1,"")</f>
        <v/>
      </c>
      <c r="BU341" s="1720">
        <v>172.5</v>
      </c>
      <c r="BV341" s="1720">
        <v>265</v>
      </c>
      <c r="BW341" s="1720">
        <v>285</v>
      </c>
      <c r="BX341" s="1720" t="s">
        <v>1554</v>
      </c>
      <c r="BY341" s="1772"/>
    </row>
    <row r="342" spans="72:77" x14ac:dyDescent="0.3">
      <c r="BT342" s="197">
        <f>IF(COUNTIF(BU$76:BU342,BU342)=1,MAX(BT$76:BT341)+1,"")</f>
        <v>35</v>
      </c>
      <c r="BU342" s="1720">
        <v>175</v>
      </c>
      <c r="BV342" s="1720">
        <v>260</v>
      </c>
      <c r="BW342" s="1720">
        <v>285</v>
      </c>
      <c r="BX342" s="1720" t="s">
        <v>1556</v>
      </c>
      <c r="BY342" s="1772"/>
    </row>
    <row r="343" spans="72:77" x14ac:dyDescent="0.3">
      <c r="BT343" s="197" t="str">
        <f>IF(COUNTIF(BU$76:BU343,BU343)=1,MAX(BT$76:BT342)+1,"")</f>
        <v/>
      </c>
      <c r="BU343" s="1720">
        <v>175</v>
      </c>
      <c r="BV343" s="1720">
        <v>265</v>
      </c>
      <c r="BW343" s="1720">
        <v>285</v>
      </c>
      <c r="BX343" s="1720" t="s">
        <v>1556</v>
      </c>
      <c r="BY343" s="1772"/>
    </row>
    <row r="344" spans="72:77" x14ac:dyDescent="0.3">
      <c r="BT344" s="197" t="str">
        <f>IF(COUNTIF(BU$76:BU344,BU344)=1,MAX(BT$76:BT343)+1,"")</f>
        <v/>
      </c>
      <c r="BU344" s="1720">
        <v>175</v>
      </c>
      <c r="BV344" s="1720">
        <v>260</v>
      </c>
      <c r="BW344" s="1720">
        <v>360</v>
      </c>
      <c r="BX344" s="1720" t="s">
        <v>1556</v>
      </c>
      <c r="BY344" s="1772"/>
    </row>
    <row r="345" spans="72:77" x14ac:dyDescent="0.3">
      <c r="BT345" s="197" t="str">
        <f>IF(COUNTIF(BU$76:BU345,BU345)=1,MAX(BT$76:BT344)+1,"")</f>
        <v/>
      </c>
      <c r="BU345" s="1720">
        <v>175</v>
      </c>
      <c r="BV345" s="1720">
        <v>260</v>
      </c>
      <c r="BW345" s="1720">
        <v>285</v>
      </c>
      <c r="BX345" s="1720" t="s">
        <v>1556</v>
      </c>
      <c r="BY345" s="1772"/>
    </row>
    <row r="346" spans="72:77" x14ac:dyDescent="0.3">
      <c r="BT346" s="197" t="str">
        <f>IF(COUNTIF(BU$76:BU346,BU346)=1,MAX(BT$76:BT345)+1,"")</f>
        <v/>
      </c>
      <c r="BU346" s="1720">
        <v>175</v>
      </c>
      <c r="BV346" s="1720">
        <v>317</v>
      </c>
      <c r="BW346" s="1720">
        <v>285</v>
      </c>
      <c r="BX346" s="1720" t="s">
        <v>1557</v>
      </c>
      <c r="BY346" s="1772"/>
    </row>
    <row r="347" spans="72:77" x14ac:dyDescent="0.3">
      <c r="BT347" s="197" t="str">
        <f>IF(COUNTIF(BU$76:BU347,BU347)=1,MAX(BT$76:BT346)+1,"")</f>
        <v/>
      </c>
      <c r="BU347" s="1720">
        <v>175</v>
      </c>
      <c r="BV347" s="1720">
        <v>262</v>
      </c>
      <c r="BW347" s="1720">
        <v>285</v>
      </c>
      <c r="BX347" s="1720" t="s">
        <v>1556</v>
      </c>
      <c r="BY347" s="1772"/>
    </row>
    <row r="348" spans="72:77" x14ac:dyDescent="0.3">
      <c r="BT348" s="197" t="str">
        <f>IF(COUNTIF(BU$76:BU348,BU348)=1,MAX(BT$76:BT347)+1,"")</f>
        <v/>
      </c>
      <c r="BU348" s="1720">
        <v>175</v>
      </c>
      <c r="BV348" s="1720">
        <v>265</v>
      </c>
      <c r="BW348" s="1720">
        <v>285</v>
      </c>
      <c r="BX348" s="1720" t="s">
        <v>1556</v>
      </c>
      <c r="BY348" s="1772"/>
    </row>
    <row r="349" spans="72:77" x14ac:dyDescent="0.3">
      <c r="BT349" s="197" t="str">
        <f>IF(COUNTIF(BU$76:BU349,BU349)=1,MAX(BT$76:BT348)+1,"")</f>
        <v/>
      </c>
      <c r="BU349" s="1720">
        <v>175</v>
      </c>
      <c r="BV349" s="1720">
        <v>320</v>
      </c>
      <c r="BW349" s="1720">
        <v>285</v>
      </c>
      <c r="BX349" s="1720" t="s">
        <v>1557</v>
      </c>
      <c r="BY349" s="1772"/>
    </row>
    <row r="350" spans="72:77" x14ac:dyDescent="0.3">
      <c r="BT350" s="197" t="str">
        <f>IF(COUNTIF(BU$76:BU350,BU350)=1,MAX(BT$76:BT349)+1,"")</f>
        <v/>
      </c>
      <c r="BU350" s="1720">
        <v>175</v>
      </c>
      <c r="BV350" s="1720">
        <v>265</v>
      </c>
      <c r="BW350" s="1720">
        <v>285</v>
      </c>
      <c r="BX350" s="1720" t="s">
        <v>1556</v>
      </c>
      <c r="BY350" s="1772"/>
    </row>
    <row r="351" spans="72:77" x14ac:dyDescent="0.3">
      <c r="BT351" s="197" t="str">
        <f>IF(COUNTIF(BU$76:BU351,BU351)=1,MAX(BT$76:BT350)+1,"")</f>
        <v/>
      </c>
      <c r="BU351" s="1720">
        <v>175</v>
      </c>
      <c r="BV351" s="1720">
        <v>265</v>
      </c>
      <c r="BW351" s="1720">
        <v>285</v>
      </c>
      <c r="BX351" s="1720" t="s">
        <v>1556</v>
      </c>
      <c r="BY351" s="1772"/>
    </row>
    <row r="352" spans="72:77" x14ac:dyDescent="0.3">
      <c r="BT352" s="197">
        <f>IF(COUNTIF(BU$76:BU352,BU352)=1,MAX(BT$76:BT351)+1,"")</f>
        <v>36</v>
      </c>
      <c r="BU352" s="1720">
        <v>177.5</v>
      </c>
      <c r="BV352" s="1720">
        <v>265</v>
      </c>
      <c r="BW352" s="1720">
        <v>285</v>
      </c>
      <c r="BX352" s="1720" t="s">
        <v>1558</v>
      </c>
      <c r="BY352" s="1772"/>
    </row>
    <row r="353" spans="72:77" x14ac:dyDescent="0.3">
      <c r="BT353" s="197" t="str">
        <f>IF(COUNTIF(BU$76:BU353,BU353)=1,MAX(BT$76:BT352)+1,"")</f>
        <v/>
      </c>
      <c r="BU353" s="1720">
        <v>177.5</v>
      </c>
      <c r="BV353" s="1720">
        <v>315</v>
      </c>
      <c r="BW353" s="1720">
        <v>285</v>
      </c>
      <c r="BX353" s="1720" t="s">
        <v>1559</v>
      </c>
      <c r="BY353" s="1772"/>
    </row>
    <row r="354" spans="72:77" x14ac:dyDescent="0.3">
      <c r="BT354" s="197" t="str">
        <f>IF(COUNTIF(BU$76:BU354,BU354)=1,MAX(BT$76:BT353)+1,"")</f>
        <v/>
      </c>
      <c r="BU354" s="1720">
        <v>177.5</v>
      </c>
      <c r="BV354" s="1720">
        <v>265</v>
      </c>
      <c r="BW354" s="1720">
        <v>285</v>
      </c>
      <c r="BX354" s="1720" t="s">
        <v>1558</v>
      </c>
      <c r="BY354" s="1772"/>
    </row>
    <row r="355" spans="72:77" x14ac:dyDescent="0.3">
      <c r="BT355" s="197" t="str">
        <f>IF(COUNTIF(BU$76:BU355,BU355)=1,MAX(BT$76:BT354)+1,"")</f>
        <v/>
      </c>
      <c r="BU355" s="1720">
        <v>177.5</v>
      </c>
      <c r="BV355" s="1720">
        <v>265</v>
      </c>
      <c r="BW355" s="1720">
        <v>285</v>
      </c>
      <c r="BX355" s="1720" t="s">
        <v>1558</v>
      </c>
      <c r="BY355" s="1772"/>
    </row>
    <row r="356" spans="72:77" x14ac:dyDescent="0.3">
      <c r="BT356" s="197" t="str">
        <f>IF(COUNTIF(BU$76:BU356,BU356)=1,MAX(BT$76:BT355)+1,"")</f>
        <v/>
      </c>
      <c r="BU356" s="1720">
        <v>177.5</v>
      </c>
      <c r="BV356" s="1720">
        <v>260</v>
      </c>
      <c r="BW356" s="1720">
        <v>285</v>
      </c>
      <c r="BX356" s="1720" t="s">
        <v>1558</v>
      </c>
      <c r="BY356" s="1772"/>
    </row>
    <row r="357" spans="72:77" x14ac:dyDescent="0.3">
      <c r="BT357" s="197" t="str">
        <f>IF(COUNTIF(BU$76:BU357,BU357)=1,MAX(BT$76:BT356)+1,"")</f>
        <v/>
      </c>
      <c r="BU357" s="1720">
        <v>177.5</v>
      </c>
      <c r="BV357" s="1720">
        <v>262</v>
      </c>
      <c r="BW357" s="1720">
        <v>285</v>
      </c>
      <c r="BX357" s="1720" t="s">
        <v>1558</v>
      </c>
      <c r="BY357" s="1772"/>
    </row>
    <row r="358" spans="72:77" x14ac:dyDescent="0.3">
      <c r="BT358" s="197" t="str">
        <f>IF(COUNTIF(BU$76:BU358,BU358)=1,MAX(BT$76:BT357)+1,"")</f>
        <v/>
      </c>
      <c r="BU358" s="1720">
        <v>177.5</v>
      </c>
      <c r="BV358" s="1720">
        <v>265</v>
      </c>
      <c r="BW358" s="1720">
        <v>285</v>
      </c>
      <c r="BX358" s="1720" t="s">
        <v>1558</v>
      </c>
      <c r="BY358" s="1772"/>
    </row>
    <row r="359" spans="72:77" x14ac:dyDescent="0.3">
      <c r="BT359" s="197" t="str">
        <f>IF(COUNTIF(BU$76:BU359,BU359)=1,MAX(BT$76:BT358)+1,"")</f>
        <v/>
      </c>
      <c r="BU359" s="1720">
        <v>177.5</v>
      </c>
      <c r="BV359" s="1720">
        <v>263</v>
      </c>
      <c r="BW359" s="1720">
        <v>285</v>
      </c>
      <c r="BX359" s="1720" t="s">
        <v>1558</v>
      </c>
      <c r="BY359" s="1772"/>
    </row>
    <row r="360" spans="72:77" x14ac:dyDescent="0.3">
      <c r="BT360" s="197" t="str">
        <f>IF(COUNTIF(BU$76:BU360,BU360)=1,MAX(BT$76:BT359)+1,"")</f>
        <v/>
      </c>
      <c r="BU360" s="1720">
        <v>177.5</v>
      </c>
      <c r="BV360" s="1720">
        <v>263</v>
      </c>
      <c r="BW360" s="1720">
        <v>285</v>
      </c>
      <c r="BX360" s="1720" t="s">
        <v>1558</v>
      </c>
      <c r="BY360" s="1772"/>
    </row>
    <row r="361" spans="72:77" x14ac:dyDescent="0.3">
      <c r="BT361" s="197">
        <f>IF(COUNTIF(BU$76:BU361,BU361)=1,MAX(BT$76:BT360)+1,"")</f>
        <v>37</v>
      </c>
      <c r="BU361" s="1720">
        <v>180</v>
      </c>
      <c r="BV361" s="1720">
        <v>265</v>
      </c>
      <c r="BW361" s="1720">
        <v>285</v>
      </c>
      <c r="BX361" s="1720" t="s">
        <v>1560</v>
      </c>
      <c r="BY361" s="1772"/>
    </row>
    <row r="362" spans="72:77" x14ac:dyDescent="0.3">
      <c r="BT362" s="197" t="str">
        <f>IF(COUNTIF(BU$76:BU362,BU362)=1,MAX(BT$76:BT361)+1,"")</f>
        <v/>
      </c>
      <c r="BU362" s="1720">
        <v>180</v>
      </c>
      <c r="BV362" s="1720">
        <v>265</v>
      </c>
      <c r="BW362" s="1720">
        <v>285</v>
      </c>
      <c r="BX362" s="1720" t="s">
        <v>1560</v>
      </c>
      <c r="BY362" s="1772"/>
    </row>
    <row r="363" spans="72:77" x14ac:dyDescent="0.3">
      <c r="BT363" s="197" t="str">
        <f>IF(COUNTIF(BU$76:BU363,BU363)=1,MAX(BT$76:BT362)+1,"")</f>
        <v/>
      </c>
      <c r="BU363" s="1720">
        <v>180</v>
      </c>
      <c r="BV363" s="1720">
        <v>260</v>
      </c>
      <c r="BW363" s="1720">
        <v>285</v>
      </c>
      <c r="BX363" s="1720" t="s">
        <v>1560</v>
      </c>
      <c r="BY363" s="1772"/>
    </row>
    <row r="364" spans="72:77" x14ac:dyDescent="0.3">
      <c r="BT364" s="197" t="str">
        <f>IF(COUNTIF(BU$76:BU364,BU364)=1,MAX(BT$76:BT363)+1,"")</f>
        <v/>
      </c>
      <c r="BU364" s="1720">
        <v>180</v>
      </c>
      <c r="BV364" s="1720">
        <v>260</v>
      </c>
      <c r="BW364" s="1720">
        <v>285</v>
      </c>
      <c r="BX364" s="1720" t="s">
        <v>1560</v>
      </c>
      <c r="BY364" s="1772"/>
    </row>
    <row r="365" spans="72:77" x14ac:dyDescent="0.3">
      <c r="BT365" s="197" t="str">
        <f>IF(COUNTIF(BU$76:BU365,BU365)=1,MAX(BT$76:BT364)+1,"")</f>
        <v/>
      </c>
      <c r="BU365" s="1720">
        <v>180</v>
      </c>
      <c r="BV365" s="1720">
        <v>317</v>
      </c>
      <c r="BW365" s="1720">
        <v>285</v>
      </c>
      <c r="BX365" s="1720" t="s">
        <v>1561</v>
      </c>
      <c r="BY365" s="1772"/>
    </row>
    <row r="366" spans="72:77" x14ac:dyDescent="0.3">
      <c r="BT366" s="197" t="str">
        <f>IF(COUNTIF(BU$76:BU366,BU366)=1,MAX(BT$76:BT365)+1,"")</f>
        <v/>
      </c>
      <c r="BU366" s="1720">
        <v>180</v>
      </c>
      <c r="BV366" s="1720">
        <v>380</v>
      </c>
      <c r="BW366" s="1720">
        <v>285</v>
      </c>
      <c r="BX366" s="1720" t="s">
        <v>1562</v>
      </c>
      <c r="BY366" s="1772"/>
    </row>
    <row r="367" spans="72:77" x14ac:dyDescent="0.3">
      <c r="BT367" s="197" t="str">
        <f>IF(COUNTIF(BU$76:BU367,BU367)=1,MAX(BT$76:BT366)+1,"")</f>
        <v/>
      </c>
      <c r="BU367" s="1720">
        <v>180</v>
      </c>
      <c r="BV367" s="1720">
        <v>315</v>
      </c>
      <c r="BW367" s="1720">
        <v>285</v>
      </c>
      <c r="BX367" s="1720" t="s">
        <v>1561</v>
      </c>
      <c r="BY367" s="1772"/>
    </row>
    <row r="368" spans="72:77" x14ac:dyDescent="0.3">
      <c r="BT368" s="197" t="str">
        <f>IF(COUNTIF(BU$76:BU368,BU368)=1,MAX(BT$76:BT367)+1,"")</f>
        <v/>
      </c>
      <c r="BU368" s="1720">
        <v>180</v>
      </c>
      <c r="BV368" s="1720">
        <v>265</v>
      </c>
      <c r="BW368" s="1720">
        <v>285</v>
      </c>
      <c r="BX368" s="1720" t="s">
        <v>1560</v>
      </c>
      <c r="BY368" s="1772"/>
    </row>
    <row r="369" spans="72:77" x14ac:dyDescent="0.3">
      <c r="BT369" s="197" t="str">
        <f>IF(COUNTIF(BU$76:BU369,BU369)=1,MAX(BT$76:BT368)+1,"")</f>
        <v/>
      </c>
      <c r="BU369" s="1720">
        <v>180</v>
      </c>
      <c r="BV369" s="1720">
        <v>380</v>
      </c>
      <c r="BW369" s="1720">
        <v>285</v>
      </c>
      <c r="BX369" s="1720" t="s">
        <v>1562</v>
      </c>
      <c r="BY369" s="1772"/>
    </row>
    <row r="370" spans="72:77" x14ac:dyDescent="0.3">
      <c r="BT370" s="197" t="str">
        <f>IF(COUNTIF(BU$76:BU370,BU370)=1,MAX(BT$76:BT369)+1,"")</f>
        <v/>
      </c>
      <c r="BU370" s="1720">
        <v>180</v>
      </c>
      <c r="BV370" s="1720">
        <v>265</v>
      </c>
      <c r="BW370" s="1720">
        <v>285</v>
      </c>
      <c r="BX370" s="1720" t="s">
        <v>1560</v>
      </c>
      <c r="BY370" s="1772"/>
    </row>
    <row r="371" spans="72:77" x14ac:dyDescent="0.3">
      <c r="BT371" s="197" t="str">
        <f>IF(COUNTIF(BU$76:BU371,BU371)=1,MAX(BT$76:BT370)+1,"")</f>
        <v/>
      </c>
      <c r="BU371" s="1720">
        <v>180</v>
      </c>
      <c r="BV371" s="1720">
        <v>265</v>
      </c>
      <c r="BW371" s="1720">
        <v>285</v>
      </c>
      <c r="BX371" s="1720" t="s">
        <v>1560</v>
      </c>
      <c r="BY371" s="1772"/>
    </row>
    <row r="372" spans="72:77" x14ac:dyDescent="0.3">
      <c r="BT372" s="197" t="str">
        <f>IF(COUNTIF(BU$76:BU372,BU372)=1,MAX(BT$76:BT371)+1,"")</f>
        <v/>
      </c>
      <c r="BU372" s="1720">
        <v>180</v>
      </c>
      <c r="BV372" s="1720">
        <v>500</v>
      </c>
      <c r="BW372" s="1720">
        <v>285</v>
      </c>
      <c r="BX372" s="1720" t="s">
        <v>1563</v>
      </c>
      <c r="BY372" s="1772"/>
    </row>
    <row r="373" spans="72:77" x14ac:dyDescent="0.3">
      <c r="BT373" s="197">
        <f>IF(COUNTIF(BU$76:BU373,BU373)=1,MAX(BT$76:BT372)+1,"")</f>
        <v>38</v>
      </c>
      <c r="BU373" s="1720">
        <v>182.5</v>
      </c>
      <c r="BV373" s="1720">
        <v>262</v>
      </c>
      <c r="BW373" s="1720">
        <v>285</v>
      </c>
      <c r="BX373" s="1720" t="s">
        <v>1564</v>
      </c>
      <c r="BY373" s="1772"/>
    </row>
    <row r="374" spans="72:77" x14ac:dyDescent="0.3">
      <c r="BT374" s="197" t="str">
        <f>IF(COUNTIF(BU$76:BU374,BU374)=1,MAX(BT$76:BT373)+1,"")</f>
        <v/>
      </c>
      <c r="BU374" s="1720">
        <v>182.5</v>
      </c>
      <c r="BV374" s="1720">
        <v>265</v>
      </c>
      <c r="BW374" s="1720">
        <v>285</v>
      </c>
      <c r="BX374" s="1720" t="s">
        <v>1564</v>
      </c>
      <c r="BY374" s="1772"/>
    </row>
    <row r="375" spans="72:77" x14ac:dyDescent="0.3">
      <c r="BT375" s="197" t="str">
        <f>IF(COUNTIF(BU$76:BU375,BU375)=1,MAX(BT$76:BT374)+1,"")</f>
        <v/>
      </c>
      <c r="BU375" s="1720">
        <v>182.5</v>
      </c>
      <c r="BV375" s="1720">
        <v>265</v>
      </c>
      <c r="BW375" s="1720">
        <v>285</v>
      </c>
      <c r="BX375" s="1720" t="s">
        <v>1564</v>
      </c>
      <c r="BY375" s="1772"/>
    </row>
    <row r="376" spans="72:77" x14ac:dyDescent="0.3">
      <c r="BT376" s="197" t="str">
        <f>IF(COUNTIF(BU$76:BU376,BU376)=1,MAX(BT$76:BT375)+1,"")</f>
        <v/>
      </c>
      <c r="BU376" s="1720">
        <v>182.5</v>
      </c>
      <c r="BV376" s="1720">
        <v>265</v>
      </c>
      <c r="BW376" s="1720">
        <v>285</v>
      </c>
      <c r="BX376" s="1720" t="s">
        <v>1564</v>
      </c>
      <c r="BY376" s="1772"/>
    </row>
    <row r="377" spans="72:77" x14ac:dyDescent="0.3">
      <c r="BT377" s="197" t="str">
        <f>IF(COUNTIF(BU$76:BU377,BU377)=1,MAX(BT$76:BT376)+1,"")</f>
        <v/>
      </c>
      <c r="BU377" s="1720">
        <v>182.5</v>
      </c>
      <c r="BV377" s="1720">
        <v>265</v>
      </c>
      <c r="BW377" s="1720">
        <v>285</v>
      </c>
      <c r="BX377" s="1720" t="s">
        <v>1564</v>
      </c>
      <c r="BY377" s="1772"/>
    </row>
    <row r="378" spans="72:77" x14ac:dyDescent="0.3">
      <c r="BT378" s="197" t="str">
        <f>IF(COUNTIF(BU$76:BU378,BU378)=1,MAX(BT$76:BT377)+1,"")</f>
        <v/>
      </c>
      <c r="BU378" s="1720">
        <v>182.5</v>
      </c>
      <c r="BV378" s="1720">
        <v>255</v>
      </c>
      <c r="BW378" s="1720">
        <v>285</v>
      </c>
      <c r="BX378" s="1720" t="s">
        <v>1564</v>
      </c>
      <c r="BY378" s="1772"/>
    </row>
    <row r="379" spans="72:77" x14ac:dyDescent="0.3">
      <c r="BT379" s="197">
        <f>IF(COUNTIF(BU$76:BU379,BU379)=1,MAX(BT$76:BT378)+1,"")</f>
        <v>39</v>
      </c>
      <c r="BU379" s="1720">
        <v>185</v>
      </c>
      <c r="BV379" s="1720">
        <v>260</v>
      </c>
      <c r="BW379" s="1720">
        <v>285</v>
      </c>
      <c r="BX379" s="1720" t="s">
        <v>1565</v>
      </c>
      <c r="BY379" s="1772"/>
    </row>
    <row r="380" spans="72:77" x14ac:dyDescent="0.3">
      <c r="BT380" s="197" t="str">
        <f>IF(COUNTIF(BU$76:BU380,BU380)=1,MAX(BT$76:BT379)+1,"")</f>
        <v/>
      </c>
      <c r="BU380" s="1720">
        <v>185</v>
      </c>
      <c r="BV380" s="1720">
        <v>265</v>
      </c>
      <c r="BW380" s="1720">
        <v>285</v>
      </c>
      <c r="BX380" s="1720" t="s">
        <v>1565</v>
      </c>
      <c r="BY380" s="1772"/>
    </row>
    <row r="381" spans="72:77" x14ac:dyDescent="0.3">
      <c r="BT381" s="197" t="str">
        <f>IF(COUNTIF(BU$76:BU381,BU381)=1,MAX(BT$76:BT380)+1,"")</f>
        <v/>
      </c>
      <c r="BU381" s="1720">
        <v>185</v>
      </c>
      <c r="BV381" s="1720">
        <v>265</v>
      </c>
      <c r="BW381" s="1720">
        <v>285</v>
      </c>
      <c r="BX381" s="1720" t="s">
        <v>1565</v>
      </c>
      <c r="BY381" s="1772"/>
    </row>
    <row r="382" spans="72:77" x14ac:dyDescent="0.3">
      <c r="BT382" s="197" t="str">
        <f>IF(COUNTIF(BU$76:BU382,BU382)=1,MAX(BT$76:BT381)+1,"")</f>
        <v/>
      </c>
      <c r="BU382" s="1720">
        <v>185</v>
      </c>
      <c r="BV382" s="1720">
        <v>265</v>
      </c>
      <c r="BW382" s="1720">
        <v>285</v>
      </c>
      <c r="BX382" s="1720" t="s">
        <v>1565</v>
      </c>
      <c r="BY382" s="1772"/>
    </row>
    <row r="383" spans="72:77" x14ac:dyDescent="0.3">
      <c r="BT383" s="197" t="str">
        <f>IF(COUNTIF(BU$76:BU383,BU383)=1,MAX(BT$76:BT382)+1,"")</f>
        <v/>
      </c>
      <c r="BU383" s="1720">
        <v>185</v>
      </c>
      <c r="BV383" s="1720">
        <v>265</v>
      </c>
      <c r="BW383" s="1720">
        <v>285</v>
      </c>
      <c r="BX383" s="1720" t="s">
        <v>1565</v>
      </c>
      <c r="BY383" s="1772"/>
    </row>
    <row r="384" spans="72:77" x14ac:dyDescent="0.3">
      <c r="BT384" s="197" t="str">
        <f>IF(COUNTIF(BU$76:BU384,BU384)=1,MAX(BT$76:BT383)+1,"")</f>
        <v/>
      </c>
      <c r="BU384" s="1720">
        <v>185</v>
      </c>
      <c r="BV384" s="1720">
        <v>265</v>
      </c>
      <c r="BW384" s="1720">
        <v>285</v>
      </c>
      <c r="BX384" s="1720" t="s">
        <v>1565</v>
      </c>
      <c r="BY384" s="1772"/>
    </row>
    <row r="385" spans="72:77" x14ac:dyDescent="0.3">
      <c r="BT385" s="197" t="str">
        <f>IF(COUNTIF(BU$76:BU385,BU385)=1,MAX(BT$76:BT384)+1,"")</f>
        <v/>
      </c>
      <c r="BU385" s="1720">
        <v>185</v>
      </c>
      <c r="BV385" s="1720">
        <v>265</v>
      </c>
      <c r="BW385" s="1720">
        <v>285</v>
      </c>
      <c r="BX385" s="1720" t="s">
        <v>1565</v>
      </c>
      <c r="BY385" s="1772"/>
    </row>
    <row r="386" spans="72:77" x14ac:dyDescent="0.3">
      <c r="BT386" s="197" t="str">
        <f>IF(COUNTIF(BU$76:BU386,BU386)=1,MAX(BT$76:BT385)+1,"")</f>
        <v/>
      </c>
      <c r="BU386" s="1720">
        <v>185</v>
      </c>
      <c r="BV386" s="1720">
        <v>265</v>
      </c>
      <c r="BW386" s="1720">
        <v>285</v>
      </c>
      <c r="BX386" s="1720" t="s">
        <v>1565</v>
      </c>
      <c r="BY386" s="1772"/>
    </row>
    <row r="387" spans="72:77" x14ac:dyDescent="0.3">
      <c r="BT387" s="197" t="str">
        <f>IF(COUNTIF(BU$76:BU387,BU387)=1,MAX(BT$76:BT386)+1,"")</f>
        <v/>
      </c>
      <c r="BU387" s="1720">
        <v>185</v>
      </c>
      <c r="BV387" s="1720">
        <v>265</v>
      </c>
      <c r="BW387" s="1720">
        <v>285</v>
      </c>
      <c r="BX387" s="1720" t="s">
        <v>1565</v>
      </c>
      <c r="BY387" s="1772"/>
    </row>
    <row r="388" spans="72:77" x14ac:dyDescent="0.3">
      <c r="BT388" s="197" t="str">
        <f>IF(COUNTIF(BU$76:BU388,BU388)=1,MAX(BT$76:BT387)+1,"")</f>
        <v/>
      </c>
      <c r="BU388" s="1720">
        <v>185</v>
      </c>
      <c r="BV388" s="1720">
        <v>265</v>
      </c>
      <c r="BW388" s="1720">
        <v>285</v>
      </c>
      <c r="BX388" s="1720" t="s">
        <v>1565</v>
      </c>
      <c r="BY388" s="1772"/>
    </row>
    <row r="389" spans="72:77" x14ac:dyDescent="0.3">
      <c r="BT389" s="197" t="str">
        <f>IF(COUNTIF(BU$76:BU389,BU389)=1,MAX(BT$76:BT388)+1,"")</f>
        <v/>
      </c>
      <c r="BU389" s="1720">
        <v>185</v>
      </c>
      <c r="BV389" s="1720">
        <v>265</v>
      </c>
      <c r="BW389" s="1720">
        <v>285</v>
      </c>
      <c r="BX389" s="1720" t="s">
        <v>1565</v>
      </c>
      <c r="BY389" s="1772"/>
    </row>
    <row r="390" spans="72:77" x14ac:dyDescent="0.3">
      <c r="BT390" s="197" t="str">
        <f>IF(COUNTIF(BU$76:BU390,BU390)=1,MAX(BT$76:BT389)+1,"")</f>
        <v/>
      </c>
      <c r="BU390" s="1720">
        <v>185</v>
      </c>
      <c r="BV390" s="1720">
        <v>215</v>
      </c>
      <c r="BW390" s="1720">
        <v>285</v>
      </c>
      <c r="BX390" s="1720" t="s">
        <v>1566</v>
      </c>
      <c r="BY390" s="1772"/>
    </row>
    <row r="391" spans="72:77" x14ac:dyDescent="0.3">
      <c r="BT391" s="197" t="str">
        <f>IF(COUNTIF(BU$76:BU391,BU391)=1,MAX(BT$76:BT390)+1,"")</f>
        <v/>
      </c>
      <c r="BU391" s="1720">
        <v>185</v>
      </c>
      <c r="BV391" s="1720">
        <v>215</v>
      </c>
      <c r="BW391" s="1720">
        <v>285</v>
      </c>
      <c r="BX391" s="1720" t="s">
        <v>1567</v>
      </c>
      <c r="BY391" s="1772"/>
    </row>
    <row r="392" spans="72:77" x14ac:dyDescent="0.3">
      <c r="BT392" s="197" t="str">
        <f>IF(COUNTIF(BU$76:BU392,BU392)=1,MAX(BT$76:BT391)+1,"")</f>
        <v/>
      </c>
      <c r="BU392" s="1720">
        <v>185</v>
      </c>
      <c r="BV392" s="1720">
        <v>215</v>
      </c>
      <c r="BW392" s="1720">
        <v>285</v>
      </c>
      <c r="BX392" s="1720" t="s">
        <v>1567</v>
      </c>
      <c r="BY392" s="1772"/>
    </row>
    <row r="393" spans="72:77" x14ac:dyDescent="0.3">
      <c r="BT393" s="197" t="str">
        <f>IF(COUNTIF(BU$76:BU393,BU393)=1,MAX(BT$76:BT392)+1,"")</f>
        <v/>
      </c>
      <c r="BU393" s="1720">
        <v>185</v>
      </c>
      <c r="BV393" s="1720">
        <v>260</v>
      </c>
      <c r="BW393" s="1720">
        <v>285</v>
      </c>
      <c r="BX393" s="1720" t="s">
        <v>1565</v>
      </c>
      <c r="BY393" s="1772"/>
    </row>
    <row r="394" spans="72:77" x14ac:dyDescent="0.3">
      <c r="BT394" s="197" t="str">
        <f>IF(COUNTIF(BU$76:BU394,BU394)=1,MAX(BT$76:BT393)+1,"")</f>
        <v/>
      </c>
      <c r="BU394" s="1720">
        <v>185</v>
      </c>
      <c r="BV394" s="1720">
        <v>265</v>
      </c>
      <c r="BW394" s="1720">
        <v>285</v>
      </c>
      <c r="BX394" s="1720" t="s">
        <v>1565</v>
      </c>
      <c r="BY394" s="1772"/>
    </row>
    <row r="395" spans="72:77" x14ac:dyDescent="0.3">
      <c r="BT395" s="197" t="str">
        <f>IF(COUNTIF(BU$76:BU395,BU395)=1,MAX(BT$76:BT394)+1,"")</f>
        <v/>
      </c>
      <c r="BU395" s="1720">
        <v>185</v>
      </c>
      <c r="BV395" s="1720">
        <v>215</v>
      </c>
      <c r="BW395" s="1720">
        <v>285</v>
      </c>
      <c r="BX395" s="1720" t="s">
        <v>1567</v>
      </c>
      <c r="BY395" s="1772"/>
    </row>
    <row r="396" spans="72:77" x14ac:dyDescent="0.3">
      <c r="BT396" s="197" t="str">
        <f>IF(COUNTIF(BU$76:BU396,BU396)=1,MAX(BT$76:BT395)+1,"")</f>
        <v/>
      </c>
      <c r="BU396" s="1720">
        <v>185</v>
      </c>
      <c r="BV396" s="1720">
        <v>213</v>
      </c>
      <c r="BW396" s="1720">
        <v>285</v>
      </c>
      <c r="BX396" s="1720" t="s">
        <v>1567</v>
      </c>
      <c r="BY396" s="1772"/>
    </row>
    <row r="397" spans="72:77" x14ac:dyDescent="0.3">
      <c r="BT397" s="197" t="str">
        <f>IF(COUNTIF(BU$76:BU397,BU397)=1,MAX(BT$76:BT396)+1,"")</f>
        <v/>
      </c>
      <c r="BU397" s="1720">
        <v>185</v>
      </c>
      <c r="BV397" s="1720">
        <v>215</v>
      </c>
      <c r="BW397" s="1720">
        <v>285</v>
      </c>
      <c r="BX397" s="1720" t="s">
        <v>1567</v>
      </c>
      <c r="BY397" s="1772"/>
    </row>
    <row r="398" spans="72:77" x14ac:dyDescent="0.3">
      <c r="BT398" s="197" t="str">
        <f>IF(COUNTIF(BU$76:BU398,BU398)=1,MAX(BT$76:BT397)+1,"")</f>
        <v/>
      </c>
      <c r="BU398" s="1720">
        <v>185</v>
      </c>
      <c r="BV398" s="1720">
        <v>215</v>
      </c>
      <c r="BW398" s="1720">
        <v>285</v>
      </c>
      <c r="BX398" s="1720" t="s">
        <v>1567</v>
      </c>
      <c r="BY398" s="1772"/>
    </row>
    <row r="399" spans="72:77" x14ac:dyDescent="0.3">
      <c r="BT399" s="197" t="str">
        <f>IF(COUNTIF(BU$76:BU399,BU399)=1,MAX(BT$76:BT398)+1,"")</f>
        <v/>
      </c>
      <c r="BU399" s="1720">
        <v>185</v>
      </c>
      <c r="BV399" s="1720">
        <v>215</v>
      </c>
      <c r="BW399" s="1720">
        <v>285</v>
      </c>
      <c r="BX399" s="1720" t="s">
        <v>1567</v>
      </c>
      <c r="BY399" s="1772"/>
    </row>
    <row r="400" spans="72:77" x14ac:dyDescent="0.3">
      <c r="BT400" s="197" t="str">
        <f>IF(COUNTIF(BU$76:BU400,BU400)=1,MAX(BT$76:BT399)+1,"")</f>
        <v/>
      </c>
      <c r="BU400" s="1720">
        <v>185</v>
      </c>
      <c r="BV400" s="1720">
        <v>213</v>
      </c>
      <c r="BW400" s="1720">
        <v>285</v>
      </c>
      <c r="BX400" s="1720" t="s">
        <v>1567</v>
      </c>
      <c r="BY400" s="1772"/>
    </row>
    <row r="401" spans="72:77" x14ac:dyDescent="0.3">
      <c r="BT401" s="197" t="str">
        <f>IF(COUNTIF(BU$76:BU401,BU401)=1,MAX(BT$76:BT400)+1,"")</f>
        <v/>
      </c>
      <c r="BU401" s="1720">
        <v>185</v>
      </c>
      <c r="BV401" s="1720">
        <v>213</v>
      </c>
      <c r="BW401" s="1720">
        <v>285</v>
      </c>
      <c r="BX401" s="1720" t="s">
        <v>1567</v>
      </c>
      <c r="BY401" s="1772"/>
    </row>
    <row r="402" spans="72:77" x14ac:dyDescent="0.3">
      <c r="BT402" s="197" t="str">
        <f>IF(COUNTIF(BU$76:BU402,BU402)=1,MAX(BT$76:BT401)+1,"")</f>
        <v/>
      </c>
      <c r="BU402" s="1720">
        <v>185</v>
      </c>
      <c r="BV402" s="1720">
        <v>213</v>
      </c>
      <c r="BW402" s="1720">
        <v>285</v>
      </c>
      <c r="BX402" s="1720" t="s">
        <v>1567</v>
      </c>
      <c r="BY402" s="1772"/>
    </row>
    <row r="403" spans="72:77" x14ac:dyDescent="0.3">
      <c r="BT403" s="197" t="str">
        <f>IF(COUNTIF(BU$76:BU403,BU403)=1,MAX(BT$76:BT402)+1,"")</f>
        <v/>
      </c>
      <c r="BU403" s="1720">
        <v>185</v>
      </c>
      <c r="BV403" s="1720">
        <v>215</v>
      </c>
      <c r="BW403" s="1720">
        <v>285</v>
      </c>
      <c r="BX403" s="1720" t="s">
        <v>1567</v>
      </c>
      <c r="BY403" s="1772"/>
    </row>
    <row r="404" spans="72:77" x14ac:dyDescent="0.3">
      <c r="BT404" s="197" t="str">
        <f>IF(COUNTIF(BU$76:BU404,BU404)=1,MAX(BT$76:BT403)+1,"")</f>
        <v/>
      </c>
      <c r="BU404" s="1720">
        <v>185</v>
      </c>
      <c r="BV404" s="1720">
        <v>215</v>
      </c>
      <c r="BW404" s="1720">
        <v>285</v>
      </c>
      <c r="BX404" s="1720" t="s">
        <v>1567</v>
      </c>
      <c r="BY404" s="1772"/>
    </row>
    <row r="405" spans="72:77" x14ac:dyDescent="0.3">
      <c r="BT405" s="197" t="str">
        <f>IF(COUNTIF(BU$76:BU405,BU405)=1,MAX(BT$76:BT404)+1,"")</f>
        <v/>
      </c>
      <c r="BU405" s="1720">
        <v>185</v>
      </c>
      <c r="BV405" s="1720">
        <v>213</v>
      </c>
      <c r="BW405" s="1720">
        <v>285</v>
      </c>
      <c r="BX405" s="1720" t="s">
        <v>1567</v>
      </c>
      <c r="BY405" s="1772"/>
    </row>
    <row r="406" spans="72:77" x14ac:dyDescent="0.3">
      <c r="BT406" s="197" t="str">
        <f>IF(COUNTIF(BU$76:BU406,BU406)=1,MAX(BT$76:BT405)+1,"")</f>
        <v/>
      </c>
      <c r="BU406" s="1720">
        <v>185</v>
      </c>
      <c r="BV406" s="1720">
        <v>213</v>
      </c>
      <c r="BW406" s="1720">
        <v>285</v>
      </c>
      <c r="BX406" s="1720" t="s">
        <v>1567</v>
      </c>
      <c r="BY406" s="1772"/>
    </row>
    <row r="407" spans="72:77" x14ac:dyDescent="0.3">
      <c r="BT407" s="197" t="str">
        <f>IF(COUNTIF(BU$76:BU407,BU407)=1,MAX(BT$76:BT406)+1,"")</f>
        <v/>
      </c>
      <c r="BU407" s="1720">
        <v>185</v>
      </c>
      <c r="BV407" s="1720">
        <v>212</v>
      </c>
      <c r="BW407" s="1720">
        <v>285</v>
      </c>
      <c r="BX407" s="1720" t="s">
        <v>1567</v>
      </c>
      <c r="BY407" s="1772"/>
    </row>
    <row r="408" spans="72:77" x14ac:dyDescent="0.3">
      <c r="BT408" s="197" t="str">
        <f>IF(COUNTIF(BU$76:BU408,BU408)=1,MAX(BT$76:BT407)+1,"")</f>
        <v/>
      </c>
      <c r="BU408" s="1720">
        <v>185</v>
      </c>
      <c r="BV408" s="1720">
        <v>215</v>
      </c>
      <c r="BW408" s="1720">
        <v>285</v>
      </c>
      <c r="BX408" s="1720" t="s">
        <v>1567</v>
      </c>
      <c r="BY408" s="1772"/>
    </row>
    <row r="409" spans="72:77" x14ac:dyDescent="0.3">
      <c r="BT409" s="197" t="str">
        <f>IF(COUNTIF(BU$76:BU409,BU409)=1,MAX(BT$76:BT408)+1,"")</f>
        <v/>
      </c>
      <c r="BU409" s="1720">
        <v>185</v>
      </c>
      <c r="BV409" s="1720">
        <v>260</v>
      </c>
      <c r="BW409" s="1720">
        <v>285</v>
      </c>
      <c r="BX409" s="1720" t="s">
        <v>1565</v>
      </c>
      <c r="BY409" s="1772"/>
    </row>
    <row r="410" spans="72:77" x14ac:dyDescent="0.3">
      <c r="BT410" s="197" t="str">
        <f>IF(COUNTIF(BU$76:BU410,BU410)=1,MAX(BT$76:BT409)+1,"")</f>
        <v/>
      </c>
      <c r="BU410" s="1720">
        <v>185</v>
      </c>
      <c r="BV410" s="1720">
        <v>503</v>
      </c>
      <c r="BW410" s="1720">
        <v>285</v>
      </c>
      <c r="BX410" s="1720" t="s">
        <v>1563</v>
      </c>
      <c r="BY410" s="1772"/>
    </row>
    <row r="411" spans="72:77" x14ac:dyDescent="0.3">
      <c r="BT411" s="197" t="str">
        <f>IF(COUNTIF(BU$76:BU411,BU411)=1,MAX(BT$76:BT410)+1,"")</f>
        <v/>
      </c>
      <c r="BU411" s="1720">
        <v>185</v>
      </c>
      <c r="BV411" s="1720">
        <v>213</v>
      </c>
      <c r="BW411" s="1720">
        <v>285</v>
      </c>
      <c r="BX411" s="1720" t="s">
        <v>1567</v>
      </c>
      <c r="BY411" s="1772"/>
    </row>
    <row r="412" spans="72:77" x14ac:dyDescent="0.3">
      <c r="BT412" s="197" t="str">
        <f>IF(COUNTIF(BU$76:BU412,BU412)=1,MAX(BT$76:BT411)+1,"")</f>
        <v/>
      </c>
      <c r="BU412" s="1720">
        <v>185</v>
      </c>
      <c r="BV412" s="1720">
        <v>213</v>
      </c>
      <c r="BW412" s="1720">
        <v>285</v>
      </c>
      <c r="BX412" s="1720" t="s">
        <v>1567</v>
      </c>
      <c r="BY412" s="1772"/>
    </row>
    <row r="413" spans="72:77" x14ac:dyDescent="0.3">
      <c r="BT413" s="197" t="str">
        <f>IF(COUNTIF(BU$76:BU413,BU413)=1,MAX(BT$76:BT412)+1,"")</f>
        <v/>
      </c>
      <c r="BU413" s="1720">
        <v>185</v>
      </c>
      <c r="BV413" s="1720">
        <v>213</v>
      </c>
      <c r="BW413" s="1720">
        <v>285</v>
      </c>
      <c r="BX413" s="1720" t="s">
        <v>1567</v>
      </c>
      <c r="BY413" s="1772"/>
    </row>
    <row r="414" spans="72:77" x14ac:dyDescent="0.3">
      <c r="BT414" s="197" t="str">
        <f>IF(COUNTIF(BU$76:BU414,BU414)=1,MAX(BT$76:BT413)+1,"")</f>
        <v/>
      </c>
      <c r="BU414" s="1720">
        <v>185</v>
      </c>
      <c r="BV414" s="1720">
        <v>265</v>
      </c>
      <c r="BW414" s="1720">
        <v>285</v>
      </c>
      <c r="BX414" s="1720" t="s">
        <v>1565</v>
      </c>
      <c r="BY414" s="1772"/>
    </row>
    <row r="415" spans="72:77" x14ac:dyDescent="0.3">
      <c r="BT415" s="197">
        <f>IF(COUNTIF(BU$76:BU415,BU415)=1,MAX(BT$76:BT414)+1,"")</f>
        <v>40</v>
      </c>
      <c r="BU415" s="1720">
        <v>187.5</v>
      </c>
      <c r="BV415" s="1720">
        <v>213</v>
      </c>
      <c r="BW415" s="1720">
        <v>285</v>
      </c>
      <c r="BX415" s="1720" t="s">
        <v>1568</v>
      </c>
      <c r="BY415" s="1772"/>
    </row>
    <row r="416" spans="72:77" x14ac:dyDescent="0.3">
      <c r="BT416" s="197" t="str">
        <f>IF(COUNTIF(BU$76:BU416,BU416)=1,MAX(BT$76:BT415)+1,"")</f>
        <v/>
      </c>
      <c r="BU416" s="1720">
        <v>187.5</v>
      </c>
      <c r="BV416" s="1720">
        <v>215</v>
      </c>
      <c r="BW416" s="1720">
        <v>285</v>
      </c>
      <c r="BX416" s="1720" t="s">
        <v>1568</v>
      </c>
      <c r="BY416" s="1772"/>
    </row>
    <row r="417" spans="72:77" x14ac:dyDescent="0.3">
      <c r="BT417" s="197" t="str">
        <f>IF(COUNTIF(BU$76:BU417,BU417)=1,MAX(BT$76:BT416)+1,"")</f>
        <v/>
      </c>
      <c r="BU417" s="1720">
        <v>187.5</v>
      </c>
      <c r="BV417" s="1720">
        <v>265</v>
      </c>
      <c r="BW417" s="1720">
        <v>285</v>
      </c>
      <c r="BX417" s="1720" t="s">
        <v>1569</v>
      </c>
      <c r="BY417" s="1772"/>
    </row>
    <row r="418" spans="72:77" x14ac:dyDescent="0.3">
      <c r="BT418" s="197" t="str">
        <f>IF(COUNTIF(BU$76:BU418,BU418)=1,MAX(BT$76:BT417)+1,"")</f>
        <v/>
      </c>
      <c r="BU418" s="1720">
        <v>187.5</v>
      </c>
      <c r="BV418" s="1720">
        <v>265</v>
      </c>
      <c r="BW418" s="1720">
        <v>285</v>
      </c>
      <c r="BX418" s="1720" t="s">
        <v>1569</v>
      </c>
      <c r="BY418" s="1772"/>
    </row>
    <row r="419" spans="72:77" x14ac:dyDescent="0.3">
      <c r="BT419" s="197" t="str">
        <f>IF(COUNTIF(BU$76:BU419,BU419)=1,MAX(BT$76:BT418)+1,"")</f>
        <v/>
      </c>
      <c r="BU419" s="1720">
        <v>187.5</v>
      </c>
      <c r="BV419" s="1720">
        <v>265</v>
      </c>
      <c r="BW419" s="1720">
        <v>285</v>
      </c>
      <c r="BX419" s="1720" t="s">
        <v>1569</v>
      </c>
      <c r="BY419" s="1772"/>
    </row>
    <row r="420" spans="72:77" x14ac:dyDescent="0.3">
      <c r="BT420" s="197" t="str">
        <f>IF(COUNTIF(BU$76:BU420,BU420)=1,MAX(BT$76:BT419)+1,"")</f>
        <v/>
      </c>
      <c r="BU420" s="1720">
        <v>187.5</v>
      </c>
      <c r="BV420" s="1720">
        <v>265</v>
      </c>
      <c r="BW420" s="1720">
        <v>285</v>
      </c>
      <c r="BX420" s="1720" t="s">
        <v>1569</v>
      </c>
      <c r="BY420" s="1772"/>
    </row>
    <row r="421" spans="72:77" x14ac:dyDescent="0.3">
      <c r="BT421" s="197" t="str">
        <f>IF(COUNTIF(BU$76:BU421,BU421)=1,MAX(BT$76:BT420)+1,"")</f>
        <v/>
      </c>
      <c r="BU421" s="1720">
        <v>187.5</v>
      </c>
      <c r="BV421" s="1720">
        <v>215</v>
      </c>
      <c r="BW421" s="1720">
        <v>285</v>
      </c>
      <c r="BX421" s="1720" t="s">
        <v>1568</v>
      </c>
      <c r="BY421" s="1772"/>
    </row>
    <row r="422" spans="72:77" x14ac:dyDescent="0.3">
      <c r="BT422" s="197" t="str">
        <f>IF(COUNTIF(BU$76:BU422,BU422)=1,MAX(BT$76:BT421)+1,"")</f>
        <v/>
      </c>
      <c r="BU422" s="1720">
        <v>187.5</v>
      </c>
      <c r="BV422" s="1720">
        <v>215</v>
      </c>
      <c r="BW422" s="1720">
        <v>285</v>
      </c>
      <c r="BX422" s="1720" t="s">
        <v>1568</v>
      </c>
      <c r="BY422" s="1772"/>
    </row>
    <row r="423" spans="72:77" x14ac:dyDescent="0.3">
      <c r="BT423" s="197" t="str">
        <f>IF(COUNTIF(BU$76:BU423,BU423)=1,MAX(BT$76:BT422)+1,"")</f>
        <v/>
      </c>
      <c r="BU423" s="1720">
        <v>187.5</v>
      </c>
      <c r="BV423" s="1720">
        <v>317</v>
      </c>
      <c r="BW423" s="1720">
        <v>285</v>
      </c>
      <c r="BX423" s="1720" t="s">
        <v>1570</v>
      </c>
      <c r="BY423" s="1772"/>
    </row>
    <row r="424" spans="72:77" x14ac:dyDescent="0.3">
      <c r="BT424" s="197" t="str">
        <f>IF(COUNTIF(BU$76:BU424,BU424)=1,MAX(BT$76:BT423)+1,"")</f>
        <v/>
      </c>
      <c r="BU424" s="1720">
        <v>187.5</v>
      </c>
      <c r="BV424" s="1720">
        <v>440</v>
      </c>
      <c r="BW424" s="1720">
        <v>285</v>
      </c>
      <c r="BX424" s="1720" t="s">
        <v>1571</v>
      </c>
      <c r="BY424" s="1772"/>
    </row>
    <row r="425" spans="72:77" x14ac:dyDescent="0.3">
      <c r="BT425" s="197" t="str">
        <f>IF(COUNTIF(BU$76:BU425,BU425)=1,MAX(BT$76:BT424)+1,"")</f>
        <v/>
      </c>
      <c r="BU425" s="1720">
        <v>187.5</v>
      </c>
      <c r="BV425" s="1720">
        <v>505</v>
      </c>
      <c r="BW425" s="1720">
        <v>285</v>
      </c>
      <c r="BX425" s="1720" t="s">
        <v>1572</v>
      </c>
      <c r="BY425" s="1772"/>
    </row>
    <row r="426" spans="72:77" x14ac:dyDescent="0.3">
      <c r="BT426" s="197" t="str">
        <f>IF(COUNTIF(BU$76:BU426,BU426)=1,MAX(BT$76:BT425)+1,"")</f>
        <v/>
      </c>
      <c r="BU426" s="1720">
        <v>187.5</v>
      </c>
      <c r="BV426" s="1720">
        <v>320</v>
      </c>
      <c r="BW426" s="1720">
        <v>285</v>
      </c>
      <c r="BX426" s="1720" t="s">
        <v>1570</v>
      </c>
      <c r="BY426" s="1772"/>
    </row>
    <row r="427" spans="72:77" x14ac:dyDescent="0.3">
      <c r="BT427" s="197" t="str">
        <f>IF(COUNTIF(BU$76:BU427,BU427)=1,MAX(BT$76:BT426)+1,"")</f>
        <v/>
      </c>
      <c r="BU427" s="1720">
        <v>187.5</v>
      </c>
      <c r="BV427" s="1720">
        <v>215</v>
      </c>
      <c r="BW427" s="1720">
        <v>285</v>
      </c>
      <c r="BX427" s="1720" t="s">
        <v>1568</v>
      </c>
      <c r="BY427" s="1772"/>
    </row>
    <row r="428" spans="72:77" x14ac:dyDescent="0.3">
      <c r="BT428" s="197" t="str">
        <f>IF(COUNTIF(BU$76:BU428,BU428)=1,MAX(BT$76:BT427)+1,"")</f>
        <v/>
      </c>
      <c r="BU428" s="1720">
        <v>187.5</v>
      </c>
      <c r="BV428" s="1720">
        <v>265</v>
      </c>
      <c r="BW428" s="1720">
        <v>285</v>
      </c>
      <c r="BX428" s="1720" t="s">
        <v>1569</v>
      </c>
      <c r="BY428" s="1772"/>
    </row>
    <row r="429" spans="72:77" x14ac:dyDescent="0.3">
      <c r="BT429" s="197" t="str">
        <f>IF(COUNTIF(BU$76:BU429,BU429)=1,MAX(BT$76:BT428)+1,"")</f>
        <v/>
      </c>
      <c r="BU429" s="1720">
        <v>187.5</v>
      </c>
      <c r="BV429" s="1720">
        <v>260</v>
      </c>
      <c r="BW429" s="1720">
        <v>285</v>
      </c>
      <c r="BX429" s="1720" t="s">
        <v>1569</v>
      </c>
      <c r="BY429" s="1772"/>
    </row>
    <row r="430" spans="72:77" x14ac:dyDescent="0.3">
      <c r="BT430" s="197" t="str">
        <f>IF(COUNTIF(BU$76:BU430,BU430)=1,MAX(BT$76:BT429)+1,"")</f>
        <v/>
      </c>
      <c r="BU430" s="1720">
        <v>187.5</v>
      </c>
      <c r="BV430" s="1720">
        <v>317</v>
      </c>
      <c r="BW430" s="1720">
        <v>285</v>
      </c>
      <c r="BX430" s="1720" t="s">
        <v>1570</v>
      </c>
      <c r="BY430" s="1772"/>
    </row>
    <row r="431" spans="72:77" x14ac:dyDescent="0.3">
      <c r="BT431" s="197" t="str">
        <f>IF(COUNTIF(BU$76:BU431,BU431)=1,MAX(BT$76:BT430)+1,"")</f>
        <v/>
      </c>
      <c r="BU431" s="1720">
        <v>187.5</v>
      </c>
      <c r="BV431" s="1720">
        <v>265</v>
      </c>
      <c r="BW431" s="1720">
        <v>285</v>
      </c>
      <c r="BX431" s="1720" t="s">
        <v>1569</v>
      </c>
      <c r="BY431" s="1772"/>
    </row>
    <row r="432" spans="72:77" x14ac:dyDescent="0.3">
      <c r="BT432" s="197">
        <f>IF(COUNTIF(BU$76:BU432,BU432)=1,MAX(BT$76:BT431)+1,"")</f>
        <v>41</v>
      </c>
      <c r="BU432" s="1720">
        <v>190</v>
      </c>
      <c r="BV432" s="1720">
        <v>265</v>
      </c>
      <c r="BW432" s="1720">
        <v>285</v>
      </c>
      <c r="BX432" s="1720" t="s">
        <v>1573</v>
      </c>
      <c r="BY432" s="1772"/>
    </row>
    <row r="433" spans="72:77" x14ac:dyDescent="0.3">
      <c r="BT433" s="197" t="str">
        <f>IF(COUNTIF(BU$76:BU433,BU433)=1,MAX(BT$76:BT432)+1,"")</f>
        <v/>
      </c>
      <c r="BU433" s="1720">
        <v>190</v>
      </c>
      <c r="BV433" s="1720">
        <v>263</v>
      </c>
      <c r="BW433" s="1720">
        <v>285</v>
      </c>
      <c r="BX433" s="1720" t="s">
        <v>1573</v>
      </c>
      <c r="BY433" s="1772"/>
    </row>
    <row r="434" spans="72:77" x14ac:dyDescent="0.3">
      <c r="BT434" s="197" t="str">
        <f>IF(COUNTIF(BU$76:BU434,BU434)=1,MAX(BT$76:BT433)+1,"")</f>
        <v/>
      </c>
      <c r="BU434" s="1720">
        <v>190</v>
      </c>
      <c r="BV434" s="1720">
        <v>263</v>
      </c>
      <c r="BW434" s="1720">
        <v>285</v>
      </c>
      <c r="BX434" s="1720" t="s">
        <v>1573</v>
      </c>
      <c r="BY434" s="1772"/>
    </row>
    <row r="435" spans="72:77" x14ac:dyDescent="0.3">
      <c r="BT435" s="197" t="str">
        <f>IF(COUNTIF(BU$76:BU435,BU435)=1,MAX(BT$76:BT434)+1,"")</f>
        <v/>
      </c>
      <c r="BU435" s="1720">
        <v>190</v>
      </c>
      <c r="BV435" s="1720">
        <v>265</v>
      </c>
      <c r="BW435" s="1720">
        <v>285</v>
      </c>
      <c r="BX435" s="1720" t="s">
        <v>1573</v>
      </c>
      <c r="BY435" s="1772"/>
    </row>
    <row r="436" spans="72:77" x14ac:dyDescent="0.3">
      <c r="BT436" s="197" t="str">
        <f>IF(COUNTIF(BU$76:BU436,BU436)=1,MAX(BT$76:BT435)+1,"")</f>
        <v/>
      </c>
      <c r="BU436" s="1720">
        <v>190</v>
      </c>
      <c r="BV436" s="1720">
        <v>265</v>
      </c>
      <c r="BW436" s="1720">
        <v>285</v>
      </c>
      <c r="BX436" s="1720" t="s">
        <v>1573</v>
      </c>
      <c r="BY436" s="1772"/>
    </row>
    <row r="437" spans="72:77" x14ac:dyDescent="0.3">
      <c r="BT437" s="197" t="str">
        <f>IF(COUNTIF(BU$76:BU437,BU437)=1,MAX(BT$76:BT436)+1,"")</f>
        <v/>
      </c>
      <c r="BU437" s="1720">
        <v>190</v>
      </c>
      <c r="BV437" s="1720">
        <v>265</v>
      </c>
      <c r="BW437" s="1720">
        <v>285</v>
      </c>
      <c r="BX437" s="1720" t="s">
        <v>1573</v>
      </c>
      <c r="BY437" s="1772"/>
    </row>
    <row r="438" spans="72:77" x14ac:dyDescent="0.3">
      <c r="BT438" s="197" t="str">
        <f>IF(COUNTIF(BU$76:BU438,BU438)=1,MAX(BT$76:BT437)+1,"")</f>
        <v/>
      </c>
      <c r="BU438" s="1720">
        <v>190</v>
      </c>
      <c r="BV438" s="1720">
        <v>265</v>
      </c>
      <c r="BW438" s="1720">
        <v>285</v>
      </c>
      <c r="BX438" s="1720" t="s">
        <v>1573</v>
      </c>
      <c r="BY438" s="1772"/>
    </row>
    <row r="439" spans="72:77" x14ac:dyDescent="0.3">
      <c r="BT439" s="197" t="str">
        <f>IF(COUNTIF(BU$76:BU439,BU439)=1,MAX(BT$76:BT438)+1,"")</f>
        <v/>
      </c>
      <c r="BU439" s="1720">
        <v>190</v>
      </c>
      <c r="BV439" s="1720">
        <v>265</v>
      </c>
      <c r="BW439" s="1720">
        <v>285</v>
      </c>
      <c r="BX439" s="1720" t="s">
        <v>1573</v>
      </c>
      <c r="BY439" s="1772"/>
    </row>
    <row r="440" spans="72:77" x14ac:dyDescent="0.3">
      <c r="BT440" s="197" t="str">
        <f>IF(COUNTIF(BU$76:BU440,BU440)=1,MAX(BT$76:BT439)+1,"")</f>
        <v/>
      </c>
      <c r="BU440" s="1720">
        <v>190</v>
      </c>
      <c r="BV440" s="1720">
        <v>260</v>
      </c>
      <c r="BW440" s="1720">
        <v>285</v>
      </c>
      <c r="BX440" s="1720" t="s">
        <v>1573</v>
      </c>
      <c r="BY440" s="1772"/>
    </row>
    <row r="441" spans="72:77" x14ac:dyDescent="0.3">
      <c r="BT441" s="197" t="str">
        <f>IF(COUNTIF(BU$76:BU441,BU441)=1,MAX(BT$76:BT440)+1,"")</f>
        <v/>
      </c>
      <c r="BU441" s="1720">
        <v>190</v>
      </c>
      <c r="BV441" s="1720">
        <v>260</v>
      </c>
      <c r="BW441" s="1720">
        <v>285</v>
      </c>
      <c r="BX441" s="1720" t="s">
        <v>1573</v>
      </c>
      <c r="BY441" s="1772"/>
    </row>
    <row r="442" spans="72:77" x14ac:dyDescent="0.3">
      <c r="BT442" s="197" t="str">
        <f>IF(COUNTIF(BU$76:BU442,BU442)=1,MAX(BT$76:BT441)+1,"")</f>
        <v/>
      </c>
      <c r="BU442" s="1720">
        <v>190</v>
      </c>
      <c r="BV442" s="1720">
        <v>265</v>
      </c>
      <c r="BW442" s="1720">
        <v>285</v>
      </c>
      <c r="BX442" s="1720" t="s">
        <v>1573</v>
      </c>
      <c r="BY442" s="1772"/>
    </row>
    <row r="443" spans="72:77" x14ac:dyDescent="0.3">
      <c r="BT443" s="197" t="str">
        <f>IF(COUNTIF(BU$76:BU443,BU443)=1,MAX(BT$76:BT442)+1,"")</f>
        <v/>
      </c>
      <c r="BU443" s="1720">
        <v>190</v>
      </c>
      <c r="BV443" s="1720">
        <v>265</v>
      </c>
      <c r="BW443" s="1720">
        <v>285</v>
      </c>
      <c r="BX443" s="1720" t="s">
        <v>1573</v>
      </c>
      <c r="BY443" s="1772"/>
    </row>
    <row r="444" spans="72:77" x14ac:dyDescent="0.3">
      <c r="BT444" s="197" t="str">
        <f>IF(COUNTIF(BU$76:BU444,BU444)=1,MAX(BT$76:BT443)+1,"")</f>
        <v/>
      </c>
      <c r="BU444" s="1720">
        <v>190</v>
      </c>
      <c r="BV444" s="1720">
        <v>265</v>
      </c>
      <c r="BW444" s="1720">
        <v>285</v>
      </c>
      <c r="BX444" s="1720" t="s">
        <v>1573</v>
      </c>
      <c r="BY444" s="1772"/>
    </row>
    <row r="445" spans="72:77" x14ac:dyDescent="0.3">
      <c r="BT445" s="197" t="str">
        <f>IF(COUNTIF(BU$76:BU445,BU445)=1,MAX(BT$76:BT444)+1,"")</f>
        <v/>
      </c>
      <c r="BU445" s="1720">
        <v>190</v>
      </c>
      <c r="BV445" s="1720">
        <v>260</v>
      </c>
      <c r="BW445" s="1720">
        <v>285</v>
      </c>
      <c r="BX445" s="1720" t="s">
        <v>1573</v>
      </c>
      <c r="BY445" s="1772"/>
    </row>
    <row r="446" spans="72:77" x14ac:dyDescent="0.3">
      <c r="BT446" s="197" t="str">
        <f>IF(COUNTIF(BU$76:BU446,BU446)=1,MAX(BT$76:BT445)+1,"")</f>
        <v/>
      </c>
      <c r="BU446" s="1720">
        <v>190</v>
      </c>
      <c r="BV446" s="1720">
        <v>265</v>
      </c>
      <c r="BW446" s="1720">
        <v>285</v>
      </c>
      <c r="BX446" s="1720" t="s">
        <v>1573</v>
      </c>
      <c r="BY446" s="1772"/>
    </row>
    <row r="447" spans="72:77" x14ac:dyDescent="0.3">
      <c r="BT447" s="197" t="str">
        <f>IF(COUNTIF(BU$76:BU447,BU447)=1,MAX(BT$76:BT446)+1,"")</f>
        <v/>
      </c>
      <c r="BU447" s="1720">
        <v>190</v>
      </c>
      <c r="BV447" s="1720">
        <v>265</v>
      </c>
      <c r="BW447" s="1720">
        <v>285</v>
      </c>
      <c r="BX447" s="1720" t="s">
        <v>1573</v>
      </c>
      <c r="BY447" s="1772"/>
    </row>
    <row r="448" spans="72:77" x14ac:dyDescent="0.3">
      <c r="BT448" s="197" t="str">
        <f>IF(COUNTIF(BU$76:BU448,BU448)=1,MAX(BT$76:BT447)+1,"")</f>
        <v/>
      </c>
      <c r="BU448" s="1720">
        <v>190</v>
      </c>
      <c r="BV448" s="1720">
        <v>265</v>
      </c>
      <c r="BW448" s="1720">
        <v>285</v>
      </c>
      <c r="BX448" s="1720" t="s">
        <v>1573</v>
      </c>
      <c r="BY448" s="1772"/>
    </row>
    <row r="449" spans="72:77" x14ac:dyDescent="0.3">
      <c r="BT449" s="197" t="str">
        <f>IF(COUNTIF(BU$76:BU449,BU449)=1,MAX(BT$76:BT448)+1,"")</f>
        <v/>
      </c>
      <c r="BU449" s="1720">
        <v>190</v>
      </c>
      <c r="BV449" s="1720">
        <v>265</v>
      </c>
      <c r="BW449" s="1720">
        <v>285</v>
      </c>
      <c r="BX449" s="1720" t="s">
        <v>1573</v>
      </c>
      <c r="BY449" s="1772"/>
    </row>
    <row r="450" spans="72:77" x14ac:dyDescent="0.3">
      <c r="BT450" s="197" t="str">
        <f>IF(COUNTIF(BU$76:BU450,BU450)=1,MAX(BT$76:BT449)+1,"")</f>
        <v/>
      </c>
      <c r="BU450" s="1720">
        <v>190</v>
      </c>
      <c r="BV450" s="1720">
        <v>263</v>
      </c>
      <c r="BW450" s="1720">
        <v>285</v>
      </c>
      <c r="BX450" s="1720" t="s">
        <v>1573</v>
      </c>
      <c r="BY450" s="1772"/>
    </row>
    <row r="451" spans="72:77" x14ac:dyDescent="0.3">
      <c r="BT451" s="197" t="str">
        <f>IF(COUNTIF(BU$76:BU451,BU451)=1,MAX(BT$76:BT450)+1,"")</f>
        <v/>
      </c>
      <c r="BU451" s="1720">
        <v>190</v>
      </c>
      <c r="BV451" s="1720">
        <v>265</v>
      </c>
      <c r="BW451" s="1720">
        <v>285</v>
      </c>
      <c r="BX451" s="1720" t="s">
        <v>1573</v>
      </c>
      <c r="BY451" s="1772"/>
    </row>
    <row r="452" spans="72:77" x14ac:dyDescent="0.3">
      <c r="BT452" s="197" t="str">
        <f>IF(COUNTIF(BU$76:BU452,BU452)=1,MAX(BT$76:BT451)+1,"")</f>
        <v/>
      </c>
      <c r="BU452" s="1720">
        <v>190</v>
      </c>
      <c r="BV452" s="1720">
        <v>263</v>
      </c>
      <c r="BW452" s="1720">
        <v>285</v>
      </c>
      <c r="BX452" s="1720" t="s">
        <v>1573</v>
      </c>
      <c r="BY452" s="1772"/>
    </row>
    <row r="453" spans="72:77" x14ac:dyDescent="0.3">
      <c r="BT453" s="197" t="str">
        <f>IF(COUNTIF(BU$76:BU453,BU453)=1,MAX(BT$76:BT452)+1,"")</f>
        <v/>
      </c>
      <c r="BU453" s="1720">
        <v>190</v>
      </c>
      <c r="BV453" s="1720">
        <v>213</v>
      </c>
      <c r="BW453" s="1720">
        <v>285</v>
      </c>
      <c r="BX453" s="1720" t="s">
        <v>1574</v>
      </c>
      <c r="BY453" s="1772"/>
    </row>
    <row r="454" spans="72:77" x14ac:dyDescent="0.3">
      <c r="BT454" s="197" t="str">
        <f>IF(COUNTIF(BU$76:BU454,BU454)=1,MAX(BT$76:BT453)+1,"")</f>
        <v/>
      </c>
      <c r="BU454" s="1720">
        <v>190</v>
      </c>
      <c r="BV454" s="1720">
        <v>320</v>
      </c>
      <c r="BW454" s="1720">
        <v>285</v>
      </c>
      <c r="BX454" s="1720" t="s">
        <v>1575</v>
      </c>
      <c r="BY454" s="1772"/>
    </row>
    <row r="455" spans="72:77" x14ac:dyDescent="0.3">
      <c r="BT455" s="197" t="str">
        <f>IF(COUNTIF(BU$76:BU455,BU455)=1,MAX(BT$76:BT454)+1,"")</f>
        <v/>
      </c>
      <c r="BU455" s="1720">
        <v>190</v>
      </c>
      <c r="BV455" s="1720">
        <v>265</v>
      </c>
      <c r="BW455" s="1720">
        <v>285</v>
      </c>
      <c r="BX455" s="1720" t="s">
        <v>1573</v>
      </c>
      <c r="BY455" s="1772"/>
    </row>
    <row r="456" spans="72:77" x14ac:dyDescent="0.3">
      <c r="BT456" s="197" t="str">
        <f>IF(COUNTIF(BU$76:BU456,BU456)=1,MAX(BT$76:BT455)+1,"")</f>
        <v/>
      </c>
      <c r="BU456" s="1720">
        <v>190</v>
      </c>
      <c r="BV456" s="1720">
        <v>265</v>
      </c>
      <c r="BW456" s="1720">
        <v>285</v>
      </c>
      <c r="BX456" s="1720" t="s">
        <v>1573</v>
      </c>
      <c r="BY456" s="1772"/>
    </row>
    <row r="457" spans="72:77" x14ac:dyDescent="0.3">
      <c r="BT457" s="197" t="str">
        <f>IF(COUNTIF(BU$76:BU457,BU457)=1,MAX(BT$76:BT456)+1,"")</f>
        <v/>
      </c>
      <c r="BU457" s="1720">
        <v>190</v>
      </c>
      <c r="BV457" s="1720">
        <v>265</v>
      </c>
      <c r="BW457" s="1720">
        <v>285</v>
      </c>
      <c r="BX457" s="1720" t="s">
        <v>1573</v>
      </c>
      <c r="BY457" s="1772"/>
    </row>
    <row r="458" spans="72:77" x14ac:dyDescent="0.3">
      <c r="BT458" s="197" t="str">
        <f>IF(COUNTIF(BU$76:BU458,BU458)=1,MAX(BT$76:BT457)+1,"")</f>
        <v/>
      </c>
      <c r="BU458" s="1720">
        <v>190</v>
      </c>
      <c r="BV458" s="1720">
        <v>265</v>
      </c>
      <c r="BW458" s="1720">
        <v>285</v>
      </c>
      <c r="BX458" s="1720" t="s">
        <v>1573</v>
      </c>
      <c r="BY458" s="1772"/>
    </row>
    <row r="459" spans="72:77" x14ac:dyDescent="0.3">
      <c r="BT459" s="197" t="str">
        <f>IF(COUNTIF(BU$76:BU459,BU459)=1,MAX(BT$76:BT458)+1,"")</f>
        <v/>
      </c>
      <c r="BU459" s="1720">
        <v>190</v>
      </c>
      <c r="BV459" s="1720">
        <v>265</v>
      </c>
      <c r="BW459" s="1720">
        <v>285</v>
      </c>
      <c r="BX459" s="1720" t="s">
        <v>1573</v>
      </c>
      <c r="BY459" s="1772"/>
    </row>
    <row r="460" spans="72:77" x14ac:dyDescent="0.3">
      <c r="BT460" s="197" t="str">
        <f>IF(COUNTIF(BU$76:BU460,BU460)=1,MAX(BT$76:BT459)+1,"")</f>
        <v/>
      </c>
      <c r="BU460" s="1720">
        <v>190</v>
      </c>
      <c r="BV460" s="1720">
        <v>265</v>
      </c>
      <c r="BW460" s="1720">
        <v>285</v>
      </c>
      <c r="BX460" s="1720" t="s">
        <v>1573</v>
      </c>
      <c r="BY460" s="1772"/>
    </row>
    <row r="461" spans="72:77" x14ac:dyDescent="0.3">
      <c r="BT461" s="197" t="str">
        <f>IF(COUNTIF(BU$76:BU461,BU461)=1,MAX(BT$76:BT460)+1,"")</f>
        <v/>
      </c>
      <c r="BU461" s="1720">
        <v>190</v>
      </c>
      <c r="BV461" s="1720">
        <v>265</v>
      </c>
      <c r="BW461" s="1720">
        <v>285</v>
      </c>
      <c r="BX461" s="1720" t="s">
        <v>1573</v>
      </c>
      <c r="BY461" s="1772"/>
    </row>
    <row r="462" spans="72:77" x14ac:dyDescent="0.3">
      <c r="BT462" s="197" t="str">
        <f>IF(COUNTIF(BU$76:BU462,BU462)=1,MAX(BT$76:BT461)+1,"")</f>
        <v/>
      </c>
      <c r="BU462" s="1720">
        <v>190</v>
      </c>
      <c r="BV462" s="1720">
        <v>265</v>
      </c>
      <c r="BW462" s="1720">
        <v>285</v>
      </c>
      <c r="BX462" s="1720" t="s">
        <v>1573</v>
      </c>
      <c r="BY462" s="1772"/>
    </row>
    <row r="463" spans="72:77" x14ac:dyDescent="0.3">
      <c r="BT463" s="197">
        <f>IF(COUNTIF(BU$76:BU463,BU463)=1,MAX(BT$76:BT462)+1,"")</f>
        <v>42</v>
      </c>
      <c r="BU463" s="1720">
        <v>192.5</v>
      </c>
      <c r="BV463" s="1720">
        <v>265</v>
      </c>
      <c r="BW463" s="1720">
        <v>285</v>
      </c>
      <c r="BX463" s="1720" t="s">
        <v>1576</v>
      </c>
      <c r="BY463" s="1772"/>
    </row>
    <row r="464" spans="72:77" x14ac:dyDescent="0.3">
      <c r="BT464" s="197" t="str">
        <f>IF(COUNTIF(BU$76:BU464,BU464)=1,MAX(BT$76:BT463)+1,"")</f>
        <v/>
      </c>
      <c r="BU464" s="1720">
        <v>192.5</v>
      </c>
      <c r="BV464" s="1720">
        <v>265</v>
      </c>
      <c r="BW464" s="1720">
        <v>285</v>
      </c>
      <c r="BX464" s="1720" t="s">
        <v>1576</v>
      </c>
      <c r="BY464" s="1772"/>
    </row>
    <row r="465" spans="72:77" x14ac:dyDescent="0.3">
      <c r="BT465" s="197" t="str">
        <f>IF(COUNTIF(BU$76:BU465,BU465)=1,MAX(BT$76:BT464)+1,"")</f>
        <v/>
      </c>
      <c r="BU465" s="1720">
        <v>192.5</v>
      </c>
      <c r="BV465" s="1720">
        <v>263</v>
      </c>
      <c r="BW465" s="1720">
        <v>285</v>
      </c>
      <c r="BX465" s="1720" t="s">
        <v>1576</v>
      </c>
      <c r="BY465" s="1772"/>
    </row>
    <row r="466" spans="72:77" x14ac:dyDescent="0.3">
      <c r="BT466" s="197" t="str">
        <f>IF(COUNTIF(BU$76:BU466,BU466)=1,MAX(BT$76:BT465)+1,"")</f>
        <v/>
      </c>
      <c r="BU466" s="1720">
        <v>192.5</v>
      </c>
      <c r="BV466" s="1720">
        <v>260</v>
      </c>
      <c r="BW466" s="1720">
        <v>285</v>
      </c>
      <c r="BX466" s="1720" t="s">
        <v>1576</v>
      </c>
      <c r="BY466" s="1772"/>
    </row>
    <row r="467" spans="72:77" x14ac:dyDescent="0.3">
      <c r="BT467" s="197" t="str">
        <f>IF(COUNTIF(BU$76:BU467,BU467)=1,MAX(BT$76:BT466)+1,"")</f>
        <v/>
      </c>
      <c r="BU467" s="1720">
        <v>192.5</v>
      </c>
      <c r="BV467" s="1720">
        <v>265</v>
      </c>
      <c r="BW467" s="1720">
        <v>285</v>
      </c>
      <c r="BX467" s="1720" t="s">
        <v>1576</v>
      </c>
      <c r="BY467" s="1772"/>
    </row>
    <row r="468" spans="72:77" x14ac:dyDescent="0.3">
      <c r="BT468" s="197" t="str">
        <f>IF(COUNTIF(BU$76:BU468,BU468)=1,MAX(BT$76:BT467)+1,"")</f>
        <v/>
      </c>
      <c r="BU468" s="1720">
        <v>192.5</v>
      </c>
      <c r="BV468" s="1720">
        <v>265</v>
      </c>
      <c r="BW468" s="1720">
        <v>285</v>
      </c>
      <c r="BX468" s="1720" t="s">
        <v>1576</v>
      </c>
      <c r="BY468" s="1772"/>
    </row>
    <row r="469" spans="72:77" x14ac:dyDescent="0.3">
      <c r="BT469" s="197" t="str">
        <f>IF(COUNTIF(BU$76:BU469,BU469)=1,MAX(BT$76:BT468)+1,"")</f>
        <v/>
      </c>
      <c r="BU469" s="1720">
        <v>192.5</v>
      </c>
      <c r="BV469" s="1720">
        <v>265</v>
      </c>
      <c r="BW469" s="1720">
        <v>285</v>
      </c>
      <c r="BX469" s="1720" t="s">
        <v>1576</v>
      </c>
      <c r="BY469" s="1772"/>
    </row>
    <row r="470" spans="72:77" x14ac:dyDescent="0.3">
      <c r="BT470" s="197" t="str">
        <f>IF(COUNTIF(BU$76:BU470,BU470)=1,MAX(BT$76:BT469)+1,"")</f>
        <v/>
      </c>
      <c r="BU470" s="1720">
        <v>192.5</v>
      </c>
      <c r="BV470" s="1720">
        <v>265</v>
      </c>
      <c r="BW470" s="1720">
        <v>285</v>
      </c>
      <c r="BX470" s="1720" t="s">
        <v>1576</v>
      </c>
      <c r="BY470" s="1772"/>
    </row>
    <row r="471" spans="72:77" x14ac:dyDescent="0.3">
      <c r="BT471" s="197" t="str">
        <f>IF(COUNTIF(BU$76:BU471,BU471)=1,MAX(BT$76:BT470)+1,"")</f>
        <v/>
      </c>
      <c r="BU471" s="1720">
        <v>192.5</v>
      </c>
      <c r="BV471" s="1720">
        <v>265</v>
      </c>
      <c r="BW471" s="1720">
        <v>285</v>
      </c>
      <c r="BX471" s="1720" t="s">
        <v>1576</v>
      </c>
      <c r="BY471" s="1772"/>
    </row>
    <row r="472" spans="72:77" x14ac:dyDescent="0.3">
      <c r="BT472" s="197" t="str">
        <f>IF(COUNTIF(BU$76:BU472,BU472)=1,MAX(BT$76:BT471)+1,"")</f>
        <v/>
      </c>
      <c r="BU472" s="1720">
        <v>192.5</v>
      </c>
      <c r="BV472" s="1720">
        <v>265</v>
      </c>
      <c r="BW472" s="1720">
        <v>285</v>
      </c>
      <c r="BX472" s="1720" t="s">
        <v>1576</v>
      </c>
      <c r="BY472" s="1772"/>
    </row>
    <row r="473" spans="72:77" x14ac:dyDescent="0.3">
      <c r="BT473" s="197" t="str">
        <f>IF(COUNTIF(BU$76:BU473,BU473)=1,MAX(BT$76:BT472)+1,"")</f>
        <v/>
      </c>
      <c r="BU473" s="1720">
        <v>192.5</v>
      </c>
      <c r="BV473" s="1720">
        <v>263</v>
      </c>
      <c r="BW473" s="1720">
        <v>285</v>
      </c>
      <c r="BX473" s="1720" t="s">
        <v>1576</v>
      </c>
      <c r="BY473" s="1772"/>
    </row>
    <row r="474" spans="72:77" x14ac:dyDescent="0.3">
      <c r="BT474" s="197" t="str">
        <f>IF(COUNTIF(BU$76:BU474,BU474)=1,MAX(BT$76:BT473)+1,"")</f>
        <v/>
      </c>
      <c r="BU474" s="1720">
        <v>192.5</v>
      </c>
      <c r="BV474" s="1720">
        <v>265</v>
      </c>
      <c r="BW474" s="1720">
        <v>285</v>
      </c>
      <c r="BX474" s="1720" t="s">
        <v>1576</v>
      </c>
      <c r="BY474" s="1772"/>
    </row>
    <row r="475" spans="72:77" x14ac:dyDescent="0.3">
      <c r="BT475" s="197" t="str">
        <f>IF(COUNTIF(BU$76:BU475,BU475)=1,MAX(BT$76:BT474)+1,"")</f>
        <v/>
      </c>
      <c r="BU475" s="1720">
        <v>192.5</v>
      </c>
      <c r="BV475" s="1720">
        <v>265</v>
      </c>
      <c r="BW475" s="1720">
        <v>285</v>
      </c>
      <c r="BX475" s="1720" t="s">
        <v>1576</v>
      </c>
      <c r="BY475" s="1772"/>
    </row>
    <row r="476" spans="72:77" x14ac:dyDescent="0.3">
      <c r="BT476" s="197" t="str">
        <f>IF(COUNTIF(BU$76:BU476,BU476)=1,MAX(BT$76:BT475)+1,"")</f>
        <v/>
      </c>
      <c r="BU476" s="1720">
        <v>192.5</v>
      </c>
      <c r="BV476" s="1720">
        <v>265</v>
      </c>
      <c r="BW476" s="1720">
        <v>285</v>
      </c>
      <c r="BX476" s="1720" t="s">
        <v>1576</v>
      </c>
      <c r="BY476" s="1772"/>
    </row>
    <row r="477" spans="72:77" x14ac:dyDescent="0.3">
      <c r="BT477" s="197" t="str">
        <f>IF(COUNTIF(BU$76:BU477,BU477)=1,MAX(BT$76:BT476)+1,"")</f>
        <v/>
      </c>
      <c r="BU477" s="1720">
        <v>192.5</v>
      </c>
      <c r="BV477" s="1720">
        <v>265</v>
      </c>
      <c r="BW477" s="1720">
        <v>285</v>
      </c>
      <c r="BX477" s="1720" t="s">
        <v>1576</v>
      </c>
      <c r="BY477" s="1772"/>
    </row>
    <row r="478" spans="72:77" x14ac:dyDescent="0.3">
      <c r="BT478" s="197" t="str">
        <f>IF(COUNTIF(BU$76:BU478,BU478)=1,MAX(BT$76:BT477)+1,"")</f>
        <v/>
      </c>
      <c r="BU478" s="1720">
        <v>192.5</v>
      </c>
      <c r="BV478" s="1720">
        <v>260</v>
      </c>
      <c r="BW478" s="1720">
        <v>375</v>
      </c>
      <c r="BX478" s="1720" t="s">
        <v>1577</v>
      </c>
      <c r="BY478" s="1772"/>
    </row>
    <row r="479" spans="72:77" x14ac:dyDescent="0.3">
      <c r="BT479" s="197" t="str">
        <f>IF(COUNTIF(BU$76:BU479,BU479)=1,MAX(BT$76:BT478)+1,"")</f>
        <v/>
      </c>
      <c r="BU479" s="1720">
        <v>192.5</v>
      </c>
      <c r="BV479" s="1720">
        <v>265</v>
      </c>
      <c r="BW479" s="1720">
        <v>285</v>
      </c>
      <c r="BX479" s="1720" t="s">
        <v>1576</v>
      </c>
      <c r="BY479" s="1772"/>
    </row>
    <row r="480" spans="72:77" x14ac:dyDescent="0.3">
      <c r="BT480" s="197" t="str">
        <f>IF(COUNTIF(BU$76:BU480,BU480)=1,MAX(BT$76:BT479)+1,"")</f>
        <v/>
      </c>
      <c r="BU480" s="1720">
        <v>192.5</v>
      </c>
      <c r="BV480" s="1720">
        <v>265</v>
      </c>
      <c r="BW480" s="1720">
        <v>285</v>
      </c>
      <c r="BX480" s="1720" t="s">
        <v>1576</v>
      </c>
      <c r="BY480" s="1772"/>
    </row>
    <row r="481" spans="72:77" x14ac:dyDescent="0.3">
      <c r="BT481" s="197" t="str">
        <f>IF(COUNTIF(BU$76:BU481,BU481)=1,MAX(BT$76:BT480)+1,"")</f>
        <v/>
      </c>
      <c r="BU481" s="1720">
        <v>192.5</v>
      </c>
      <c r="BV481" s="1720">
        <v>265</v>
      </c>
      <c r="BW481" s="1720">
        <v>285</v>
      </c>
      <c r="BX481" s="1720" t="s">
        <v>1576</v>
      </c>
      <c r="BY481" s="1772"/>
    </row>
    <row r="482" spans="72:77" x14ac:dyDescent="0.3">
      <c r="BT482" s="197" t="str">
        <f>IF(COUNTIF(BU$76:BU482,BU482)=1,MAX(BT$76:BT481)+1,"")</f>
        <v/>
      </c>
      <c r="BU482" s="1720">
        <v>192.5</v>
      </c>
      <c r="BV482" s="1720">
        <v>265</v>
      </c>
      <c r="BW482" s="1720">
        <v>285</v>
      </c>
      <c r="BX482" s="1720" t="s">
        <v>1576</v>
      </c>
      <c r="BY482" s="1772"/>
    </row>
    <row r="483" spans="72:77" x14ac:dyDescent="0.3">
      <c r="BT483" s="197" t="str">
        <f>IF(COUNTIF(BU$76:BU483,BU483)=1,MAX(BT$76:BT482)+1,"")</f>
        <v/>
      </c>
      <c r="BU483" s="1720">
        <v>192.5</v>
      </c>
      <c r="BV483" s="1720">
        <v>250</v>
      </c>
      <c r="BW483" s="1720">
        <v>285</v>
      </c>
      <c r="BX483" s="1720" t="s">
        <v>1576</v>
      </c>
      <c r="BY483" s="1772"/>
    </row>
    <row r="484" spans="72:77" x14ac:dyDescent="0.3">
      <c r="BT484" s="197" t="str">
        <f>IF(COUNTIF(BU$76:BU484,BU484)=1,MAX(BT$76:BT483)+1,"")</f>
        <v/>
      </c>
      <c r="BU484" s="1720">
        <v>192.5</v>
      </c>
      <c r="BV484" s="1720">
        <v>265</v>
      </c>
      <c r="BW484" s="1720">
        <v>285</v>
      </c>
      <c r="BX484" s="1720" t="s">
        <v>1576</v>
      </c>
      <c r="BY484" s="1772"/>
    </row>
    <row r="485" spans="72:77" x14ac:dyDescent="0.3">
      <c r="BT485" s="197" t="str">
        <f>IF(COUNTIF(BU$76:BU485,BU485)=1,MAX(BT$76:BT484)+1,"")</f>
        <v/>
      </c>
      <c r="BU485" s="1720">
        <v>192.5</v>
      </c>
      <c r="BV485" s="1720">
        <v>265</v>
      </c>
      <c r="BW485" s="1720">
        <v>285</v>
      </c>
      <c r="BX485" s="1720" t="s">
        <v>1576</v>
      </c>
      <c r="BY485" s="1772"/>
    </row>
    <row r="486" spans="72:77" x14ac:dyDescent="0.3">
      <c r="BT486" s="197" t="str">
        <f>IF(COUNTIF(BU$76:BU486,BU486)=1,MAX(BT$76:BT485)+1,"")</f>
        <v/>
      </c>
      <c r="BU486" s="1720">
        <v>192.5</v>
      </c>
      <c r="BV486" s="1720">
        <v>262</v>
      </c>
      <c r="BW486" s="1720">
        <v>285</v>
      </c>
      <c r="BX486" s="1720" t="s">
        <v>1576</v>
      </c>
      <c r="BY486" s="1772"/>
    </row>
    <row r="487" spans="72:77" x14ac:dyDescent="0.3">
      <c r="BT487" s="197" t="str">
        <f>IF(COUNTIF(BU$76:BU487,BU487)=1,MAX(BT$76:BT486)+1,"")</f>
        <v/>
      </c>
      <c r="BU487" s="1720">
        <v>192.5</v>
      </c>
      <c r="BV487" s="1720">
        <v>317</v>
      </c>
      <c r="BW487" s="1720">
        <v>285</v>
      </c>
      <c r="BX487" s="1720" t="s">
        <v>1578</v>
      </c>
      <c r="BY487" s="1772"/>
    </row>
    <row r="488" spans="72:77" x14ac:dyDescent="0.3">
      <c r="BT488" s="197" t="str">
        <f>IF(COUNTIF(BU$76:BU488,BU488)=1,MAX(BT$76:BT487)+1,"")</f>
        <v/>
      </c>
      <c r="BU488" s="1720">
        <v>192.5</v>
      </c>
      <c r="BV488" s="1720">
        <v>265</v>
      </c>
      <c r="BW488" s="1720">
        <v>285</v>
      </c>
      <c r="BX488" s="1720" t="s">
        <v>1576</v>
      </c>
      <c r="BY488" s="1772"/>
    </row>
    <row r="489" spans="72:77" x14ac:dyDescent="0.3">
      <c r="BT489" s="197" t="str">
        <f>IF(COUNTIF(BU$76:BU489,BU489)=1,MAX(BT$76:BT488)+1,"")</f>
        <v/>
      </c>
      <c r="BU489" s="1720">
        <v>192.5</v>
      </c>
      <c r="BV489" s="1720">
        <v>260</v>
      </c>
      <c r="BW489" s="1720">
        <v>360</v>
      </c>
      <c r="BX489" s="1720" t="s">
        <v>1577</v>
      </c>
      <c r="BY489" s="1772"/>
    </row>
    <row r="490" spans="72:77" x14ac:dyDescent="0.3">
      <c r="BT490" s="197" t="str">
        <f>IF(COUNTIF(BU$76:BU490,BU490)=1,MAX(BT$76:BT489)+1,"")</f>
        <v/>
      </c>
      <c r="BU490" s="1720">
        <v>192.5</v>
      </c>
      <c r="BV490" s="1720">
        <v>265</v>
      </c>
      <c r="BW490" s="1720">
        <v>285</v>
      </c>
      <c r="BX490" s="1720" t="s">
        <v>1576</v>
      </c>
      <c r="BY490" s="1772"/>
    </row>
    <row r="491" spans="72:77" x14ac:dyDescent="0.3">
      <c r="BT491" s="197" t="str">
        <f>IF(COUNTIF(BU$76:BU491,BU491)=1,MAX(BT$76:BT490)+1,"")</f>
        <v/>
      </c>
      <c r="BU491" s="1720">
        <v>192.5</v>
      </c>
      <c r="BV491" s="1720">
        <v>260</v>
      </c>
      <c r="BW491" s="1720">
        <v>285</v>
      </c>
      <c r="BX491" s="1720" t="s">
        <v>1576</v>
      </c>
      <c r="BY491" s="1772"/>
    </row>
    <row r="492" spans="72:77" x14ac:dyDescent="0.3">
      <c r="BT492" s="197" t="str">
        <f>IF(COUNTIF(BU$76:BU492,BU492)=1,MAX(BT$76:BT491)+1,"")</f>
        <v/>
      </c>
      <c r="BU492" s="1720">
        <v>192.5</v>
      </c>
      <c r="BV492" s="1720">
        <v>265</v>
      </c>
      <c r="BW492" s="1720">
        <v>285</v>
      </c>
      <c r="BX492" s="1720" t="s">
        <v>1576</v>
      </c>
      <c r="BY492" s="1772"/>
    </row>
    <row r="493" spans="72:77" x14ac:dyDescent="0.3">
      <c r="BT493" s="197" t="str">
        <f>IF(COUNTIF(BU$76:BU493,BU493)=1,MAX(BT$76:BT492)+1,"")</f>
        <v/>
      </c>
      <c r="BU493" s="1720">
        <v>192.5</v>
      </c>
      <c r="BV493" s="1720">
        <v>265</v>
      </c>
      <c r="BW493" s="1720">
        <v>285</v>
      </c>
      <c r="BX493" s="1720" t="s">
        <v>1576</v>
      </c>
      <c r="BY493" s="1772"/>
    </row>
    <row r="494" spans="72:77" x14ac:dyDescent="0.3">
      <c r="BT494" s="197" t="str">
        <f>IF(COUNTIF(BU$76:BU494,BU494)=1,MAX(BT$76:BT493)+1,"")</f>
        <v/>
      </c>
      <c r="BU494" s="1720">
        <v>192.5</v>
      </c>
      <c r="BV494" s="1720">
        <v>265</v>
      </c>
      <c r="BW494" s="1720">
        <v>285</v>
      </c>
      <c r="BX494" s="1720" t="s">
        <v>1576</v>
      </c>
      <c r="BY494" s="1772"/>
    </row>
    <row r="495" spans="72:77" x14ac:dyDescent="0.3">
      <c r="BT495" s="197" t="str">
        <f>IF(COUNTIF(BU$76:BU495,BU495)=1,MAX(BT$76:BT494)+1,"")</f>
        <v/>
      </c>
      <c r="BU495" s="1720">
        <v>192.5</v>
      </c>
      <c r="BV495" s="1720">
        <v>265</v>
      </c>
      <c r="BW495" s="1720">
        <v>285</v>
      </c>
      <c r="BX495" s="1720" t="s">
        <v>1576</v>
      </c>
      <c r="BY495" s="1772"/>
    </row>
    <row r="496" spans="72:77" x14ac:dyDescent="0.3">
      <c r="BT496" s="197" t="str">
        <f>IF(COUNTIF(BU$76:BU496,BU496)=1,MAX(BT$76:BT495)+1,"")</f>
        <v/>
      </c>
      <c r="BU496" s="1720">
        <v>192.5</v>
      </c>
      <c r="BV496" s="1720">
        <v>260</v>
      </c>
      <c r="BW496" s="1720">
        <v>375</v>
      </c>
      <c r="BX496" s="1720" t="s">
        <v>1577</v>
      </c>
      <c r="BY496" s="1772"/>
    </row>
    <row r="497" spans="72:77" x14ac:dyDescent="0.3">
      <c r="BT497" s="197">
        <f>IF(COUNTIF(BU$76:BU497,BU497)=1,MAX(BT$76:BT496)+1,"")</f>
        <v>43</v>
      </c>
      <c r="BU497" s="1720">
        <v>195</v>
      </c>
      <c r="BV497" s="1720">
        <v>265</v>
      </c>
      <c r="BW497" s="1720">
        <v>285</v>
      </c>
      <c r="BX497" s="1720" t="s">
        <v>1579</v>
      </c>
      <c r="BY497" s="1772"/>
    </row>
    <row r="498" spans="72:77" x14ac:dyDescent="0.3">
      <c r="BT498" s="197" t="str">
        <f>IF(COUNTIF(BU$76:BU498,BU498)=1,MAX(BT$76:BT497)+1,"")</f>
        <v/>
      </c>
      <c r="BU498" s="1720">
        <v>195</v>
      </c>
      <c r="BV498" s="1720">
        <v>265</v>
      </c>
      <c r="BW498" s="1720">
        <v>285</v>
      </c>
      <c r="BX498" s="1720" t="s">
        <v>1579</v>
      </c>
      <c r="BY498" s="1772"/>
    </row>
    <row r="499" spans="72:77" x14ac:dyDescent="0.3">
      <c r="BT499" s="197" t="str">
        <f>IF(COUNTIF(BU$76:BU499,BU499)=1,MAX(BT$76:BT498)+1,"")</f>
        <v/>
      </c>
      <c r="BU499" s="1720">
        <v>195</v>
      </c>
      <c r="BV499" s="1720">
        <v>265</v>
      </c>
      <c r="BW499" s="1720">
        <v>285</v>
      </c>
      <c r="BX499" s="1720" t="s">
        <v>1579</v>
      </c>
      <c r="BY499" s="1772"/>
    </row>
    <row r="500" spans="72:77" x14ac:dyDescent="0.3">
      <c r="BT500" s="197" t="str">
        <f>IF(COUNTIF(BU$76:BU500,BU500)=1,MAX(BT$76:BT499)+1,"")</f>
        <v/>
      </c>
      <c r="BU500" s="1720">
        <v>195</v>
      </c>
      <c r="BV500" s="1720">
        <v>265</v>
      </c>
      <c r="BW500" s="1720">
        <v>285</v>
      </c>
      <c r="BX500" s="1720" t="s">
        <v>1579</v>
      </c>
      <c r="BY500" s="1772"/>
    </row>
    <row r="501" spans="72:77" x14ac:dyDescent="0.3">
      <c r="BT501" s="197" t="str">
        <f>IF(COUNTIF(BU$76:BU501,BU501)=1,MAX(BT$76:BT500)+1,"")</f>
        <v/>
      </c>
      <c r="BU501" s="1720">
        <v>195</v>
      </c>
      <c r="BV501" s="1720">
        <v>265</v>
      </c>
      <c r="BW501" s="1720">
        <v>285</v>
      </c>
      <c r="BX501" s="1720" t="s">
        <v>1579</v>
      </c>
      <c r="BY501" s="1772"/>
    </row>
    <row r="502" spans="72:77" x14ac:dyDescent="0.3">
      <c r="BT502" s="197" t="str">
        <f>IF(COUNTIF(BU$76:BU502,BU502)=1,MAX(BT$76:BT501)+1,"")</f>
        <v/>
      </c>
      <c r="BU502" s="1720">
        <v>195</v>
      </c>
      <c r="BV502" s="1720">
        <v>265</v>
      </c>
      <c r="BW502" s="1720">
        <v>285</v>
      </c>
      <c r="BX502" s="1720" t="s">
        <v>1579</v>
      </c>
      <c r="BY502" s="1772"/>
    </row>
    <row r="503" spans="72:77" x14ac:dyDescent="0.3">
      <c r="BT503" s="197" t="str">
        <f>IF(COUNTIF(BU$76:BU503,BU503)=1,MAX(BT$76:BT502)+1,"")</f>
        <v/>
      </c>
      <c r="BU503" s="1720">
        <v>195</v>
      </c>
      <c r="BV503" s="1720">
        <v>260</v>
      </c>
      <c r="BW503" s="1720">
        <v>285</v>
      </c>
      <c r="BX503" s="1720" t="s">
        <v>1579</v>
      </c>
      <c r="BY503" s="1772"/>
    </row>
    <row r="504" spans="72:77" x14ac:dyDescent="0.3">
      <c r="BT504" s="197" t="str">
        <f>IF(COUNTIF(BU$76:BU504,BU504)=1,MAX(BT$76:BT503)+1,"")</f>
        <v/>
      </c>
      <c r="BU504" s="1720">
        <v>195</v>
      </c>
      <c r="BV504" s="1720">
        <v>265</v>
      </c>
      <c r="BW504" s="1720">
        <v>285</v>
      </c>
      <c r="BX504" s="1720" t="s">
        <v>1579</v>
      </c>
      <c r="BY504" s="1772"/>
    </row>
    <row r="505" spans="72:77" x14ac:dyDescent="0.3">
      <c r="BT505" s="197" t="str">
        <f>IF(COUNTIF(BU$76:BU505,BU505)=1,MAX(BT$76:BT504)+1,"")</f>
        <v/>
      </c>
      <c r="BU505" s="1720">
        <v>195</v>
      </c>
      <c r="BV505" s="1720">
        <v>265</v>
      </c>
      <c r="BW505" s="1720">
        <v>285</v>
      </c>
      <c r="BX505" s="1720" t="s">
        <v>1579</v>
      </c>
      <c r="BY505" s="1772"/>
    </row>
    <row r="506" spans="72:77" x14ac:dyDescent="0.3">
      <c r="BT506" s="197" t="str">
        <f>IF(COUNTIF(BU$76:BU506,BU506)=1,MAX(BT$76:BT505)+1,"")</f>
        <v/>
      </c>
      <c r="BU506" s="1720">
        <v>195</v>
      </c>
      <c r="BV506" s="1720">
        <v>318</v>
      </c>
      <c r="BW506" s="1720">
        <v>285</v>
      </c>
      <c r="BX506" s="1720" t="s">
        <v>1580</v>
      </c>
      <c r="BY506" s="1772"/>
    </row>
    <row r="507" spans="72:77" x14ac:dyDescent="0.3">
      <c r="BT507" s="197" t="str">
        <f>IF(COUNTIF(BU$76:BU507,BU507)=1,MAX(BT$76:BT506)+1,"")</f>
        <v/>
      </c>
      <c r="BU507" s="1720">
        <v>195</v>
      </c>
      <c r="BV507" s="1720">
        <v>377</v>
      </c>
      <c r="BW507" s="1720">
        <v>285</v>
      </c>
      <c r="BX507" s="1720" t="s">
        <v>1581</v>
      </c>
      <c r="BY507" s="1772"/>
    </row>
    <row r="508" spans="72:77" x14ac:dyDescent="0.3">
      <c r="BT508" s="197" t="str">
        <f>IF(COUNTIF(BU$76:BU508,BU508)=1,MAX(BT$76:BT507)+1,"")</f>
        <v/>
      </c>
      <c r="BU508" s="1720">
        <v>195</v>
      </c>
      <c r="BV508" s="1720">
        <v>263</v>
      </c>
      <c r="BW508" s="1720">
        <v>285</v>
      </c>
      <c r="BX508" s="1720" t="s">
        <v>1579</v>
      </c>
      <c r="BY508" s="1772"/>
    </row>
    <row r="509" spans="72:77" x14ac:dyDescent="0.3">
      <c r="BT509" s="197" t="str">
        <f>IF(COUNTIF(BU$76:BU509,BU509)=1,MAX(BT$76:BT508)+1,"")</f>
        <v/>
      </c>
      <c r="BU509" s="1720">
        <v>195</v>
      </c>
      <c r="BV509" s="1720">
        <v>377</v>
      </c>
      <c r="BW509" s="1720">
        <v>285</v>
      </c>
      <c r="BX509" s="1720" t="s">
        <v>1581</v>
      </c>
      <c r="BY509" s="1772"/>
    </row>
    <row r="510" spans="72:77" x14ac:dyDescent="0.3">
      <c r="BT510" s="197" t="str">
        <f>IF(COUNTIF(BU$76:BU510,BU510)=1,MAX(BT$76:BT509)+1,"")</f>
        <v/>
      </c>
      <c r="BU510" s="1720">
        <v>195</v>
      </c>
      <c r="BV510" s="1720">
        <v>260</v>
      </c>
      <c r="BW510" s="1720">
        <v>285</v>
      </c>
      <c r="BX510" s="1720" t="s">
        <v>1579</v>
      </c>
      <c r="BY510" s="1772"/>
    </row>
    <row r="511" spans="72:77" x14ac:dyDescent="0.3">
      <c r="BT511" s="197" t="str">
        <f>IF(COUNTIF(BU$76:BU511,BU511)=1,MAX(BT$76:BT510)+1,"")</f>
        <v/>
      </c>
      <c r="BU511" s="1720">
        <v>195</v>
      </c>
      <c r="BV511" s="1720">
        <v>265</v>
      </c>
      <c r="BW511" s="1720">
        <v>285</v>
      </c>
      <c r="BX511" s="1720" t="s">
        <v>1579</v>
      </c>
      <c r="BY511" s="1772"/>
    </row>
    <row r="512" spans="72:77" x14ac:dyDescent="0.3">
      <c r="BT512" s="197" t="str">
        <f>IF(COUNTIF(BU$76:BU512,BU512)=1,MAX(BT$76:BT511)+1,"")</f>
        <v/>
      </c>
      <c r="BU512" s="1720">
        <v>195</v>
      </c>
      <c r="BV512" s="1720">
        <v>265</v>
      </c>
      <c r="BW512" s="1720">
        <v>285</v>
      </c>
      <c r="BX512" s="1720" t="s">
        <v>1579</v>
      </c>
      <c r="BY512" s="1772"/>
    </row>
    <row r="513" spans="72:77" x14ac:dyDescent="0.3">
      <c r="BT513" s="197">
        <f>IF(COUNTIF(BU$76:BU513,BU513)=1,MAX(BT$76:BT512)+1,"")</f>
        <v>44</v>
      </c>
      <c r="BU513" s="1720">
        <v>197.5</v>
      </c>
      <c r="BV513" s="1720">
        <v>265</v>
      </c>
      <c r="BW513" s="1720">
        <v>285</v>
      </c>
      <c r="BX513" s="1720" t="s">
        <v>1582</v>
      </c>
      <c r="BY513" s="1772"/>
    </row>
    <row r="514" spans="72:77" x14ac:dyDescent="0.3">
      <c r="BT514" s="197" t="str">
        <f>IF(COUNTIF(BU$76:BU514,BU514)=1,MAX(BT$76:BT513)+1,"")</f>
        <v/>
      </c>
      <c r="BU514" s="1720">
        <v>197.5</v>
      </c>
      <c r="BV514" s="1720">
        <v>260</v>
      </c>
      <c r="BW514" s="1720">
        <v>285</v>
      </c>
      <c r="BX514" s="1720" t="s">
        <v>1582</v>
      </c>
      <c r="BY514" s="1772"/>
    </row>
    <row r="515" spans="72:77" x14ac:dyDescent="0.3">
      <c r="BT515" s="197" t="str">
        <f>IF(COUNTIF(BU$76:BU515,BU515)=1,MAX(BT$76:BT514)+1,"")</f>
        <v/>
      </c>
      <c r="BU515" s="1720">
        <v>197.5</v>
      </c>
      <c r="BV515" s="1720">
        <v>260</v>
      </c>
      <c r="BW515" s="1720">
        <v>285</v>
      </c>
      <c r="BX515" s="1720" t="s">
        <v>1582</v>
      </c>
      <c r="BY515" s="1772"/>
    </row>
    <row r="516" spans="72:77" x14ac:dyDescent="0.3">
      <c r="BT516" s="197" t="str">
        <f>IF(COUNTIF(BU$76:BU516,BU516)=1,MAX(BT$76:BT515)+1,"")</f>
        <v/>
      </c>
      <c r="BU516" s="1720">
        <v>197.5</v>
      </c>
      <c r="BV516" s="1720">
        <v>265</v>
      </c>
      <c r="BW516" s="1720">
        <v>285</v>
      </c>
      <c r="BX516" s="1720" t="s">
        <v>1582</v>
      </c>
      <c r="BY516" s="1772"/>
    </row>
    <row r="517" spans="72:77" x14ac:dyDescent="0.3">
      <c r="BT517" s="197" t="str">
        <f>IF(COUNTIF(BU$76:BU517,BU517)=1,MAX(BT$76:BT516)+1,"")</f>
        <v/>
      </c>
      <c r="BU517" s="1720">
        <v>197.5</v>
      </c>
      <c r="BV517" s="1720">
        <v>265</v>
      </c>
      <c r="BW517" s="1720">
        <v>285</v>
      </c>
      <c r="BX517" s="1720" t="s">
        <v>1582</v>
      </c>
      <c r="BY517" s="1772"/>
    </row>
    <row r="518" spans="72:77" x14ac:dyDescent="0.3">
      <c r="BT518" s="197" t="str">
        <f>IF(COUNTIF(BU$76:BU518,BU518)=1,MAX(BT$76:BT517)+1,"")</f>
        <v/>
      </c>
      <c r="BU518" s="1720">
        <v>197.5</v>
      </c>
      <c r="BV518" s="1720">
        <v>263</v>
      </c>
      <c r="BW518" s="1720">
        <v>285</v>
      </c>
      <c r="BX518" s="1720" t="s">
        <v>1582</v>
      </c>
      <c r="BY518" s="1772"/>
    </row>
    <row r="519" spans="72:77" x14ac:dyDescent="0.3">
      <c r="BT519" s="197" t="str">
        <f>IF(COUNTIF(BU$76:BU519,BU519)=1,MAX(BT$76:BT518)+1,"")</f>
        <v/>
      </c>
      <c r="BU519" s="1720">
        <v>197.5</v>
      </c>
      <c r="BV519" s="1720">
        <v>318</v>
      </c>
      <c r="BW519" s="1720">
        <v>285</v>
      </c>
      <c r="BX519" s="1720" t="s">
        <v>1583</v>
      </c>
      <c r="BY519" s="1772"/>
    </row>
    <row r="520" spans="72:77" x14ac:dyDescent="0.3">
      <c r="BT520" s="197" t="str">
        <f>IF(COUNTIF(BU$76:BU520,BU520)=1,MAX(BT$76:BT519)+1,"")</f>
        <v/>
      </c>
      <c r="BU520" s="1720">
        <v>197.5</v>
      </c>
      <c r="BV520" s="1720">
        <v>325</v>
      </c>
      <c r="BW520" s="1720">
        <v>285</v>
      </c>
      <c r="BX520" s="1720" t="s">
        <v>1583</v>
      </c>
      <c r="BY520" s="1772"/>
    </row>
    <row r="521" spans="72:77" x14ac:dyDescent="0.3">
      <c r="BT521" s="197" t="str">
        <f>IF(COUNTIF(BU$76:BU521,BU521)=1,MAX(BT$76:BT520)+1,"")</f>
        <v/>
      </c>
      <c r="BU521" s="1720">
        <v>197.5</v>
      </c>
      <c r="BV521" s="1720">
        <v>265</v>
      </c>
      <c r="BW521" s="1720">
        <v>285</v>
      </c>
      <c r="BX521" s="1720" t="s">
        <v>1582</v>
      </c>
      <c r="BY521" s="1772"/>
    </row>
    <row r="522" spans="72:77" x14ac:dyDescent="0.3">
      <c r="BT522" s="197" t="str">
        <f>IF(COUNTIF(BU$76:BU522,BU522)=1,MAX(BT$76:BT521)+1,"")</f>
        <v/>
      </c>
      <c r="BU522" s="1720">
        <v>197.5</v>
      </c>
      <c r="BV522" s="1720">
        <v>265</v>
      </c>
      <c r="BW522" s="1720">
        <v>285</v>
      </c>
      <c r="BX522" s="1720" t="s">
        <v>1582</v>
      </c>
      <c r="BY522" s="1772"/>
    </row>
    <row r="523" spans="72:77" x14ac:dyDescent="0.3">
      <c r="BT523" s="197" t="str">
        <f>IF(COUNTIF(BU$76:BU523,BU523)=1,MAX(BT$76:BT522)+1,"")</f>
        <v/>
      </c>
      <c r="BU523" s="1720">
        <v>197.5</v>
      </c>
      <c r="BV523" s="1720">
        <v>260</v>
      </c>
      <c r="BW523" s="1720">
        <v>285</v>
      </c>
      <c r="BX523" s="1720" t="s">
        <v>1582</v>
      </c>
      <c r="BY523" s="1772"/>
    </row>
    <row r="524" spans="72:77" x14ac:dyDescent="0.3">
      <c r="BT524" s="197" t="str">
        <f>IF(COUNTIF(BU$76:BU524,BU524)=1,MAX(BT$76:BT523)+1,"")</f>
        <v/>
      </c>
      <c r="BU524" s="1720">
        <v>197.5</v>
      </c>
      <c r="BV524" s="1720">
        <v>378</v>
      </c>
      <c r="BW524" s="1720">
        <v>285</v>
      </c>
      <c r="BX524" s="1720" t="s">
        <v>1584</v>
      </c>
      <c r="BY524" s="1772"/>
    </row>
    <row r="525" spans="72:77" x14ac:dyDescent="0.3">
      <c r="BT525" s="197" t="str">
        <f>IF(COUNTIF(BU$76:BU525,BU525)=1,MAX(BT$76:BT524)+1,"")</f>
        <v/>
      </c>
      <c r="BU525" s="1720">
        <v>197.5</v>
      </c>
      <c r="BV525" s="1720">
        <v>318</v>
      </c>
      <c r="BW525" s="1720">
        <v>285</v>
      </c>
      <c r="BX525" s="1720" t="s">
        <v>1583</v>
      </c>
      <c r="BY525" s="1772"/>
    </row>
    <row r="526" spans="72:77" x14ac:dyDescent="0.3">
      <c r="BT526" s="197" t="str">
        <f>IF(COUNTIF(BU$76:BU526,BU526)=1,MAX(BT$76:BT525)+1,"")</f>
        <v/>
      </c>
      <c r="BU526" s="1720">
        <v>197.5</v>
      </c>
      <c r="BV526" s="1720">
        <v>263</v>
      </c>
      <c r="BW526" s="1720">
        <v>285</v>
      </c>
      <c r="BX526" s="1720" t="s">
        <v>1582</v>
      </c>
      <c r="BY526" s="1772"/>
    </row>
    <row r="527" spans="72:77" x14ac:dyDescent="0.3">
      <c r="BT527" s="197" t="str">
        <f>IF(COUNTIF(BU$76:BU527,BU527)=1,MAX(BT$76:BT526)+1,"")</f>
        <v/>
      </c>
      <c r="BU527" s="1720">
        <v>197.5</v>
      </c>
      <c r="BV527" s="1720">
        <v>265</v>
      </c>
      <c r="BW527" s="1720">
        <v>285</v>
      </c>
      <c r="BX527" s="1720" t="s">
        <v>1582</v>
      </c>
      <c r="BY527" s="1772"/>
    </row>
    <row r="528" spans="72:77" x14ac:dyDescent="0.3">
      <c r="BT528" s="197" t="str">
        <f>IF(COUNTIF(BU$76:BU528,BU528)=1,MAX(BT$76:BT527)+1,"")</f>
        <v/>
      </c>
      <c r="BU528" s="1720">
        <v>197.5</v>
      </c>
      <c r="BV528" s="1720">
        <v>375</v>
      </c>
      <c r="BW528" s="1720">
        <v>285</v>
      </c>
      <c r="BX528" s="1720" t="s">
        <v>1584</v>
      </c>
      <c r="BY528" s="1772"/>
    </row>
    <row r="529" spans="72:77" x14ac:dyDescent="0.3">
      <c r="BT529" s="197">
        <f>IF(COUNTIF(BU$76:BU529,BU529)=1,MAX(BT$76:BT528)+1,"")</f>
        <v>45</v>
      </c>
      <c r="BU529" s="1720">
        <v>200</v>
      </c>
      <c r="BV529" s="1720">
        <v>265</v>
      </c>
      <c r="BW529" s="1720">
        <v>285</v>
      </c>
      <c r="BX529" s="1720" t="s">
        <v>1585</v>
      </c>
      <c r="BY529" s="1772"/>
    </row>
    <row r="530" spans="72:77" x14ac:dyDescent="0.3">
      <c r="BT530" s="197" t="str">
        <f>IF(COUNTIF(BU$76:BU530,BU530)=1,MAX(BT$76:BT529)+1,"")</f>
        <v/>
      </c>
      <c r="BU530" s="1720">
        <v>200</v>
      </c>
      <c r="BV530" s="1720">
        <v>265</v>
      </c>
      <c r="BW530" s="1720">
        <v>285</v>
      </c>
      <c r="BX530" s="1720" t="s">
        <v>1585</v>
      </c>
      <c r="BY530" s="1772"/>
    </row>
    <row r="531" spans="72:77" x14ac:dyDescent="0.3">
      <c r="BT531" s="197" t="str">
        <f>IF(COUNTIF(BU$76:BU531,BU531)=1,MAX(BT$76:BT530)+1,"")</f>
        <v/>
      </c>
      <c r="BU531" s="1720">
        <v>200</v>
      </c>
      <c r="BV531" s="1720">
        <v>265</v>
      </c>
      <c r="BW531" s="1720">
        <v>285</v>
      </c>
      <c r="BX531" s="1720" t="s">
        <v>1585</v>
      </c>
      <c r="BY531" s="1772"/>
    </row>
    <row r="532" spans="72:77" x14ac:dyDescent="0.3">
      <c r="BT532" s="197" t="str">
        <f>IF(COUNTIF(BU$76:BU532,BU532)=1,MAX(BT$76:BT531)+1,"")</f>
        <v/>
      </c>
      <c r="BU532" s="1720">
        <v>200</v>
      </c>
      <c r="BV532" s="1720">
        <v>410</v>
      </c>
      <c r="BW532" s="1720">
        <v>285</v>
      </c>
      <c r="BX532" s="1720" t="s">
        <v>1586</v>
      </c>
      <c r="BY532" s="1772"/>
    </row>
    <row r="533" spans="72:77" x14ac:dyDescent="0.3">
      <c r="BT533" s="197" t="str">
        <f>IF(COUNTIF(BU$76:BU533,BU533)=1,MAX(BT$76:BT532)+1,"")</f>
        <v/>
      </c>
      <c r="BU533" s="1720">
        <v>200</v>
      </c>
      <c r="BV533" s="1720">
        <v>265</v>
      </c>
      <c r="BW533" s="1720">
        <v>285</v>
      </c>
      <c r="BX533" s="1720" t="s">
        <v>1585</v>
      </c>
      <c r="BY533" s="1772"/>
    </row>
    <row r="534" spans="72:77" x14ac:dyDescent="0.3">
      <c r="BT534" s="197" t="str">
        <f>IF(COUNTIF(BU$76:BU534,BU534)=1,MAX(BT$76:BT533)+1,"")</f>
        <v/>
      </c>
      <c r="BU534" s="1720">
        <v>200</v>
      </c>
      <c r="BV534" s="1720">
        <v>265</v>
      </c>
      <c r="BW534" s="1720">
        <v>285</v>
      </c>
      <c r="BX534" s="1720" t="s">
        <v>1585</v>
      </c>
      <c r="BY534" s="1772"/>
    </row>
    <row r="535" spans="72:77" x14ac:dyDescent="0.3">
      <c r="BT535" s="197" t="str">
        <f>IF(COUNTIF(BU$76:BU535,BU535)=1,MAX(BT$76:BT534)+1,"")</f>
        <v/>
      </c>
      <c r="BU535" s="1720">
        <v>200</v>
      </c>
      <c r="BV535" s="1720">
        <v>260</v>
      </c>
      <c r="BW535" s="1720">
        <v>285</v>
      </c>
      <c r="BX535" s="1720" t="s">
        <v>1585</v>
      </c>
      <c r="BY535" s="1772"/>
    </row>
    <row r="536" spans="72:77" x14ac:dyDescent="0.3">
      <c r="BT536" s="197" t="str">
        <f>IF(COUNTIF(BU$76:BU536,BU536)=1,MAX(BT$76:BT535)+1,"")</f>
        <v/>
      </c>
      <c r="BU536" s="1720">
        <v>200</v>
      </c>
      <c r="BV536" s="1720">
        <v>265</v>
      </c>
      <c r="BW536" s="1720">
        <v>285</v>
      </c>
      <c r="BX536" s="1720" t="s">
        <v>1585</v>
      </c>
      <c r="BY536" s="1772"/>
    </row>
    <row r="537" spans="72:77" x14ac:dyDescent="0.3">
      <c r="BT537" s="197" t="str">
        <f>IF(COUNTIF(BU$76:BU537,BU537)=1,MAX(BT$76:BT536)+1,"")</f>
        <v/>
      </c>
      <c r="BU537" s="1720">
        <v>200</v>
      </c>
      <c r="BV537" s="1720">
        <v>260</v>
      </c>
      <c r="BW537" s="1720">
        <v>285</v>
      </c>
      <c r="BX537" s="1720" t="s">
        <v>1585</v>
      </c>
      <c r="BY537" s="1772"/>
    </row>
    <row r="538" spans="72:77" x14ac:dyDescent="0.3">
      <c r="BT538" s="197" t="str">
        <f>IF(COUNTIF(BU$76:BU538,BU538)=1,MAX(BT$76:BT537)+1,"")</f>
        <v/>
      </c>
      <c r="BU538" s="1720">
        <v>200</v>
      </c>
      <c r="BV538" s="1720">
        <v>265</v>
      </c>
      <c r="BW538" s="1720">
        <v>285</v>
      </c>
      <c r="BX538" s="1720" t="s">
        <v>1585</v>
      </c>
      <c r="BY538" s="1772"/>
    </row>
    <row r="539" spans="72:77" x14ac:dyDescent="0.3">
      <c r="BT539" s="197" t="str">
        <f>IF(COUNTIF(BU$76:BU539,BU539)=1,MAX(BT$76:BT538)+1,"")</f>
        <v/>
      </c>
      <c r="BU539" s="1720">
        <v>200</v>
      </c>
      <c r="BV539" s="1720">
        <v>265</v>
      </c>
      <c r="BW539" s="1720">
        <v>285</v>
      </c>
      <c r="BX539" s="1720" t="s">
        <v>1585</v>
      </c>
      <c r="BY539" s="1772"/>
    </row>
    <row r="540" spans="72:77" x14ac:dyDescent="0.3">
      <c r="BT540" s="197" t="str">
        <f>IF(COUNTIF(BU$76:BU540,BU540)=1,MAX(BT$76:BT539)+1,"")</f>
        <v/>
      </c>
      <c r="BU540" s="1720">
        <v>200</v>
      </c>
      <c r="BV540" s="1720">
        <v>265</v>
      </c>
      <c r="BW540" s="1720">
        <v>285</v>
      </c>
      <c r="BX540" s="1720" t="s">
        <v>1585</v>
      </c>
      <c r="BY540" s="1772"/>
    </row>
    <row r="541" spans="72:77" x14ac:dyDescent="0.3">
      <c r="BT541" s="197" t="str">
        <f>IF(COUNTIF(BU$76:BU541,BU541)=1,MAX(BT$76:BT540)+1,"")</f>
        <v/>
      </c>
      <c r="BU541" s="1720">
        <v>200</v>
      </c>
      <c r="BV541" s="1720">
        <v>262</v>
      </c>
      <c r="BW541" s="1720">
        <v>285</v>
      </c>
      <c r="BX541" s="1720" t="s">
        <v>1585</v>
      </c>
      <c r="BY541" s="1772"/>
    </row>
    <row r="542" spans="72:77" x14ac:dyDescent="0.3">
      <c r="BT542" s="197" t="str">
        <f>IF(COUNTIF(BU$76:BU542,BU542)=1,MAX(BT$76:BT541)+1,"")</f>
        <v/>
      </c>
      <c r="BU542" s="1720">
        <v>200</v>
      </c>
      <c r="BV542" s="1720">
        <v>265</v>
      </c>
      <c r="BW542" s="1720">
        <v>285</v>
      </c>
      <c r="BX542" s="1720" t="s">
        <v>1585</v>
      </c>
      <c r="BY542" s="1772"/>
    </row>
    <row r="543" spans="72:77" x14ac:dyDescent="0.3">
      <c r="BT543" s="197" t="str">
        <f>IF(COUNTIF(BU$76:BU543,BU543)=1,MAX(BT$76:BT542)+1,"")</f>
        <v/>
      </c>
      <c r="BU543" s="1720">
        <v>200</v>
      </c>
      <c r="BV543" s="1720">
        <v>315</v>
      </c>
      <c r="BW543" s="1720">
        <v>285</v>
      </c>
      <c r="BX543" s="1720" t="s">
        <v>1587</v>
      </c>
      <c r="BY543" s="1772"/>
    </row>
    <row r="544" spans="72:77" x14ac:dyDescent="0.3">
      <c r="BT544" s="197" t="str">
        <f>IF(COUNTIF(BU$76:BU544,BU544)=1,MAX(BT$76:BT543)+1,"")</f>
        <v/>
      </c>
      <c r="BU544" s="1720">
        <v>200</v>
      </c>
      <c r="BV544" s="1720">
        <v>265</v>
      </c>
      <c r="BW544" s="1720">
        <v>285</v>
      </c>
      <c r="BX544" s="1720" t="s">
        <v>1585</v>
      </c>
      <c r="BY544" s="1772"/>
    </row>
    <row r="545" spans="72:77" x14ac:dyDescent="0.3">
      <c r="BT545" s="197">
        <f>IF(COUNTIF(BU$76:BU545,BU545)=1,MAX(BT$76:BT544)+1,"")</f>
        <v>46</v>
      </c>
      <c r="BU545" s="1720">
        <v>202.5</v>
      </c>
      <c r="BV545" s="1720">
        <v>410</v>
      </c>
      <c r="BW545" s="1720">
        <v>285</v>
      </c>
      <c r="BX545" s="1720" t="s">
        <v>1588</v>
      </c>
      <c r="BY545" s="1772"/>
    </row>
    <row r="546" spans="72:77" x14ac:dyDescent="0.3">
      <c r="BT546" s="197">
        <f>IF(COUNTIF(BU$76:BU546,BU546)=1,MAX(BT$76:BT545)+1,"")</f>
        <v>47</v>
      </c>
      <c r="BU546" s="1720">
        <v>205</v>
      </c>
      <c r="BV546" s="1720">
        <v>260</v>
      </c>
      <c r="BW546" s="1720">
        <v>285</v>
      </c>
      <c r="BX546" s="1720" t="s">
        <v>1589</v>
      </c>
      <c r="BY546" s="1772"/>
    </row>
    <row r="547" spans="72:77" x14ac:dyDescent="0.3">
      <c r="BT547" s="197" t="str">
        <f>IF(COUNTIF(BU$76:BU547,BU547)=1,MAX(BT$76:BT546)+1,"")</f>
        <v/>
      </c>
      <c r="BU547" s="1720">
        <v>205</v>
      </c>
      <c r="BV547" s="1720">
        <v>265</v>
      </c>
      <c r="BW547" s="1720">
        <v>285</v>
      </c>
      <c r="BX547" s="1720" t="s">
        <v>1589</v>
      </c>
      <c r="BY547" s="1772"/>
    </row>
    <row r="548" spans="72:77" x14ac:dyDescent="0.3">
      <c r="BT548" s="197" t="str">
        <f>IF(COUNTIF(BU$76:BU548,BU548)=1,MAX(BT$76:BT547)+1,"")</f>
        <v/>
      </c>
      <c r="BU548" s="1720">
        <v>205</v>
      </c>
      <c r="BV548" s="1720">
        <v>265</v>
      </c>
      <c r="BW548" s="1720">
        <v>285</v>
      </c>
      <c r="BX548" s="1720" t="s">
        <v>1589</v>
      </c>
      <c r="BY548" s="1772"/>
    </row>
    <row r="549" spans="72:77" x14ac:dyDescent="0.3">
      <c r="BT549" s="197" t="str">
        <f>IF(COUNTIF(BU$76:BU549,BU549)=1,MAX(BT$76:BT548)+1,"")</f>
        <v/>
      </c>
      <c r="BU549" s="1720">
        <v>205</v>
      </c>
      <c r="BV549" s="1720">
        <v>265</v>
      </c>
      <c r="BW549" s="1720">
        <v>285</v>
      </c>
      <c r="BX549" s="1720" t="s">
        <v>1589</v>
      </c>
      <c r="BY549" s="1772"/>
    </row>
    <row r="550" spans="72:77" x14ac:dyDescent="0.3">
      <c r="BT550" s="197" t="str">
        <f>IF(COUNTIF(BU$76:BU550,BU550)=1,MAX(BT$76:BT549)+1,"")</f>
        <v/>
      </c>
      <c r="BU550" s="1720">
        <v>205</v>
      </c>
      <c r="BV550" s="1720">
        <v>265</v>
      </c>
      <c r="BW550" s="1720">
        <v>285</v>
      </c>
      <c r="BX550" s="1720" t="s">
        <v>1589</v>
      </c>
      <c r="BY550" s="1772"/>
    </row>
    <row r="551" spans="72:77" x14ac:dyDescent="0.3">
      <c r="BT551" s="197" t="str">
        <f>IF(COUNTIF(BU$76:BU551,BU551)=1,MAX(BT$76:BT550)+1,"")</f>
        <v/>
      </c>
      <c r="BU551" s="1720">
        <v>205</v>
      </c>
      <c r="BV551" s="1720">
        <v>265</v>
      </c>
      <c r="BW551" s="1720">
        <v>285</v>
      </c>
      <c r="BX551" s="1720" t="s">
        <v>1589</v>
      </c>
      <c r="BY551" s="1772"/>
    </row>
    <row r="552" spans="72:77" x14ac:dyDescent="0.3">
      <c r="BT552" s="197" t="str">
        <f>IF(COUNTIF(BU$76:BU552,BU552)=1,MAX(BT$76:BT551)+1,"")</f>
        <v/>
      </c>
      <c r="BU552" s="1720">
        <v>205</v>
      </c>
      <c r="BV552" s="1720">
        <v>265</v>
      </c>
      <c r="BW552" s="1720">
        <v>285</v>
      </c>
      <c r="BX552" s="1720" t="s">
        <v>1589</v>
      </c>
      <c r="BY552" s="1772"/>
    </row>
    <row r="553" spans="72:77" x14ac:dyDescent="0.3">
      <c r="BT553" s="197" t="str">
        <f>IF(COUNTIF(BU$76:BU553,BU553)=1,MAX(BT$76:BT552)+1,"")</f>
        <v/>
      </c>
      <c r="BU553" s="1720">
        <v>205</v>
      </c>
      <c r="BV553" s="1720">
        <v>265</v>
      </c>
      <c r="BW553" s="1720">
        <v>285</v>
      </c>
      <c r="BX553" s="1720" t="s">
        <v>1589</v>
      </c>
      <c r="BY553" s="1772"/>
    </row>
    <row r="554" spans="72:77" x14ac:dyDescent="0.3">
      <c r="BT554" s="197" t="str">
        <f>IF(COUNTIF(BU$76:BU554,BU554)=1,MAX(BT$76:BT553)+1,"")</f>
        <v/>
      </c>
      <c r="BU554" s="1720">
        <v>205</v>
      </c>
      <c r="BV554" s="1720">
        <v>265</v>
      </c>
      <c r="BW554" s="1720">
        <v>285</v>
      </c>
      <c r="BX554" s="1720" t="s">
        <v>1589</v>
      </c>
      <c r="BY554" s="1772"/>
    </row>
    <row r="555" spans="72:77" x14ac:dyDescent="0.3">
      <c r="BT555" s="197" t="str">
        <f>IF(COUNTIF(BU$76:BU555,BU555)=1,MAX(BT$76:BT554)+1,"")</f>
        <v/>
      </c>
      <c r="BU555" s="1720">
        <v>205</v>
      </c>
      <c r="BV555" s="1720">
        <v>315</v>
      </c>
      <c r="BW555" s="1720">
        <v>285</v>
      </c>
      <c r="BX555" s="1720" t="s">
        <v>1590</v>
      </c>
      <c r="BY555" s="1772"/>
    </row>
    <row r="556" spans="72:77" x14ac:dyDescent="0.3">
      <c r="BT556" s="197" t="str">
        <f>IF(COUNTIF(BU$76:BU556,BU556)=1,MAX(BT$76:BT555)+1,"")</f>
        <v/>
      </c>
      <c r="BU556" s="1720">
        <v>205</v>
      </c>
      <c r="BV556" s="1720">
        <v>260</v>
      </c>
      <c r="BW556" s="1720">
        <v>285</v>
      </c>
      <c r="BX556" s="1720" t="s">
        <v>1589</v>
      </c>
      <c r="BY556" s="1772"/>
    </row>
    <row r="557" spans="72:77" x14ac:dyDescent="0.3">
      <c r="BT557" s="197" t="str">
        <f>IF(COUNTIF(BU$76:BU557,BU557)=1,MAX(BT$76:BT556)+1,"")</f>
        <v/>
      </c>
      <c r="BU557" s="1720">
        <v>205</v>
      </c>
      <c r="BV557" s="1720">
        <v>270</v>
      </c>
      <c r="BW557" s="1720">
        <v>285</v>
      </c>
      <c r="BX557" s="1720" t="s">
        <v>1589</v>
      </c>
      <c r="BY557" s="1772"/>
    </row>
    <row r="558" spans="72:77" x14ac:dyDescent="0.3">
      <c r="BT558" s="197" t="str">
        <f>IF(COUNTIF(BU$76:BU558,BU558)=1,MAX(BT$76:BT557)+1,"")</f>
        <v/>
      </c>
      <c r="BU558" s="1720">
        <v>205</v>
      </c>
      <c r="BV558" s="1720">
        <v>263</v>
      </c>
      <c r="BW558" s="1720">
        <v>285</v>
      </c>
      <c r="BX558" s="1720" t="s">
        <v>1589</v>
      </c>
      <c r="BY558" s="1772"/>
    </row>
    <row r="559" spans="72:77" x14ac:dyDescent="0.3">
      <c r="BT559" s="197" t="str">
        <f>IF(COUNTIF(BU$76:BU559,BU559)=1,MAX(BT$76:BT558)+1,"")</f>
        <v/>
      </c>
      <c r="BU559" s="1720">
        <v>205</v>
      </c>
      <c r="BV559" s="1720">
        <v>265</v>
      </c>
      <c r="BW559" s="1720">
        <v>285</v>
      </c>
      <c r="BX559" s="1720" t="s">
        <v>1589</v>
      </c>
      <c r="BY559" s="1772"/>
    </row>
    <row r="560" spans="72:77" x14ac:dyDescent="0.3">
      <c r="BT560" s="197" t="str">
        <f>IF(COUNTIF(BU$76:BU560,BU560)=1,MAX(BT$76:BT559)+1,"")</f>
        <v/>
      </c>
      <c r="BU560" s="1720">
        <v>205</v>
      </c>
      <c r="BV560" s="1720">
        <v>260</v>
      </c>
      <c r="BW560" s="1720">
        <v>285</v>
      </c>
      <c r="BX560" s="1720" t="s">
        <v>1589</v>
      </c>
      <c r="BY560" s="1772"/>
    </row>
    <row r="561" spans="72:77" x14ac:dyDescent="0.3">
      <c r="BT561" s="197" t="str">
        <f>IF(COUNTIF(BU$76:BU561,BU561)=1,MAX(BT$76:BT560)+1,"")</f>
        <v/>
      </c>
      <c r="BU561" s="1720">
        <v>205</v>
      </c>
      <c r="BV561" s="1720">
        <v>265</v>
      </c>
      <c r="BW561" s="1720">
        <v>285</v>
      </c>
      <c r="BX561" s="1720" t="s">
        <v>1589</v>
      </c>
      <c r="BY561" s="1772"/>
    </row>
    <row r="562" spans="72:77" x14ac:dyDescent="0.3">
      <c r="BT562" s="197" t="str">
        <f>IF(COUNTIF(BU$76:BU562,BU562)=1,MAX(BT$76:BT561)+1,"")</f>
        <v/>
      </c>
      <c r="BU562" s="1720">
        <v>205</v>
      </c>
      <c r="BV562" s="1720">
        <v>265</v>
      </c>
      <c r="BW562" s="1720">
        <v>285</v>
      </c>
      <c r="BX562" s="1720" t="s">
        <v>1589</v>
      </c>
      <c r="BY562" s="1772"/>
    </row>
    <row r="563" spans="72:77" x14ac:dyDescent="0.3">
      <c r="BT563" s="197">
        <f>IF(COUNTIF(BU$76:BU563,BU563)=1,MAX(BT$76:BT562)+1,"")</f>
        <v>48</v>
      </c>
      <c r="BU563" s="1720">
        <v>207.5</v>
      </c>
      <c r="BV563" s="1720">
        <v>275</v>
      </c>
      <c r="BW563" s="1720">
        <v>285</v>
      </c>
      <c r="BX563" s="1720" t="s">
        <v>1591</v>
      </c>
      <c r="BY563" s="1772"/>
    </row>
    <row r="564" spans="72:77" x14ac:dyDescent="0.3">
      <c r="BT564" s="197" t="str">
        <f>IF(COUNTIF(BU$76:BU564,BU564)=1,MAX(BT$76:BT563)+1,"")</f>
        <v/>
      </c>
      <c r="BU564" s="1720">
        <v>207.5</v>
      </c>
      <c r="BV564" s="1720">
        <v>265</v>
      </c>
      <c r="BW564" s="1720">
        <v>285</v>
      </c>
      <c r="BX564" s="1720" t="s">
        <v>1592</v>
      </c>
      <c r="BY564" s="1772"/>
    </row>
    <row r="565" spans="72:77" x14ac:dyDescent="0.3">
      <c r="BT565" s="197" t="str">
        <f>IF(COUNTIF(BU$76:BU565,BU565)=1,MAX(BT$76:BT564)+1,"")</f>
        <v/>
      </c>
      <c r="BU565" s="1720">
        <v>207.5</v>
      </c>
      <c r="BV565" s="1720">
        <v>440</v>
      </c>
      <c r="BW565" s="1720">
        <v>285</v>
      </c>
      <c r="BX565" s="1720" t="s">
        <v>1593</v>
      </c>
      <c r="BY565" s="1772"/>
    </row>
    <row r="566" spans="72:77" x14ac:dyDescent="0.3">
      <c r="BT566" s="197" t="str">
        <f>IF(COUNTIF(BU$76:BU566,BU566)=1,MAX(BT$76:BT565)+1,"")</f>
        <v/>
      </c>
      <c r="BU566" s="1720">
        <v>207.5</v>
      </c>
      <c r="BV566" s="1720">
        <v>263</v>
      </c>
      <c r="BW566" s="1720">
        <v>285</v>
      </c>
      <c r="BX566" s="1720" t="s">
        <v>1592</v>
      </c>
      <c r="BY566" s="1772"/>
    </row>
    <row r="567" spans="72:77" x14ac:dyDescent="0.3">
      <c r="BT567" s="197" t="str">
        <f>IF(COUNTIF(BU$76:BU567,BU567)=1,MAX(BT$76:BT566)+1,"")</f>
        <v/>
      </c>
      <c r="BU567" s="1720">
        <v>207.5</v>
      </c>
      <c r="BV567" s="1720">
        <v>503</v>
      </c>
      <c r="BW567" s="1720">
        <v>285</v>
      </c>
      <c r="BX567" s="1720" t="s">
        <v>1594</v>
      </c>
      <c r="BY567" s="1772"/>
    </row>
    <row r="568" spans="72:77" x14ac:dyDescent="0.3">
      <c r="BT568" s="197" t="str">
        <f>IF(COUNTIF(BU$76:BU568,BU568)=1,MAX(BT$76:BT567)+1,"")</f>
        <v/>
      </c>
      <c r="BU568" s="1720">
        <v>207.5</v>
      </c>
      <c r="BV568" s="1720">
        <v>264</v>
      </c>
      <c r="BW568" s="1720">
        <v>285</v>
      </c>
      <c r="BX568" s="1720" t="s">
        <v>1592</v>
      </c>
      <c r="BY568" s="1772"/>
    </row>
    <row r="569" spans="72:77" x14ac:dyDescent="0.3">
      <c r="BT569" s="197" t="str">
        <f>IF(COUNTIF(BU$76:BU569,BU569)=1,MAX(BT$76:BT568)+1,"")</f>
        <v/>
      </c>
      <c r="BU569" s="1720">
        <v>207.5</v>
      </c>
      <c r="BV569" s="1720">
        <v>260</v>
      </c>
      <c r="BW569" s="1720">
        <v>285</v>
      </c>
      <c r="BX569" s="1720" t="s">
        <v>1592</v>
      </c>
      <c r="BY569" s="1772"/>
    </row>
    <row r="570" spans="72:77" x14ac:dyDescent="0.3">
      <c r="BT570" s="197" t="str">
        <f>IF(COUNTIF(BU$76:BU570,BU570)=1,MAX(BT$76:BT569)+1,"")</f>
        <v/>
      </c>
      <c r="BU570" s="1720">
        <v>207.5</v>
      </c>
      <c r="BV570" s="1720">
        <v>375</v>
      </c>
      <c r="BW570" s="1720">
        <v>285</v>
      </c>
      <c r="BX570" s="1720" t="s">
        <v>1595</v>
      </c>
      <c r="BY570" s="1772"/>
    </row>
    <row r="571" spans="72:77" x14ac:dyDescent="0.3">
      <c r="BT571" s="197" t="str">
        <f>IF(COUNTIF(BU$76:BU571,BU571)=1,MAX(BT$76:BT570)+1,"")</f>
        <v/>
      </c>
      <c r="BU571" s="1720">
        <v>207.5</v>
      </c>
      <c r="BV571" s="1720">
        <v>263</v>
      </c>
      <c r="BW571" s="1720">
        <v>285</v>
      </c>
      <c r="BX571" s="1720" t="s">
        <v>1592</v>
      </c>
      <c r="BY571" s="1772"/>
    </row>
    <row r="572" spans="72:77" x14ac:dyDescent="0.3">
      <c r="BT572" s="197">
        <f>IF(COUNTIF(BU$76:BU572,BU572)=1,MAX(BT$76:BT571)+1,"")</f>
        <v>49</v>
      </c>
      <c r="BU572" s="1720">
        <v>210</v>
      </c>
      <c r="BV572" s="1720">
        <v>380</v>
      </c>
      <c r="BW572" s="1720">
        <v>285</v>
      </c>
      <c r="BX572" s="1720" t="s">
        <v>1596</v>
      </c>
      <c r="BY572" s="1772"/>
    </row>
    <row r="573" spans="72:77" x14ac:dyDescent="0.3">
      <c r="BT573" s="197" t="str">
        <f>IF(COUNTIF(BU$76:BU573,BU573)=1,MAX(BT$76:BT572)+1,"")</f>
        <v/>
      </c>
      <c r="BU573" s="1720">
        <v>210</v>
      </c>
      <c r="BV573" s="1720">
        <v>265</v>
      </c>
      <c r="BW573" s="1720">
        <v>285</v>
      </c>
      <c r="BX573" s="1720" t="s">
        <v>1597</v>
      </c>
      <c r="BY573" s="1772"/>
    </row>
    <row r="574" spans="72:77" x14ac:dyDescent="0.3">
      <c r="BT574" s="197" t="str">
        <f>IF(COUNTIF(BU$76:BU574,BU574)=1,MAX(BT$76:BT573)+1,"")</f>
        <v/>
      </c>
      <c r="BU574" s="1720">
        <v>210</v>
      </c>
      <c r="BV574" s="1720">
        <v>262</v>
      </c>
      <c r="BW574" s="1720">
        <v>285</v>
      </c>
      <c r="BX574" s="1720" t="s">
        <v>1597</v>
      </c>
      <c r="BY574" s="1772"/>
    </row>
    <row r="575" spans="72:77" x14ac:dyDescent="0.3">
      <c r="BT575" s="197" t="str">
        <f>IF(COUNTIF(BU$76:BU575,BU575)=1,MAX(BT$76:BT574)+1,"")</f>
        <v/>
      </c>
      <c r="BU575" s="1720">
        <v>210</v>
      </c>
      <c r="BV575" s="1720">
        <v>380</v>
      </c>
      <c r="BW575" s="1720">
        <v>285</v>
      </c>
      <c r="BX575" s="1720" t="s">
        <v>1596</v>
      </c>
      <c r="BY575" s="1772"/>
    </row>
    <row r="576" spans="72:77" x14ac:dyDescent="0.3">
      <c r="BT576" s="197" t="str">
        <f>IF(COUNTIF(BU$76:BU576,BU576)=1,MAX(BT$76:BT575)+1,"")</f>
        <v/>
      </c>
      <c r="BU576" s="1720">
        <v>210</v>
      </c>
      <c r="BV576" s="1720">
        <v>380</v>
      </c>
      <c r="BW576" s="1720">
        <v>285</v>
      </c>
      <c r="BX576" s="1720" t="s">
        <v>1596</v>
      </c>
      <c r="BY576" s="1772"/>
    </row>
    <row r="577" spans="72:77" x14ac:dyDescent="0.3">
      <c r="BT577" s="197" t="str">
        <f>IF(COUNTIF(BU$76:BU577,BU577)=1,MAX(BT$76:BT576)+1,"")</f>
        <v/>
      </c>
      <c r="BU577" s="1720">
        <v>210</v>
      </c>
      <c r="BV577" s="1720">
        <v>265</v>
      </c>
      <c r="BW577" s="1720">
        <v>285</v>
      </c>
      <c r="BX577" s="1720" t="s">
        <v>1597</v>
      </c>
      <c r="BY577" s="1772"/>
    </row>
    <row r="578" spans="72:77" x14ac:dyDescent="0.3">
      <c r="BT578" s="197" t="str">
        <f>IF(COUNTIF(BU$76:BU578,BU578)=1,MAX(BT$76:BT577)+1,"")</f>
        <v/>
      </c>
      <c r="BU578" s="1720">
        <v>210</v>
      </c>
      <c r="BV578" s="1720">
        <v>265</v>
      </c>
      <c r="BW578" s="1720">
        <v>285</v>
      </c>
      <c r="BX578" s="1720" t="s">
        <v>1597</v>
      </c>
      <c r="BY578" s="1772"/>
    </row>
    <row r="579" spans="72:77" x14ac:dyDescent="0.3">
      <c r="BT579" s="197" t="str">
        <f>IF(COUNTIF(BU$76:BU579,BU579)=1,MAX(BT$76:BT578)+1,"")</f>
        <v/>
      </c>
      <c r="BU579" s="1720">
        <v>210</v>
      </c>
      <c r="BV579" s="1720">
        <v>376</v>
      </c>
      <c r="BW579" s="1720">
        <v>285</v>
      </c>
      <c r="BX579" s="1720" t="s">
        <v>1596</v>
      </c>
      <c r="BY579" s="1772"/>
    </row>
    <row r="580" spans="72:77" x14ac:dyDescent="0.3">
      <c r="BT580" s="197" t="str">
        <f>IF(COUNTIF(BU$76:BU580,BU580)=1,MAX(BT$76:BT579)+1,"")</f>
        <v/>
      </c>
      <c r="BU580" s="1720">
        <v>210</v>
      </c>
      <c r="BV580" s="1720">
        <v>263</v>
      </c>
      <c r="BW580" s="1720">
        <v>285</v>
      </c>
      <c r="BX580" s="1720" t="s">
        <v>1597</v>
      </c>
      <c r="BY580" s="1772"/>
    </row>
    <row r="581" spans="72:77" x14ac:dyDescent="0.3">
      <c r="BT581" s="197" t="str">
        <f>IF(COUNTIF(BU$76:BU581,BU581)=1,MAX(BT$76:BT580)+1,"")</f>
        <v/>
      </c>
      <c r="BU581" s="1720">
        <v>210</v>
      </c>
      <c r="BV581" s="1720">
        <v>265</v>
      </c>
      <c r="BW581" s="1720">
        <v>285</v>
      </c>
      <c r="BX581" s="1720" t="s">
        <v>1597</v>
      </c>
      <c r="BY581" s="1772"/>
    </row>
    <row r="582" spans="72:77" x14ac:dyDescent="0.3">
      <c r="BT582" s="197" t="str">
        <f>IF(COUNTIF(BU$76:BU582,BU582)=1,MAX(BT$76:BT581)+1,"")</f>
        <v/>
      </c>
      <c r="BU582" s="1720">
        <v>210</v>
      </c>
      <c r="BV582" s="1720">
        <v>263</v>
      </c>
      <c r="BW582" s="1720">
        <v>285</v>
      </c>
      <c r="BX582" s="1720" t="s">
        <v>1597</v>
      </c>
      <c r="BY582" s="1772"/>
    </row>
    <row r="583" spans="72:77" x14ac:dyDescent="0.3">
      <c r="BT583" s="197" t="str">
        <f>IF(COUNTIF(BU$76:BU583,BU583)=1,MAX(BT$76:BT582)+1,"")</f>
        <v/>
      </c>
      <c r="BU583" s="1720">
        <v>210</v>
      </c>
      <c r="BV583" s="1720">
        <v>398</v>
      </c>
      <c r="BW583" s="1720">
        <v>285</v>
      </c>
      <c r="BX583" s="1720" t="s">
        <v>1598</v>
      </c>
      <c r="BY583" s="1772"/>
    </row>
    <row r="584" spans="72:77" x14ac:dyDescent="0.3">
      <c r="BT584" s="197" t="str">
        <f>IF(COUNTIF(BU$76:BU584,BU584)=1,MAX(BT$76:BT583)+1,"")</f>
        <v/>
      </c>
      <c r="BU584" s="1720">
        <v>210</v>
      </c>
      <c r="BV584" s="1720">
        <v>400</v>
      </c>
      <c r="BW584" s="1720">
        <v>285</v>
      </c>
      <c r="BX584" s="1720" t="s">
        <v>1598</v>
      </c>
      <c r="BY584" s="1772" t="s">
        <v>1862</v>
      </c>
    </row>
    <row r="585" spans="72:77" x14ac:dyDescent="0.3">
      <c r="BT585" s="197" t="str">
        <f>IF(COUNTIF(BU$76:BU585,BU585)=1,MAX(BT$76:BT584)+1,"")</f>
        <v/>
      </c>
      <c r="BU585" s="1720">
        <v>210</v>
      </c>
      <c r="BV585" s="1720">
        <v>380</v>
      </c>
      <c r="BW585" s="1720">
        <v>285</v>
      </c>
      <c r="BX585" s="1720" t="s">
        <v>1596</v>
      </c>
      <c r="BY585" s="1772"/>
    </row>
    <row r="586" spans="72:77" x14ac:dyDescent="0.3">
      <c r="BT586" s="197" t="str">
        <f>IF(COUNTIF(BU$76:BU586,BU586)=1,MAX(BT$76:BT585)+1,"")</f>
        <v/>
      </c>
      <c r="BU586" s="1720">
        <v>210</v>
      </c>
      <c r="BV586" s="1720">
        <v>263</v>
      </c>
      <c r="BW586" s="1720">
        <v>285</v>
      </c>
      <c r="BX586" s="1720" t="s">
        <v>1597</v>
      </c>
      <c r="BY586" s="1772"/>
    </row>
    <row r="587" spans="72:77" x14ac:dyDescent="0.3">
      <c r="BT587" s="197" t="str">
        <f>IF(COUNTIF(BU$76:BU587,BU587)=1,MAX(BT$76:BT586)+1,"")</f>
        <v/>
      </c>
      <c r="BU587" s="1720">
        <v>210</v>
      </c>
      <c r="BV587" s="1720">
        <v>377</v>
      </c>
      <c r="BW587" s="1720">
        <v>285</v>
      </c>
      <c r="BX587" s="1720" t="s">
        <v>1596</v>
      </c>
      <c r="BY587" s="1772"/>
    </row>
    <row r="588" spans="72:77" x14ac:dyDescent="0.3">
      <c r="BT588" s="197" t="str">
        <f>IF(COUNTIF(BU$76:BU588,BU588)=1,MAX(BT$76:BT587)+1,"")</f>
        <v/>
      </c>
      <c r="BU588" s="1720">
        <v>210</v>
      </c>
      <c r="BV588" s="1720">
        <v>318</v>
      </c>
      <c r="BW588" s="1720">
        <v>285</v>
      </c>
      <c r="BX588" s="1720" t="s">
        <v>1599</v>
      </c>
      <c r="BY588" s="1772"/>
    </row>
    <row r="589" spans="72:77" x14ac:dyDescent="0.3">
      <c r="BT589" s="197" t="str">
        <f>IF(COUNTIF(BU$76:BU589,BU589)=1,MAX(BT$76:BT588)+1,"")</f>
        <v/>
      </c>
      <c r="BU589" s="1720">
        <v>210</v>
      </c>
      <c r="BV589" s="1720">
        <v>320</v>
      </c>
      <c r="BW589" s="1720">
        <v>285</v>
      </c>
      <c r="BX589" s="1720" t="s">
        <v>1599</v>
      </c>
      <c r="BY589" s="1772"/>
    </row>
    <row r="590" spans="72:77" x14ac:dyDescent="0.3">
      <c r="BT590" s="197" t="str">
        <f>IF(COUNTIF(BU$76:BU590,BU590)=1,MAX(BT$76:BT589)+1,"")</f>
        <v/>
      </c>
      <c r="BU590" s="1720">
        <v>210</v>
      </c>
      <c r="BV590" s="1720">
        <v>315</v>
      </c>
      <c r="BW590" s="1720">
        <v>285</v>
      </c>
      <c r="BX590" s="1720" t="s">
        <v>1599</v>
      </c>
      <c r="BY590" s="1772"/>
    </row>
    <row r="591" spans="72:77" x14ac:dyDescent="0.3">
      <c r="BT591" s="197" t="str">
        <f>IF(COUNTIF(BU$76:BU591,BU591)=1,MAX(BT$76:BT590)+1,"")</f>
        <v/>
      </c>
      <c r="BU591" s="1720">
        <v>210</v>
      </c>
      <c r="BV591" s="1720">
        <v>263</v>
      </c>
      <c r="BW591" s="1720">
        <v>285</v>
      </c>
      <c r="BX591" s="1720" t="s">
        <v>1597</v>
      </c>
      <c r="BY591" s="1772"/>
    </row>
    <row r="592" spans="72:77" x14ac:dyDescent="0.3">
      <c r="BT592" s="197" t="str">
        <f>IF(COUNTIF(BU$76:BU592,BU592)=1,MAX(BT$76:BT591)+1,"")</f>
        <v/>
      </c>
      <c r="BU592" s="1720">
        <v>210</v>
      </c>
      <c r="BV592" s="1720">
        <v>263</v>
      </c>
      <c r="BW592" s="1720">
        <v>285</v>
      </c>
      <c r="BX592" s="1720" t="s">
        <v>1597</v>
      </c>
      <c r="BY592" s="1772"/>
    </row>
    <row r="593" spans="72:77" x14ac:dyDescent="0.3">
      <c r="BT593" s="197" t="str">
        <f>IF(COUNTIF(BU$76:BU593,BU593)=1,MAX(BT$76:BT592)+1,"")</f>
        <v/>
      </c>
      <c r="BU593" s="1720">
        <v>210</v>
      </c>
      <c r="BV593" s="1720">
        <v>263</v>
      </c>
      <c r="BW593" s="1720">
        <v>285</v>
      </c>
      <c r="BX593" s="1720" t="s">
        <v>1597</v>
      </c>
      <c r="BY593" s="1772"/>
    </row>
    <row r="594" spans="72:77" x14ac:dyDescent="0.3">
      <c r="BT594" s="197" t="str">
        <f>IF(COUNTIF(BU$76:BU594,BU594)=1,MAX(BT$76:BT593)+1,"")</f>
        <v/>
      </c>
      <c r="BU594" s="1720">
        <v>210</v>
      </c>
      <c r="BV594" s="1720">
        <v>380</v>
      </c>
      <c r="BW594" s="1720">
        <v>285</v>
      </c>
      <c r="BX594" s="1720" t="s">
        <v>1596</v>
      </c>
      <c r="BY594" s="1772"/>
    </row>
    <row r="595" spans="72:77" x14ac:dyDescent="0.3">
      <c r="BT595" s="197" t="str">
        <f>IF(COUNTIF(BU$76:BU595,BU595)=1,MAX(BT$76:BT594)+1,"")</f>
        <v/>
      </c>
      <c r="BU595" s="1720">
        <v>210</v>
      </c>
      <c r="BV595" s="1720">
        <v>375</v>
      </c>
      <c r="BW595" s="1720">
        <v>285</v>
      </c>
      <c r="BX595" s="1720" t="s">
        <v>1596</v>
      </c>
      <c r="BY595" s="1772"/>
    </row>
    <row r="596" spans="72:77" x14ac:dyDescent="0.3">
      <c r="BT596" s="197" t="str">
        <f>IF(COUNTIF(BU$76:BU596,BU596)=1,MAX(BT$76:BT595)+1,"")</f>
        <v/>
      </c>
      <c r="BU596" s="1720">
        <v>210</v>
      </c>
      <c r="BV596" s="1720">
        <v>375</v>
      </c>
      <c r="BW596" s="1720">
        <v>285</v>
      </c>
      <c r="BX596" s="1720" t="s">
        <v>1596</v>
      </c>
      <c r="BY596" s="1772"/>
    </row>
    <row r="597" spans="72:77" x14ac:dyDescent="0.3">
      <c r="BT597" s="197">
        <f>IF(COUNTIF(BU$76:BU597,BU597)=1,MAX(BT$76:BT596)+1,"")</f>
        <v>50</v>
      </c>
      <c r="BU597" s="1720">
        <v>212.5</v>
      </c>
      <c r="BV597" s="1720">
        <v>320</v>
      </c>
      <c r="BW597" s="1720">
        <v>285</v>
      </c>
      <c r="BX597" s="1720" t="s">
        <v>1600</v>
      </c>
      <c r="BY597" s="1772"/>
    </row>
    <row r="598" spans="72:77" x14ac:dyDescent="0.3">
      <c r="BT598" s="197" t="str">
        <f>IF(COUNTIF(BU$76:BU598,BU598)=1,MAX(BT$76:BT597)+1,"")</f>
        <v/>
      </c>
      <c r="BU598" s="1720">
        <v>212.5</v>
      </c>
      <c r="BV598" s="1720">
        <v>263</v>
      </c>
      <c r="BW598" s="1720">
        <v>285</v>
      </c>
      <c r="BX598" s="1720" t="s">
        <v>1601</v>
      </c>
      <c r="BY598" s="1772"/>
    </row>
    <row r="599" spans="72:77" x14ac:dyDescent="0.3">
      <c r="BT599" s="197" t="str">
        <f>IF(COUNTIF(BU$76:BU599,BU599)=1,MAX(BT$76:BT598)+1,"")</f>
        <v/>
      </c>
      <c r="BU599" s="1720">
        <v>212.5</v>
      </c>
      <c r="BV599" s="1720">
        <v>400</v>
      </c>
      <c r="BW599" s="1720">
        <v>285</v>
      </c>
      <c r="BX599" s="1720" t="s">
        <v>1602</v>
      </c>
      <c r="BY599" s="1772"/>
    </row>
    <row r="600" spans="72:77" x14ac:dyDescent="0.3">
      <c r="BT600" s="197" t="str">
        <f>IF(COUNTIF(BU$76:BU600,BU600)=1,MAX(BT$76:BT599)+1,"")</f>
        <v/>
      </c>
      <c r="BU600" s="1720">
        <v>212.5</v>
      </c>
      <c r="BV600" s="1720">
        <v>375</v>
      </c>
      <c r="BW600" s="1720">
        <v>285</v>
      </c>
      <c r="BX600" s="1720" t="s">
        <v>1603</v>
      </c>
      <c r="BY600" s="1772"/>
    </row>
    <row r="601" spans="72:77" x14ac:dyDescent="0.3">
      <c r="BT601" s="197" t="str">
        <f>IF(COUNTIF(BU$76:BU601,BU601)=1,MAX(BT$76:BT600)+1,"")</f>
        <v/>
      </c>
      <c r="BU601" s="1720">
        <v>212.5</v>
      </c>
      <c r="BV601" s="1720">
        <v>380</v>
      </c>
      <c r="BW601" s="1720">
        <v>285</v>
      </c>
      <c r="BX601" s="1720" t="s">
        <v>1603</v>
      </c>
      <c r="BY601" s="1772"/>
    </row>
    <row r="602" spans="72:77" x14ac:dyDescent="0.3">
      <c r="BT602" s="197" t="str">
        <f>IF(COUNTIF(BU$76:BU602,BU602)=1,MAX(BT$76:BT601)+1,"")</f>
        <v/>
      </c>
      <c r="BU602" s="1720">
        <v>212.5</v>
      </c>
      <c r="BV602" s="1720">
        <v>320</v>
      </c>
      <c r="BW602" s="1720">
        <v>285</v>
      </c>
      <c r="BX602" s="1720" t="s">
        <v>1600</v>
      </c>
      <c r="BY602" s="1772"/>
    </row>
    <row r="603" spans="72:77" x14ac:dyDescent="0.3">
      <c r="BT603" s="197" t="str">
        <f>IF(COUNTIF(BU$76:BU603,BU603)=1,MAX(BT$76:BT602)+1,"")</f>
        <v/>
      </c>
      <c r="BU603" s="1720">
        <v>212.5</v>
      </c>
      <c r="BV603" s="1720">
        <v>375</v>
      </c>
      <c r="BW603" s="1720">
        <v>285</v>
      </c>
      <c r="BX603" s="1720" t="s">
        <v>1603</v>
      </c>
      <c r="BY603" s="1772"/>
    </row>
    <row r="604" spans="72:77" x14ac:dyDescent="0.3">
      <c r="BT604" s="197" t="str">
        <f>IF(COUNTIF(BU$76:BU604,BU604)=1,MAX(BT$76:BT603)+1,"")</f>
        <v/>
      </c>
      <c r="BU604" s="1720">
        <v>212.5</v>
      </c>
      <c r="BV604" s="1720">
        <v>375</v>
      </c>
      <c r="BW604" s="1720">
        <v>285</v>
      </c>
      <c r="BX604" s="1720" t="s">
        <v>1603</v>
      </c>
      <c r="BY604" s="1772"/>
    </row>
    <row r="605" spans="72:77" x14ac:dyDescent="0.3">
      <c r="BT605" s="197" t="str">
        <f>IF(COUNTIF(BU$76:BU605,BU605)=1,MAX(BT$76:BT604)+1,"")</f>
        <v/>
      </c>
      <c r="BU605" s="1720">
        <v>212.5</v>
      </c>
      <c r="BV605" s="1720">
        <v>263</v>
      </c>
      <c r="BW605" s="1720">
        <v>285</v>
      </c>
      <c r="BX605" s="1720" t="s">
        <v>1601</v>
      </c>
      <c r="BY605" s="1772"/>
    </row>
    <row r="606" spans="72:77" x14ac:dyDescent="0.3">
      <c r="BT606" s="197">
        <f>IF(COUNTIF(BU$76:BU606,BU606)=1,MAX(BT$76:BT605)+1,"")</f>
        <v>51</v>
      </c>
      <c r="BU606" s="1720">
        <v>215</v>
      </c>
      <c r="BV606" s="1720">
        <v>375</v>
      </c>
      <c r="BW606" s="1720">
        <v>285</v>
      </c>
      <c r="BX606" s="1720" t="s">
        <v>1604</v>
      </c>
      <c r="BY606" s="1772"/>
    </row>
    <row r="607" spans="72:77" x14ac:dyDescent="0.3">
      <c r="BT607" s="197" t="str">
        <f>IF(COUNTIF(BU$76:BU607,BU607)=1,MAX(BT$76:BT606)+1,"")</f>
        <v/>
      </c>
      <c r="BU607" s="1720">
        <v>215</v>
      </c>
      <c r="BV607" s="1720">
        <v>265</v>
      </c>
      <c r="BW607" s="1720">
        <v>285</v>
      </c>
      <c r="BX607" s="1720" t="s">
        <v>1605</v>
      </c>
      <c r="BY607" s="1772"/>
    </row>
    <row r="608" spans="72:77" x14ac:dyDescent="0.3">
      <c r="BT608" s="197" t="str">
        <f>IF(COUNTIF(BU$76:BU608,BU608)=1,MAX(BT$76:BT607)+1,"")</f>
        <v/>
      </c>
      <c r="BU608" s="1720">
        <v>215</v>
      </c>
      <c r="BV608" s="1720">
        <v>265</v>
      </c>
      <c r="BW608" s="1720">
        <v>285</v>
      </c>
      <c r="BX608" s="1720" t="s">
        <v>1605</v>
      </c>
      <c r="BY608" s="1772"/>
    </row>
    <row r="609" spans="72:77" x14ac:dyDescent="0.3">
      <c r="BT609" s="197" t="str">
        <f>IF(COUNTIF(BU$76:BU609,BU609)=1,MAX(BT$76:BT608)+1,"")</f>
        <v/>
      </c>
      <c r="BU609" s="1720">
        <v>215</v>
      </c>
      <c r="BV609" s="1720">
        <v>265</v>
      </c>
      <c r="BW609" s="1720">
        <v>285</v>
      </c>
      <c r="BX609" s="1720" t="s">
        <v>1605</v>
      </c>
      <c r="BY609" s="1772"/>
    </row>
    <row r="610" spans="72:77" x14ac:dyDescent="0.3">
      <c r="BT610" s="197" t="str">
        <f>IF(COUNTIF(BU$76:BU610,BU610)=1,MAX(BT$76:BT609)+1,"")</f>
        <v/>
      </c>
      <c r="BU610" s="1720">
        <v>215</v>
      </c>
      <c r="BV610" s="1720">
        <v>320</v>
      </c>
      <c r="BW610" s="1720">
        <v>285</v>
      </c>
      <c r="BX610" s="1720" t="s">
        <v>1606</v>
      </c>
      <c r="BY610" s="1772"/>
    </row>
    <row r="611" spans="72:77" x14ac:dyDescent="0.3">
      <c r="BT611" s="197" t="str">
        <f>IF(COUNTIF(BU$76:BU611,BU611)=1,MAX(BT$76:BT610)+1,"")</f>
        <v/>
      </c>
      <c r="BU611" s="1720">
        <v>215</v>
      </c>
      <c r="BV611" s="1720">
        <v>265</v>
      </c>
      <c r="BW611" s="1720">
        <v>285</v>
      </c>
      <c r="BX611" s="1720" t="s">
        <v>1605</v>
      </c>
      <c r="BY611" s="1772"/>
    </row>
    <row r="612" spans="72:77" x14ac:dyDescent="0.3">
      <c r="BT612" s="197" t="str">
        <f>IF(COUNTIF(BU$76:BU612,BU612)=1,MAX(BT$76:BT611)+1,"")</f>
        <v/>
      </c>
      <c r="BU612" s="1720">
        <v>215</v>
      </c>
      <c r="BV612" s="1720">
        <v>377</v>
      </c>
      <c r="BW612" s="1720">
        <v>285</v>
      </c>
      <c r="BX612" s="1720" t="s">
        <v>1604</v>
      </c>
      <c r="BY612" s="1772"/>
    </row>
    <row r="613" spans="72:77" x14ac:dyDescent="0.3">
      <c r="BT613" s="197" t="str">
        <f>IF(COUNTIF(BU$76:BU613,BU613)=1,MAX(BT$76:BT612)+1,"")</f>
        <v/>
      </c>
      <c r="BU613" s="1720">
        <v>215</v>
      </c>
      <c r="BV613" s="1720">
        <v>263</v>
      </c>
      <c r="BW613" s="1720">
        <v>285</v>
      </c>
      <c r="BX613" s="1720" t="s">
        <v>1605</v>
      </c>
      <c r="BY613" s="1772"/>
    </row>
    <row r="614" spans="72:77" x14ac:dyDescent="0.3">
      <c r="BT614" s="197" t="str">
        <f>IF(COUNTIF(BU$76:BU614,BU614)=1,MAX(BT$76:BT613)+1,"")</f>
        <v/>
      </c>
      <c r="BU614" s="1720">
        <v>215</v>
      </c>
      <c r="BV614" s="1720">
        <v>263</v>
      </c>
      <c r="BW614" s="1720">
        <v>285</v>
      </c>
      <c r="BX614" s="1720" t="s">
        <v>1605</v>
      </c>
      <c r="BY614" s="1772"/>
    </row>
    <row r="615" spans="72:77" x14ac:dyDescent="0.3">
      <c r="BT615" s="197" t="str">
        <f>IF(COUNTIF(BU$76:BU615,BU615)=1,MAX(BT$76:BT614)+1,"")</f>
        <v/>
      </c>
      <c r="BU615" s="1720">
        <v>215</v>
      </c>
      <c r="BV615" s="1720">
        <v>262</v>
      </c>
      <c r="BW615" s="1720">
        <v>285</v>
      </c>
      <c r="BX615" s="1720" t="s">
        <v>1605</v>
      </c>
      <c r="BY615" s="1772"/>
    </row>
    <row r="616" spans="72:77" x14ac:dyDescent="0.3">
      <c r="BT616" s="197" t="str">
        <f>IF(COUNTIF(BU$76:BU616,BU616)=1,MAX(BT$76:BT615)+1,"")</f>
        <v/>
      </c>
      <c r="BU616" s="1720">
        <v>215</v>
      </c>
      <c r="BV616" s="1720">
        <v>375</v>
      </c>
      <c r="BW616" s="1720">
        <v>285</v>
      </c>
      <c r="BX616" s="1720" t="s">
        <v>1604</v>
      </c>
      <c r="BY616" s="1772"/>
    </row>
    <row r="617" spans="72:77" x14ac:dyDescent="0.3">
      <c r="BT617" s="197" t="str">
        <f>IF(COUNTIF(BU$76:BU617,BU617)=1,MAX(BT$76:BT616)+1,"")</f>
        <v/>
      </c>
      <c r="BU617" s="1720">
        <v>215</v>
      </c>
      <c r="BV617" s="1720">
        <v>253</v>
      </c>
      <c r="BW617" s="1720">
        <v>375</v>
      </c>
      <c r="BX617" s="1720" t="s">
        <v>1605</v>
      </c>
      <c r="BY617" s="1772"/>
    </row>
    <row r="618" spans="72:77" x14ac:dyDescent="0.3">
      <c r="BT618" s="197" t="str">
        <f>IF(COUNTIF(BU$76:BU618,BU618)=1,MAX(BT$76:BT617)+1,"")</f>
        <v/>
      </c>
      <c r="BU618" s="1720">
        <v>215</v>
      </c>
      <c r="BV618" s="1720">
        <v>377</v>
      </c>
      <c r="BW618" s="1720">
        <v>285</v>
      </c>
      <c r="BX618" s="1720" t="s">
        <v>1604</v>
      </c>
      <c r="BY618" s="1772"/>
    </row>
    <row r="619" spans="72:77" x14ac:dyDescent="0.3">
      <c r="BT619" s="197" t="str">
        <f>IF(COUNTIF(BU$76:BU619,BU619)=1,MAX(BT$76:BT618)+1,"")</f>
        <v/>
      </c>
      <c r="BU619" s="1720">
        <v>215</v>
      </c>
      <c r="BV619" s="1720">
        <v>317</v>
      </c>
      <c r="BW619" s="1720">
        <v>285</v>
      </c>
      <c r="BX619" s="1720" t="s">
        <v>1606</v>
      </c>
      <c r="BY619" s="1772"/>
    </row>
    <row r="620" spans="72:77" x14ac:dyDescent="0.3">
      <c r="BT620" s="197" t="str">
        <f>IF(COUNTIF(BU$76:BU620,BU620)=1,MAX(BT$76:BT619)+1,"")</f>
        <v/>
      </c>
      <c r="BU620" s="1720">
        <v>215</v>
      </c>
      <c r="BV620" s="1720">
        <v>317</v>
      </c>
      <c r="BW620" s="1720">
        <v>285</v>
      </c>
      <c r="BX620" s="1720" t="s">
        <v>1606</v>
      </c>
      <c r="BY620" s="1772"/>
    </row>
    <row r="621" spans="72:77" x14ac:dyDescent="0.3">
      <c r="BT621" s="197" t="str">
        <f>IF(COUNTIF(BU$76:BU621,BU621)=1,MAX(BT$76:BT620)+1,"")</f>
        <v/>
      </c>
      <c r="BU621" s="1720">
        <v>215</v>
      </c>
      <c r="BV621" s="1720">
        <v>265</v>
      </c>
      <c r="BW621" s="1720">
        <v>285</v>
      </c>
      <c r="BX621" s="1720" t="s">
        <v>1605</v>
      </c>
      <c r="BY621" s="1772"/>
    </row>
    <row r="622" spans="72:77" x14ac:dyDescent="0.3">
      <c r="BT622" s="197">
        <f>IF(COUNTIF(BU$76:BU622,BU622)=1,MAX(BT$76:BT621)+1,"")</f>
        <v>52</v>
      </c>
      <c r="BU622" s="1720">
        <v>217.5</v>
      </c>
      <c r="BV622" s="1720">
        <v>320</v>
      </c>
      <c r="BW622" s="1720">
        <v>285</v>
      </c>
      <c r="BX622" s="1720" t="s">
        <v>1607</v>
      </c>
      <c r="BY622" s="1772"/>
    </row>
    <row r="623" spans="72:77" x14ac:dyDescent="0.3">
      <c r="BT623" s="197" t="str">
        <f>IF(COUNTIF(BU$76:BU623,BU623)=1,MAX(BT$76:BT622)+1,"")</f>
        <v/>
      </c>
      <c r="BU623" s="1720">
        <v>217.5</v>
      </c>
      <c r="BV623" s="1720">
        <v>320</v>
      </c>
      <c r="BW623" s="1720">
        <v>285</v>
      </c>
      <c r="BX623" s="1720" t="s">
        <v>1607</v>
      </c>
      <c r="BY623" s="1772"/>
    </row>
    <row r="624" spans="72:77" x14ac:dyDescent="0.3">
      <c r="BT624" s="197" t="str">
        <f>IF(COUNTIF(BU$76:BU624,BU624)=1,MAX(BT$76:BT623)+1,"")</f>
        <v/>
      </c>
      <c r="BU624" s="1720">
        <v>217.5</v>
      </c>
      <c r="BV624" s="1720">
        <v>315</v>
      </c>
      <c r="BW624" s="1720">
        <v>285</v>
      </c>
      <c r="BX624" s="1720" t="s">
        <v>1607</v>
      </c>
      <c r="BY624" s="1772"/>
    </row>
    <row r="625" spans="72:77" x14ac:dyDescent="0.3">
      <c r="BT625" s="197" t="str">
        <f>IF(COUNTIF(BU$76:BU625,BU625)=1,MAX(BT$76:BT624)+1,"")</f>
        <v/>
      </c>
      <c r="BU625" s="1720">
        <v>217.5</v>
      </c>
      <c r="BV625" s="1720">
        <v>400</v>
      </c>
      <c r="BW625" s="1720">
        <v>285</v>
      </c>
      <c r="BX625" s="1720" t="s">
        <v>1608</v>
      </c>
      <c r="BY625" s="1772"/>
    </row>
    <row r="626" spans="72:77" x14ac:dyDescent="0.3">
      <c r="BT626" s="197" t="str">
        <f>IF(COUNTIF(BU$76:BU626,BU626)=1,MAX(BT$76:BT625)+1,"")</f>
        <v/>
      </c>
      <c r="BU626" s="1720">
        <v>217.5</v>
      </c>
      <c r="BV626" s="1720">
        <v>255</v>
      </c>
      <c r="BW626" s="1720">
        <v>285</v>
      </c>
      <c r="BX626" s="1720" t="s">
        <v>1609</v>
      </c>
      <c r="BY626" s="1772"/>
    </row>
    <row r="627" spans="72:77" x14ac:dyDescent="0.3">
      <c r="BT627" s="197" t="str">
        <f>IF(COUNTIF(BU$76:BU627,BU627)=1,MAX(BT$76:BT626)+1,"")</f>
        <v/>
      </c>
      <c r="BU627" s="1720">
        <v>217.5</v>
      </c>
      <c r="BV627" s="1720">
        <v>400</v>
      </c>
      <c r="BW627" s="1720">
        <v>285</v>
      </c>
      <c r="BX627" s="1720" t="s">
        <v>1608</v>
      </c>
      <c r="BY627" s="1772"/>
    </row>
    <row r="628" spans="72:77" x14ac:dyDescent="0.3">
      <c r="BT628" s="197" t="str">
        <f>IF(COUNTIF(BU$76:BU628,BU628)=1,MAX(BT$76:BT627)+1,"")</f>
        <v/>
      </c>
      <c r="BU628" s="1720">
        <v>217.5</v>
      </c>
      <c r="BV628" s="1720">
        <v>320</v>
      </c>
      <c r="BW628" s="1720">
        <v>285</v>
      </c>
      <c r="BX628" s="1720" t="s">
        <v>1607</v>
      </c>
      <c r="BY628" s="1772"/>
    </row>
    <row r="629" spans="72:77" x14ac:dyDescent="0.3">
      <c r="BT629" s="197" t="str">
        <f>IF(COUNTIF(BU$76:BU629,BU629)=1,MAX(BT$76:BT628)+1,"")</f>
        <v/>
      </c>
      <c r="BU629" s="1720">
        <v>217.5</v>
      </c>
      <c r="BV629" s="1720">
        <v>455</v>
      </c>
      <c r="BW629" s="1720">
        <v>285</v>
      </c>
      <c r="BX629" s="1720" t="s">
        <v>1610</v>
      </c>
      <c r="BY629" s="1772"/>
    </row>
    <row r="630" spans="72:77" x14ac:dyDescent="0.3">
      <c r="BT630" s="197" t="str">
        <f>IF(COUNTIF(BU$76:BU630,BU630)=1,MAX(BT$76:BT629)+1,"")</f>
        <v/>
      </c>
      <c r="BU630" s="1720">
        <v>217.5</v>
      </c>
      <c r="BV630" s="1720">
        <v>260</v>
      </c>
      <c r="BW630" s="1720">
        <v>285</v>
      </c>
      <c r="BX630" s="1720" t="s">
        <v>1609</v>
      </c>
      <c r="BY630" s="1772"/>
    </row>
    <row r="631" spans="72:77" x14ac:dyDescent="0.3">
      <c r="BT631" s="197">
        <f>IF(COUNTIF(BU$76:BU631,BU631)=1,MAX(BT$76:BT630)+1,"")</f>
        <v>53</v>
      </c>
      <c r="BU631" s="1720">
        <v>220</v>
      </c>
      <c r="BV631" s="1720">
        <v>265</v>
      </c>
      <c r="BW631" s="1720">
        <v>285</v>
      </c>
      <c r="BX631" s="1720" t="s">
        <v>1611</v>
      </c>
      <c r="BY631" s="1772"/>
    </row>
    <row r="632" spans="72:77" x14ac:dyDescent="0.3">
      <c r="BT632" s="197" t="str">
        <f>IF(COUNTIF(BU$76:BU632,BU632)=1,MAX(BT$76:BT631)+1,"")</f>
        <v/>
      </c>
      <c r="BU632" s="1720">
        <v>220</v>
      </c>
      <c r="BV632" s="1720">
        <v>260</v>
      </c>
      <c r="BW632" s="1720">
        <v>375</v>
      </c>
      <c r="BX632" s="1720" t="s">
        <v>1611</v>
      </c>
      <c r="BY632" s="1772"/>
    </row>
    <row r="633" spans="72:77" x14ac:dyDescent="0.3">
      <c r="BT633" s="197" t="str">
        <f>IF(COUNTIF(BU$76:BU633,BU633)=1,MAX(BT$76:BT632)+1,"")</f>
        <v/>
      </c>
      <c r="BU633" s="1720">
        <v>220</v>
      </c>
      <c r="BV633" s="1720">
        <v>265</v>
      </c>
      <c r="BW633" s="1720">
        <v>285</v>
      </c>
      <c r="BX633" s="1720" t="s">
        <v>1611</v>
      </c>
      <c r="BY633" s="1772"/>
    </row>
    <row r="634" spans="72:77" x14ac:dyDescent="0.3">
      <c r="BT634" s="197" t="str">
        <f>IF(COUNTIF(BU$76:BU634,BU634)=1,MAX(BT$76:BT633)+1,"")</f>
        <v/>
      </c>
      <c r="BU634" s="1720">
        <v>220</v>
      </c>
      <c r="BV634" s="1720">
        <v>264</v>
      </c>
      <c r="BW634" s="1720">
        <v>285</v>
      </c>
      <c r="BX634" s="1720" t="s">
        <v>1611</v>
      </c>
      <c r="BY634" s="1772"/>
    </row>
    <row r="635" spans="72:77" x14ac:dyDescent="0.3">
      <c r="BT635" s="197" t="str">
        <f>IF(COUNTIF(BU$76:BU635,BU635)=1,MAX(BT$76:BT634)+1,"")</f>
        <v/>
      </c>
      <c r="BU635" s="1720">
        <v>220</v>
      </c>
      <c r="BV635" s="1720">
        <v>265</v>
      </c>
      <c r="BW635" s="1720">
        <v>285</v>
      </c>
      <c r="BX635" s="1720" t="s">
        <v>1611</v>
      </c>
      <c r="BY635" s="1772"/>
    </row>
    <row r="636" spans="72:77" x14ac:dyDescent="0.3">
      <c r="BT636" s="197" t="str">
        <f>IF(COUNTIF(BU$76:BU636,BU636)=1,MAX(BT$76:BT635)+1,"")</f>
        <v/>
      </c>
      <c r="BU636" s="1720">
        <v>220</v>
      </c>
      <c r="BV636" s="1720">
        <v>263</v>
      </c>
      <c r="BW636" s="1720">
        <v>285</v>
      </c>
      <c r="BX636" s="1720" t="s">
        <v>1611</v>
      </c>
      <c r="BY636" s="1772"/>
    </row>
    <row r="637" spans="72:77" x14ac:dyDescent="0.3">
      <c r="BT637" s="197" t="str">
        <f>IF(COUNTIF(BU$76:BU637,BU637)=1,MAX(BT$76:BT636)+1,"")</f>
        <v/>
      </c>
      <c r="BU637" s="1720">
        <v>220</v>
      </c>
      <c r="BV637" s="1720">
        <v>218</v>
      </c>
      <c r="BW637" s="1720">
        <v>285</v>
      </c>
      <c r="BX637" s="1720" t="s">
        <v>1612</v>
      </c>
      <c r="BY637" s="1772"/>
    </row>
    <row r="638" spans="72:77" x14ac:dyDescent="0.3">
      <c r="BT638" s="197" t="str">
        <f>IF(COUNTIF(BU$76:BU638,BU638)=1,MAX(BT$76:BT637)+1,"")</f>
        <v/>
      </c>
      <c r="BU638" s="1720">
        <v>220</v>
      </c>
      <c r="BV638" s="1720">
        <v>317</v>
      </c>
      <c r="BW638" s="1720">
        <v>375</v>
      </c>
      <c r="BX638" s="1720" t="s">
        <v>1613</v>
      </c>
      <c r="BY638" s="1772"/>
    </row>
    <row r="639" spans="72:77" x14ac:dyDescent="0.3">
      <c r="BT639" s="197" t="str">
        <f>IF(COUNTIF(BU$76:BU639,BU639)=1,MAX(BT$76:BT638)+1,"")</f>
        <v/>
      </c>
      <c r="BU639" s="1720">
        <v>220</v>
      </c>
      <c r="BV639" s="1720">
        <v>263</v>
      </c>
      <c r="BW639" s="1720">
        <v>285</v>
      </c>
      <c r="BX639" s="1720" t="s">
        <v>1611</v>
      </c>
      <c r="BY639" s="1772"/>
    </row>
    <row r="640" spans="72:77" x14ac:dyDescent="0.3">
      <c r="BT640" s="197" t="str">
        <f>IF(COUNTIF(BU$76:BU640,BU640)=1,MAX(BT$76:BT639)+1,"")</f>
        <v/>
      </c>
      <c r="BU640" s="1720">
        <v>220</v>
      </c>
      <c r="BV640" s="1720">
        <v>505</v>
      </c>
      <c r="BW640" s="1720">
        <v>285</v>
      </c>
      <c r="BX640" s="1720" t="s">
        <v>1614</v>
      </c>
      <c r="BY640" s="1772"/>
    </row>
    <row r="641" spans="72:77" x14ac:dyDescent="0.3">
      <c r="BT641" s="197" t="str">
        <f>IF(COUNTIF(BU$76:BU641,BU641)=1,MAX(BT$76:BT640)+1,"")</f>
        <v/>
      </c>
      <c r="BU641" s="1720">
        <v>220</v>
      </c>
      <c r="BV641" s="1720">
        <v>380</v>
      </c>
      <c r="BW641" s="1720">
        <v>360</v>
      </c>
      <c r="BX641" s="1720" t="s">
        <v>1615</v>
      </c>
      <c r="BY641" s="1772"/>
    </row>
    <row r="642" spans="72:77" x14ac:dyDescent="0.3">
      <c r="BT642" s="197" t="str">
        <f>IF(COUNTIF(BU$76:BU642,BU642)=1,MAX(BT$76:BT641)+1,"")</f>
        <v/>
      </c>
      <c r="BU642" s="1720">
        <v>220</v>
      </c>
      <c r="BV642" s="1720">
        <v>377</v>
      </c>
      <c r="BW642" s="1720">
        <v>360</v>
      </c>
      <c r="BX642" s="1720" t="s">
        <v>1615</v>
      </c>
      <c r="BY642" s="1772"/>
    </row>
    <row r="643" spans="72:77" x14ac:dyDescent="0.3">
      <c r="BT643" s="197" t="str">
        <f>IF(COUNTIF(BU$76:BU643,BU643)=1,MAX(BT$76:BT642)+1,"")</f>
        <v/>
      </c>
      <c r="BU643" s="1720">
        <v>220</v>
      </c>
      <c r="BV643" s="1720">
        <v>320</v>
      </c>
      <c r="BW643" s="1720">
        <v>285</v>
      </c>
      <c r="BX643" s="1720" t="s">
        <v>1613</v>
      </c>
      <c r="BY643" s="1772"/>
    </row>
    <row r="644" spans="72:77" x14ac:dyDescent="0.3">
      <c r="BT644" s="197" t="str">
        <f>IF(COUNTIF(BU$76:BU644,BU644)=1,MAX(BT$76:BT643)+1,"")</f>
        <v/>
      </c>
      <c r="BU644" s="1720">
        <v>220</v>
      </c>
      <c r="BV644" s="1720">
        <v>320</v>
      </c>
      <c r="BW644" s="1720">
        <v>360</v>
      </c>
      <c r="BX644" s="1720" t="s">
        <v>1613</v>
      </c>
      <c r="BY644" s="1772"/>
    </row>
    <row r="645" spans="72:77" x14ac:dyDescent="0.3">
      <c r="BT645" s="197" t="str">
        <f>IF(COUNTIF(BU$76:BU645,BU645)=1,MAX(BT$76:BT644)+1,"")</f>
        <v/>
      </c>
      <c r="BU645" s="1720">
        <v>220</v>
      </c>
      <c r="BV645" s="1720">
        <v>380</v>
      </c>
      <c r="BW645" s="1720">
        <v>360</v>
      </c>
      <c r="BX645" s="1720" t="s">
        <v>1615</v>
      </c>
      <c r="BY645" s="1772"/>
    </row>
    <row r="646" spans="72:77" x14ac:dyDescent="0.3">
      <c r="BT646" s="197">
        <f>IF(COUNTIF(BU$76:BU646,BU646)=1,MAX(BT$76:BT645)+1,"")</f>
        <v>54</v>
      </c>
      <c r="BU646" s="1720">
        <v>222.5</v>
      </c>
      <c r="BV646" s="1720">
        <v>255</v>
      </c>
      <c r="BW646" s="1720">
        <v>360</v>
      </c>
      <c r="BX646" s="1720" t="s">
        <v>1616</v>
      </c>
      <c r="BY646" s="1772"/>
    </row>
    <row r="647" spans="72:77" x14ac:dyDescent="0.3">
      <c r="BT647" s="197" t="str">
        <f>IF(COUNTIF(BU$76:BU647,BU647)=1,MAX(BT$76:BT646)+1,"")</f>
        <v/>
      </c>
      <c r="BU647" s="1720">
        <v>222.5</v>
      </c>
      <c r="BV647" s="1720">
        <v>260</v>
      </c>
      <c r="BW647" s="1720">
        <v>375</v>
      </c>
      <c r="BX647" s="1720" t="s">
        <v>1616</v>
      </c>
      <c r="BY647" s="1772"/>
    </row>
    <row r="648" spans="72:77" x14ac:dyDescent="0.3">
      <c r="BT648" s="197" t="str">
        <f>IF(COUNTIF(BU$76:BU648,BU648)=1,MAX(BT$76:BT647)+1,"")</f>
        <v/>
      </c>
      <c r="BU648" s="1720">
        <v>222.5</v>
      </c>
      <c r="BV648" s="1720">
        <v>260</v>
      </c>
      <c r="BW648" s="1720">
        <v>360</v>
      </c>
      <c r="BX648" s="1720" t="s">
        <v>1616</v>
      </c>
      <c r="BY648" s="1772"/>
    </row>
    <row r="649" spans="72:77" x14ac:dyDescent="0.3">
      <c r="BT649" s="197" t="str">
        <f>IF(COUNTIF(BU$76:BU649,BU649)=1,MAX(BT$76:BT648)+1,"")</f>
        <v/>
      </c>
      <c r="BU649" s="1720">
        <v>222.5</v>
      </c>
      <c r="BV649" s="1720">
        <v>260</v>
      </c>
      <c r="BW649" s="1720">
        <v>375</v>
      </c>
      <c r="BX649" s="1720" t="s">
        <v>1616</v>
      </c>
      <c r="BY649" s="1772"/>
    </row>
    <row r="650" spans="72:77" x14ac:dyDescent="0.3">
      <c r="BT650" s="197" t="str">
        <f>IF(COUNTIF(BU$76:BU650,BU650)=1,MAX(BT$76:BT649)+1,"")</f>
        <v/>
      </c>
      <c r="BU650" s="1720">
        <v>222.5</v>
      </c>
      <c r="BV650" s="1720">
        <v>320</v>
      </c>
      <c r="BW650" s="1720">
        <v>360</v>
      </c>
      <c r="BX650" s="1720" t="s">
        <v>1617</v>
      </c>
      <c r="BY650" s="1772"/>
    </row>
    <row r="651" spans="72:77" x14ac:dyDescent="0.3">
      <c r="BT651" s="197" t="str">
        <f>IF(COUNTIF(BU$76:BU651,BU651)=1,MAX(BT$76:BT650)+1,"")</f>
        <v/>
      </c>
      <c r="BU651" s="1720">
        <v>222.5</v>
      </c>
      <c r="BV651" s="1720">
        <v>497</v>
      </c>
      <c r="BW651" s="1720">
        <v>360</v>
      </c>
      <c r="BX651" s="1720" t="s">
        <v>1614</v>
      </c>
      <c r="BY651" s="1772"/>
    </row>
    <row r="652" spans="72:77" x14ac:dyDescent="0.3">
      <c r="BT652" s="197" t="str">
        <f>IF(COUNTIF(BU$76:BU652,BU652)=1,MAX(BT$76:BT651)+1,"")</f>
        <v/>
      </c>
      <c r="BU652" s="1720">
        <v>222.5</v>
      </c>
      <c r="BV652" s="1720">
        <v>497</v>
      </c>
      <c r="BW652" s="1720">
        <v>360</v>
      </c>
      <c r="BX652" s="1720" t="s">
        <v>1614</v>
      </c>
      <c r="BY652" s="1772"/>
    </row>
    <row r="653" spans="72:77" x14ac:dyDescent="0.3">
      <c r="BT653" s="197" t="str">
        <f>IF(COUNTIF(BU$76:BU653,BU653)=1,MAX(BT$76:BT652)+1,"")</f>
        <v/>
      </c>
      <c r="BU653" s="1720">
        <v>222.5</v>
      </c>
      <c r="BV653" s="1720">
        <v>257</v>
      </c>
      <c r="BW653" s="1720">
        <v>360</v>
      </c>
      <c r="BX653" s="1720" t="s">
        <v>1616</v>
      </c>
      <c r="BY653" s="1772"/>
    </row>
    <row r="654" spans="72:77" x14ac:dyDescent="0.3">
      <c r="BT654" s="197">
        <f>IF(COUNTIF(BU$76:BU654,BU654)=1,MAX(BT$76:BT653)+1,"")</f>
        <v>55</v>
      </c>
      <c r="BU654" s="1720">
        <v>225</v>
      </c>
      <c r="BV654" s="1720">
        <v>497</v>
      </c>
      <c r="BW654" s="1720">
        <v>360</v>
      </c>
      <c r="BX654" s="1720" t="s">
        <v>1618</v>
      </c>
      <c r="BY654" s="1772"/>
    </row>
    <row r="655" spans="72:77" x14ac:dyDescent="0.3">
      <c r="BT655" s="197" t="str">
        <f>IF(COUNTIF(BU$76:BU655,BU655)=1,MAX(BT$76:BT654)+1,"")</f>
        <v/>
      </c>
      <c r="BU655" s="1720">
        <v>225</v>
      </c>
      <c r="BV655" s="1720">
        <v>258</v>
      </c>
      <c r="BW655" s="1720">
        <v>360</v>
      </c>
      <c r="BX655" s="1720" t="s">
        <v>1619</v>
      </c>
      <c r="BY655" s="1772"/>
    </row>
    <row r="656" spans="72:77" x14ac:dyDescent="0.3">
      <c r="BT656" s="197" t="str">
        <f>IF(COUNTIF(BU$76:BU656,BU656)=1,MAX(BT$76:BT655)+1,"")</f>
        <v/>
      </c>
      <c r="BU656" s="1720">
        <v>225</v>
      </c>
      <c r="BV656" s="1720">
        <v>317</v>
      </c>
      <c r="BW656" s="1720">
        <v>375</v>
      </c>
      <c r="BX656" s="1720" t="s">
        <v>1620</v>
      </c>
      <c r="BY656" s="1772"/>
    </row>
    <row r="657" spans="72:77" x14ac:dyDescent="0.3">
      <c r="BT657" s="197" t="str">
        <f>IF(COUNTIF(BU$76:BU657,BU657)=1,MAX(BT$76:BT656)+1,"")</f>
        <v/>
      </c>
      <c r="BU657" s="1720">
        <v>225</v>
      </c>
      <c r="BV657" s="1720">
        <v>320</v>
      </c>
      <c r="BW657" s="1720">
        <v>360</v>
      </c>
      <c r="BX657" s="1720" t="s">
        <v>1620</v>
      </c>
      <c r="BY657" s="1772"/>
    </row>
    <row r="658" spans="72:77" x14ac:dyDescent="0.3">
      <c r="BT658" s="197" t="str">
        <f>IF(COUNTIF(BU$76:BU658,BU658)=1,MAX(BT$76:BT657)+1,"")</f>
        <v/>
      </c>
      <c r="BU658" s="1720">
        <v>225</v>
      </c>
      <c r="BV658" s="1720">
        <v>380</v>
      </c>
      <c r="BW658" s="1720">
        <v>360</v>
      </c>
      <c r="BX658" s="1720" t="s">
        <v>1621</v>
      </c>
      <c r="BY658" s="1772"/>
    </row>
    <row r="659" spans="72:77" x14ac:dyDescent="0.3">
      <c r="BT659" s="197">
        <f>IF(COUNTIF(BU$76:BU659,BU659)=1,MAX(BT$76:BT658)+1,"")</f>
        <v>56</v>
      </c>
      <c r="BU659" s="1720">
        <v>227.5</v>
      </c>
      <c r="BV659" s="1720">
        <v>312</v>
      </c>
      <c r="BW659" s="1720">
        <v>375</v>
      </c>
      <c r="BX659" s="1720" t="s">
        <v>1622</v>
      </c>
      <c r="BY659" s="1772"/>
    </row>
    <row r="660" spans="72:77" x14ac:dyDescent="0.3">
      <c r="BT660" s="197" t="str">
        <f>IF(COUNTIF(BU$76:BU660,BU660)=1,MAX(BT$76:BT659)+1,"")</f>
        <v/>
      </c>
      <c r="BU660" s="1720">
        <v>227.5</v>
      </c>
      <c r="BV660" s="1720">
        <v>320</v>
      </c>
      <c r="BW660" s="1720">
        <v>360</v>
      </c>
      <c r="BX660" s="1720" t="s">
        <v>1622</v>
      </c>
      <c r="BY660" s="1772"/>
    </row>
    <row r="661" spans="72:77" x14ac:dyDescent="0.3">
      <c r="BT661" s="197" t="str">
        <f>IF(COUNTIF(BU$76:BU661,BU661)=1,MAX(BT$76:BT660)+1,"")</f>
        <v/>
      </c>
      <c r="BU661" s="1720">
        <v>227.5</v>
      </c>
      <c r="BV661" s="1720">
        <v>317</v>
      </c>
      <c r="BW661" s="1720">
        <v>360</v>
      </c>
      <c r="BX661" s="1720" t="s">
        <v>1622</v>
      </c>
      <c r="BY661" s="1772"/>
    </row>
    <row r="662" spans="72:77" x14ac:dyDescent="0.3">
      <c r="BT662" s="197" t="str">
        <f>IF(COUNTIF(BU$76:BU662,BU662)=1,MAX(BT$76:BT661)+1,"")</f>
        <v/>
      </c>
      <c r="BU662" s="1720">
        <v>227.5</v>
      </c>
      <c r="BV662" s="1720">
        <v>318</v>
      </c>
      <c r="BW662" s="1720">
        <v>360</v>
      </c>
      <c r="BX662" s="1720" t="s">
        <v>1622</v>
      </c>
      <c r="BY662" s="1772"/>
    </row>
    <row r="663" spans="72:77" x14ac:dyDescent="0.3">
      <c r="BT663" s="197" t="str">
        <f>IF(COUNTIF(BU$76:BU663,BU663)=1,MAX(BT$76:BT662)+1,"")</f>
        <v/>
      </c>
      <c r="BU663" s="1720">
        <v>227.5</v>
      </c>
      <c r="BV663" s="1720">
        <v>260</v>
      </c>
      <c r="BW663" s="1720">
        <v>360</v>
      </c>
      <c r="BX663" s="1720" t="s">
        <v>1623</v>
      </c>
      <c r="BY663" s="1772"/>
    </row>
    <row r="664" spans="72:77" x14ac:dyDescent="0.3">
      <c r="BT664" s="197" t="str">
        <f>IF(COUNTIF(BU$76:BU664,BU664)=1,MAX(BT$76:BT663)+1,"")</f>
        <v/>
      </c>
      <c r="BU664" s="1720">
        <v>227.5</v>
      </c>
      <c r="BV664" s="1720">
        <v>320</v>
      </c>
      <c r="BW664" s="1720">
        <v>360</v>
      </c>
      <c r="BX664" s="1720" t="s">
        <v>1622</v>
      </c>
      <c r="BY664" s="1772"/>
    </row>
    <row r="665" spans="72:77" x14ac:dyDescent="0.3">
      <c r="BT665" s="197" t="str">
        <f>IF(COUNTIF(BU$76:BU665,BU665)=1,MAX(BT$76:BT664)+1,"")</f>
        <v/>
      </c>
      <c r="BU665" s="1720">
        <v>227.5</v>
      </c>
      <c r="BV665" s="1720">
        <v>500</v>
      </c>
      <c r="BW665" s="1720">
        <v>360</v>
      </c>
      <c r="BX665" s="1720" t="s">
        <v>1624</v>
      </c>
      <c r="BY665" s="1772"/>
    </row>
    <row r="666" spans="72:77" x14ac:dyDescent="0.3">
      <c r="BT666" s="197" t="str">
        <f>IF(COUNTIF(BU$76:BU666,BU666)=1,MAX(BT$76:BT665)+1,"")</f>
        <v/>
      </c>
      <c r="BU666" s="1720">
        <v>227.5</v>
      </c>
      <c r="BV666" s="1720">
        <v>498</v>
      </c>
      <c r="BW666" s="1720">
        <v>360</v>
      </c>
      <c r="BX666" s="1720" t="s">
        <v>1624</v>
      </c>
      <c r="BY666" s="1772"/>
    </row>
    <row r="667" spans="72:77" x14ac:dyDescent="0.3">
      <c r="BT667" s="197">
        <f>IF(COUNTIF(BU$76:BU667,BU667)=1,MAX(BT$76:BT666)+1,"")</f>
        <v>57</v>
      </c>
      <c r="BU667" s="1720">
        <v>230</v>
      </c>
      <c r="BV667" s="1720">
        <v>260</v>
      </c>
      <c r="BW667" s="1720">
        <v>375</v>
      </c>
      <c r="BX667" s="1720" t="s">
        <v>1625</v>
      </c>
      <c r="BY667" s="1772"/>
    </row>
    <row r="668" spans="72:77" x14ac:dyDescent="0.3">
      <c r="BT668" s="197" t="str">
        <f>IF(COUNTIF(BU$76:BU668,BU668)=1,MAX(BT$76:BT667)+1,"")</f>
        <v/>
      </c>
      <c r="BU668" s="1720">
        <v>230</v>
      </c>
      <c r="BV668" s="1720">
        <v>260</v>
      </c>
      <c r="BW668" s="1720">
        <v>375</v>
      </c>
      <c r="BX668" s="1720" t="s">
        <v>1625</v>
      </c>
      <c r="BY668" s="1772"/>
    </row>
    <row r="669" spans="72:77" x14ac:dyDescent="0.3">
      <c r="BT669" s="197" t="str">
        <f>IF(COUNTIF(BU$76:BU669,BU669)=1,MAX(BT$76:BT668)+1,"")</f>
        <v/>
      </c>
      <c r="BU669" s="1720">
        <v>230</v>
      </c>
      <c r="BV669" s="1720">
        <v>318</v>
      </c>
      <c r="BW669" s="1720">
        <v>360</v>
      </c>
      <c r="BX669" s="1720" t="s">
        <v>1626</v>
      </c>
      <c r="BY669" s="1772"/>
    </row>
    <row r="670" spans="72:77" x14ac:dyDescent="0.3">
      <c r="BT670" s="197" t="str">
        <f>IF(COUNTIF(BU$76:BU670,BU670)=1,MAX(BT$76:BT669)+1,"")</f>
        <v/>
      </c>
      <c r="BU670" s="1720">
        <v>230</v>
      </c>
      <c r="BV670" s="1720">
        <v>380</v>
      </c>
      <c r="BW670" s="1720">
        <v>360</v>
      </c>
      <c r="BX670" s="1720" t="s">
        <v>1627</v>
      </c>
      <c r="BY670" s="1772"/>
    </row>
    <row r="671" spans="72:77" x14ac:dyDescent="0.3">
      <c r="BT671" s="197" t="str">
        <f>IF(COUNTIF(BU$76:BU671,BU671)=1,MAX(BT$76:BT670)+1,"")</f>
        <v/>
      </c>
      <c r="BU671" s="1720">
        <v>230</v>
      </c>
      <c r="BV671" s="1720">
        <v>318</v>
      </c>
      <c r="BW671" s="1720">
        <v>360</v>
      </c>
      <c r="BX671" s="1720" t="s">
        <v>1626</v>
      </c>
      <c r="BY671" s="1772"/>
    </row>
    <row r="672" spans="72:77" x14ac:dyDescent="0.3">
      <c r="BT672" s="197" t="str">
        <f>IF(COUNTIF(BU$76:BU672,BU672)=1,MAX(BT$76:BT671)+1,"")</f>
        <v/>
      </c>
      <c r="BU672" s="1720">
        <v>230</v>
      </c>
      <c r="BV672" s="1720">
        <v>380</v>
      </c>
      <c r="BW672" s="1720">
        <v>360</v>
      </c>
      <c r="BX672" s="1720" t="s">
        <v>1627</v>
      </c>
      <c r="BY672" s="1772"/>
    </row>
    <row r="673" spans="72:77" x14ac:dyDescent="0.3">
      <c r="BT673" s="197" t="str">
        <f>IF(COUNTIF(BU$76:BU673,BU673)=1,MAX(BT$76:BT672)+1,"")</f>
        <v/>
      </c>
      <c r="BU673" s="1720">
        <v>230</v>
      </c>
      <c r="BV673" s="1720">
        <v>260</v>
      </c>
      <c r="BW673" s="1720">
        <v>360</v>
      </c>
      <c r="BX673" s="1720" t="s">
        <v>1625</v>
      </c>
      <c r="BY673" s="1772"/>
    </row>
    <row r="674" spans="72:77" x14ac:dyDescent="0.3">
      <c r="BT674" s="197" t="str">
        <f>IF(COUNTIF(BU$76:BU674,BU674)=1,MAX(BT$76:BT673)+1,"")</f>
        <v/>
      </c>
      <c r="BU674" s="1720">
        <v>230</v>
      </c>
      <c r="BV674" s="1720">
        <v>260</v>
      </c>
      <c r="BW674" s="1720">
        <v>360</v>
      </c>
      <c r="BX674" s="1720" t="s">
        <v>1625</v>
      </c>
      <c r="BY674" s="1772"/>
    </row>
    <row r="675" spans="72:77" x14ac:dyDescent="0.3">
      <c r="BT675" s="197" t="str">
        <f>IF(COUNTIF(BU$76:BU675,BU675)=1,MAX(BT$76:BT674)+1,"")</f>
        <v/>
      </c>
      <c r="BU675" s="1720">
        <v>230</v>
      </c>
      <c r="BV675" s="1720">
        <v>260</v>
      </c>
      <c r="BW675" s="1720">
        <v>375</v>
      </c>
      <c r="BX675" s="1720" t="s">
        <v>1625</v>
      </c>
      <c r="BY675" s="1772"/>
    </row>
    <row r="676" spans="72:77" x14ac:dyDescent="0.3">
      <c r="BT676" s="197" t="str">
        <f>IF(COUNTIF(BU$76:BU676,BU676)=1,MAX(BT$76:BT675)+1,"")</f>
        <v/>
      </c>
      <c r="BU676" s="1720">
        <v>230</v>
      </c>
      <c r="BV676" s="1720">
        <v>380</v>
      </c>
      <c r="BW676" s="1720">
        <v>360</v>
      </c>
      <c r="BX676" s="1720" t="s">
        <v>1627</v>
      </c>
      <c r="BY676" s="1772"/>
    </row>
    <row r="677" spans="72:77" x14ac:dyDescent="0.3">
      <c r="BT677" s="197">
        <f>IF(COUNTIF(BU$76:BU677,BU677)=1,MAX(BT$76:BT676)+1,"")</f>
        <v>58</v>
      </c>
      <c r="BU677" s="1720">
        <v>232.5</v>
      </c>
      <c r="BV677" s="1720">
        <v>380</v>
      </c>
      <c r="BW677" s="1720">
        <v>360</v>
      </c>
      <c r="BX677" s="1720" t="s">
        <v>1628</v>
      </c>
      <c r="BY677" s="1772"/>
    </row>
    <row r="678" spans="72:77" x14ac:dyDescent="0.3">
      <c r="BT678" s="197" t="str">
        <f>IF(COUNTIF(BU$76:BU678,BU678)=1,MAX(BT$76:BT677)+1,"")</f>
        <v/>
      </c>
      <c r="BU678" s="1720">
        <v>232.5</v>
      </c>
      <c r="BV678" s="1720">
        <v>260</v>
      </c>
      <c r="BW678" s="1720">
        <v>375</v>
      </c>
      <c r="BX678" s="1720" t="s">
        <v>1629</v>
      </c>
      <c r="BY678" s="1772"/>
    </row>
    <row r="679" spans="72:77" x14ac:dyDescent="0.3">
      <c r="BT679" s="197" t="str">
        <f>IF(COUNTIF(BU$76:BU679,BU679)=1,MAX(BT$76:BT678)+1,"")</f>
        <v/>
      </c>
      <c r="BU679" s="1720">
        <v>232.5</v>
      </c>
      <c r="BV679" s="1720">
        <v>500</v>
      </c>
      <c r="BW679" s="1720">
        <v>375</v>
      </c>
      <c r="BX679" s="1720" t="s">
        <v>1630</v>
      </c>
      <c r="BY679" s="1772"/>
    </row>
    <row r="680" spans="72:77" x14ac:dyDescent="0.3">
      <c r="BT680" s="197" t="str">
        <f>IF(COUNTIF(BU$76:BU680,BU680)=1,MAX(BT$76:BT679)+1,"")</f>
        <v/>
      </c>
      <c r="BU680" s="1720">
        <v>232.5</v>
      </c>
      <c r="BV680" s="1720">
        <v>260</v>
      </c>
      <c r="BW680" s="1720">
        <v>375</v>
      </c>
      <c r="BX680" s="1720" t="s">
        <v>1629</v>
      </c>
      <c r="BY680" s="1772"/>
    </row>
    <row r="681" spans="72:77" x14ac:dyDescent="0.3">
      <c r="BT681" s="197" t="str">
        <f>IF(COUNTIF(BU$76:BU681,BU681)=1,MAX(BT$76:BT680)+1,"")</f>
        <v/>
      </c>
      <c r="BU681" s="1720">
        <v>232.5</v>
      </c>
      <c r="BV681" s="1720">
        <v>260</v>
      </c>
      <c r="BW681" s="1720">
        <v>375</v>
      </c>
      <c r="BX681" s="1720" t="s">
        <v>1629</v>
      </c>
      <c r="BY681" s="1772"/>
    </row>
    <row r="682" spans="72:77" x14ac:dyDescent="0.3">
      <c r="BT682" s="197" t="str">
        <f>IF(COUNTIF(BU$76:BU682,BU682)=1,MAX(BT$76:BT681)+1,"")</f>
        <v/>
      </c>
      <c r="BU682" s="1720">
        <v>232.5</v>
      </c>
      <c r="BV682" s="1720">
        <v>260</v>
      </c>
      <c r="BW682" s="1720">
        <v>375</v>
      </c>
      <c r="BX682" s="1720" t="s">
        <v>1629</v>
      </c>
      <c r="BY682" s="1772"/>
    </row>
    <row r="683" spans="72:77" x14ac:dyDescent="0.3">
      <c r="BT683" s="197" t="str">
        <f>IF(COUNTIF(BU$76:BU683,BU683)=1,MAX(BT$76:BT682)+1,"")</f>
        <v/>
      </c>
      <c r="BU683" s="1720">
        <v>232.5</v>
      </c>
      <c r="BV683" s="1720">
        <v>258</v>
      </c>
      <c r="BW683" s="1720">
        <v>360</v>
      </c>
      <c r="BX683" s="1720" t="s">
        <v>1629</v>
      </c>
      <c r="BY683" s="1772"/>
    </row>
    <row r="684" spans="72:77" x14ac:dyDescent="0.3">
      <c r="BT684" s="197" t="str">
        <f>IF(COUNTIF(BU$76:BU684,BU684)=1,MAX(BT$76:BT683)+1,"")</f>
        <v/>
      </c>
      <c r="BU684" s="1720">
        <v>232.5</v>
      </c>
      <c r="BV684" s="1720">
        <v>257</v>
      </c>
      <c r="BW684" s="1720">
        <v>360</v>
      </c>
      <c r="BX684" s="1720" t="s">
        <v>1629</v>
      </c>
      <c r="BY684" s="1772"/>
    </row>
    <row r="685" spans="72:77" x14ac:dyDescent="0.3">
      <c r="BT685" s="197" t="str">
        <f>IF(COUNTIF(BU$76:BU685,BU685)=1,MAX(BT$76:BT684)+1,"")</f>
        <v/>
      </c>
      <c r="BU685" s="1720">
        <v>232.5</v>
      </c>
      <c r="BV685" s="1720">
        <v>260</v>
      </c>
      <c r="BW685" s="1720">
        <v>360</v>
      </c>
      <c r="BX685" s="1720" t="s">
        <v>1629</v>
      </c>
      <c r="BY685" s="1772"/>
    </row>
    <row r="686" spans="72:77" x14ac:dyDescent="0.3">
      <c r="BT686" s="197" t="str">
        <f>IF(COUNTIF(BU$76:BU686,BU686)=1,MAX(BT$76:BT685)+1,"")</f>
        <v/>
      </c>
      <c r="BU686" s="1720">
        <v>232.5</v>
      </c>
      <c r="BV686" s="1720">
        <v>260</v>
      </c>
      <c r="BW686" s="1720">
        <v>375</v>
      </c>
      <c r="BX686" s="1720" t="s">
        <v>1629</v>
      </c>
      <c r="BY686" s="1772"/>
    </row>
    <row r="687" spans="72:77" x14ac:dyDescent="0.3">
      <c r="BT687" s="197" t="str">
        <f>IF(COUNTIF(BU$76:BU687,BU687)=1,MAX(BT$76:BT686)+1,"")</f>
        <v/>
      </c>
      <c r="BU687" s="1720">
        <v>232.5</v>
      </c>
      <c r="BV687" s="1720">
        <v>380</v>
      </c>
      <c r="BW687" s="1720">
        <v>375</v>
      </c>
      <c r="BX687" s="1720" t="s">
        <v>1628</v>
      </c>
      <c r="BY687" s="1772"/>
    </row>
    <row r="688" spans="72:77" x14ac:dyDescent="0.3">
      <c r="BT688" s="197" t="str">
        <f>IF(COUNTIF(BU$76:BU688,BU688)=1,MAX(BT$76:BT687)+1,"")</f>
        <v/>
      </c>
      <c r="BU688" s="1720">
        <v>232.5</v>
      </c>
      <c r="BV688" s="1720">
        <v>260</v>
      </c>
      <c r="BW688" s="1720">
        <v>375</v>
      </c>
      <c r="BX688" s="1720" t="s">
        <v>1629</v>
      </c>
      <c r="BY688" s="1772"/>
    </row>
    <row r="689" spans="72:77" x14ac:dyDescent="0.3">
      <c r="BT689" s="197" t="str">
        <f>IF(COUNTIF(BU$76:BU689,BU689)=1,MAX(BT$76:BT688)+1,"")</f>
        <v/>
      </c>
      <c r="BU689" s="1720">
        <v>232.5</v>
      </c>
      <c r="BV689" s="1720">
        <v>380</v>
      </c>
      <c r="BW689" s="1720">
        <v>360</v>
      </c>
      <c r="BX689" s="1720" t="s">
        <v>1628</v>
      </c>
      <c r="BY689" s="1772"/>
    </row>
    <row r="690" spans="72:77" x14ac:dyDescent="0.3">
      <c r="BT690" s="197" t="str">
        <f>IF(COUNTIF(BU$76:BU690,BU690)=1,MAX(BT$76:BT689)+1,"")</f>
        <v/>
      </c>
      <c r="BU690" s="1720">
        <v>232.5</v>
      </c>
      <c r="BV690" s="1720">
        <v>260</v>
      </c>
      <c r="BW690" s="1720">
        <v>375</v>
      </c>
      <c r="BX690" s="1720" t="s">
        <v>1629</v>
      </c>
      <c r="BY690" s="1772"/>
    </row>
    <row r="691" spans="72:77" x14ac:dyDescent="0.3">
      <c r="BT691" s="197" t="str">
        <f>IF(COUNTIF(BU$76:BU691,BU691)=1,MAX(BT$76:BT690)+1,"")</f>
        <v/>
      </c>
      <c r="BU691" s="1720">
        <v>232.5</v>
      </c>
      <c r="BV691" s="1720">
        <v>260</v>
      </c>
      <c r="BW691" s="1720">
        <v>375</v>
      </c>
      <c r="BX691" s="1720" t="s">
        <v>1629</v>
      </c>
      <c r="BY691" s="1772"/>
    </row>
    <row r="692" spans="72:77" x14ac:dyDescent="0.3">
      <c r="BT692" s="197" t="str">
        <f>IF(COUNTIF(BU$76:BU692,BU692)=1,MAX(BT$76:BT691)+1,"")</f>
        <v/>
      </c>
      <c r="BU692" s="1720">
        <v>232.5</v>
      </c>
      <c r="BV692" s="1720">
        <v>260</v>
      </c>
      <c r="BW692" s="1720">
        <v>375</v>
      </c>
      <c r="BX692" s="1720" t="s">
        <v>1629</v>
      </c>
      <c r="BY692" s="1772"/>
    </row>
    <row r="693" spans="72:77" x14ac:dyDescent="0.3">
      <c r="BT693" s="197" t="str">
        <f>IF(COUNTIF(BU$76:BU693,BU693)=1,MAX(BT$76:BT692)+1,"")</f>
        <v/>
      </c>
      <c r="BU693" s="1720">
        <v>232.5</v>
      </c>
      <c r="BV693" s="1720">
        <v>260</v>
      </c>
      <c r="BW693" s="1720">
        <v>375</v>
      </c>
      <c r="BX693" s="1720" t="s">
        <v>1629</v>
      </c>
      <c r="BY693" s="1772"/>
    </row>
    <row r="694" spans="72:77" x14ac:dyDescent="0.3">
      <c r="BT694" s="197" t="str">
        <f>IF(COUNTIF(BU$76:BU694,BU694)=1,MAX(BT$76:BT693)+1,"")</f>
        <v/>
      </c>
      <c r="BU694" s="1720">
        <v>232.5</v>
      </c>
      <c r="BV694" s="1720">
        <v>260</v>
      </c>
      <c r="BW694" s="1720">
        <v>360</v>
      </c>
      <c r="BX694" s="1720" t="s">
        <v>1629</v>
      </c>
      <c r="BY694" s="1772"/>
    </row>
    <row r="695" spans="72:77" x14ac:dyDescent="0.3">
      <c r="BT695" s="197" t="str">
        <f>IF(COUNTIF(BU$76:BU695,BU695)=1,MAX(BT$76:BT694)+1,"")</f>
        <v/>
      </c>
      <c r="BU695" s="1720">
        <v>232.5</v>
      </c>
      <c r="BV695" s="1720">
        <v>395</v>
      </c>
      <c r="BW695" s="1720">
        <v>360</v>
      </c>
      <c r="BX695" s="1720" t="s">
        <v>1631</v>
      </c>
      <c r="BY695" s="1772"/>
    </row>
    <row r="696" spans="72:77" x14ac:dyDescent="0.3">
      <c r="BT696" s="197" t="str">
        <f>IF(COUNTIF(BU$76:BU696,BU696)=1,MAX(BT$76:BT695)+1,"")</f>
        <v/>
      </c>
      <c r="BU696" s="1720">
        <v>232.5</v>
      </c>
      <c r="BV696" s="1720">
        <v>398</v>
      </c>
      <c r="BW696" s="1720">
        <v>285</v>
      </c>
      <c r="BX696" s="1720" t="s">
        <v>1631</v>
      </c>
      <c r="BY696" s="1772"/>
    </row>
    <row r="697" spans="72:77" x14ac:dyDescent="0.3">
      <c r="BT697" s="197">
        <f>IF(COUNTIF(BU$76:BU697,BU697)=1,MAX(BT$76:BT696)+1,"")</f>
        <v>59</v>
      </c>
      <c r="BU697" s="1720">
        <v>235</v>
      </c>
      <c r="BV697" s="1720">
        <v>320</v>
      </c>
      <c r="BW697" s="1720">
        <v>375</v>
      </c>
      <c r="BX697" s="1720" t="s">
        <v>1632</v>
      </c>
      <c r="BY697" s="1772"/>
    </row>
    <row r="698" spans="72:77" x14ac:dyDescent="0.3">
      <c r="BT698" s="197" t="str">
        <f>IF(COUNTIF(BU$76:BU698,BU698)=1,MAX(BT$76:BT697)+1,"")</f>
        <v/>
      </c>
      <c r="BU698" s="1720">
        <v>235</v>
      </c>
      <c r="BV698" s="1720">
        <v>318</v>
      </c>
      <c r="BW698" s="1720">
        <v>360</v>
      </c>
      <c r="BX698" s="1720" t="s">
        <v>1632</v>
      </c>
      <c r="BY698" s="1772"/>
    </row>
    <row r="699" spans="72:77" x14ac:dyDescent="0.3">
      <c r="BT699" s="197" t="str">
        <f>IF(COUNTIF(BU$76:BU699,BU699)=1,MAX(BT$76:BT698)+1,"")</f>
        <v/>
      </c>
      <c r="BU699" s="1720">
        <v>235</v>
      </c>
      <c r="BV699" s="1720">
        <v>318</v>
      </c>
      <c r="BW699" s="1720">
        <v>375</v>
      </c>
      <c r="BX699" s="1720" t="s">
        <v>1632</v>
      </c>
      <c r="BY699" s="1772"/>
    </row>
    <row r="700" spans="72:77" x14ac:dyDescent="0.3">
      <c r="BT700" s="197" t="str">
        <f>IF(COUNTIF(BU$76:BU700,BU700)=1,MAX(BT$76:BT699)+1,"")</f>
        <v/>
      </c>
      <c r="BU700" s="1720">
        <v>235</v>
      </c>
      <c r="BV700" s="1720">
        <v>380</v>
      </c>
      <c r="BW700" s="1720">
        <v>360</v>
      </c>
      <c r="BX700" s="1720" t="s">
        <v>1633</v>
      </c>
      <c r="BY700" s="1772"/>
    </row>
    <row r="701" spans="72:77" x14ac:dyDescent="0.3">
      <c r="BT701" s="197" t="str">
        <f>IF(COUNTIF(BU$76:BU701,BU701)=1,MAX(BT$76:BT700)+1,"")</f>
        <v/>
      </c>
      <c r="BU701" s="1720">
        <v>235</v>
      </c>
      <c r="BV701" s="1720">
        <v>258</v>
      </c>
      <c r="BW701" s="1720">
        <v>360</v>
      </c>
      <c r="BX701" s="1720" t="s">
        <v>1634</v>
      </c>
      <c r="BY701" s="1772"/>
    </row>
    <row r="702" spans="72:77" x14ac:dyDescent="0.3">
      <c r="BT702" s="197" t="str">
        <f>IF(COUNTIF(BU$76:BU702,BU702)=1,MAX(BT$76:BT701)+1,"")</f>
        <v/>
      </c>
      <c r="BU702" s="1720">
        <v>235</v>
      </c>
      <c r="BV702" s="1720">
        <v>377</v>
      </c>
      <c r="BW702" s="1720">
        <v>360</v>
      </c>
      <c r="BX702" s="1720" t="s">
        <v>1633</v>
      </c>
      <c r="BY702" s="1772"/>
    </row>
    <row r="703" spans="72:77" x14ac:dyDescent="0.3">
      <c r="BT703" s="197" t="str">
        <f>IF(COUNTIF(BU$76:BU703,BU703)=1,MAX(BT$76:BT702)+1,"")</f>
        <v/>
      </c>
      <c r="BU703" s="1720">
        <v>235</v>
      </c>
      <c r="BV703" s="1720">
        <v>380</v>
      </c>
      <c r="BW703" s="1720">
        <v>360</v>
      </c>
      <c r="BX703" s="1720" t="s">
        <v>1633</v>
      </c>
      <c r="BY703" s="1772"/>
    </row>
    <row r="704" spans="72:77" x14ac:dyDescent="0.3">
      <c r="BT704" s="197">
        <f>IF(COUNTIF(BU$76:BU704,BU704)=1,MAX(BT$76:BT703)+1,"")</f>
        <v>60</v>
      </c>
      <c r="BU704" s="1720">
        <v>237.5</v>
      </c>
      <c r="BV704" s="1720">
        <v>317</v>
      </c>
      <c r="BW704" s="1720">
        <v>360</v>
      </c>
      <c r="BX704" s="1720" t="s">
        <v>1635</v>
      </c>
      <c r="BY704" s="1772"/>
    </row>
    <row r="705" spans="72:77" x14ac:dyDescent="0.3">
      <c r="BT705" s="197" t="str">
        <f>IF(COUNTIF(BU$76:BU705,BU705)=1,MAX(BT$76:BT704)+1,"")</f>
        <v/>
      </c>
      <c r="BU705" s="1720">
        <v>237.5</v>
      </c>
      <c r="BV705" s="1720">
        <v>260</v>
      </c>
      <c r="BW705" s="1720">
        <v>360</v>
      </c>
      <c r="BX705" s="1720" t="s">
        <v>1636</v>
      </c>
      <c r="BY705" s="1772"/>
    </row>
    <row r="706" spans="72:77" x14ac:dyDescent="0.3">
      <c r="BT706" s="197" t="str">
        <f>IF(COUNTIF(BU$76:BU706,BU706)=1,MAX(BT$76:BT705)+1,"")</f>
        <v/>
      </c>
      <c r="BU706" s="1720">
        <v>237.5</v>
      </c>
      <c r="BV706" s="1720">
        <v>323</v>
      </c>
      <c r="BW706" s="1720">
        <v>360</v>
      </c>
      <c r="BX706" s="1720" t="s">
        <v>1635</v>
      </c>
      <c r="BY706" s="1772"/>
    </row>
    <row r="707" spans="72:77" x14ac:dyDescent="0.3">
      <c r="BT707" s="197" t="str">
        <f>IF(COUNTIF(BU$76:BU707,BU707)=1,MAX(BT$76:BT706)+1,"")</f>
        <v/>
      </c>
      <c r="BU707" s="1720">
        <v>237.5</v>
      </c>
      <c r="BV707" s="1720">
        <v>260</v>
      </c>
      <c r="BW707" s="1720">
        <v>360</v>
      </c>
      <c r="BX707" s="1720" t="s">
        <v>1636</v>
      </c>
      <c r="BY707" s="1772"/>
    </row>
    <row r="708" spans="72:77" x14ac:dyDescent="0.3">
      <c r="BT708" s="197" t="str">
        <f>IF(COUNTIF(BU$76:BU708,BU708)=1,MAX(BT$76:BT707)+1,"")</f>
        <v/>
      </c>
      <c r="BU708" s="1720">
        <v>237.5</v>
      </c>
      <c r="BV708" s="1720">
        <v>320</v>
      </c>
      <c r="BW708" s="1720">
        <v>375</v>
      </c>
      <c r="BX708" s="1720" t="s">
        <v>1635</v>
      </c>
      <c r="BY708" s="1772"/>
    </row>
    <row r="709" spans="72:77" x14ac:dyDescent="0.3">
      <c r="BT709" s="197" t="str">
        <f>IF(COUNTIF(BU$76:BU709,BU709)=1,MAX(BT$76:BT708)+1,"")</f>
        <v/>
      </c>
      <c r="BU709" s="1720">
        <v>237.5</v>
      </c>
      <c r="BV709" s="1720">
        <v>378</v>
      </c>
      <c r="BW709" s="1720">
        <v>360</v>
      </c>
      <c r="BX709" s="1720" t="s">
        <v>1637</v>
      </c>
      <c r="BY709" s="1772"/>
    </row>
    <row r="710" spans="72:77" x14ac:dyDescent="0.3">
      <c r="BT710" s="197">
        <f>IF(COUNTIF(BU$76:BU710,BU710)=1,MAX(BT$76:BT709)+1,"")</f>
        <v>61</v>
      </c>
      <c r="BU710" s="1720">
        <v>240</v>
      </c>
      <c r="BV710" s="1720">
        <v>215</v>
      </c>
      <c r="BW710" s="1720">
        <v>375</v>
      </c>
      <c r="BX710" s="1720" t="s">
        <v>1638</v>
      </c>
      <c r="BY710" s="1772"/>
    </row>
    <row r="711" spans="72:77" x14ac:dyDescent="0.3">
      <c r="BT711" s="197" t="str">
        <f>IF(COUNTIF(BU$76:BU711,BU711)=1,MAX(BT$76:BT710)+1,"")</f>
        <v/>
      </c>
      <c r="BU711" s="1720">
        <v>240</v>
      </c>
      <c r="BV711" s="1720">
        <v>500</v>
      </c>
      <c r="BW711" s="1720">
        <v>375</v>
      </c>
      <c r="BX711" s="1720" t="s">
        <v>1639</v>
      </c>
      <c r="BY711" s="1772"/>
    </row>
    <row r="712" spans="72:77" x14ac:dyDescent="0.3">
      <c r="BT712" s="197" t="str">
        <f>IF(COUNTIF(BU$76:BU712,BU712)=1,MAX(BT$76:BT711)+1,"")</f>
        <v/>
      </c>
      <c r="BU712" s="1720">
        <v>240</v>
      </c>
      <c r="BV712" s="1720">
        <v>215</v>
      </c>
      <c r="BW712" s="1720">
        <v>375</v>
      </c>
      <c r="BX712" s="1720" t="s">
        <v>1638</v>
      </c>
      <c r="BY712" s="1772"/>
    </row>
    <row r="713" spans="72:77" x14ac:dyDescent="0.3">
      <c r="BT713" s="197" t="str">
        <f>IF(COUNTIF(BU$76:BU713,BU713)=1,MAX(BT$76:BT712)+1,"")</f>
        <v/>
      </c>
      <c r="BU713" s="1720">
        <v>240</v>
      </c>
      <c r="BV713" s="1720">
        <v>215</v>
      </c>
      <c r="BW713" s="1720">
        <v>375</v>
      </c>
      <c r="BX713" s="1720" t="s">
        <v>1638</v>
      </c>
      <c r="BY713" s="1772"/>
    </row>
    <row r="714" spans="72:77" x14ac:dyDescent="0.3">
      <c r="BT714" s="197" t="str">
        <f>IF(COUNTIF(BU$76:BU714,BU714)=1,MAX(BT$76:BT713)+1,"")</f>
        <v/>
      </c>
      <c r="BU714" s="1720">
        <v>240</v>
      </c>
      <c r="BV714" s="1720">
        <v>213</v>
      </c>
      <c r="BW714" s="1720">
        <v>375</v>
      </c>
      <c r="BX714" s="1720" t="s">
        <v>1638</v>
      </c>
      <c r="BY714" s="1772"/>
    </row>
    <row r="715" spans="72:77" x14ac:dyDescent="0.3">
      <c r="BT715" s="197" t="str">
        <f>IF(COUNTIF(BU$76:BU715,BU715)=1,MAX(BT$76:BT714)+1,"")</f>
        <v/>
      </c>
      <c r="BU715" s="1720">
        <v>240</v>
      </c>
      <c r="BV715" s="1720">
        <v>318</v>
      </c>
      <c r="BW715" s="1720">
        <v>360</v>
      </c>
      <c r="BX715" s="1720" t="s">
        <v>1640</v>
      </c>
      <c r="BY715" s="1772"/>
    </row>
    <row r="716" spans="72:77" x14ac:dyDescent="0.3">
      <c r="BT716" s="197" t="str">
        <f>IF(COUNTIF(BU$76:BU716,BU716)=1,MAX(BT$76:BT715)+1,"")</f>
        <v/>
      </c>
      <c r="BU716" s="1720">
        <v>240</v>
      </c>
      <c r="BV716" s="1720">
        <v>320</v>
      </c>
      <c r="BW716" s="1720">
        <v>360</v>
      </c>
      <c r="BX716" s="1720" t="s">
        <v>1640</v>
      </c>
      <c r="BY716" s="1772"/>
    </row>
    <row r="717" spans="72:77" x14ac:dyDescent="0.3">
      <c r="BT717" s="197" t="str">
        <f>IF(COUNTIF(BU$76:BU717,BU717)=1,MAX(BT$76:BT716)+1,"")</f>
        <v/>
      </c>
      <c r="BU717" s="1720">
        <v>240</v>
      </c>
      <c r="BV717" s="1720">
        <v>315</v>
      </c>
      <c r="BW717" s="1720">
        <v>360</v>
      </c>
      <c r="BX717" s="1720" t="s">
        <v>1640</v>
      </c>
      <c r="BY717" s="1772"/>
    </row>
    <row r="718" spans="72:77" x14ac:dyDescent="0.3">
      <c r="BT718" s="197" t="str">
        <f>IF(COUNTIF(BU$76:BU718,BU718)=1,MAX(BT$76:BT717)+1,"")</f>
        <v/>
      </c>
      <c r="BU718" s="1720">
        <v>240</v>
      </c>
      <c r="BV718" s="1720">
        <v>380</v>
      </c>
      <c r="BW718" s="1720">
        <v>360</v>
      </c>
      <c r="BX718" s="1720" t="s">
        <v>1641</v>
      </c>
      <c r="BY718" s="1772"/>
    </row>
    <row r="719" spans="72:77" x14ac:dyDescent="0.3">
      <c r="BT719" s="197" t="str">
        <f>IF(COUNTIF(BU$76:BU719,BU719)=1,MAX(BT$76:BT718)+1,"")</f>
        <v/>
      </c>
      <c r="BU719" s="1720">
        <v>240</v>
      </c>
      <c r="BV719" s="1720">
        <v>320</v>
      </c>
      <c r="BW719" s="1720">
        <v>360</v>
      </c>
      <c r="BX719" s="1720" t="s">
        <v>1640</v>
      </c>
      <c r="BY719" s="1772"/>
    </row>
    <row r="720" spans="72:77" x14ac:dyDescent="0.3">
      <c r="BT720" s="197" t="str">
        <f>IF(COUNTIF(BU$76:BU720,BU720)=1,MAX(BT$76:BT719)+1,"")</f>
        <v/>
      </c>
      <c r="BU720" s="1720">
        <v>240</v>
      </c>
      <c r="BV720" s="1720">
        <v>320</v>
      </c>
      <c r="BW720" s="1720">
        <v>360</v>
      </c>
      <c r="BX720" s="1720" t="s">
        <v>1640</v>
      </c>
      <c r="BY720" s="1772"/>
    </row>
    <row r="721" spans="72:77" x14ac:dyDescent="0.3">
      <c r="BT721" s="197">
        <f>IF(COUNTIF(BU$76:BU721,BU721)=1,MAX(BT$76:BT720)+1,"")</f>
        <v>62</v>
      </c>
      <c r="BU721" s="1720">
        <v>242.5</v>
      </c>
      <c r="BV721" s="1720">
        <v>377</v>
      </c>
      <c r="BW721" s="1720">
        <v>375</v>
      </c>
      <c r="BX721" s="1720" t="s">
        <v>1642</v>
      </c>
      <c r="BY721" s="1772"/>
    </row>
    <row r="722" spans="72:77" x14ac:dyDescent="0.3">
      <c r="BT722" s="197">
        <f>IF(COUNTIF(BU$76:BU722,BU722)=1,MAX(BT$76:BT721)+1,"")</f>
        <v>63</v>
      </c>
      <c r="BU722" s="1720">
        <v>245</v>
      </c>
      <c r="BV722" s="1720">
        <v>497</v>
      </c>
      <c r="BW722" s="1720">
        <v>360</v>
      </c>
      <c r="BX722" s="1720" t="s">
        <v>1643</v>
      </c>
      <c r="BY722" s="1772"/>
    </row>
    <row r="723" spans="72:77" x14ac:dyDescent="0.3">
      <c r="BT723" s="197" t="str">
        <f>IF(COUNTIF(BU$76:BU723,BU723)=1,MAX(BT$76:BT722)+1,"")</f>
        <v/>
      </c>
      <c r="BU723" s="1720">
        <v>245</v>
      </c>
      <c r="BV723" s="1720">
        <v>500</v>
      </c>
      <c r="BW723" s="1720">
        <v>375</v>
      </c>
      <c r="BX723" s="1720" t="s">
        <v>1643</v>
      </c>
      <c r="BY723" s="1772"/>
    </row>
    <row r="724" spans="72:77" x14ac:dyDescent="0.3">
      <c r="BT724" s="197" t="str">
        <f>IF(COUNTIF(BU$76:BU724,BU724)=1,MAX(BT$76:BT723)+1,"")</f>
        <v/>
      </c>
      <c r="BU724" s="1720">
        <v>245</v>
      </c>
      <c r="BV724" s="1720">
        <v>260</v>
      </c>
      <c r="BW724" s="1720">
        <v>360</v>
      </c>
      <c r="BX724" s="1720" t="s">
        <v>1644</v>
      </c>
      <c r="BY724" s="1772"/>
    </row>
    <row r="725" spans="72:77" x14ac:dyDescent="0.3">
      <c r="BT725" s="197" t="str">
        <f>IF(COUNTIF(BU$76:BU725,BU725)=1,MAX(BT$76:BT724)+1,"")</f>
        <v/>
      </c>
      <c r="BU725" s="1720">
        <v>245</v>
      </c>
      <c r="BV725" s="1720">
        <v>257</v>
      </c>
      <c r="BW725" s="1720">
        <v>360</v>
      </c>
      <c r="BX725" s="1720" t="s">
        <v>1644</v>
      </c>
      <c r="BY725" s="1772"/>
    </row>
    <row r="726" spans="72:77" x14ac:dyDescent="0.3">
      <c r="BT726" s="197" t="str">
        <f>IF(COUNTIF(BU$76:BU726,BU726)=1,MAX(BT$76:BT725)+1,"")</f>
        <v/>
      </c>
      <c r="BU726" s="1720">
        <v>245</v>
      </c>
      <c r="BV726" s="1720">
        <v>257</v>
      </c>
      <c r="BW726" s="1720">
        <v>360</v>
      </c>
      <c r="BX726" s="1720" t="s">
        <v>1644</v>
      </c>
      <c r="BY726" s="1772"/>
    </row>
    <row r="727" spans="72:77" x14ac:dyDescent="0.3">
      <c r="BT727" s="197" t="str">
        <f>IF(COUNTIF(BU$76:BU727,BU727)=1,MAX(BT$76:BT726)+1,"")</f>
        <v/>
      </c>
      <c r="BU727" s="1720">
        <v>245</v>
      </c>
      <c r="BV727" s="1720">
        <v>497</v>
      </c>
      <c r="BW727" s="1720">
        <v>360</v>
      </c>
      <c r="BX727" s="1720" t="s">
        <v>1643</v>
      </c>
      <c r="BY727" s="1772"/>
    </row>
    <row r="728" spans="72:77" x14ac:dyDescent="0.3">
      <c r="BT728" s="197" t="str">
        <f>IF(COUNTIF(BU$76:BU728,BU728)=1,MAX(BT$76:BT727)+1,"")</f>
        <v/>
      </c>
      <c r="BU728" s="1720">
        <v>245</v>
      </c>
      <c r="BV728" s="1720">
        <v>257</v>
      </c>
      <c r="BW728" s="1720">
        <v>360</v>
      </c>
      <c r="BX728" s="1720" t="s">
        <v>1644</v>
      </c>
      <c r="BY728" s="1772"/>
    </row>
    <row r="729" spans="72:77" x14ac:dyDescent="0.3">
      <c r="BT729" s="197" t="str">
        <f>IF(COUNTIF(BU$76:BU729,BU729)=1,MAX(BT$76:BT728)+1,"")</f>
        <v/>
      </c>
      <c r="BU729" s="1720">
        <v>245</v>
      </c>
      <c r="BV729" s="1720">
        <v>455</v>
      </c>
      <c r="BW729" s="1720">
        <v>360</v>
      </c>
      <c r="BX729" s="1720" t="s">
        <v>1645</v>
      </c>
      <c r="BY729" s="1772"/>
    </row>
    <row r="730" spans="72:77" x14ac:dyDescent="0.3">
      <c r="BT730" s="197" t="str">
        <f>IF(COUNTIF(BU$76:BU730,BU730)=1,MAX(BT$76:BT729)+1,"")</f>
        <v/>
      </c>
      <c r="BU730" s="1720">
        <v>245</v>
      </c>
      <c r="BV730" s="1720">
        <v>500</v>
      </c>
      <c r="BW730" s="1720">
        <v>360</v>
      </c>
      <c r="BX730" s="1720" t="s">
        <v>1643</v>
      </c>
      <c r="BY730" s="1772"/>
    </row>
    <row r="731" spans="72:77" ht="28.8" x14ac:dyDescent="0.3">
      <c r="BT731" s="197" t="str">
        <f>IF(COUNTIF(BU$76:BU731,BU731)=1,MAX(BT$76:BT730)+1,"")</f>
        <v/>
      </c>
      <c r="BU731" s="1720">
        <v>245</v>
      </c>
      <c r="BV731" s="1720">
        <v>640</v>
      </c>
      <c r="BW731" s="1720">
        <v>320</v>
      </c>
      <c r="BX731" s="1720" t="s">
        <v>1646</v>
      </c>
      <c r="BY731" s="1772" t="s">
        <v>1863</v>
      </c>
    </row>
    <row r="732" spans="72:77" x14ac:dyDescent="0.3">
      <c r="BT732" s="197">
        <f>IF(COUNTIF(BU$76:BU732,BU732)=1,MAX(BT$76:BT731)+1,"")</f>
        <v>64</v>
      </c>
      <c r="BU732" s="1720">
        <v>247.5</v>
      </c>
      <c r="BV732" s="1720">
        <v>505</v>
      </c>
      <c r="BW732" s="1720">
        <v>360</v>
      </c>
      <c r="BX732" s="1720" t="s">
        <v>1647</v>
      </c>
      <c r="BY732" s="1772"/>
    </row>
    <row r="733" spans="72:77" x14ac:dyDescent="0.3">
      <c r="BT733" s="197" t="str">
        <f>IF(COUNTIF(BU$76:BU733,BU733)=1,MAX(BT$76:BT732)+1,"")</f>
        <v/>
      </c>
      <c r="BU733" s="1720">
        <v>247.5</v>
      </c>
      <c r="BV733" s="1720">
        <v>260</v>
      </c>
      <c r="BW733" s="1720">
        <v>360</v>
      </c>
      <c r="BX733" s="1720" t="s">
        <v>1648</v>
      </c>
      <c r="BY733" s="1772"/>
    </row>
    <row r="734" spans="72:77" x14ac:dyDescent="0.3">
      <c r="BT734" s="197" t="str">
        <f>IF(COUNTIF(BU$76:BU734,BU734)=1,MAX(BT$76:BT733)+1,"")</f>
        <v/>
      </c>
      <c r="BU734" s="1720">
        <v>247.5</v>
      </c>
      <c r="BV734" s="1720">
        <v>320</v>
      </c>
      <c r="BW734" s="1720">
        <v>375</v>
      </c>
      <c r="BX734" s="1720" t="s">
        <v>1649</v>
      </c>
      <c r="BY734" s="1772"/>
    </row>
    <row r="735" spans="72:77" x14ac:dyDescent="0.3">
      <c r="BT735" s="197">
        <f>IF(COUNTIF(BU$76:BU735,BU735)=1,MAX(BT$76:BT734)+1,"")</f>
        <v>65</v>
      </c>
      <c r="BU735" s="1720">
        <v>250</v>
      </c>
      <c r="BV735" s="1720">
        <v>318</v>
      </c>
      <c r="BW735" s="1720">
        <v>360</v>
      </c>
      <c r="BX735" s="1720" t="s">
        <v>1650</v>
      </c>
      <c r="BY735" s="1772"/>
    </row>
    <row r="736" spans="72:77" x14ac:dyDescent="0.3">
      <c r="BT736" s="197" t="str">
        <f>IF(COUNTIF(BU$76:BU736,BU736)=1,MAX(BT$76:BT735)+1,"")</f>
        <v/>
      </c>
      <c r="BU736" s="1720">
        <v>250</v>
      </c>
      <c r="BV736" s="1720">
        <v>257</v>
      </c>
      <c r="BW736" s="1720">
        <v>360</v>
      </c>
      <c r="BX736" s="1720" t="s">
        <v>1651</v>
      </c>
      <c r="BY736" s="1772"/>
    </row>
    <row r="737" spans="72:77" x14ac:dyDescent="0.3">
      <c r="BT737" s="197" t="str">
        <f>IF(COUNTIF(BU$76:BU737,BU737)=1,MAX(BT$76:BT736)+1,"")</f>
        <v/>
      </c>
      <c r="BU737" s="1720">
        <v>250</v>
      </c>
      <c r="BV737" s="1720">
        <v>257</v>
      </c>
      <c r="BW737" s="1720">
        <v>375</v>
      </c>
      <c r="BX737" s="1720" t="s">
        <v>1651</v>
      </c>
      <c r="BY737" s="1772"/>
    </row>
    <row r="738" spans="72:77" x14ac:dyDescent="0.3">
      <c r="BT738" s="197" t="str">
        <f>IF(COUNTIF(BU$76:BU738,BU738)=1,MAX(BT$76:BT737)+1,"")</f>
        <v/>
      </c>
      <c r="BU738" s="1720">
        <v>250</v>
      </c>
      <c r="BV738" s="1720">
        <v>375</v>
      </c>
      <c r="BW738" s="1720">
        <v>360</v>
      </c>
      <c r="BX738" s="1720" t="s">
        <v>1652</v>
      </c>
      <c r="BY738" s="1772"/>
    </row>
    <row r="739" spans="72:77" x14ac:dyDescent="0.3">
      <c r="BT739" s="197" t="str">
        <f>IF(COUNTIF(BU$76:BU739,BU739)=1,MAX(BT$76:BT738)+1,"")</f>
        <v/>
      </c>
      <c r="BU739" s="1720">
        <v>250</v>
      </c>
      <c r="BV739" s="1720">
        <v>320</v>
      </c>
      <c r="BW739" s="1720">
        <v>360</v>
      </c>
      <c r="BX739" s="1720" t="s">
        <v>1650</v>
      </c>
      <c r="BY739" s="1772"/>
    </row>
    <row r="740" spans="72:77" x14ac:dyDescent="0.3">
      <c r="BT740" s="197" t="str">
        <f>IF(COUNTIF(BU$76:BU740,BU740)=1,MAX(BT$76:BT739)+1,"")</f>
        <v/>
      </c>
      <c r="BU740" s="1720">
        <v>250</v>
      </c>
      <c r="BV740" s="1720">
        <v>497</v>
      </c>
      <c r="BW740" s="1720">
        <v>360</v>
      </c>
      <c r="BX740" s="1720" t="s">
        <v>1653</v>
      </c>
      <c r="BY740" s="1772"/>
    </row>
    <row r="741" spans="72:77" x14ac:dyDescent="0.3">
      <c r="BT741" s="197" t="str">
        <f>IF(COUNTIF(BU$76:BU741,BU741)=1,MAX(BT$76:BT740)+1,"")</f>
        <v/>
      </c>
      <c r="BU741" s="1720">
        <v>250</v>
      </c>
      <c r="BV741" s="1720">
        <v>260</v>
      </c>
      <c r="BW741" s="1720">
        <v>360</v>
      </c>
      <c r="BX741" s="1720" t="s">
        <v>1651</v>
      </c>
      <c r="BY741" s="1772"/>
    </row>
    <row r="742" spans="72:77" x14ac:dyDescent="0.3">
      <c r="BT742" s="197" t="str">
        <f>IF(COUNTIF(BU$76:BU742,BU742)=1,MAX(BT$76:BT741)+1,"")</f>
        <v/>
      </c>
      <c r="BU742" s="1720">
        <v>250</v>
      </c>
      <c r="BV742" s="1720">
        <v>1130</v>
      </c>
      <c r="BW742" s="1720">
        <v>336</v>
      </c>
      <c r="BX742" s="1720" t="s">
        <v>1654</v>
      </c>
      <c r="BY742" s="1772" t="s">
        <v>1864</v>
      </c>
    </row>
    <row r="743" spans="72:77" x14ac:dyDescent="0.3">
      <c r="BT743" s="197">
        <f>IF(COUNTIF(BU$76:BU743,BU743)=1,MAX(BT$76:BT742)+1,"")</f>
        <v>66</v>
      </c>
      <c r="BU743" s="1720">
        <v>252.5</v>
      </c>
      <c r="BV743" s="1720">
        <v>378</v>
      </c>
      <c r="BW743" s="1720">
        <v>360</v>
      </c>
      <c r="BX743" s="1720" t="s">
        <v>1655</v>
      </c>
      <c r="BY743" s="1772"/>
    </row>
    <row r="744" spans="72:77" x14ac:dyDescent="0.3">
      <c r="BT744" s="197" t="str">
        <f>IF(COUNTIF(BU$76:BU744,BU744)=1,MAX(BT$76:BT743)+1,"")</f>
        <v/>
      </c>
      <c r="BU744" s="1720">
        <v>252.5</v>
      </c>
      <c r="BV744" s="1720">
        <v>260</v>
      </c>
      <c r="BW744" s="1720">
        <v>360</v>
      </c>
      <c r="BX744" s="1720" t="s">
        <v>1656</v>
      </c>
      <c r="BY744" s="1772"/>
    </row>
    <row r="745" spans="72:77" x14ac:dyDescent="0.3">
      <c r="BT745" s="197" t="str">
        <f>IF(COUNTIF(BU$76:BU745,BU745)=1,MAX(BT$76:BT744)+1,"")</f>
        <v/>
      </c>
      <c r="BU745" s="1720">
        <v>252.5</v>
      </c>
      <c r="BV745" s="1720">
        <v>260</v>
      </c>
      <c r="BW745" s="1720">
        <v>360</v>
      </c>
      <c r="BX745" s="1720" t="s">
        <v>1656</v>
      </c>
      <c r="BY745" s="1772"/>
    </row>
    <row r="746" spans="72:77" x14ac:dyDescent="0.3">
      <c r="BT746" s="197" t="str">
        <f>IF(COUNTIF(BU$76:BU746,BU746)=1,MAX(BT$76:BT745)+1,"")</f>
        <v/>
      </c>
      <c r="BU746" s="1720">
        <v>252.5</v>
      </c>
      <c r="BV746" s="1720">
        <v>260</v>
      </c>
      <c r="BW746" s="1720">
        <v>360</v>
      </c>
      <c r="BX746" s="1720" t="s">
        <v>1656</v>
      </c>
      <c r="BY746" s="1772"/>
    </row>
    <row r="747" spans="72:77" x14ac:dyDescent="0.3">
      <c r="BT747" s="197" t="str">
        <f>IF(COUNTIF(BU$76:BU747,BU747)=1,MAX(BT$76:BT746)+1,"")</f>
        <v/>
      </c>
      <c r="BU747" s="1720">
        <v>252.5</v>
      </c>
      <c r="BV747" s="1720">
        <v>497</v>
      </c>
      <c r="BW747" s="1720">
        <v>375</v>
      </c>
      <c r="BX747" s="1720" t="s">
        <v>1657</v>
      </c>
      <c r="BY747" s="1772"/>
    </row>
    <row r="748" spans="72:77" x14ac:dyDescent="0.3">
      <c r="BT748" s="197" t="str">
        <f>IF(COUNTIF(BU$76:BU748,BU748)=1,MAX(BT$76:BT747)+1,"")</f>
        <v/>
      </c>
      <c r="BU748" s="1720">
        <v>252.5</v>
      </c>
      <c r="BV748" s="1720">
        <v>495</v>
      </c>
      <c r="BW748" s="1720">
        <v>360</v>
      </c>
      <c r="BX748" s="1720" t="s">
        <v>1657</v>
      </c>
      <c r="BY748" s="1772"/>
    </row>
    <row r="749" spans="72:77" x14ac:dyDescent="0.3">
      <c r="BT749" s="197" t="str">
        <f>IF(COUNTIF(BU$76:BU749,BU749)=1,MAX(BT$76:BT748)+1,"")</f>
        <v/>
      </c>
      <c r="BU749" s="1720">
        <v>252.5</v>
      </c>
      <c r="BV749" s="1720">
        <v>260</v>
      </c>
      <c r="BW749" s="1720">
        <v>375</v>
      </c>
      <c r="BX749" s="1720" t="s">
        <v>1656</v>
      </c>
      <c r="BY749" s="1772"/>
    </row>
    <row r="750" spans="72:77" x14ac:dyDescent="0.3">
      <c r="BT750" s="197" t="str">
        <f>IF(COUNTIF(BU$76:BU750,BU750)=1,MAX(BT$76:BT749)+1,"")</f>
        <v/>
      </c>
      <c r="BU750" s="1720">
        <v>252.5</v>
      </c>
      <c r="BV750" s="1720">
        <v>260</v>
      </c>
      <c r="BW750" s="1720">
        <v>360</v>
      </c>
      <c r="BX750" s="1720" t="s">
        <v>1656</v>
      </c>
      <c r="BY750" s="1772"/>
    </row>
    <row r="751" spans="72:77" x14ac:dyDescent="0.3">
      <c r="BT751" s="197">
        <f>IF(COUNTIF(BU$76:BU751,BU751)=1,MAX(BT$76:BT750)+1,"")</f>
        <v>67</v>
      </c>
      <c r="BU751" s="1720">
        <v>255</v>
      </c>
      <c r="BV751" s="1720">
        <v>257</v>
      </c>
      <c r="BW751" s="1720">
        <v>360</v>
      </c>
      <c r="BX751" s="1720" t="s">
        <v>1658</v>
      </c>
      <c r="BY751" s="1772"/>
    </row>
    <row r="752" spans="72:77" x14ac:dyDescent="0.3">
      <c r="BT752" s="197" t="str">
        <f>IF(COUNTIF(BU$76:BU752,BU752)=1,MAX(BT$76:BT751)+1,"")</f>
        <v/>
      </c>
      <c r="BU752" s="1720">
        <v>255</v>
      </c>
      <c r="BV752" s="1720">
        <v>258</v>
      </c>
      <c r="BW752" s="1720">
        <v>360</v>
      </c>
      <c r="BX752" s="1720" t="s">
        <v>1658</v>
      </c>
      <c r="BY752" s="1772"/>
    </row>
    <row r="753" spans="72:77" x14ac:dyDescent="0.3">
      <c r="BT753" s="197" t="str">
        <f>IF(COUNTIF(BU$76:BU753,BU753)=1,MAX(BT$76:BT752)+1,"")</f>
        <v/>
      </c>
      <c r="BU753" s="1720">
        <v>255</v>
      </c>
      <c r="BV753" s="1720">
        <v>260</v>
      </c>
      <c r="BW753" s="1720">
        <v>360</v>
      </c>
      <c r="BX753" s="1720" t="s">
        <v>1658</v>
      </c>
      <c r="BY753" s="1772"/>
    </row>
    <row r="754" spans="72:77" x14ac:dyDescent="0.3">
      <c r="BT754" s="197" t="str">
        <f>IF(COUNTIF(BU$76:BU754,BU754)=1,MAX(BT$76:BT753)+1,"")</f>
        <v/>
      </c>
      <c r="BU754" s="1720">
        <v>255</v>
      </c>
      <c r="BV754" s="1720">
        <v>377</v>
      </c>
      <c r="BW754" s="1720">
        <v>360</v>
      </c>
      <c r="BX754" s="1720" t="s">
        <v>1659</v>
      </c>
      <c r="BY754" s="1772"/>
    </row>
    <row r="755" spans="72:77" x14ac:dyDescent="0.3">
      <c r="BT755" s="197" t="str">
        <f>IF(COUNTIF(BU$76:BU755,BU755)=1,MAX(BT$76:BT754)+1,"")</f>
        <v/>
      </c>
      <c r="BU755" s="1720">
        <v>255</v>
      </c>
      <c r="BV755" s="1720">
        <v>320</v>
      </c>
      <c r="BW755" s="1720">
        <v>360</v>
      </c>
      <c r="BX755" s="1720" t="s">
        <v>1660</v>
      </c>
      <c r="BY755" s="1772"/>
    </row>
    <row r="756" spans="72:77" x14ac:dyDescent="0.3">
      <c r="BT756" s="197" t="str">
        <f>IF(COUNTIF(BU$76:BU756,BU756)=1,MAX(BT$76:BT755)+1,"")</f>
        <v/>
      </c>
      <c r="BU756" s="1720">
        <v>255</v>
      </c>
      <c r="BV756" s="1720">
        <v>260</v>
      </c>
      <c r="BW756" s="1720">
        <v>360</v>
      </c>
      <c r="BX756" s="1720" t="s">
        <v>1658</v>
      </c>
      <c r="BY756" s="1772"/>
    </row>
    <row r="757" spans="72:77" x14ac:dyDescent="0.3">
      <c r="BT757" s="197" t="str">
        <f>IF(COUNTIF(BU$76:BU757,BU757)=1,MAX(BT$76:BT756)+1,"")</f>
        <v/>
      </c>
      <c r="BU757" s="1720">
        <v>255</v>
      </c>
      <c r="BV757" s="1720">
        <v>260</v>
      </c>
      <c r="BW757" s="1720">
        <v>360</v>
      </c>
      <c r="BX757" s="1720" t="s">
        <v>1658</v>
      </c>
      <c r="BY757" s="1772"/>
    </row>
    <row r="758" spans="72:77" x14ac:dyDescent="0.3">
      <c r="BT758" s="197">
        <f>IF(COUNTIF(BU$76:BU758,BU758)=1,MAX(BT$76:BT757)+1,"")</f>
        <v>68</v>
      </c>
      <c r="BU758" s="1720">
        <v>257.5</v>
      </c>
      <c r="BV758" s="1720">
        <v>380</v>
      </c>
      <c r="BW758" s="1720">
        <v>375</v>
      </c>
      <c r="BX758" s="1720" t="s">
        <v>1661</v>
      </c>
      <c r="BY758" s="1772"/>
    </row>
    <row r="759" spans="72:77" x14ac:dyDescent="0.3">
      <c r="BT759" s="197" t="str">
        <f>IF(COUNTIF(BU$76:BU759,BU759)=1,MAX(BT$76:BT758)+1,"")</f>
        <v/>
      </c>
      <c r="BU759" s="1720">
        <v>257.5</v>
      </c>
      <c r="BV759" s="1720">
        <v>260</v>
      </c>
      <c r="BW759" s="1720">
        <v>360</v>
      </c>
      <c r="BX759" s="1720" t="s">
        <v>1662</v>
      </c>
      <c r="BY759" s="1772"/>
    </row>
    <row r="760" spans="72:77" x14ac:dyDescent="0.3">
      <c r="BT760" s="197" t="str">
        <f>IF(COUNTIF(BU$76:BU760,BU760)=1,MAX(BT$76:BT759)+1,"")</f>
        <v/>
      </c>
      <c r="BU760" s="1720">
        <v>257.5</v>
      </c>
      <c r="BV760" s="1720">
        <v>260</v>
      </c>
      <c r="BW760" s="1720">
        <v>360</v>
      </c>
      <c r="BX760" s="1720" t="s">
        <v>1662</v>
      </c>
      <c r="BY760" s="1772"/>
    </row>
    <row r="761" spans="72:77" x14ac:dyDescent="0.3">
      <c r="BT761" s="197" t="str">
        <f>IF(COUNTIF(BU$76:BU761,BU761)=1,MAX(BT$76:BT760)+1,"")</f>
        <v/>
      </c>
      <c r="BU761" s="1720">
        <v>257.5</v>
      </c>
      <c r="BV761" s="1720">
        <v>500</v>
      </c>
      <c r="BW761" s="1720">
        <v>360</v>
      </c>
      <c r="BX761" s="1720" t="s">
        <v>1663</v>
      </c>
      <c r="BY761" s="1772"/>
    </row>
    <row r="762" spans="72:77" x14ac:dyDescent="0.3">
      <c r="BT762" s="197">
        <f>IF(COUNTIF(BU$76:BU762,BU762)=1,MAX(BT$76:BT761)+1,"")</f>
        <v>69</v>
      </c>
      <c r="BU762" s="1720">
        <v>260</v>
      </c>
      <c r="BV762" s="1720">
        <v>500</v>
      </c>
      <c r="BW762" s="1720">
        <v>360</v>
      </c>
      <c r="BX762" s="1720" t="s">
        <v>1664</v>
      </c>
      <c r="BY762" s="1772"/>
    </row>
    <row r="763" spans="72:77" x14ac:dyDescent="0.3">
      <c r="BT763" s="197" t="str">
        <f>IF(COUNTIF(BU$76:BU763,BU763)=1,MAX(BT$76:BT762)+1,"")</f>
        <v/>
      </c>
      <c r="BU763" s="1720">
        <v>260</v>
      </c>
      <c r="BV763" s="1720">
        <v>495</v>
      </c>
      <c r="BW763" s="1720">
        <v>375</v>
      </c>
      <c r="BX763" s="1720" t="s">
        <v>1664</v>
      </c>
      <c r="BY763" s="1772"/>
    </row>
    <row r="764" spans="72:77" x14ac:dyDescent="0.3">
      <c r="BT764" s="197" t="str">
        <f>IF(COUNTIF(BU$76:BU764,BU764)=1,MAX(BT$76:BT763)+1,"")</f>
        <v/>
      </c>
      <c r="BU764" s="1720">
        <v>260</v>
      </c>
      <c r="BV764" s="1720">
        <v>377</v>
      </c>
      <c r="BW764" s="1720">
        <v>360</v>
      </c>
      <c r="BX764" s="1720" t="s">
        <v>1665</v>
      </c>
      <c r="BY764" s="1772"/>
    </row>
    <row r="765" spans="72:77" x14ac:dyDescent="0.3">
      <c r="BT765" s="197" t="str">
        <f>IF(COUNTIF(BU$76:BU765,BU765)=1,MAX(BT$76:BT764)+1,"")</f>
        <v/>
      </c>
      <c r="BU765" s="1720">
        <v>260</v>
      </c>
      <c r="BV765" s="1720">
        <v>258</v>
      </c>
      <c r="BW765" s="1720">
        <v>375</v>
      </c>
      <c r="BX765" s="1720" t="s">
        <v>1666</v>
      </c>
      <c r="BY765" s="1772"/>
    </row>
    <row r="766" spans="72:77" x14ac:dyDescent="0.3">
      <c r="BT766" s="197" t="str">
        <f>IF(COUNTIF(BU$76:BU766,BU766)=1,MAX(BT$76:BT765)+1,"")</f>
        <v/>
      </c>
      <c r="BU766" s="1720">
        <v>260</v>
      </c>
      <c r="BV766" s="1720">
        <v>260</v>
      </c>
      <c r="BW766" s="1720">
        <v>375</v>
      </c>
      <c r="BX766" s="1720" t="s">
        <v>1666</v>
      </c>
      <c r="BY766" s="1772"/>
    </row>
    <row r="767" spans="72:77" x14ac:dyDescent="0.3">
      <c r="BT767" s="197" t="str">
        <f>IF(COUNTIF(BU$76:BU767,BU767)=1,MAX(BT$76:BT766)+1,"")</f>
        <v/>
      </c>
      <c r="BU767" s="1720">
        <v>260</v>
      </c>
      <c r="BV767" s="1720">
        <v>318</v>
      </c>
      <c r="BW767" s="1720">
        <v>360</v>
      </c>
      <c r="BX767" s="1720" t="s">
        <v>1667</v>
      </c>
      <c r="BY767" s="1772"/>
    </row>
    <row r="768" spans="72:77" x14ac:dyDescent="0.3">
      <c r="BT768" s="197" t="str">
        <f>IF(COUNTIF(BU$76:BU768,BU768)=1,MAX(BT$76:BT767)+1,"")</f>
        <v/>
      </c>
      <c r="BU768" s="1720">
        <v>260</v>
      </c>
      <c r="BV768" s="1720">
        <v>495</v>
      </c>
      <c r="BW768" s="1720">
        <v>360</v>
      </c>
      <c r="BX768" s="1720" t="s">
        <v>1664</v>
      </c>
      <c r="BY768" s="1772"/>
    </row>
    <row r="769" spans="72:77" x14ac:dyDescent="0.3">
      <c r="BT769" s="197" t="str">
        <f>IF(COUNTIF(BU$76:BU769,BU769)=1,MAX(BT$76:BT768)+1,"")</f>
        <v/>
      </c>
      <c r="BU769" s="1720">
        <v>260</v>
      </c>
      <c r="BV769" s="1720">
        <v>257</v>
      </c>
      <c r="BW769" s="1720">
        <v>360</v>
      </c>
      <c r="BX769" s="1720" t="s">
        <v>1666</v>
      </c>
      <c r="BY769" s="1772"/>
    </row>
    <row r="770" spans="72:77" x14ac:dyDescent="0.3">
      <c r="BT770" s="197" t="str">
        <f>IF(COUNTIF(BU$76:BU770,BU770)=1,MAX(BT$76:BT769)+1,"")</f>
        <v/>
      </c>
      <c r="BU770" s="1720">
        <v>260</v>
      </c>
      <c r="BV770" s="1720">
        <v>320</v>
      </c>
      <c r="BW770" s="1720">
        <v>375</v>
      </c>
      <c r="BX770" s="1720" t="s">
        <v>1667</v>
      </c>
      <c r="BY770" s="1772"/>
    </row>
    <row r="771" spans="72:77" x14ac:dyDescent="0.3">
      <c r="BT771" s="197" t="str">
        <f>IF(COUNTIF(BU$76:BU771,BU771)=1,MAX(BT$76:BT770)+1,"")</f>
        <v/>
      </c>
      <c r="BU771" s="1720">
        <v>260</v>
      </c>
      <c r="BV771" s="1720">
        <v>380</v>
      </c>
      <c r="BW771" s="1720">
        <v>360</v>
      </c>
      <c r="BX771" s="1720" t="s">
        <v>1665</v>
      </c>
      <c r="BY771" s="1772"/>
    </row>
    <row r="772" spans="72:77" x14ac:dyDescent="0.3">
      <c r="BT772" s="197" t="str">
        <f>IF(COUNTIF(BU$76:BU772,BU772)=1,MAX(BT$76:BT771)+1,"")</f>
        <v/>
      </c>
      <c r="BU772" s="1720">
        <v>260</v>
      </c>
      <c r="BV772" s="1720">
        <v>260</v>
      </c>
      <c r="BW772" s="1720">
        <v>360</v>
      </c>
      <c r="BX772" s="1720" t="s">
        <v>1666</v>
      </c>
      <c r="BY772" s="1772"/>
    </row>
    <row r="773" spans="72:77" x14ac:dyDescent="0.3">
      <c r="BT773" s="197">
        <f>IF(COUNTIF(BU$76:BU773,BU773)=1,MAX(BT$76:BT772)+1,"")</f>
        <v>70</v>
      </c>
      <c r="BU773" s="1720">
        <v>262.5</v>
      </c>
      <c r="BV773" s="1720">
        <v>377</v>
      </c>
      <c r="BW773" s="1720">
        <v>360</v>
      </c>
      <c r="BX773" s="1720" t="s">
        <v>1668</v>
      </c>
      <c r="BY773" s="1772"/>
    </row>
    <row r="774" spans="72:77" x14ac:dyDescent="0.3">
      <c r="BT774" s="197" t="str">
        <f>IF(COUNTIF(BU$76:BU774,BU774)=1,MAX(BT$76:BT773)+1,"")</f>
        <v/>
      </c>
      <c r="BU774" s="1720">
        <v>262.5</v>
      </c>
      <c r="BV774" s="1720">
        <v>377</v>
      </c>
      <c r="BW774" s="1720">
        <v>360</v>
      </c>
      <c r="BX774" s="1720" t="s">
        <v>1668</v>
      </c>
      <c r="BY774" s="1772"/>
    </row>
    <row r="775" spans="72:77" x14ac:dyDescent="0.3">
      <c r="BT775" s="197" t="str">
        <f>IF(COUNTIF(BU$76:BU775,BU775)=1,MAX(BT$76:BT774)+1,"")</f>
        <v/>
      </c>
      <c r="BU775" s="1720">
        <v>262.5</v>
      </c>
      <c r="BV775" s="1720">
        <v>260</v>
      </c>
      <c r="BW775" s="1720">
        <v>360</v>
      </c>
      <c r="BX775" s="1720" t="s">
        <v>1669</v>
      </c>
      <c r="BY775" s="1772"/>
    </row>
    <row r="776" spans="72:77" x14ac:dyDescent="0.3">
      <c r="BT776" s="197" t="str">
        <f>IF(COUNTIF(BU$76:BU776,BU776)=1,MAX(BT$76:BT775)+1,"")</f>
        <v/>
      </c>
      <c r="BU776" s="1720">
        <v>262.5</v>
      </c>
      <c r="BV776" s="1720">
        <v>213</v>
      </c>
      <c r="BW776" s="1720">
        <v>375</v>
      </c>
      <c r="BX776" s="1720" t="s">
        <v>1670</v>
      </c>
      <c r="BY776" s="1772"/>
    </row>
    <row r="777" spans="72:77" x14ac:dyDescent="0.3">
      <c r="BT777" s="197">
        <f>IF(COUNTIF(BU$76:BU777,BU777)=1,MAX(BT$76:BT776)+1,"")</f>
        <v>71</v>
      </c>
      <c r="BU777" s="1720">
        <v>265</v>
      </c>
      <c r="BV777" s="1720">
        <v>215</v>
      </c>
      <c r="BW777" s="1720">
        <v>375</v>
      </c>
      <c r="BX777" s="1720" t="s">
        <v>1671</v>
      </c>
      <c r="BY777" s="1772"/>
    </row>
    <row r="778" spans="72:77" x14ac:dyDescent="0.3">
      <c r="BT778" s="197" t="str">
        <f>IF(COUNTIF(BU$76:BU778,BU778)=1,MAX(BT$76:BT777)+1,"")</f>
        <v/>
      </c>
      <c r="BU778" s="1720">
        <v>265</v>
      </c>
      <c r="BV778" s="1720">
        <v>215</v>
      </c>
      <c r="BW778" s="1720">
        <v>375</v>
      </c>
      <c r="BX778" s="1720" t="s">
        <v>1671</v>
      </c>
      <c r="BY778" s="1772"/>
    </row>
    <row r="779" spans="72:77" x14ac:dyDescent="0.3">
      <c r="BT779" s="197" t="str">
        <f>IF(COUNTIF(BU$76:BU779,BU779)=1,MAX(BT$76:BT778)+1,"")</f>
        <v/>
      </c>
      <c r="BU779" s="1720">
        <v>265</v>
      </c>
      <c r="BV779" s="1720">
        <v>378</v>
      </c>
      <c r="BW779" s="1720">
        <v>360</v>
      </c>
      <c r="BX779" s="1720" t="s">
        <v>1672</v>
      </c>
      <c r="BY779" s="1772"/>
    </row>
    <row r="780" spans="72:77" x14ac:dyDescent="0.3">
      <c r="BT780" s="197" t="str">
        <f>IF(COUNTIF(BU$76:BU780,BU780)=1,MAX(BT$76:BT779)+1,"")</f>
        <v/>
      </c>
      <c r="BU780" s="1720">
        <v>265</v>
      </c>
      <c r="BV780" s="1720">
        <v>540</v>
      </c>
      <c r="BW780" s="1720">
        <v>415</v>
      </c>
      <c r="BX780" s="1720" t="s">
        <v>1673</v>
      </c>
      <c r="BY780" s="1772"/>
    </row>
    <row r="781" spans="72:77" x14ac:dyDescent="0.3">
      <c r="BT781" s="197">
        <f>IF(COUNTIF(BU$76:BU781,BU781)=1,MAX(BT$76:BT780)+1,"")</f>
        <v>72</v>
      </c>
      <c r="BU781" s="1720">
        <v>267.5</v>
      </c>
      <c r="BV781" s="1720">
        <v>318</v>
      </c>
      <c r="BW781" s="1720">
        <v>375</v>
      </c>
      <c r="BX781" s="1720" t="s">
        <v>1674</v>
      </c>
      <c r="BY781" s="1772"/>
    </row>
    <row r="782" spans="72:77" x14ac:dyDescent="0.3">
      <c r="BT782" s="197" t="str">
        <f>IF(COUNTIF(BU$76:BU782,BU782)=1,MAX(BT$76:BT781)+1,"")</f>
        <v/>
      </c>
      <c r="BU782" s="1720">
        <v>267.5</v>
      </c>
      <c r="BV782" s="1720">
        <v>500</v>
      </c>
      <c r="BW782" s="1720">
        <v>360</v>
      </c>
      <c r="BX782" s="1720" t="s">
        <v>1675</v>
      </c>
      <c r="BY782" s="1772"/>
    </row>
    <row r="783" spans="72:77" x14ac:dyDescent="0.3">
      <c r="BT783" s="197">
        <f>IF(COUNTIF(BU$76:BU783,BU783)=1,MAX(BT$76:BT782)+1,"")</f>
        <v>73</v>
      </c>
      <c r="BU783" s="1720">
        <v>270</v>
      </c>
      <c r="BV783" s="1720">
        <v>540</v>
      </c>
      <c r="BW783" s="1720">
        <v>415</v>
      </c>
      <c r="BX783" s="1720" t="s">
        <v>1676</v>
      </c>
      <c r="BY783" s="1772"/>
    </row>
    <row r="784" spans="72:77" x14ac:dyDescent="0.3">
      <c r="BT784" s="197" t="str">
        <f>IF(COUNTIF(BU$76:BU784,BU784)=1,MAX(BT$76:BT783)+1,"")</f>
        <v/>
      </c>
      <c r="BU784" s="1720">
        <v>270</v>
      </c>
      <c r="BV784" s="1720">
        <v>315</v>
      </c>
      <c r="BW784" s="1720">
        <v>360</v>
      </c>
      <c r="BX784" s="1720" t="s">
        <v>1677</v>
      </c>
      <c r="BY784" s="1772"/>
    </row>
    <row r="785" spans="72:77" x14ac:dyDescent="0.3">
      <c r="BT785" s="197" t="str">
        <f>IF(COUNTIF(BU$76:BU785,BU785)=1,MAX(BT$76:BT784)+1,"")</f>
        <v/>
      </c>
      <c r="BU785" s="1720">
        <v>270</v>
      </c>
      <c r="BV785" s="1720">
        <v>318</v>
      </c>
      <c r="BW785" s="1720">
        <v>360</v>
      </c>
      <c r="BX785" s="1720" t="s">
        <v>1677</v>
      </c>
      <c r="BY785" s="1772"/>
    </row>
    <row r="786" spans="72:77" x14ac:dyDescent="0.3">
      <c r="BT786" s="197" t="str">
        <f>IF(COUNTIF(BU$76:BU786,BU786)=1,MAX(BT$76:BT785)+1,"")</f>
        <v/>
      </c>
      <c r="BU786" s="1720">
        <v>270</v>
      </c>
      <c r="BV786" s="1720">
        <v>260</v>
      </c>
      <c r="BW786" s="1720">
        <v>360</v>
      </c>
      <c r="BX786" s="1720" t="s">
        <v>1678</v>
      </c>
      <c r="BY786" s="1772"/>
    </row>
    <row r="787" spans="72:77" x14ac:dyDescent="0.3">
      <c r="BT787" s="197">
        <f>IF(COUNTIF(BU$76:BU787,BU787)=1,MAX(BT$76:BT786)+1,"")</f>
        <v>74</v>
      </c>
      <c r="BU787" s="1720">
        <v>275</v>
      </c>
      <c r="BV787" s="1720">
        <v>320</v>
      </c>
      <c r="BW787" s="1720">
        <v>360</v>
      </c>
      <c r="BX787" s="1720" t="s">
        <v>1679</v>
      </c>
      <c r="BY787" s="1772"/>
    </row>
    <row r="788" spans="72:77" x14ac:dyDescent="0.3">
      <c r="BT788" s="197" t="str">
        <f>IF(COUNTIF(BU$76:BU788,BU788)=1,MAX(BT$76:BT787)+1,"")</f>
        <v/>
      </c>
      <c r="BU788" s="1720">
        <v>275</v>
      </c>
      <c r="BV788" s="1720">
        <v>380</v>
      </c>
      <c r="BW788" s="1720">
        <v>360</v>
      </c>
      <c r="BX788" s="1720" t="s">
        <v>1679</v>
      </c>
      <c r="BY788" s="1772"/>
    </row>
    <row r="789" spans="72:77" x14ac:dyDescent="0.3">
      <c r="BT789" s="197" t="str">
        <f>IF(COUNTIF(BU$76:BU789,BU789)=1,MAX(BT$76:BT788)+1,"")</f>
        <v/>
      </c>
      <c r="BU789" s="1720">
        <v>275</v>
      </c>
      <c r="BV789" s="1720">
        <v>258</v>
      </c>
      <c r="BW789" s="1720">
        <v>375</v>
      </c>
      <c r="BX789" s="1720" t="s">
        <v>1680</v>
      </c>
      <c r="BY789" s="1772"/>
    </row>
    <row r="790" spans="72:77" x14ac:dyDescent="0.3">
      <c r="BT790" s="197" t="str">
        <f>IF(COUNTIF(BU$76:BU790,BU790)=1,MAX(BT$76:BT789)+1,"")</f>
        <v/>
      </c>
      <c r="BU790" s="1720">
        <v>275</v>
      </c>
      <c r="BV790" s="1720">
        <v>260</v>
      </c>
      <c r="BW790" s="1720">
        <v>375</v>
      </c>
      <c r="BX790" s="1720" t="s">
        <v>1680</v>
      </c>
      <c r="BY790" s="1772"/>
    </row>
    <row r="791" spans="72:77" x14ac:dyDescent="0.3">
      <c r="BT791" s="197" t="str">
        <f>IF(COUNTIF(BU$76:BU791,BU791)=1,MAX(BT$76:BT790)+1,"")</f>
        <v/>
      </c>
      <c r="BU791" s="1720">
        <v>275</v>
      </c>
      <c r="BV791" s="1720">
        <v>257</v>
      </c>
      <c r="BW791" s="1720">
        <v>360</v>
      </c>
      <c r="BX791" s="1720" t="s">
        <v>1680</v>
      </c>
      <c r="BY791" s="1772"/>
    </row>
    <row r="792" spans="72:77" x14ac:dyDescent="0.3">
      <c r="BT792" s="197" t="str">
        <f>IF(COUNTIF(BU$76:BU792,BU792)=1,MAX(BT$76:BT791)+1,"")</f>
        <v/>
      </c>
      <c r="BU792" s="1720">
        <v>275</v>
      </c>
      <c r="BV792" s="1720">
        <v>260</v>
      </c>
      <c r="BW792" s="1720">
        <v>375</v>
      </c>
      <c r="BX792" s="1720" t="s">
        <v>1680</v>
      </c>
      <c r="BY792" s="1772"/>
    </row>
    <row r="793" spans="72:77" x14ac:dyDescent="0.3">
      <c r="BT793" s="197" t="str">
        <f>IF(COUNTIF(BU$76:BU793,BU793)=1,MAX(BT$76:BT792)+1,"")</f>
        <v/>
      </c>
      <c r="BU793" s="1720">
        <v>275</v>
      </c>
      <c r="BV793" s="1720">
        <v>213</v>
      </c>
      <c r="BW793" s="1720">
        <v>375</v>
      </c>
      <c r="BX793" s="1720" t="s">
        <v>1681</v>
      </c>
      <c r="BY793" s="1772"/>
    </row>
    <row r="794" spans="72:77" x14ac:dyDescent="0.3">
      <c r="BT794" s="197" t="str">
        <f>IF(COUNTIF(BU$76:BU794,BU794)=1,MAX(BT$76:BT793)+1,"")</f>
        <v/>
      </c>
      <c r="BU794" s="1720">
        <v>275</v>
      </c>
      <c r="BV794" s="1720">
        <v>317</v>
      </c>
      <c r="BW794" s="1720">
        <v>360</v>
      </c>
      <c r="BX794" s="1720" t="s">
        <v>1679</v>
      </c>
      <c r="BY794" s="1772"/>
    </row>
    <row r="795" spans="72:77" x14ac:dyDescent="0.3">
      <c r="BT795" s="197" t="str">
        <f>IF(COUNTIF(BU$76:BU795,BU795)=1,MAX(BT$76:BT794)+1,"")</f>
        <v/>
      </c>
      <c r="BU795" s="1720">
        <v>275</v>
      </c>
      <c r="BV795" s="1720">
        <v>495</v>
      </c>
      <c r="BW795" s="1720">
        <v>360</v>
      </c>
      <c r="BX795" s="1720" t="s">
        <v>1682</v>
      </c>
      <c r="BY795" s="1772"/>
    </row>
    <row r="796" spans="72:77" x14ac:dyDescent="0.3">
      <c r="BT796" s="197" t="str">
        <f>IF(COUNTIF(BU$76:BU796,BU796)=1,MAX(BT$76:BT795)+1,"")</f>
        <v/>
      </c>
      <c r="BU796" s="1720">
        <v>275</v>
      </c>
      <c r="BV796" s="1720">
        <v>260</v>
      </c>
      <c r="BW796" s="1720">
        <v>360</v>
      </c>
      <c r="BX796" s="1720" t="s">
        <v>1680</v>
      </c>
      <c r="BY796" s="1772"/>
    </row>
    <row r="797" spans="72:77" x14ac:dyDescent="0.3">
      <c r="BT797" s="197" t="str">
        <f>IF(COUNTIF(BU$76:BU797,BU797)=1,MAX(BT$76:BT796)+1,"")</f>
        <v/>
      </c>
      <c r="BU797" s="1720">
        <v>275</v>
      </c>
      <c r="BV797" s="1720">
        <v>260</v>
      </c>
      <c r="BW797" s="1720">
        <v>375</v>
      </c>
      <c r="BX797" s="1720" t="s">
        <v>1680</v>
      </c>
      <c r="BY797" s="1772"/>
    </row>
    <row r="798" spans="72:77" x14ac:dyDescent="0.3">
      <c r="BT798" s="197" t="str">
        <f>IF(COUNTIF(BU$76:BU798,BU798)=1,MAX(BT$76:BT797)+1,"")</f>
        <v/>
      </c>
      <c r="BU798" s="1720">
        <v>275</v>
      </c>
      <c r="BV798" s="1720">
        <v>375</v>
      </c>
      <c r="BW798" s="1720">
        <v>360</v>
      </c>
      <c r="BX798" s="1720" t="s">
        <v>1683</v>
      </c>
      <c r="BY798" s="1772"/>
    </row>
    <row r="799" spans="72:77" x14ac:dyDescent="0.3">
      <c r="BT799" s="197">
        <f>IF(COUNTIF(BU$76:BU799,BU799)=1,MAX(BT$76:BT798)+1,"")</f>
        <v>75</v>
      </c>
      <c r="BU799" s="1720">
        <v>277.5</v>
      </c>
      <c r="BV799" s="1720">
        <v>260</v>
      </c>
      <c r="BW799" s="1720">
        <v>375</v>
      </c>
      <c r="BX799" s="1720" t="s">
        <v>1684</v>
      </c>
      <c r="BY799" s="1772"/>
    </row>
    <row r="800" spans="72:77" x14ac:dyDescent="0.3">
      <c r="BT800" s="197" t="str">
        <f>IF(COUNTIF(BU$76:BU800,BU800)=1,MAX(BT$76:BT799)+1,"")</f>
        <v/>
      </c>
      <c r="BU800" s="1720">
        <v>277.5</v>
      </c>
      <c r="BV800" s="1720">
        <v>260</v>
      </c>
      <c r="BW800" s="1720">
        <v>375</v>
      </c>
      <c r="BX800" s="1720" t="s">
        <v>1684</v>
      </c>
      <c r="BY800" s="1772"/>
    </row>
    <row r="801" spans="72:77" x14ac:dyDescent="0.3">
      <c r="BT801" s="197" t="str">
        <f>IF(COUNTIF(BU$76:BU801,BU801)=1,MAX(BT$76:BT800)+1,"")</f>
        <v/>
      </c>
      <c r="BU801" s="1720">
        <v>277.5</v>
      </c>
      <c r="BV801" s="1720">
        <v>260</v>
      </c>
      <c r="BW801" s="1720">
        <v>360</v>
      </c>
      <c r="BX801" s="1720" t="s">
        <v>1684</v>
      </c>
      <c r="BY801" s="1772"/>
    </row>
    <row r="802" spans="72:77" x14ac:dyDescent="0.3">
      <c r="BT802" s="197" t="str">
        <f>IF(COUNTIF(BU$76:BU802,BU802)=1,MAX(BT$76:BT801)+1,"")</f>
        <v/>
      </c>
      <c r="BU802" s="1720">
        <v>277.5</v>
      </c>
      <c r="BV802" s="1720">
        <v>320</v>
      </c>
      <c r="BW802" s="1720">
        <v>360</v>
      </c>
      <c r="BX802" s="1720" t="s">
        <v>1685</v>
      </c>
      <c r="BY802" s="1772"/>
    </row>
    <row r="803" spans="72:77" x14ac:dyDescent="0.3">
      <c r="BT803" s="197">
        <f>IF(COUNTIF(BU$76:BU803,BU803)=1,MAX(BT$76:BT802)+1,"")</f>
        <v>76</v>
      </c>
      <c r="BU803" s="1720">
        <v>280</v>
      </c>
      <c r="BV803" s="1720">
        <v>375</v>
      </c>
      <c r="BW803" s="1720">
        <v>375</v>
      </c>
      <c r="BX803" s="1720" t="s">
        <v>1686</v>
      </c>
      <c r="BY803" s="1772"/>
    </row>
    <row r="804" spans="72:77" x14ac:dyDescent="0.3">
      <c r="BT804" s="197" t="str">
        <f>IF(COUNTIF(BU$76:BU804,BU804)=1,MAX(BT$76:BT803)+1,"")</f>
        <v/>
      </c>
      <c r="BU804" s="1720">
        <v>280</v>
      </c>
      <c r="BV804" s="1720">
        <v>260</v>
      </c>
      <c r="BW804" s="1720">
        <v>375</v>
      </c>
      <c r="BX804" s="1720" t="s">
        <v>1687</v>
      </c>
      <c r="BY804" s="1772"/>
    </row>
    <row r="805" spans="72:77" x14ac:dyDescent="0.3">
      <c r="BT805" s="197" t="str">
        <f>IF(COUNTIF(BU$76:BU805,BU805)=1,MAX(BT$76:BT804)+1,"")</f>
        <v/>
      </c>
      <c r="BU805" s="1720">
        <v>280</v>
      </c>
      <c r="BV805" s="1720">
        <v>260</v>
      </c>
      <c r="BW805" s="1720">
        <v>360</v>
      </c>
      <c r="BX805" s="1720" t="s">
        <v>1687</v>
      </c>
      <c r="BY805" s="1772"/>
    </row>
    <row r="806" spans="72:77" x14ac:dyDescent="0.3">
      <c r="BT806" s="197" t="str">
        <f>IF(COUNTIF(BU$76:BU806,BU806)=1,MAX(BT$76:BT805)+1,"")</f>
        <v/>
      </c>
      <c r="BU806" s="1720">
        <v>280</v>
      </c>
      <c r="BV806" s="1720">
        <v>260</v>
      </c>
      <c r="BW806" s="1720">
        <v>360</v>
      </c>
      <c r="BX806" s="1720" t="s">
        <v>1687</v>
      </c>
      <c r="BY806" s="1772"/>
    </row>
    <row r="807" spans="72:77" x14ac:dyDescent="0.3">
      <c r="BT807" s="197" t="str">
        <f>IF(COUNTIF(BU$76:BU807,BU807)=1,MAX(BT$76:BT806)+1,"")</f>
        <v/>
      </c>
      <c r="BU807" s="1720">
        <v>280</v>
      </c>
      <c r="BV807" s="1720">
        <v>318</v>
      </c>
      <c r="BW807" s="1720">
        <v>375</v>
      </c>
      <c r="BX807" s="1720" t="s">
        <v>1688</v>
      </c>
      <c r="BY807" s="1772"/>
    </row>
    <row r="808" spans="72:77" x14ac:dyDescent="0.3">
      <c r="BT808" s="197" t="str">
        <f>IF(COUNTIF(BU$76:BU808,BU808)=1,MAX(BT$76:BT807)+1,"")</f>
        <v/>
      </c>
      <c r="BU808" s="1720">
        <v>280</v>
      </c>
      <c r="BV808" s="1720">
        <v>320</v>
      </c>
      <c r="BW808" s="1720">
        <v>360</v>
      </c>
      <c r="BX808" s="1720" t="s">
        <v>1688</v>
      </c>
      <c r="BY808" s="1772"/>
    </row>
    <row r="809" spans="72:77" x14ac:dyDescent="0.3">
      <c r="BT809" s="197" t="str">
        <f>IF(COUNTIF(BU$76:BU809,BU809)=1,MAX(BT$76:BT808)+1,"")</f>
        <v/>
      </c>
      <c r="BU809" s="1720">
        <v>280</v>
      </c>
      <c r="BV809" s="1720">
        <v>377</v>
      </c>
      <c r="BW809" s="1720">
        <v>360</v>
      </c>
      <c r="BX809" s="1720" t="s">
        <v>1686</v>
      </c>
      <c r="BY809" s="1772"/>
    </row>
    <row r="810" spans="72:77" x14ac:dyDescent="0.3">
      <c r="BT810" s="197" t="str">
        <f>IF(COUNTIF(BU$76:BU810,BU810)=1,MAX(BT$76:BT809)+1,"")</f>
        <v/>
      </c>
      <c r="BU810" s="1720">
        <v>280</v>
      </c>
      <c r="BV810" s="1720">
        <v>382</v>
      </c>
      <c r="BW810" s="1720">
        <v>360</v>
      </c>
      <c r="BX810" s="1720" t="s">
        <v>1686</v>
      </c>
      <c r="BY810" s="1772"/>
    </row>
    <row r="811" spans="72:77" x14ac:dyDescent="0.3">
      <c r="BT811" s="197" t="str">
        <f>IF(COUNTIF(BU$76:BU811,BU811)=1,MAX(BT$76:BT810)+1,"")</f>
        <v/>
      </c>
      <c r="BU811" s="1720">
        <v>280</v>
      </c>
      <c r="BV811" s="1720">
        <v>257</v>
      </c>
      <c r="BW811" s="1720">
        <v>360</v>
      </c>
      <c r="BX811" s="1720" t="s">
        <v>1687</v>
      </c>
      <c r="BY811" s="1772"/>
    </row>
    <row r="812" spans="72:77" x14ac:dyDescent="0.3">
      <c r="BT812" s="197" t="str">
        <f>IF(COUNTIF(BU$76:BU812,BU812)=1,MAX(BT$76:BT811)+1,"")</f>
        <v/>
      </c>
      <c r="BU812" s="1720">
        <v>280</v>
      </c>
      <c r="BV812" s="1720">
        <v>260</v>
      </c>
      <c r="BW812" s="1720">
        <v>375</v>
      </c>
      <c r="BX812" s="1720" t="s">
        <v>1687</v>
      </c>
      <c r="BY812" s="1772"/>
    </row>
    <row r="813" spans="72:77" x14ac:dyDescent="0.3">
      <c r="BT813" s="197" t="str">
        <f>IF(COUNTIF(BU$76:BU813,BU813)=1,MAX(BT$76:BT812)+1,"")</f>
        <v/>
      </c>
      <c r="BU813" s="1720">
        <v>280</v>
      </c>
      <c r="BV813" s="1720">
        <v>260</v>
      </c>
      <c r="BW813" s="1720">
        <v>360</v>
      </c>
      <c r="BX813" s="1720" t="s">
        <v>1687</v>
      </c>
      <c r="BY813" s="1772"/>
    </row>
    <row r="814" spans="72:77" x14ac:dyDescent="0.3">
      <c r="BT814" s="197">
        <f>IF(COUNTIF(BU$76:BU814,BU814)=1,MAX(BT$76:BT813)+1,"")</f>
        <v>77</v>
      </c>
      <c r="BU814" s="1720">
        <v>282.5</v>
      </c>
      <c r="BV814" s="1720">
        <v>260</v>
      </c>
      <c r="BW814" s="1720">
        <v>360</v>
      </c>
      <c r="BX814" s="1720" t="s">
        <v>1689</v>
      </c>
      <c r="BY814" s="1772"/>
    </row>
    <row r="815" spans="72:77" x14ac:dyDescent="0.3">
      <c r="BT815" s="197" t="str">
        <f>IF(COUNTIF(BU$76:BU815,BU815)=1,MAX(BT$76:BT814)+1,"")</f>
        <v/>
      </c>
      <c r="BU815" s="1720">
        <v>282.5</v>
      </c>
      <c r="BV815" s="1720">
        <v>260</v>
      </c>
      <c r="BW815" s="1720">
        <v>375</v>
      </c>
      <c r="BX815" s="1720" t="s">
        <v>1689</v>
      </c>
      <c r="BY815" s="1772"/>
    </row>
    <row r="816" spans="72:77" x14ac:dyDescent="0.3">
      <c r="BT816" s="197" t="str">
        <f>IF(COUNTIF(BU$76:BU816,BU816)=1,MAX(BT$76:BT815)+1,"")</f>
        <v/>
      </c>
      <c r="BU816" s="1720">
        <v>282.5</v>
      </c>
      <c r="BV816" s="1720">
        <v>380</v>
      </c>
      <c r="BW816" s="1720">
        <v>360</v>
      </c>
      <c r="BX816" s="1720" t="s">
        <v>1690</v>
      </c>
      <c r="BY816" s="1772"/>
    </row>
    <row r="817" spans="72:77" x14ac:dyDescent="0.3">
      <c r="BT817" s="197" t="str">
        <f>IF(COUNTIF(BU$76:BU817,BU817)=1,MAX(BT$76:BT816)+1,"")</f>
        <v/>
      </c>
      <c r="BU817" s="1720">
        <v>282.5</v>
      </c>
      <c r="BV817" s="1720">
        <v>317</v>
      </c>
      <c r="BW817" s="1720">
        <v>360</v>
      </c>
      <c r="BX817" s="1720" t="s">
        <v>1691</v>
      </c>
      <c r="BY817" s="1772"/>
    </row>
    <row r="818" spans="72:77" x14ac:dyDescent="0.3">
      <c r="BT818" s="197" t="str">
        <f>IF(COUNTIF(BU$76:BU818,BU818)=1,MAX(BT$76:BT817)+1,"")</f>
        <v/>
      </c>
      <c r="BU818" s="1720">
        <v>282.5</v>
      </c>
      <c r="BV818" s="1720">
        <v>258</v>
      </c>
      <c r="BW818" s="1720">
        <v>360</v>
      </c>
      <c r="BX818" s="1720" t="s">
        <v>1689</v>
      </c>
      <c r="BY818" s="1772"/>
    </row>
    <row r="819" spans="72:77" x14ac:dyDescent="0.3">
      <c r="BT819" s="197" t="str">
        <f>IF(COUNTIF(BU$76:BU819,BU819)=1,MAX(BT$76:BT818)+1,"")</f>
        <v/>
      </c>
      <c r="BU819" s="1720">
        <v>282.5</v>
      </c>
      <c r="BV819" s="1720">
        <v>260</v>
      </c>
      <c r="BW819" s="1720">
        <v>360</v>
      </c>
      <c r="BX819" s="1720" t="s">
        <v>1689</v>
      </c>
      <c r="BY819" s="1772"/>
    </row>
    <row r="820" spans="72:77" x14ac:dyDescent="0.3">
      <c r="BT820" s="197" t="str">
        <f>IF(COUNTIF(BU$76:BU820,BU820)=1,MAX(BT$76:BT819)+1,"")</f>
        <v/>
      </c>
      <c r="BU820" s="1720">
        <v>282.5</v>
      </c>
      <c r="BV820" s="1720">
        <v>260</v>
      </c>
      <c r="BW820" s="1720">
        <v>360</v>
      </c>
      <c r="BX820" s="1720" t="s">
        <v>1689</v>
      </c>
      <c r="BY820" s="1772"/>
    </row>
    <row r="821" spans="72:77" x14ac:dyDescent="0.3">
      <c r="BT821" s="197" t="str">
        <f>IF(COUNTIF(BU$76:BU821,BU821)=1,MAX(BT$76:BT820)+1,"")</f>
        <v/>
      </c>
      <c r="BU821" s="1720">
        <v>282.5</v>
      </c>
      <c r="BV821" s="1720">
        <v>260</v>
      </c>
      <c r="BW821" s="1720">
        <v>375</v>
      </c>
      <c r="BX821" s="1720" t="s">
        <v>1689</v>
      </c>
      <c r="BY821" s="1772"/>
    </row>
    <row r="822" spans="72:77" x14ac:dyDescent="0.3">
      <c r="BT822" s="197" t="str">
        <f>IF(COUNTIF(BU$76:BU822,BU822)=1,MAX(BT$76:BT821)+1,"")</f>
        <v/>
      </c>
      <c r="BU822" s="1720">
        <v>282.5</v>
      </c>
      <c r="BV822" s="1720">
        <v>377</v>
      </c>
      <c r="BW822" s="1720">
        <v>360</v>
      </c>
      <c r="BX822" s="1720" t="s">
        <v>1690</v>
      </c>
      <c r="BY822" s="1772"/>
    </row>
    <row r="823" spans="72:77" x14ac:dyDescent="0.3">
      <c r="BT823" s="197" t="str">
        <f>IF(COUNTIF(BU$76:BU823,BU823)=1,MAX(BT$76:BT822)+1,"")</f>
        <v/>
      </c>
      <c r="BU823" s="1720">
        <v>282.5</v>
      </c>
      <c r="BV823" s="1720">
        <v>320</v>
      </c>
      <c r="BW823" s="1720">
        <v>360</v>
      </c>
      <c r="BX823" s="1720" t="s">
        <v>1691</v>
      </c>
      <c r="BY823" s="1772"/>
    </row>
    <row r="824" spans="72:77" x14ac:dyDescent="0.3">
      <c r="BT824" s="197" t="str">
        <f>IF(COUNTIF(BU$76:BU824,BU824)=1,MAX(BT$76:BT823)+1,"")</f>
        <v/>
      </c>
      <c r="BU824" s="1720">
        <v>282.5</v>
      </c>
      <c r="BV824" s="1720">
        <v>440</v>
      </c>
      <c r="BW824" s="1720">
        <v>375</v>
      </c>
      <c r="BX824" s="1720" t="s">
        <v>1692</v>
      </c>
      <c r="BY824" s="1772"/>
    </row>
    <row r="825" spans="72:77" x14ac:dyDescent="0.3">
      <c r="BT825" s="197" t="str">
        <f>IF(COUNTIF(BU$76:BU825,BU825)=1,MAX(BT$76:BT824)+1,"")</f>
        <v/>
      </c>
      <c r="BU825" s="1720">
        <v>282.5</v>
      </c>
      <c r="BV825" s="1720">
        <v>377</v>
      </c>
      <c r="BW825" s="1720">
        <v>360</v>
      </c>
      <c r="BX825" s="1720" t="s">
        <v>1690</v>
      </c>
      <c r="BY825" s="1772"/>
    </row>
    <row r="826" spans="72:77" x14ac:dyDescent="0.3">
      <c r="BT826" s="197" t="str">
        <f>IF(COUNTIF(BU$76:BU826,BU826)=1,MAX(BT$76:BT825)+1,"")</f>
        <v/>
      </c>
      <c r="BU826" s="1720">
        <v>282.5</v>
      </c>
      <c r="BV826" s="1720">
        <v>383</v>
      </c>
      <c r="BW826" s="1720">
        <v>375</v>
      </c>
      <c r="BX826" s="1720" t="s">
        <v>1690</v>
      </c>
      <c r="BY826" s="1772"/>
    </row>
    <row r="827" spans="72:77" x14ac:dyDescent="0.3">
      <c r="BT827" s="197" t="str">
        <f>IF(COUNTIF(BU$76:BU827,BU827)=1,MAX(BT$76:BT826)+1,"")</f>
        <v/>
      </c>
      <c r="BU827" s="1720">
        <v>282.5</v>
      </c>
      <c r="BV827" s="1720">
        <v>420</v>
      </c>
      <c r="BW827" s="1720">
        <v>360</v>
      </c>
      <c r="BX827" s="1720" t="s">
        <v>1692</v>
      </c>
      <c r="BY827" s="1772"/>
    </row>
    <row r="828" spans="72:77" x14ac:dyDescent="0.3">
      <c r="BT828" s="197" t="str">
        <f>IF(COUNTIF(BU$76:BU828,BU828)=1,MAX(BT$76:BT827)+1,"")</f>
        <v/>
      </c>
      <c r="BU828" s="1720">
        <v>282.5</v>
      </c>
      <c r="BV828" s="1720">
        <v>257</v>
      </c>
      <c r="BW828" s="1720">
        <v>360</v>
      </c>
      <c r="BX828" s="1720" t="s">
        <v>1689</v>
      </c>
      <c r="BY828" s="1772"/>
    </row>
    <row r="829" spans="72:77" x14ac:dyDescent="0.3">
      <c r="BT829" s="197" t="str">
        <f>IF(COUNTIF(BU$76:BU829,BU829)=1,MAX(BT$76:BT828)+1,"")</f>
        <v/>
      </c>
      <c r="BU829" s="1720">
        <v>282.5</v>
      </c>
      <c r="BV829" s="1720">
        <v>260</v>
      </c>
      <c r="BW829" s="1720">
        <v>360</v>
      </c>
      <c r="BX829" s="1720" t="s">
        <v>1689</v>
      </c>
      <c r="BY829" s="1772"/>
    </row>
    <row r="830" spans="72:77" x14ac:dyDescent="0.3">
      <c r="BT830" s="197">
        <f>IF(COUNTIF(BU$76:BU830,BU830)=1,MAX(BT$76:BT829)+1,"")</f>
        <v>78</v>
      </c>
      <c r="BU830" s="1720">
        <v>285</v>
      </c>
      <c r="BV830" s="1720">
        <v>440</v>
      </c>
      <c r="BW830" s="1720">
        <v>375</v>
      </c>
      <c r="BX830" s="1720" t="s">
        <v>1693</v>
      </c>
      <c r="BY830" s="1772"/>
    </row>
    <row r="831" spans="72:77" x14ac:dyDescent="0.3">
      <c r="BT831" s="197" t="str">
        <f>IF(COUNTIF(BU$76:BU831,BU831)=1,MAX(BT$76:BT830)+1,"")</f>
        <v/>
      </c>
      <c r="BU831" s="1720">
        <v>285</v>
      </c>
      <c r="BV831" s="1720">
        <v>213</v>
      </c>
      <c r="BW831" s="1720">
        <v>360</v>
      </c>
      <c r="BX831" s="1720" t="s">
        <v>1694</v>
      </c>
      <c r="BY831" s="1772"/>
    </row>
    <row r="832" spans="72:77" x14ac:dyDescent="0.3">
      <c r="BT832" s="197" t="str">
        <f>IF(COUNTIF(BU$76:BU832,BU832)=1,MAX(BT$76:BT831)+1,"")</f>
        <v/>
      </c>
      <c r="BU832" s="1720">
        <v>285</v>
      </c>
      <c r="BV832" s="1720">
        <v>415</v>
      </c>
      <c r="BW832" s="1720">
        <v>360</v>
      </c>
      <c r="BX832" s="1720" t="s">
        <v>1695</v>
      </c>
      <c r="BY832" s="1772"/>
    </row>
    <row r="833" spans="72:77" x14ac:dyDescent="0.3">
      <c r="BT833" s="197" t="str">
        <f>IF(COUNTIF(BU$76:BU833,BU833)=1,MAX(BT$76:BT832)+1,"")</f>
        <v/>
      </c>
      <c r="BU833" s="1720">
        <v>285</v>
      </c>
      <c r="BV833" s="1720">
        <v>440</v>
      </c>
      <c r="BW833" s="1720">
        <v>375</v>
      </c>
      <c r="BX833" s="1720" t="s">
        <v>1693</v>
      </c>
      <c r="BY833" s="1772"/>
    </row>
    <row r="834" spans="72:77" x14ac:dyDescent="0.3">
      <c r="BT834" s="197" t="str">
        <f>IF(COUNTIF(BU$76:BU834,BU834)=1,MAX(BT$76:BT833)+1,"")</f>
        <v/>
      </c>
      <c r="BU834" s="1720">
        <v>285</v>
      </c>
      <c r="BV834" s="1720">
        <v>260</v>
      </c>
      <c r="BW834" s="1720">
        <v>375</v>
      </c>
      <c r="BX834" s="1720" t="s">
        <v>1696</v>
      </c>
      <c r="BY834" s="1772"/>
    </row>
    <row r="835" spans="72:77" x14ac:dyDescent="0.3">
      <c r="BT835" s="197" t="str">
        <f>IF(COUNTIF(BU$76:BU835,BU835)=1,MAX(BT$76:BT834)+1,"")</f>
        <v/>
      </c>
      <c r="BU835" s="1720">
        <v>285</v>
      </c>
      <c r="BV835" s="1720">
        <v>260</v>
      </c>
      <c r="BW835" s="1720">
        <v>375</v>
      </c>
      <c r="BX835" s="1720" t="s">
        <v>1696</v>
      </c>
      <c r="BY835" s="1772"/>
    </row>
    <row r="836" spans="72:77" x14ac:dyDescent="0.3">
      <c r="BT836" s="197" t="str">
        <f>IF(COUNTIF(BU$76:BU836,BU836)=1,MAX(BT$76:BT835)+1,"")</f>
        <v/>
      </c>
      <c r="BU836" s="1720">
        <v>285</v>
      </c>
      <c r="BV836" s="1720">
        <v>260</v>
      </c>
      <c r="BW836" s="1720">
        <v>360</v>
      </c>
      <c r="BX836" s="1720" t="s">
        <v>1696</v>
      </c>
      <c r="BY836" s="1772"/>
    </row>
    <row r="837" spans="72:77" x14ac:dyDescent="0.3">
      <c r="BT837" s="197" t="str">
        <f>IF(COUNTIF(BU$76:BU837,BU837)=1,MAX(BT$76:BT836)+1,"")</f>
        <v/>
      </c>
      <c r="BU837" s="1720">
        <v>285</v>
      </c>
      <c r="BV837" s="1720">
        <v>260</v>
      </c>
      <c r="BW837" s="1720">
        <v>375</v>
      </c>
      <c r="BX837" s="1720" t="s">
        <v>1696</v>
      </c>
      <c r="BY837" s="1772"/>
    </row>
    <row r="838" spans="72:77" x14ac:dyDescent="0.3">
      <c r="BT838" s="197" t="str">
        <f>IF(COUNTIF(BU$76:BU838,BU838)=1,MAX(BT$76:BT837)+1,"")</f>
        <v/>
      </c>
      <c r="BU838" s="1720">
        <v>285</v>
      </c>
      <c r="BV838" s="1720">
        <v>320</v>
      </c>
      <c r="BW838" s="1720">
        <v>360</v>
      </c>
      <c r="BX838" s="1720" t="s">
        <v>1697</v>
      </c>
      <c r="BY838" s="1772"/>
    </row>
    <row r="839" spans="72:77" x14ac:dyDescent="0.3">
      <c r="BT839" s="197" t="str">
        <f>IF(COUNTIF(BU$76:BU839,BU839)=1,MAX(BT$76:BT838)+1,"")</f>
        <v/>
      </c>
      <c r="BU839" s="1720">
        <v>285</v>
      </c>
      <c r="BV839" s="1720">
        <v>260</v>
      </c>
      <c r="BW839" s="1720">
        <v>375</v>
      </c>
      <c r="BX839" s="1720" t="s">
        <v>1696</v>
      </c>
      <c r="BY839" s="1772"/>
    </row>
    <row r="840" spans="72:77" x14ac:dyDescent="0.3">
      <c r="BT840" s="197" t="str">
        <f>IF(COUNTIF(BU$76:BU840,BU840)=1,MAX(BT$76:BT839)+1,"")</f>
        <v/>
      </c>
      <c r="BU840" s="1720">
        <v>285</v>
      </c>
      <c r="BV840" s="1720">
        <v>210</v>
      </c>
      <c r="BW840" s="1720">
        <v>360</v>
      </c>
      <c r="BX840" s="1720" t="s">
        <v>1694</v>
      </c>
      <c r="BY840" s="1772"/>
    </row>
    <row r="841" spans="72:77" x14ac:dyDescent="0.3">
      <c r="BT841" s="197" t="str">
        <f>IF(COUNTIF(BU$76:BU841,BU841)=1,MAX(BT$76:BT840)+1,"")</f>
        <v/>
      </c>
      <c r="BU841" s="1720">
        <v>285</v>
      </c>
      <c r="BV841" s="1720">
        <v>260</v>
      </c>
      <c r="BW841" s="1720">
        <v>360</v>
      </c>
      <c r="BX841" s="1720" t="s">
        <v>1696</v>
      </c>
      <c r="BY841" s="1772"/>
    </row>
    <row r="842" spans="72:77" x14ac:dyDescent="0.3">
      <c r="BT842" s="197" t="str">
        <f>IF(COUNTIF(BU$76:BU842,BU842)=1,MAX(BT$76:BT841)+1,"")</f>
        <v/>
      </c>
      <c r="BU842" s="1720">
        <v>285</v>
      </c>
      <c r="BV842" s="1720">
        <v>257</v>
      </c>
      <c r="BW842" s="1720">
        <v>375</v>
      </c>
      <c r="BX842" s="1720" t="s">
        <v>1696</v>
      </c>
      <c r="BY842" s="1772"/>
    </row>
    <row r="843" spans="72:77" x14ac:dyDescent="0.3">
      <c r="BT843" s="197" t="str">
        <f>IF(COUNTIF(BU$76:BU843,BU843)=1,MAX(BT$76:BT842)+1,"")</f>
        <v/>
      </c>
      <c r="BU843" s="1720">
        <v>285</v>
      </c>
      <c r="BV843" s="1720">
        <v>378</v>
      </c>
      <c r="BW843" s="1720">
        <v>360</v>
      </c>
      <c r="BX843" s="1720" t="s">
        <v>1698</v>
      </c>
      <c r="BY843" s="1772"/>
    </row>
    <row r="844" spans="72:77" x14ac:dyDescent="0.3">
      <c r="BT844" s="197" t="str">
        <f>IF(COUNTIF(BU$76:BU844,BU844)=1,MAX(BT$76:BT843)+1,"")</f>
        <v/>
      </c>
      <c r="BU844" s="1720">
        <v>285</v>
      </c>
      <c r="BV844" s="1720">
        <v>379</v>
      </c>
      <c r="BW844" s="1720">
        <v>360</v>
      </c>
      <c r="BX844" s="1720" t="s">
        <v>1698</v>
      </c>
      <c r="BY844" s="1772"/>
    </row>
    <row r="845" spans="72:77" x14ac:dyDescent="0.3">
      <c r="BT845" s="197" t="str">
        <f>IF(COUNTIF(BU$76:BU845,BU845)=1,MAX(BT$76:BT844)+1,"")</f>
        <v/>
      </c>
      <c r="BU845" s="1720">
        <v>285</v>
      </c>
      <c r="BV845" s="1720">
        <v>315</v>
      </c>
      <c r="BW845" s="1720">
        <v>375</v>
      </c>
      <c r="BX845" s="1720" t="s">
        <v>1697</v>
      </c>
      <c r="BY845" s="1772"/>
    </row>
    <row r="846" spans="72:77" x14ac:dyDescent="0.3">
      <c r="BT846" s="197" t="str">
        <f>IF(COUNTIF(BU$76:BU846,BU846)=1,MAX(BT$76:BT845)+1,"")</f>
        <v/>
      </c>
      <c r="BU846" s="1720">
        <v>285</v>
      </c>
      <c r="BV846" s="1720">
        <v>375</v>
      </c>
      <c r="BW846" s="1720">
        <v>360</v>
      </c>
      <c r="BX846" s="1720" t="s">
        <v>1698</v>
      </c>
      <c r="BY846" s="1772"/>
    </row>
    <row r="847" spans="72:77" x14ac:dyDescent="0.3">
      <c r="BT847" s="197" t="str">
        <f>IF(COUNTIF(BU$76:BU847,BU847)=1,MAX(BT$76:BT846)+1,"")</f>
        <v/>
      </c>
      <c r="BU847" s="1720">
        <v>285</v>
      </c>
      <c r="BV847" s="1720">
        <v>375</v>
      </c>
      <c r="BW847" s="1720">
        <v>375</v>
      </c>
      <c r="BX847" s="1720" t="s">
        <v>1698</v>
      </c>
      <c r="BY847" s="1772"/>
    </row>
    <row r="848" spans="72:77" x14ac:dyDescent="0.3">
      <c r="BT848" s="197" t="str">
        <f>IF(COUNTIF(BU$76:BU848,BU848)=1,MAX(BT$76:BT847)+1,"")</f>
        <v/>
      </c>
      <c r="BU848" s="1720">
        <v>285</v>
      </c>
      <c r="BV848" s="1720">
        <v>317</v>
      </c>
      <c r="BW848" s="1720">
        <v>360</v>
      </c>
      <c r="BX848" s="1720" t="s">
        <v>1697</v>
      </c>
      <c r="BY848" s="1772"/>
    </row>
    <row r="849" spans="72:77" x14ac:dyDescent="0.3">
      <c r="BT849" s="197" t="str">
        <f>IF(COUNTIF(BU$76:BU849,BU849)=1,MAX(BT$76:BT848)+1,"")</f>
        <v/>
      </c>
      <c r="BU849" s="1720">
        <v>285</v>
      </c>
      <c r="BV849" s="1720">
        <v>318</v>
      </c>
      <c r="BW849" s="1720">
        <v>360</v>
      </c>
      <c r="BX849" s="1720" t="s">
        <v>1697</v>
      </c>
      <c r="BY849" s="1772"/>
    </row>
    <row r="850" spans="72:77" x14ac:dyDescent="0.3">
      <c r="BT850" s="197" t="str">
        <f>IF(COUNTIF(BU$76:BU850,BU850)=1,MAX(BT$76:BT849)+1,"")</f>
        <v/>
      </c>
      <c r="BU850" s="1720">
        <v>285</v>
      </c>
      <c r="BV850" s="1720">
        <v>437</v>
      </c>
      <c r="BW850" s="1720">
        <v>375</v>
      </c>
      <c r="BX850" s="1720" t="s">
        <v>1693</v>
      </c>
      <c r="BY850" s="1772"/>
    </row>
    <row r="851" spans="72:77" x14ac:dyDescent="0.3">
      <c r="BT851" s="197" t="str">
        <f>IF(COUNTIF(BU$76:BU851,BU851)=1,MAX(BT$76:BT850)+1,"")</f>
        <v/>
      </c>
      <c r="BU851" s="1720">
        <v>285</v>
      </c>
      <c r="BV851" s="1720">
        <v>320</v>
      </c>
      <c r="BW851" s="1720">
        <v>360</v>
      </c>
      <c r="BX851" s="1720" t="s">
        <v>1697</v>
      </c>
      <c r="BY851" s="1772"/>
    </row>
    <row r="852" spans="72:77" x14ac:dyDescent="0.3">
      <c r="BT852" s="197" t="str">
        <f>IF(COUNTIF(BU$76:BU852,BU852)=1,MAX(BT$76:BT851)+1,"")</f>
        <v/>
      </c>
      <c r="BU852" s="1720">
        <v>285</v>
      </c>
      <c r="BV852" s="1720">
        <v>260</v>
      </c>
      <c r="BW852" s="1720">
        <v>360</v>
      </c>
      <c r="BX852" s="1720" t="s">
        <v>1696</v>
      </c>
      <c r="BY852" s="1772"/>
    </row>
    <row r="853" spans="72:77" x14ac:dyDescent="0.3">
      <c r="BT853" s="197" t="str">
        <f>IF(COUNTIF(BU$76:BU853,BU853)=1,MAX(BT$76:BT852)+1,"")</f>
        <v/>
      </c>
      <c r="BU853" s="1720">
        <v>285</v>
      </c>
      <c r="BV853" s="1720">
        <v>257</v>
      </c>
      <c r="BW853" s="1720">
        <v>360</v>
      </c>
      <c r="BX853" s="1720" t="s">
        <v>1696</v>
      </c>
      <c r="BY853" s="1772"/>
    </row>
    <row r="854" spans="72:77" x14ac:dyDescent="0.3">
      <c r="BT854" s="197" t="str">
        <f>IF(COUNTIF(BU$76:BU854,BU854)=1,MAX(BT$76:BT853)+1,"")</f>
        <v/>
      </c>
      <c r="BU854" s="1720">
        <v>285</v>
      </c>
      <c r="BV854" s="1720">
        <v>440</v>
      </c>
      <c r="BW854" s="1720">
        <v>375</v>
      </c>
      <c r="BX854" s="1720" t="s">
        <v>1693</v>
      </c>
      <c r="BY854" s="1772"/>
    </row>
    <row r="855" spans="72:77" x14ac:dyDescent="0.3">
      <c r="BT855" s="197" t="str">
        <f>IF(COUNTIF(BU$76:BU855,BU855)=1,MAX(BT$76:BT854)+1,"")</f>
        <v/>
      </c>
      <c r="BU855" s="1720">
        <v>285</v>
      </c>
      <c r="BV855" s="1720">
        <v>320</v>
      </c>
      <c r="BW855" s="1720">
        <v>360</v>
      </c>
      <c r="BX855" s="1720" t="s">
        <v>1697</v>
      </c>
      <c r="BY855" s="1772"/>
    </row>
    <row r="856" spans="72:77" x14ac:dyDescent="0.3">
      <c r="BT856" s="197" t="str">
        <f>IF(COUNTIF(BU$76:BU856,BU856)=1,MAX(BT$76:BT855)+1,"")</f>
        <v/>
      </c>
      <c r="BU856" s="1720">
        <v>285</v>
      </c>
      <c r="BV856" s="1720">
        <v>260</v>
      </c>
      <c r="BW856" s="1720">
        <v>375</v>
      </c>
      <c r="BX856" s="1720" t="s">
        <v>1696</v>
      </c>
      <c r="BY856" s="1772"/>
    </row>
    <row r="857" spans="72:77" x14ac:dyDescent="0.3">
      <c r="BT857" s="197" t="str">
        <f>IF(COUNTIF(BU$76:BU857,BU857)=1,MAX(BT$76:BT856)+1,"")</f>
        <v/>
      </c>
      <c r="BU857" s="1720">
        <v>285</v>
      </c>
      <c r="BV857" s="1720">
        <v>318</v>
      </c>
      <c r="BW857" s="1720">
        <v>360</v>
      </c>
      <c r="BX857" s="1720" t="s">
        <v>1697</v>
      </c>
      <c r="BY857" s="1772"/>
    </row>
    <row r="858" spans="72:77" x14ac:dyDescent="0.3">
      <c r="BT858" s="197" t="str">
        <f>IF(COUNTIF(BU$76:BU858,BU858)=1,MAX(BT$76:BT857)+1,"")</f>
        <v/>
      </c>
      <c r="BU858" s="1720">
        <v>285</v>
      </c>
      <c r="BV858" s="1720">
        <v>260</v>
      </c>
      <c r="BW858" s="1720">
        <v>360</v>
      </c>
      <c r="BX858" s="1720" t="s">
        <v>1696</v>
      </c>
      <c r="BY858" s="1772"/>
    </row>
    <row r="859" spans="72:77" x14ac:dyDescent="0.3">
      <c r="BT859" s="197">
        <f>IF(COUNTIF(BU$76:BU859,BU859)=1,MAX(BT$76:BT858)+1,"")</f>
        <v>79</v>
      </c>
      <c r="BU859" s="1720">
        <v>287.5</v>
      </c>
      <c r="BV859" s="1720">
        <v>495</v>
      </c>
      <c r="BW859" s="1720">
        <v>375</v>
      </c>
      <c r="BX859" s="1720" t="s">
        <v>1699</v>
      </c>
      <c r="BY859" s="1772"/>
    </row>
    <row r="860" spans="72:77" x14ac:dyDescent="0.3">
      <c r="BT860" s="197" t="str">
        <f>IF(COUNTIF(BU$76:BU860,BU860)=1,MAX(BT$76:BT859)+1,"")</f>
        <v/>
      </c>
      <c r="BU860" s="1720">
        <v>287.5</v>
      </c>
      <c r="BV860" s="1720">
        <v>258</v>
      </c>
      <c r="BW860" s="1720">
        <v>360</v>
      </c>
      <c r="BX860" s="1720" t="s">
        <v>1700</v>
      </c>
      <c r="BY860" s="1772"/>
    </row>
    <row r="861" spans="72:77" x14ac:dyDescent="0.3">
      <c r="BT861" s="197" t="str">
        <f>IF(COUNTIF(BU$76:BU861,BU861)=1,MAX(BT$76:BT860)+1,"")</f>
        <v/>
      </c>
      <c r="BU861" s="1720">
        <v>287.5</v>
      </c>
      <c r="BV861" s="1720">
        <v>415</v>
      </c>
      <c r="BW861" s="1720">
        <v>360</v>
      </c>
      <c r="BX861" s="1720" t="s">
        <v>1701</v>
      </c>
      <c r="BY861" s="1772"/>
    </row>
    <row r="862" spans="72:77" x14ac:dyDescent="0.3">
      <c r="BT862" s="197" t="str">
        <f>IF(COUNTIF(BU$76:BU862,BU862)=1,MAX(BT$76:BT861)+1,"")</f>
        <v/>
      </c>
      <c r="BU862" s="1720">
        <v>287.5</v>
      </c>
      <c r="BV862" s="1720">
        <v>440</v>
      </c>
      <c r="BW862" s="1720">
        <v>375</v>
      </c>
      <c r="BX862" s="1720" t="s">
        <v>1702</v>
      </c>
      <c r="BY862" s="1772"/>
    </row>
    <row r="863" spans="72:77" x14ac:dyDescent="0.3">
      <c r="BT863" s="197" t="str">
        <f>IF(COUNTIF(BU$76:BU863,BU863)=1,MAX(BT$76:BT862)+1,"")</f>
        <v/>
      </c>
      <c r="BU863" s="1720">
        <v>287.5</v>
      </c>
      <c r="BV863" s="1720">
        <v>260</v>
      </c>
      <c r="BW863" s="1720">
        <v>360</v>
      </c>
      <c r="BX863" s="1720" t="s">
        <v>1700</v>
      </c>
      <c r="BY863" s="1772"/>
    </row>
    <row r="864" spans="72:77" x14ac:dyDescent="0.3">
      <c r="BT864" s="197" t="str">
        <f>IF(COUNTIF(BU$76:BU864,BU864)=1,MAX(BT$76:BT863)+1,"")</f>
        <v/>
      </c>
      <c r="BU864" s="1720">
        <v>287.5</v>
      </c>
      <c r="BV864" s="1720">
        <v>258</v>
      </c>
      <c r="BW864" s="1720">
        <v>360</v>
      </c>
      <c r="BX864" s="1720" t="s">
        <v>1700</v>
      </c>
      <c r="BY864" s="1772"/>
    </row>
    <row r="865" spans="72:77" x14ac:dyDescent="0.3">
      <c r="BT865" s="197" t="str">
        <f>IF(COUNTIF(BU$76:BU865,BU865)=1,MAX(BT$76:BT864)+1,"")</f>
        <v/>
      </c>
      <c r="BU865" s="1720">
        <v>287.5</v>
      </c>
      <c r="BV865" s="1720">
        <v>440</v>
      </c>
      <c r="BW865" s="1720">
        <v>375</v>
      </c>
      <c r="BX865" s="1720" t="s">
        <v>1702</v>
      </c>
      <c r="BY865" s="1772"/>
    </row>
    <row r="866" spans="72:77" x14ac:dyDescent="0.3">
      <c r="BT866" s="197" t="str">
        <f>IF(COUNTIF(BU$76:BU866,BU866)=1,MAX(BT$76:BT865)+1,"")</f>
        <v/>
      </c>
      <c r="BU866" s="1720">
        <v>287.5</v>
      </c>
      <c r="BV866" s="1720">
        <v>260</v>
      </c>
      <c r="BW866" s="1720">
        <v>360</v>
      </c>
      <c r="BX866" s="1720" t="s">
        <v>1700</v>
      </c>
      <c r="BY866" s="1772"/>
    </row>
    <row r="867" spans="72:77" x14ac:dyDescent="0.3">
      <c r="BT867" s="197" t="str">
        <f>IF(COUNTIF(BU$76:BU867,BU867)=1,MAX(BT$76:BT866)+1,"")</f>
        <v/>
      </c>
      <c r="BU867" s="1720">
        <v>287.5</v>
      </c>
      <c r="BV867" s="1720">
        <v>260</v>
      </c>
      <c r="BW867" s="1720">
        <v>360</v>
      </c>
      <c r="BX867" s="1720" t="s">
        <v>1700</v>
      </c>
      <c r="BY867" s="1772"/>
    </row>
    <row r="868" spans="72:77" x14ac:dyDescent="0.3">
      <c r="BT868" s="197" t="str">
        <f>IF(COUNTIF(BU$76:BU868,BU868)=1,MAX(BT$76:BT867)+1,"")</f>
        <v/>
      </c>
      <c r="BU868" s="1720">
        <v>287.5</v>
      </c>
      <c r="BV868" s="1720">
        <v>438</v>
      </c>
      <c r="BW868" s="1720">
        <v>375</v>
      </c>
      <c r="BX868" s="1720" t="s">
        <v>1702</v>
      </c>
      <c r="BY868" s="1772"/>
    </row>
    <row r="869" spans="72:77" x14ac:dyDescent="0.3">
      <c r="BT869" s="197">
        <f>IF(COUNTIF(BU$76:BU869,BU869)=1,MAX(BT$76:BT868)+1,"")</f>
        <v>80</v>
      </c>
      <c r="BU869" s="1720">
        <v>290</v>
      </c>
      <c r="BV869" s="1720">
        <v>255</v>
      </c>
      <c r="BW869" s="1720">
        <v>360</v>
      </c>
      <c r="BX869" s="1720" t="s">
        <v>1703</v>
      </c>
      <c r="BY869" s="1772"/>
    </row>
    <row r="870" spans="72:77" x14ac:dyDescent="0.3">
      <c r="BT870" s="197" t="str">
        <f>IF(COUNTIF(BU$76:BU870,BU870)=1,MAX(BT$76:BT869)+1,"")</f>
        <v/>
      </c>
      <c r="BU870" s="1720">
        <v>290</v>
      </c>
      <c r="BV870" s="1720">
        <v>260</v>
      </c>
      <c r="BW870" s="1720">
        <v>360</v>
      </c>
      <c r="BX870" s="1720" t="s">
        <v>1703</v>
      </c>
      <c r="BY870" s="1772"/>
    </row>
    <row r="871" spans="72:77" x14ac:dyDescent="0.3">
      <c r="BT871" s="197" t="str">
        <f>IF(COUNTIF(BU$76:BU871,BU871)=1,MAX(BT$76:BT870)+1,"")</f>
        <v/>
      </c>
      <c r="BU871" s="1720">
        <v>290</v>
      </c>
      <c r="BV871" s="1720">
        <v>260</v>
      </c>
      <c r="BW871" s="1720">
        <v>360</v>
      </c>
      <c r="BX871" s="1720" t="s">
        <v>1703</v>
      </c>
      <c r="BY871" s="1772"/>
    </row>
    <row r="872" spans="72:77" x14ac:dyDescent="0.3">
      <c r="BT872" s="197" t="str">
        <f>IF(COUNTIF(BU$76:BU872,BU872)=1,MAX(BT$76:BT871)+1,"")</f>
        <v/>
      </c>
      <c r="BU872" s="1720">
        <v>290</v>
      </c>
      <c r="BV872" s="1720">
        <v>260</v>
      </c>
      <c r="BW872" s="1720">
        <v>360</v>
      </c>
      <c r="BX872" s="1720" t="s">
        <v>1703</v>
      </c>
      <c r="BY872" s="1772"/>
    </row>
    <row r="873" spans="72:77" x14ac:dyDescent="0.3">
      <c r="BT873" s="197" t="str">
        <f>IF(COUNTIF(BU$76:BU873,BU873)=1,MAX(BT$76:BT872)+1,"")</f>
        <v/>
      </c>
      <c r="BU873" s="1720">
        <v>290</v>
      </c>
      <c r="BV873" s="1720">
        <v>260</v>
      </c>
      <c r="BW873" s="1720">
        <v>375</v>
      </c>
      <c r="BX873" s="1720" t="s">
        <v>1703</v>
      </c>
      <c r="BY873" s="1772"/>
    </row>
    <row r="874" spans="72:77" x14ac:dyDescent="0.3">
      <c r="BT874" s="197" t="str">
        <f>IF(COUNTIF(BU$76:BU874,BU874)=1,MAX(BT$76:BT873)+1,"")</f>
        <v/>
      </c>
      <c r="BU874" s="1720">
        <v>290</v>
      </c>
      <c r="BV874" s="1720">
        <v>317</v>
      </c>
      <c r="BW874" s="1720">
        <v>375</v>
      </c>
      <c r="BX874" s="1720" t="s">
        <v>1704</v>
      </c>
      <c r="BY874" s="1772"/>
    </row>
    <row r="875" spans="72:77" x14ac:dyDescent="0.3">
      <c r="BT875" s="197" t="str">
        <f>IF(COUNTIF(BU$76:BU875,BU875)=1,MAX(BT$76:BT874)+1,"")</f>
        <v/>
      </c>
      <c r="BU875" s="1720">
        <v>290</v>
      </c>
      <c r="BV875" s="1720">
        <v>315</v>
      </c>
      <c r="BW875" s="1720">
        <v>375</v>
      </c>
      <c r="BX875" s="1720" t="s">
        <v>1704</v>
      </c>
      <c r="BY875" s="1772"/>
    </row>
    <row r="876" spans="72:77" x14ac:dyDescent="0.3">
      <c r="BT876" s="197" t="str">
        <f>IF(COUNTIF(BU$76:BU876,BU876)=1,MAX(BT$76:BT875)+1,"")</f>
        <v/>
      </c>
      <c r="BU876" s="1720">
        <v>290</v>
      </c>
      <c r="BV876" s="1720">
        <v>412</v>
      </c>
      <c r="BW876" s="1720">
        <v>360</v>
      </c>
      <c r="BX876" s="1720" t="s">
        <v>1705</v>
      </c>
      <c r="BY876" s="1772"/>
    </row>
    <row r="877" spans="72:77" x14ac:dyDescent="0.3">
      <c r="BT877" s="197" t="str">
        <f>IF(COUNTIF(BU$76:BU877,BU877)=1,MAX(BT$76:BT876)+1,"")</f>
        <v/>
      </c>
      <c r="BU877" s="1720">
        <v>290</v>
      </c>
      <c r="BV877" s="1720">
        <v>375</v>
      </c>
      <c r="BW877" s="1720">
        <v>360</v>
      </c>
      <c r="BX877" s="1720" t="s">
        <v>1706</v>
      </c>
      <c r="BY877" s="1772"/>
    </row>
    <row r="878" spans="72:77" x14ac:dyDescent="0.3">
      <c r="BT878" s="197" t="str">
        <f>IF(COUNTIF(BU$76:BU878,BU878)=1,MAX(BT$76:BT877)+1,"")</f>
        <v/>
      </c>
      <c r="BU878" s="1720">
        <v>290</v>
      </c>
      <c r="BV878" s="1720">
        <v>380</v>
      </c>
      <c r="BW878" s="1720">
        <v>360</v>
      </c>
      <c r="BX878" s="1720" t="s">
        <v>1706</v>
      </c>
      <c r="BY878" s="1772"/>
    </row>
    <row r="879" spans="72:77" x14ac:dyDescent="0.3">
      <c r="BT879" s="197">
        <f>IF(COUNTIF(BU$76:BU879,BU879)=1,MAX(BT$76:BT878)+1,"")</f>
        <v>81</v>
      </c>
      <c r="BU879" s="1720">
        <v>292.5</v>
      </c>
      <c r="BV879" s="1720">
        <v>440</v>
      </c>
      <c r="BW879" s="1720">
        <v>375</v>
      </c>
      <c r="BX879" s="1720" t="s">
        <v>1707</v>
      </c>
      <c r="BY879" s="1772"/>
    </row>
    <row r="880" spans="72:77" x14ac:dyDescent="0.3">
      <c r="BT880" s="197" t="str">
        <f>IF(COUNTIF(BU$76:BU880,BU880)=1,MAX(BT$76:BT879)+1,"")</f>
        <v/>
      </c>
      <c r="BU880" s="1720">
        <v>292.5</v>
      </c>
      <c r="BV880" s="1720">
        <v>495</v>
      </c>
      <c r="BW880" s="1720">
        <v>375</v>
      </c>
      <c r="BX880" s="1720" t="s">
        <v>1708</v>
      </c>
      <c r="BY880" s="1772"/>
    </row>
    <row r="881" spans="72:77" x14ac:dyDescent="0.3">
      <c r="BT881" s="197">
        <f>IF(COUNTIF(BU$76:BU881,BU881)=1,MAX(BT$76:BT880)+1,"")</f>
        <v>82</v>
      </c>
      <c r="BU881" s="1720">
        <v>295</v>
      </c>
      <c r="BV881" s="1720">
        <v>543</v>
      </c>
      <c r="BW881" s="1720">
        <v>375</v>
      </c>
      <c r="BX881" s="1720" t="s">
        <v>1673</v>
      </c>
      <c r="BY881" s="1772"/>
    </row>
    <row r="882" spans="72:77" x14ac:dyDescent="0.3">
      <c r="BT882" s="197" t="str">
        <f>IF(COUNTIF(BU$76:BU882,BU882)=1,MAX(BT$76:BT881)+1,"")</f>
        <v/>
      </c>
      <c r="BU882" s="1720">
        <v>295</v>
      </c>
      <c r="BV882" s="1720">
        <v>260</v>
      </c>
      <c r="BW882" s="1720">
        <v>360</v>
      </c>
      <c r="BX882" s="1720" t="s">
        <v>1709</v>
      </c>
      <c r="BY882" s="1772"/>
    </row>
    <row r="883" spans="72:77" x14ac:dyDescent="0.3">
      <c r="BT883" s="197" t="str">
        <f>IF(COUNTIF(BU$76:BU883,BU883)=1,MAX(BT$76:BT882)+1,"")</f>
        <v/>
      </c>
      <c r="BU883" s="1720">
        <v>295</v>
      </c>
      <c r="BV883" s="1720">
        <v>378</v>
      </c>
      <c r="BW883" s="1720">
        <v>360</v>
      </c>
      <c r="BX883" s="1720" t="s">
        <v>1710</v>
      </c>
      <c r="BY883" s="1772"/>
    </row>
    <row r="884" spans="72:77" x14ac:dyDescent="0.3">
      <c r="BT884" s="197" t="str">
        <f>IF(COUNTIF(BU$76:BU884,BU884)=1,MAX(BT$76:BT883)+1,"")</f>
        <v/>
      </c>
      <c r="BU884" s="1720">
        <v>295</v>
      </c>
      <c r="BV884" s="1720">
        <v>260</v>
      </c>
      <c r="BW884" s="1720">
        <v>360</v>
      </c>
      <c r="BX884" s="1720" t="s">
        <v>1709</v>
      </c>
      <c r="BY884" s="1772"/>
    </row>
    <row r="885" spans="72:77" x14ac:dyDescent="0.3">
      <c r="BT885" s="197" t="str">
        <f>IF(COUNTIF(BU$76:BU885,BU885)=1,MAX(BT$76:BT884)+1,"")</f>
        <v/>
      </c>
      <c r="BU885" s="1720">
        <v>295</v>
      </c>
      <c r="BV885" s="1720">
        <v>315</v>
      </c>
      <c r="BW885" s="1720">
        <v>360</v>
      </c>
      <c r="BX885" s="1720" t="s">
        <v>1711</v>
      </c>
      <c r="BY885" s="1772"/>
    </row>
    <row r="886" spans="72:77" x14ac:dyDescent="0.3">
      <c r="BT886" s="197" t="str">
        <f>IF(COUNTIF(BU$76:BU886,BU886)=1,MAX(BT$76:BT885)+1,"")</f>
        <v/>
      </c>
      <c r="BU886" s="1720">
        <v>295</v>
      </c>
      <c r="BV886" s="1720">
        <v>317</v>
      </c>
      <c r="BW886" s="1720">
        <v>375</v>
      </c>
      <c r="BX886" s="1720" t="s">
        <v>1711</v>
      </c>
      <c r="BY886" s="1772"/>
    </row>
    <row r="887" spans="72:77" x14ac:dyDescent="0.3">
      <c r="BT887" s="197" t="str">
        <f>IF(COUNTIF(BU$76:BU887,BU887)=1,MAX(BT$76:BT886)+1,"")</f>
        <v/>
      </c>
      <c r="BU887" s="1720">
        <v>295</v>
      </c>
      <c r="BV887" s="1720">
        <v>320</v>
      </c>
      <c r="BW887" s="1720">
        <v>360</v>
      </c>
      <c r="BX887" s="1720" t="s">
        <v>1711</v>
      </c>
      <c r="BY887" s="1772"/>
    </row>
    <row r="888" spans="72:77" x14ac:dyDescent="0.3">
      <c r="BT888" s="197" t="str">
        <f>IF(COUNTIF(BU$76:BU888,BU888)=1,MAX(BT$76:BT887)+1,"")</f>
        <v/>
      </c>
      <c r="BU888" s="1720">
        <v>295</v>
      </c>
      <c r="BV888" s="1720">
        <v>317</v>
      </c>
      <c r="BW888" s="1720">
        <v>360</v>
      </c>
      <c r="BX888" s="1720" t="s">
        <v>1711</v>
      </c>
      <c r="BY888" s="1772"/>
    </row>
    <row r="889" spans="72:77" x14ac:dyDescent="0.3">
      <c r="BT889" s="197" t="str">
        <f>IF(COUNTIF(BU$76:BU889,BU889)=1,MAX(BT$76:BT888)+1,"")</f>
        <v/>
      </c>
      <c r="BU889" s="1720">
        <v>295</v>
      </c>
      <c r="BV889" s="1720">
        <v>258</v>
      </c>
      <c r="BW889" s="1720">
        <v>360</v>
      </c>
      <c r="BX889" s="1720" t="s">
        <v>1709</v>
      </c>
      <c r="BY889" s="1772"/>
    </row>
    <row r="890" spans="72:77" x14ac:dyDescent="0.3">
      <c r="BT890" s="197">
        <f>IF(COUNTIF(BU$76:BU890,BU890)=1,MAX(BT$76:BT889)+1,"")</f>
        <v>83</v>
      </c>
      <c r="BU890" s="1720">
        <v>297.5</v>
      </c>
      <c r="BV890" s="1720">
        <v>260</v>
      </c>
      <c r="BW890" s="1720">
        <v>375</v>
      </c>
      <c r="BX890" s="1720" t="s">
        <v>1712</v>
      </c>
      <c r="BY890" s="1772"/>
    </row>
    <row r="891" spans="72:77" x14ac:dyDescent="0.3">
      <c r="BT891" s="197" t="str">
        <f>IF(COUNTIF(BU$76:BU891,BU891)=1,MAX(BT$76:BT890)+1,"")</f>
        <v/>
      </c>
      <c r="BU891" s="1720">
        <v>297.5</v>
      </c>
      <c r="BV891" s="1720">
        <v>260</v>
      </c>
      <c r="BW891" s="1720">
        <v>375</v>
      </c>
      <c r="BX891" s="1720" t="s">
        <v>1712</v>
      </c>
      <c r="BY891" s="1772"/>
    </row>
    <row r="892" spans="72:77" x14ac:dyDescent="0.3">
      <c r="BT892" s="197" t="str">
        <f>IF(COUNTIF(BU$76:BU892,BU892)=1,MAX(BT$76:BT891)+1,"")</f>
        <v/>
      </c>
      <c r="BU892" s="1720">
        <v>297.5</v>
      </c>
      <c r="BV892" s="1720">
        <v>253</v>
      </c>
      <c r="BW892" s="1720">
        <v>360</v>
      </c>
      <c r="BX892" s="1720" t="s">
        <v>1712</v>
      </c>
      <c r="BY892" s="1772"/>
    </row>
    <row r="893" spans="72:77" x14ac:dyDescent="0.3">
      <c r="BT893" s="197" t="str">
        <f>IF(COUNTIF(BU$76:BU893,BU893)=1,MAX(BT$76:BT892)+1,"")</f>
        <v/>
      </c>
      <c r="BU893" s="1720">
        <v>297.5</v>
      </c>
      <c r="BV893" s="1720">
        <v>438</v>
      </c>
      <c r="BW893" s="1720">
        <v>375</v>
      </c>
      <c r="BX893" s="1720" t="s">
        <v>1713</v>
      </c>
      <c r="BY893" s="1772"/>
    </row>
    <row r="894" spans="72:77" x14ac:dyDescent="0.3">
      <c r="BT894" s="197">
        <f>IF(COUNTIF(BU$76:BU894,BU894)=1,MAX(BT$76:BT893)+1,"")</f>
        <v>84</v>
      </c>
      <c r="BU894" s="1720">
        <v>300</v>
      </c>
      <c r="BV894" s="1720">
        <v>440</v>
      </c>
      <c r="BW894" s="1720">
        <v>375</v>
      </c>
      <c r="BX894" s="1720" t="s">
        <v>1714</v>
      </c>
      <c r="BY894" s="1772"/>
    </row>
    <row r="895" spans="72:77" x14ac:dyDescent="0.3">
      <c r="BT895" s="197" t="str">
        <f>IF(COUNTIF(BU$76:BU895,BU895)=1,MAX(BT$76:BT894)+1,"")</f>
        <v/>
      </c>
      <c r="BU895" s="1720">
        <v>300</v>
      </c>
      <c r="BV895" s="1720">
        <v>470</v>
      </c>
      <c r="BW895" s="1720">
        <v>400</v>
      </c>
      <c r="BX895" s="1720" t="s">
        <v>1715</v>
      </c>
      <c r="BY895" s="1772"/>
    </row>
    <row r="896" spans="72:77" x14ac:dyDescent="0.3">
      <c r="BT896" s="197" t="str">
        <f>IF(COUNTIF(BU$76:BU896,BU896)=1,MAX(BT$76:BT895)+1,"")</f>
        <v/>
      </c>
      <c r="BU896" s="1720">
        <v>300</v>
      </c>
      <c r="BV896" s="1720">
        <v>318</v>
      </c>
      <c r="BW896" s="1720">
        <v>375</v>
      </c>
      <c r="BX896" s="1720" t="s">
        <v>1716</v>
      </c>
      <c r="BY896" s="1772"/>
    </row>
    <row r="897" spans="72:77" x14ac:dyDescent="0.3">
      <c r="BT897" s="197" t="str">
        <f>IF(COUNTIF(BU$76:BU897,BU897)=1,MAX(BT$76:BT896)+1,"")</f>
        <v/>
      </c>
      <c r="BU897" s="1720">
        <v>300</v>
      </c>
      <c r="BV897" s="1720">
        <v>320</v>
      </c>
      <c r="BW897" s="1720">
        <v>360</v>
      </c>
      <c r="BX897" s="1720" t="s">
        <v>1716</v>
      </c>
      <c r="BY897" s="1772"/>
    </row>
    <row r="898" spans="72:77" x14ac:dyDescent="0.3">
      <c r="BT898" s="197" t="str">
        <f>IF(COUNTIF(BU$76:BU898,BU898)=1,MAX(BT$76:BT897)+1,"")</f>
        <v/>
      </c>
      <c r="BU898" s="1720">
        <v>300</v>
      </c>
      <c r="BV898" s="1720">
        <v>373</v>
      </c>
      <c r="BW898" s="1720">
        <v>360</v>
      </c>
      <c r="BX898" s="1720" t="s">
        <v>1717</v>
      </c>
      <c r="BY898" s="1772"/>
    </row>
    <row r="899" spans="72:77" x14ac:dyDescent="0.3">
      <c r="BT899" s="197" t="str">
        <f>IF(COUNTIF(BU$76:BU899,BU899)=1,MAX(BT$76:BT898)+1,"")</f>
        <v/>
      </c>
      <c r="BU899" s="1720">
        <v>300</v>
      </c>
      <c r="BV899" s="1720">
        <v>378</v>
      </c>
      <c r="BW899" s="1720">
        <v>360</v>
      </c>
      <c r="BX899" s="1720" t="s">
        <v>1717</v>
      </c>
      <c r="BY899" s="1772"/>
    </row>
    <row r="900" spans="72:77" x14ac:dyDescent="0.3">
      <c r="BT900" s="197" t="str">
        <f>IF(COUNTIF(BU$76:BU900,BU900)=1,MAX(BT$76:BT899)+1,"")</f>
        <v/>
      </c>
      <c r="BU900" s="1720">
        <v>300</v>
      </c>
      <c r="BV900" s="1720">
        <v>310</v>
      </c>
      <c r="BW900" s="1720">
        <v>360</v>
      </c>
      <c r="BX900" s="1720" t="s">
        <v>1716</v>
      </c>
      <c r="BY900" s="1772"/>
    </row>
    <row r="901" spans="72:77" x14ac:dyDescent="0.3">
      <c r="BT901" s="197" t="str">
        <f>IF(COUNTIF(BU$76:BU901,BU901)=1,MAX(BT$76:BT900)+1,"")</f>
        <v/>
      </c>
      <c r="BU901" s="1720">
        <v>300</v>
      </c>
      <c r="BV901" s="1720">
        <v>435</v>
      </c>
      <c r="BW901" s="1720">
        <v>360</v>
      </c>
      <c r="BX901" s="1720" t="s">
        <v>1714</v>
      </c>
      <c r="BY901" s="1772"/>
    </row>
    <row r="902" spans="72:77" x14ac:dyDescent="0.3">
      <c r="BT902" s="197" t="str">
        <f>IF(COUNTIF(BU$76:BU902,BU902)=1,MAX(BT$76:BT901)+1,"")</f>
        <v/>
      </c>
      <c r="BU902" s="1720">
        <v>300</v>
      </c>
      <c r="BV902" s="1720">
        <v>320</v>
      </c>
      <c r="BW902" s="1720">
        <v>360</v>
      </c>
      <c r="BX902" s="1720" t="s">
        <v>1716</v>
      </c>
      <c r="BY902" s="1772"/>
    </row>
    <row r="903" spans="72:77" x14ac:dyDescent="0.3">
      <c r="BT903" s="197" t="str">
        <f>IF(COUNTIF(BU$76:BU903,BU903)=1,MAX(BT$76:BT902)+1,"")</f>
        <v/>
      </c>
      <c r="BU903" s="1720">
        <v>300</v>
      </c>
      <c r="BV903" s="1720">
        <v>320</v>
      </c>
      <c r="BW903" s="1720">
        <v>360</v>
      </c>
      <c r="BX903" s="1720" t="s">
        <v>1716</v>
      </c>
      <c r="BY903" s="1772"/>
    </row>
    <row r="904" spans="72:77" x14ac:dyDescent="0.3">
      <c r="BT904" s="197" t="str">
        <f>IF(COUNTIF(BU$76:BU904,BU904)=1,MAX(BT$76:BT903)+1,"")</f>
        <v/>
      </c>
      <c r="BU904" s="1720">
        <v>300</v>
      </c>
      <c r="BV904" s="1720">
        <v>260</v>
      </c>
      <c r="BW904" s="1720">
        <v>360</v>
      </c>
      <c r="BX904" s="1720" t="s">
        <v>1718</v>
      </c>
      <c r="BY904" s="1772"/>
    </row>
    <row r="905" spans="72:77" x14ac:dyDescent="0.3">
      <c r="BT905" s="197" t="str">
        <f>IF(COUNTIF(BU$76:BU905,BU905)=1,MAX(BT$76:BT904)+1,"")</f>
        <v/>
      </c>
      <c r="BU905" s="1720">
        <v>300</v>
      </c>
      <c r="BV905" s="1720">
        <v>260</v>
      </c>
      <c r="BW905" s="1720">
        <v>360</v>
      </c>
      <c r="BX905" s="1720" t="s">
        <v>1718</v>
      </c>
      <c r="BY905" s="1772"/>
    </row>
    <row r="906" spans="72:77" x14ac:dyDescent="0.3">
      <c r="BT906" s="197" t="str">
        <f>IF(COUNTIF(BU$76:BU906,BU906)=1,MAX(BT$76:BT905)+1,"")</f>
        <v/>
      </c>
      <c r="BU906" s="1720">
        <v>300</v>
      </c>
      <c r="BV906" s="1720">
        <v>260</v>
      </c>
      <c r="BW906" s="1720">
        <v>375</v>
      </c>
      <c r="BX906" s="1720" t="s">
        <v>1718</v>
      </c>
      <c r="BY906" s="1772"/>
    </row>
    <row r="907" spans="72:77" x14ac:dyDescent="0.3">
      <c r="BT907" s="197">
        <f>IF(COUNTIF(BU$76:BU907,BU907)=1,MAX(BT$76:BT906)+1,"")</f>
        <v>85</v>
      </c>
      <c r="BU907" s="1720">
        <v>302.5</v>
      </c>
      <c r="BV907" s="1720">
        <v>465</v>
      </c>
      <c r="BW907" s="1720">
        <v>400</v>
      </c>
      <c r="BX907" s="1720" t="s">
        <v>1719</v>
      </c>
      <c r="BY907" s="1772"/>
    </row>
    <row r="908" spans="72:77" x14ac:dyDescent="0.3">
      <c r="BT908" s="197" t="str">
        <f>IF(COUNTIF(BU$76:BU908,BU908)=1,MAX(BT$76:BT907)+1,"")</f>
        <v/>
      </c>
      <c r="BU908" s="1720">
        <v>302.5</v>
      </c>
      <c r="BV908" s="1720">
        <v>470</v>
      </c>
      <c r="BW908" s="1720">
        <v>400</v>
      </c>
      <c r="BX908" s="1720" t="s">
        <v>1719</v>
      </c>
      <c r="BY908" s="1772"/>
    </row>
    <row r="909" spans="72:77" x14ac:dyDescent="0.3">
      <c r="BT909" s="197" t="str">
        <f>IF(COUNTIF(BU$76:BU909,BU909)=1,MAX(BT$76:BT908)+1,"")</f>
        <v/>
      </c>
      <c r="BU909" s="1720">
        <v>302.5</v>
      </c>
      <c r="BV909" s="1720">
        <v>470</v>
      </c>
      <c r="BW909" s="1720">
        <v>400</v>
      </c>
      <c r="BX909" s="1720" t="s">
        <v>1719</v>
      </c>
      <c r="BY909" s="1772"/>
    </row>
    <row r="910" spans="72:77" x14ac:dyDescent="0.3">
      <c r="BT910" s="197">
        <f>IF(COUNTIF(BU$76:BU910,BU910)=1,MAX(BT$76:BT909)+1,"")</f>
        <v>86</v>
      </c>
      <c r="BU910" s="1720">
        <v>305</v>
      </c>
      <c r="BV910" s="1720">
        <v>372</v>
      </c>
      <c r="BW910" s="1720">
        <v>375</v>
      </c>
      <c r="BX910" s="1720" t="s">
        <v>1720</v>
      </c>
      <c r="BY910" s="1772"/>
    </row>
    <row r="911" spans="72:77" x14ac:dyDescent="0.3">
      <c r="BT911" s="197">
        <f>IF(COUNTIF(BU$76:BU911,BU911)=1,MAX(BT$76:BT910)+1,"")</f>
        <v>87</v>
      </c>
      <c r="BU911" s="1720">
        <v>307.5</v>
      </c>
      <c r="BV911" s="1720">
        <v>260</v>
      </c>
      <c r="BW911" s="1720">
        <v>415</v>
      </c>
      <c r="BX911" s="1720" t="s">
        <v>1721</v>
      </c>
      <c r="BY911" s="1772"/>
    </row>
    <row r="912" spans="72:77" x14ac:dyDescent="0.3">
      <c r="BT912" s="197" t="str">
        <f>IF(COUNTIF(BU$76:BU912,BU912)=1,MAX(BT$76:BT911)+1,"")</f>
        <v/>
      </c>
      <c r="BU912" s="1720">
        <v>307.5</v>
      </c>
      <c r="BV912" s="1720">
        <v>467</v>
      </c>
      <c r="BW912" s="1720">
        <v>400</v>
      </c>
      <c r="BX912" s="1720" t="s">
        <v>1722</v>
      </c>
      <c r="BY912" s="1772"/>
    </row>
    <row r="913" spans="72:77" x14ac:dyDescent="0.3">
      <c r="BT913" s="197" t="str">
        <f>IF(COUNTIF(BU$76:BU913,BU913)=1,MAX(BT$76:BT912)+1,"")</f>
        <v/>
      </c>
      <c r="BU913" s="1720">
        <v>307.5</v>
      </c>
      <c r="BV913" s="1720">
        <v>257</v>
      </c>
      <c r="BW913" s="1720">
        <v>360</v>
      </c>
      <c r="BX913" s="1720" t="s">
        <v>1723</v>
      </c>
      <c r="BY913" s="1772"/>
    </row>
    <row r="914" spans="72:77" x14ac:dyDescent="0.3">
      <c r="BT914" s="197" t="str">
        <f>IF(COUNTIF(BU$76:BU914,BU914)=1,MAX(BT$76:BT913)+1,"")</f>
        <v/>
      </c>
      <c r="BU914" s="1720">
        <v>307.5</v>
      </c>
      <c r="BV914" s="1720">
        <v>260</v>
      </c>
      <c r="BW914" s="1720">
        <v>415</v>
      </c>
      <c r="BX914" s="1720" t="s">
        <v>1721</v>
      </c>
      <c r="BY914" s="1772"/>
    </row>
    <row r="915" spans="72:77" x14ac:dyDescent="0.3">
      <c r="BT915" s="197" t="str">
        <f>IF(COUNTIF(BU$76:BU915,BU915)=1,MAX(BT$76:BT914)+1,"")</f>
        <v/>
      </c>
      <c r="BU915" s="1720">
        <v>307.5</v>
      </c>
      <c r="BV915" s="1720">
        <v>318</v>
      </c>
      <c r="BW915" s="1720">
        <v>375</v>
      </c>
      <c r="BX915" s="1720" t="s">
        <v>1724</v>
      </c>
      <c r="BY915" s="1772"/>
    </row>
    <row r="916" spans="72:77" x14ac:dyDescent="0.3">
      <c r="BT916" s="197" t="str">
        <f>IF(COUNTIF(BU$76:BU916,BU916)=1,MAX(BT$76:BT915)+1,"")</f>
        <v/>
      </c>
      <c r="BU916" s="1720">
        <v>307.5</v>
      </c>
      <c r="BV916" s="1720">
        <v>260</v>
      </c>
      <c r="BW916" s="1720">
        <v>360</v>
      </c>
      <c r="BX916" s="1720" t="s">
        <v>1723</v>
      </c>
      <c r="BY916" s="1772"/>
    </row>
    <row r="917" spans="72:77" x14ac:dyDescent="0.3">
      <c r="BT917" s="197">
        <f>IF(COUNTIF(BU$76:BU917,BU917)=1,MAX(BT$76:BT916)+1,"")</f>
        <v>88</v>
      </c>
      <c r="BU917" s="1720">
        <v>310</v>
      </c>
      <c r="BV917" s="1720">
        <v>255</v>
      </c>
      <c r="BW917" s="1720">
        <v>375</v>
      </c>
      <c r="BX917" s="1720" t="s">
        <v>1725</v>
      </c>
      <c r="BY917" s="1772"/>
    </row>
    <row r="918" spans="72:77" x14ac:dyDescent="0.3">
      <c r="BT918" s="197" t="str">
        <f>IF(COUNTIF(BU$76:BU918,BU918)=1,MAX(BT$76:BT917)+1,"")</f>
        <v/>
      </c>
      <c r="BU918" s="1720">
        <v>310</v>
      </c>
      <c r="BV918" s="1720">
        <v>255</v>
      </c>
      <c r="BW918" s="1720">
        <v>360</v>
      </c>
      <c r="BX918" s="1720" t="s">
        <v>1725</v>
      </c>
      <c r="BY918" s="1772"/>
    </row>
    <row r="919" spans="72:77" x14ac:dyDescent="0.3">
      <c r="BT919" s="197" t="str">
        <f>IF(COUNTIF(BU$76:BU919,BU919)=1,MAX(BT$76:BT918)+1,"")</f>
        <v/>
      </c>
      <c r="BU919" s="1720">
        <v>310</v>
      </c>
      <c r="BV919" s="1720">
        <v>255</v>
      </c>
      <c r="BW919" s="1720">
        <v>375</v>
      </c>
      <c r="BX919" s="1720" t="s">
        <v>1725</v>
      </c>
      <c r="BY919" s="1772"/>
    </row>
    <row r="920" spans="72:77" x14ac:dyDescent="0.3">
      <c r="BT920" s="197" t="str">
        <f>IF(COUNTIF(BU$76:BU920,BU920)=1,MAX(BT$76:BT919)+1,"")</f>
        <v/>
      </c>
      <c r="BU920" s="1720">
        <v>310</v>
      </c>
      <c r="BV920" s="1720">
        <v>318</v>
      </c>
      <c r="BW920" s="1720">
        <v>360</v>
      </c>
      <c r="BX920" s="1720" t="s">
        <v>1726</v>
      </c>
      <c r="BY920" s="1772"/>
    </row>
    <row r="921" spans="72:77" x14ac:dyDescent="0.3">
      <c r="BT921" s="197" t="str">
        <f>IF(COUNTIF(BU$76:BU921,BU921)=1,MAX(BT$76:BT920)+1,"")</f>
        <v/>
      </c>
      <c r="BU921" s="1720">
        <v>310</v>
      </c>
      <c r="BV921" s="1720">
        <v>367</v>
      </c>
      <c r="BW921" s="1720">
        <v>375</v>
      </c>
      <c r="BX921" s="1720" t="s">
        <v>1727</v>
      </c>
      <c r="BY921" s="1772"/>
    </row>
    <row r="922" spans="72:77" x14ac:dyDescent="0.3">
      <c r="BT922" s="197" t="str">
        <f>IF(COUNTIF(BU$76:BU922,BU922)=1,MAX(BT$76:BT921)+1,"")</f>
        <v/>
      </c>
      <c r="BU922" s="1720">
        <v>310</v>
      </c>
      <c r="BV922" s="1720">
        <v>375</v>
      </c>
      <c r="BW922" s="1720">
        <v>360</v>
      </c>
      <c r="BX922" s="1720" t="s">
        <v>1727</v>
      </c>
      <c r="BY922" s="1772"/>
    </row>
    <row r="923" spans="72:77" x14ac:dyDescent="0.3">
      <c r="BT923" s="197" t="str">
        <f>IF(COUNTIF(BU$76:BU923,BU923)=1,MAX(BT$76:BT922)+1,"")</f>
        <v/>
      </c>
      <c r="BU923" s="1720">
        <v>310</v>
      </c>
      <c r="BV923" s="1720">
        <v>320</v>
      </c>
      <c r="BW923" s="1720">
        <v>375</v>
      </c>
      <c r="BX923" s="1720" t="s">
        <v>1726</v>
      </c>
      <c r="BY923" s="1772"/>
    </row>
    <row r="924" spans="72:77" x14ac:dyDescent="0.3">
      <c r="BT924" s="197" t="str">
        <f>IF(COUNTIF(BU$76:BU924,BU924)=1,MAX(BT$76:BT923)+1,"")</f>
        <v/>
      </c>
      <c r="BU924" s="1720">
        <v>310</v>
      </c>
      <c r="BV924" s="1720">
        <v>317</v>
      </c>
      <c r="BW924" s="1720">
        <v>415</v>
      </c>
      <c r="BX924" s="1720" t="s">
        <v>1726</v>
      </c>
      <c r="BY924" s="1772"/>
    </row>
    <row r="925" spans="72:77" x14ac:dyDescent="0.3">
      <c r="BT925" s="197" t="str">
        <f>IF(COUNTIF(BU$76:BU925,BU925)=1,MAX(BT$76:BT924)+1,"")</f>
        <v/>
      </c>
      <c r="BU925" s="1720">
        <v>310</v>
      </c>
      <c r="BV925" s="1720">
        <v>260</v>
      </c>
      <c r="BW925" s="1720">
        <v>360</v>
      </c>
      <c r="BX925" s="1720" t="s">
        <v>1725</v>
      </c>
      <c r="BY925" s="1772"/>
    </row>
    <row r="926" spans="72:77" x14ac:dyDescent="0.3">
      <c r="BT926" s="197">
        <f>IF(COUNTIF(BU$76:BU926,BU926)=1,MAX(BT$76:BT925)+1,"")</f>
        <v>89</v>
      </c>
      <c r="BU926" s="1720">
        <v>312.5</v>
      </c>
      <c r="BV926" s="1720">
        <v>470</v>
      </c>
      <c r="BW926" s="1720">
        <v>400</v>
      </c>
      <c r="BX926" s="1720" t="s">
        <v>1728</v>
      </c>
      <c r="BY926" s="1772"/>
    </row>
    <row r="927" spans="72:77" x14ac:dyDescent="0.3">
      <c r="BT927" s="197" t="str">
        <f>IF(COUNTIF(BU$76:BU927,BU927)=1,MAX(BT$76:BT926)+1,"")</f>
        <v/>
      </c>
      <c r="BU927" s="1720">
        <v>312.5</v>
      </c>
      <c r="BV927" s="1720">
        <v>470</v>
      </c>
      <c r="BW927" s="1720">
        <v>400</v>
      </c>
      <c r="BX927" s="1720" t="s">
        <v>1728</v>
      </c>
      <c r="BY927" s="1772"/>
    </row>
    <row r="928" spans="72:77" x14ac:dyDescent="0.3">
      <c r="BT928" s="197" t="str">
        <f>IF(COUNTIF(BU$76:BU928,BU928)=1,MAX(BT$76:BT927)+1,"")</f>
        <v/>
      </c>
      <c r="BU928" s="1720">
        <v>312.5</v>
      </c>
      <c r="BV928" s="1720">
        <v>470</v>
      </c>
      <c r="BW928" s="1720">
        <v>400</v>
      </c>
      <c r="BX928" s="1720" t="s">
        <v>1728</v>
      </c>
      <c r="BY928" s="1772"/>
    </row>
    <row r="929" spans="72:77" x14ac:dyDescent="0.3">
      <c r="BT929" s="197" t="str">
        <f>IF(COUNTIF(BU$76:BU929,BU929)=1,MAX(BT$76:BT928)+1,"")</f>
        <v/>
      </c>
      <c r="BU929" s="1720">
        <v>312.5</v>
      </c>
      <c r="BV929" s="1720">
        <v>365</v>
      </c>
      <c r="BW929" s="1720">
        <v>375</v>
      </c>
      <c r="BX929" s="1720" t="s">
        <v>1729</v>
      </c>
      <c r="BY929" s="1772"/>
    </row>
    <row r="930" spans="72:77" x14ac:dyDescent="0.3">
      <c r="BT930" s="197" t="str">
        <f>IF(COUNTIF(BU$76:BU930,BU930)=1,MAX(BT$76:BT929)+1,"")</f>
        <v/>
      </c>
      <c r="BU930" s="1720">
        <v>312.5</v>
      </c>
      <c r="BV930" s="1720">
        <v>470</v>
      </c>
      <c r="BW930" s="1720">
        <v>400</v>
      </c>
      <c r="BX930" s="1720" t="s">
        <v>1728</v>
      </c>
      <c r="BY930" s="1772"/>
    </row>
    <row r="931" spans="72:77" x14ac:dyDescent="0.3">
      <c r="BT931" s="197" t="str">
        <f>IF(COUNTIF(BU$76:BU931,BU931)=1,MAX(BT$76:BT930)+1,"")</f>
        <v/>
      </c>
      <c r="BU931" s="1720">
        <v>312.5</v>
      </c>
      <c r="BV931" s="1720">
        <v>470</v>
      </c>
      <c r="BW931" s="1720">
        <v>400</v>
      </c>
      <c r="BX931" s="1720" t="s">
        <v>1728</v>
      </c>
      <c r="BY931" s="1772"/>
    </row>
    <row r="932" spans="72:77" x14ac:dyDescent="0.3">
      <c r="BT932" s="197" t="str">
        <f>IF(COUNTIF(BU$76:BU932,BU932)=1,MAX(BT$76:BT931)+1,"")</f>
        <v/>
      </c>
      <c r="BU932" s="1720">
        <v>312.5</v>
      </c>
      <c r="BV932" s="1720">
        <v>260</v>
      </c>
      <c r="BW932" s="1720">
        <v>360</v>
      </c>
      <c r="BX932" s="1720" t="s">
        <v>1730</v>
      </c>
      <c r="BY932" s="1772"/>
    </row>
    <row r="933" spans="72:77" x14ac:dyDescent="0.3">
      <c r="BT933" s="197" t="str">
        <f>IF(COUNTIF(BU$76:BU933,BU933)=1,MAX(BT$76:BT932)+1,"")</f>
        <v/>
      </c>
      <c r="BU933" s="1720">
        <v>312.5</v>
      </c>
      <c r="BV933" s="1720">
        <v>260</v>
      </c>
      <c r="BW933" s="1720">
        <v>360</v>
      </c>
      <c r="BX933" s="1720" t="s">
        <v>1730</v>
      </c>
      <c r="BY933" s="1772"/>
    </row>
    <row r="934" spans="72:77" x14ac:dyDescent="0.3">
      <c r="BT934" s="197" t="str">
        <f>IF(COUNTIF(BU$76:BU934,BU934)=1,MAX(BT$76:BT933)+1,"")</f>
        <v/>
      </c>
      <c r="BU934" s="1720">
        <v>312.5</v>
      </c>
      <c r="BV934" s="1720">
        <v>467</v>
      </c>
      <c r="BW934" s="1720">
        <v>400</v>
      </c>
      <c r="BX934" s="1720" t="s">
        <v>1728</v>
      </c>
      <c r="BY934" s="1772"/>
    </row>
    <row r="935" spans="72:77" x14ac:dyDescent="0.3">
      <c r="BT935" s="197" t="str">
        <f>IF(COUNTIF(BU$76:BU935,BU935)=1,MAX(BT$76:BT934)+1,"")</f>
        <v/>
      </c>
      <c r="BU935" s="1720">
        <v>312.5</v>
      </c>
      <c r="BV935" s="1720">
        <v>467</v>
      </c>
      <c r="BW935" s="1720">
        <v>400</v>
      </c>
      <c r="BX935" s="1720" t="s">
        <v>1728</v>
      </c>
      <c r="BY935" s="1772"/>
    </row>
    <row r="936" spans="72:77" x14ac:dyDescent="0.3">
      <c r="BT936" s="197">
        <f>IF(COUNTIF(BU$76:BU936,BU936)=1,MAX(BT$76:BT935)+1,"")</f>
        <v>90</v>
      </c>
      <c r="BU936" s="1720">
        <v>315</v>
      </c>
      <c r="BV936" s="1720">
        <v>530</v>
      </c>
      <c r="BW936" s="1720">
        <v>415</v>
      </c>
      <c r="BX936" s="1720" t="s">
        <v>1731</v>
      </c>
      <c r="BY936" s="1772" t="s">
        <v>1865</v>
      </c>
    </row>
    <row r="937" spans="72:77" x14ac:dyDescent="0.3">
      <c r="BT937" s="197" t="str">
        <f>IF(COUNTIF(BU$76:BU937,BU937)=1,MAX(BT$76:BT936)+1,"")</f>
        <v/>
      </c>
      <c r="BU937" s="1720">
        <v>315</v>
      </c>
      <c r="BV937" s="1720">
        <v>260</v>
      </c>
      <c r="BW937" s="1720">
        <v>360</v>
      </c>
      <c r="BX937" s="1720" t="s">
        <v>1732</v>
      </c>
      <c r="BY937" s="1772"/>
    </row>
    <row r="938" spans="72:77" x14ac:dyDescent="0.3">
      <c r="BT938" s="197" t="str">
        <f>IF(COUNTIF(BU$76:BU938,BU938)=1,MAX(BT$76:BT937)+1,"")</f>
        <v/>
      </c>
      <c r="BU938" s="1720">
        <v>315</v>
      </c>
      <c r="BV938" s="1720">
        <v>260</v>
      </c>
      <c r="BW938" s="1720">
        <v>375</v>
      </c>
      <c r="BX938" s="1720" t="s">
        <v>1732</v>
      </c>
      <c r="BY938" s="1772"/>
    </row>
    <row r="939" spans="72:77" x14ac:dyDescent="0.3">
      <c r="BT939" s="197" t="str">
        <f>IF(COUNTIF(BU$76:BU939,BU939)=1,MAX(BT$76:BT938)+1,"")</f>
        <v/>
      </c>
      <c r="BU939" s="1720">
        <v>315</v>
      </c>
      <c r="BV939" s="1720">
        <v>397</v>
      </c>
      <c r="BW939" s="1720">
        <v>415</v>
      </c>
      <c r="BX939" s="1720" t="s">
        <v>1733</v>
      </c>
      <c r="BY939" s="1772"/>
    </row>
    <row r="940" spans="72:77" x14ac:dyDescent="0.3">
      <c r="BT940" s="197" t="str">
        <f>IF(COUNTIF(BU$76:BU940,BU940)=1,MAX(BT$76:BT939)+1,"")</f>
        <v/>
      </c>
      <c r="BU940" s="1720">
        <v>315</v>
      </c>
      <c r="BV940" s="1720">
        <v>470</v>
      </c>
      <c r="BW940" s="1720">
        <v>400</v>
      </c>
      <c r="BX940" s="1720" t="s">
        <v>1734</v>
      </c>
      <c r="BY940" s="1772"/>
    </row>
    <row r="941" spans="72:77" x14ac:dyDescent="0.3">
      <c r="BT941" s="197" t="str">
        <f>IF(COUNTIF(BU$76:BU941,BU941)=1,MAX(BT$76:BT940)+1,"")</f>
        <v/>
      </c>
      <c r="BU941" s="1720">
        <v>315</v>
      </c>
      <c r="BV941" s="1720">
        <v>257</v>
      </c>
      <c r="BW941" s="1720">
        <v>375</v>
      </c>
      <c r="BX941" s="1720" t="s">
        <v>1732</v>
      </c>
      <c r="BY941" s="1772"/>
    </row>
    <row r="942" spans="72:77" x14ac:dyDescent="0.3">
      <c r="BT942" s="197" t="str">
        <f>IF(COUNTIF(BU$76:BU942,BU942)=1,MAX(BT$76:BT941)+1,"")</f>
        <v/>
      </c>
      <c r="BU942" s="1720">
        <v>315</v>
      </c>
      <c r="BV942" s="1720">
        <v>530</v>
      </c>
      <c r="BW942" s="1720">
        <v>415</v>
      </c>
      <c r="BX942" s="1720" t="s">
        <v>1731</v>
      </c>
      <c r="BY942" s="1772"/>
    </row>
    <row r="943" spans="72:77" x14ac:dyDescent="0.3">
      <c r="BT943" s="197" t="str">
        <f>IF(COUNTIF(BU$76:BU943,BU943)=1,MAX(BT$76:BT942)+1,"")</f>
        <v/>
      </c>
      <c r="BU943" s="1720">
        <v>315</v>
      </c>
      <c r="BV943" s="1720">
        <v>255</v>
      </c>
      <c r="BW943" s="1720">
        <v>360</v>
      </c>
      <c r="BX943" s="1720" t="s">
        <v>1732</v>
      </c>
      <c r="BY943" s="1772"/>
    </row>
    <row r="944" spans="72:77" x14ac:dyDescent="0.3">
      <c r="BT944" s="197">
        <f>IF(COUNTIF(BU$76:BU944,BU944)=1,MAX(BT$76:BT943)+1,"")</f>
        <v>91</v>
      </c>
      <c r="BU944" s="1720">
        <v>317.5</v>
      </c>
      <c r="BV944" s="1720">
        <v>363</v>
      </c>
      <c r="BW944" s="1720">
        <v>375</v>
      </c>
      <c r="BX944" s="1720" t="s">
        <v>1735</v>
      </c>
      <c r="BY944" s="1772"/>
    </row>
    <row r="945" spans="72:77" x14ac:dyDescent="0.3">
      <c r="BT945" s="197" t="str">
        <f>IF(COUNTIF(BU$76:BU945,BU945)=1,MAX(BT$76:BT944)+1,"")</f>
        <v/>
      </c>
      <c r="BU945" s="1720">
        <v>317.5</v>
      </c>
      <c r="BV945" s="1720">
        <v>257</v>
      </c>
      <c r="BW945" s="1720">
        <v>360</v>
      </c>
      <c r="BX945" s="1720" t="s">
        <v>1736</v>
      </c>
      <c r="BY945" s="1772"/>
    </row>
    <row r="946" spans="72:77" x14ac:dyDescent="0.3">
      <c r="BT946" s="197" t="str">
        <f>IF(COUNTIF(BU$76:BU946,BU946)=1,MAX(BT$76:BT945)+1,"")</f>
        <v/>
      </c>
      <c r="BU946" s="1720">
        <v>317.5</v>
      </c>
      <c r="BV946" s="1720">
        <v>257</v>
      </c>
      <c r="BW946" s="1720">
        <v>360</v>
      </c>
      <c r="BX946" s="1720" t="s">
        <v>1736</v>
      </c>
      <c r="BY946" s="1772"/>
    </row>
    <row r="947" spans="72:77" x14ac:dyDescent="0.3">
      <c r="BT947" s="197">
        <f>IF(COUNTIF(BU$76:BU947,BU947)=1,MAX(BT$76:BT946)+1,"")</f>
        <v>92</v>
      </c>
      <c r="BU947" s="1720">
        <v>320</v>
      </c>
      <c r="BV947" s="1720">
        <v>525</v>
      </c>
      <c r="BW947" s="1720">
        <v>415</v>
      </c>
      <c r="BX947" s="1720" t="s">
        <v>1737</v>
      </c>
      <c r="BY947" s="1772" t="s">
        <v>1866</v>
      </c>
    </row>
    <row r="948" spans="72:77" x14ac:dyDescent="0.3">
      <c r="BT948" s="197" t="str">
        <f>IF(COUNTIF(BU$76:BU948,BU948)=1,MAX(BT$76:BT947)+1,"")</f>
        <v/>
      </c>
      <c r="BU948" s="1720">
        <v>320</v>
      </c>
      <c r="BV948" s="1720">
        <v>255</v>
      </c>
      <c r="BW948" s="1720">
        <v>375</v>
      </c>
      <c r="BX948" s="1720" t="s">
        <v>1738</v>
      </c>
      <c r="BY948" s="1772"/>
    </row>
    <row r="949" spans="72:77" x14ac:dyDescent="0.3">
      <c r="BT949" s="197" t="str">
        <f>IF(COUNTIF(BU$76:BU949,BU949)=1,MAX(BT$76:BT948)+1,"")</f>
        <v/>
      </c>
      <c r="BU949" s="1720">
        <v>320</v>
      </c>
      <c r="BV949" s="1720">
        <v>260</v>
      </c>
      <c r="BW949" s="1720">
        <v>360</v>
      </c>
      <c r="BX949" s="1720" t="s">
        <v>1738</v>
      </c>
      <c r="BY949" s="1772"/>
    </row>
    <row r="950" spans="72:77" x14ac:dyDescent="0.3">
      <c r="BT950" s="197" t="str">
        <f>IF(COUNTIF(BU$76:BU950,BU950)=1,MAX(BT$76:BT949)+1,"")</f>
        <v/>
      </c>
      <c r="BU950" s="1720">
        <v>320</v>
      </c>
      <c r="BV950" s="1720">
        <v>257</v>
      </c>
      <c r="BW950" s="1720">
        <v>360</v>
      </c>
      <c r="BX950" s="1720" t="s">
        <v>1738</v>
      </c>
      <c r="BY950" s="1772"/>
    </row>
    <row r="951" spans="72:77" x14ac:dyDescent="0.3">
      <c r="BT951" s="197" t="str">
        <f>IF(COUNTIF(BU$76:BU951,BU951)=1,MAX(BT$76:BT950)+1,"")</f>
        <v/>
      </c>
      <c r="BU951" s="1720">
        <v>320</v>
      </c>
      <c r="BV951" s="1720">
        <v>260</v>
      </c>
      <c r="BW951" s="1720">
        <v>360</v>
      </c>
      <c r="BX951" s="1720" t="s">
        <v>1738</v>
      </c>
      <c r="BY951" s="1772"/>
    </row>
    <row r="952" spans="72:77" x14ac:dyDescent="0.3">
      <c r="BT952" s="197" t="str">
        <f>IF(COUNTIF(BU$76:BU952,BU952)=1,MAX(BT$76:BT951)+1,"")</f>
        <v/>
      </c>
      <c r="BU952" s="1720">
        <v>320</v>
      </c>
      <c r="BV952" s="1720">
        <v>467</v>
      </c>
      <c r="BW952" s="1720">
        <v>400</v>
      </c>
      <c r="BX952" s="1720" t="s">
        <v>1739</v>
      </c>
      <c r="BY952" s="1772"/>
    </row>
    <row r="953" spans="72:77" x14ac:dyDescent="0.3">
      <c r="BT953" s="197" t="str">
        <f>IF(COUNTIF(BU$76:BU953,BU953)=1,MAX(BT$76:BT952)+1,"")</f>
        <v/>
      </c>
      <c r="BU953" s="1720">
        <v>320</v>
      </c>
      <c r="BV953" s="1720">
        <v>265</v>
      </c>
      <c r="BW953" s="1720">
        <v>415</v>
      </c>
      <c r="BX953" s="1720" t="s">
        <v>1738</v>
      </c>
      <c r="BY953" s="1772"/>
    </row>
    <row r="954" spans="72:77" x14ac:dyDescent="0.3">
      <c r="BT954" s="197" t="str">
        <f>IF(COUNTIF(BU$76:BU954,BU954)=1,MAX(BT$76:BT953)+1,"")</f>
        <v/>
      </c>
      <c r="BU954" s="1720">
        <v>320</v>
      </c>
      <c r="BV954" s="1720">
        <v>257</v>
      </c>
      <c r="BW954" s="1720">
        <v>360</v>
      </c>
      <c r="BX954" s="1720" t="s">
        <v>1738</v>
      </c>
      <c r="BY954" s="1772"/>
    </row>
    <row r="955" spans="72:77" x14ac:dyDescent="0.3">
      <c r="BT955" s="197">
        <f>IF(COUNTIF(BU$76:BU955,BU955)=1,MAX(BT$76:BT954)+1,"")</f>
        <v>93</v>
      </c>
      <c r="BU955" s="1720">
        <v>322.5</v>
      </c>
      <c r="BV955" s="1720">
        <v>265</v>
      </c>
      <c r="BW955" s="1720">
        <v>415</v>
      </c>
      <c r="BX955" s="1720" t="s">
        <v>1740</v>
      </c>
      <c r="BY955" s="1772"/>
    </row>
    <row r="956" spans="72:77" x14ac:dyDescent="0.3">
      <c r="BT956" s="197" t="str">
        <f>IF(COUNTIF(BU$76:BU956,BU956)=1,MAX(BT$76:BT955)+1,"")</f>
        <v/>
      </c>
      <c r="BU956" s="1720">
        <v>322.5</v>
      </c>
      <c r="BV956" s="1720">
        <v>257</v>
      </c>
      <c r="BW956" s="1720">
        <v>360</v>
      </c>
      <c r="BX956" s="1720" t="s">
        <v>1740</v>
      </c>
      <c r="BY956" s="1772"/>
    </row>
    <row r="957" spans="72:77" x14ac:dyDescent="0.3">
      <c r="BT957" s="197" t="str">
        <f>IF(COUNTIF(BU$76:BU957,BU957)=1,MAX(BT$76:BT956)+1,"")</f>
        <v/>
      </c>
      <c r="BU957" s="1720">
        <v>322.5</v>
      </c>
      <c r="BV957" s="1720">
        <v>375</v>
      </c>
      <c r="BW957" s="1720">
        <v>360</v>
      </c>
      <c r="BX957" s="1720" t="s">
        <v>1729</v>
      </c>
      <c r="BY957" s="1772"/>
    </row>
    <row r="958" spans="72:77" x14ac:dyDescent="0.3">
      <c r="BT958" s="197" t="str">
        <f>IF(COUNTIF(BU$76:BU958,BU958)=1,MAX(BT$76:BT957)+1,"")</f>
        <v/>
      </c>
      <c r="BU958" s="1720">
        <v>322.5</v>
      </c>
      <c r="BV958" s="1720">
        <v>378</v>
      </c>
      <c r="BW958" s="1720">
        <v>360</v>
      </c>
      <c r="BX958" s="1720" t="s">
        <v>1729</v>
      </c>
      <c r="BY958" s="1772"/>
    </row>
    <row r="959" spans="72:77" x14ac:dyDescent="0.3">
      <c r="BT959" s="197" t="str">
        <f>IF(COUNTIF(BU$76:BU959,BU959)=1,MAX(BT$76:BT958)+1,"")</f>
        <v/>
      </c>
      <c r="BU959" s="1720">
        <v>322.5</v>
      </c>
      <c r="BV959" s="1720">
        <v>260</v>
      </c>
      <c r="BW959" s="1720">
        <v>415</v>
      </c>
      <c r="BX959" s="1720" t="s">
        <v>1740</v>
      </c>
      <c r="BY959" s="1772"/>
    </row>
    <row r="960" spans="72:77" x14ac:dyDescent="0.3">
      <c r="BT960" s="197">
        <f>IF(COUNTIF(BU$76:BU960,BU960)=1,MAX(BT$76:BT959)+1,"")</f>
        <v>94</v>
      </c>
      <c r="BU960" s="1720">
        <v>325</v>
      </c>
      <c r="BV960" s="1720">
        <v>235</v>
      </c>
      <c r="BW960" s="1720">
        <v>415</v>
      </c>
      <c r="BX960" s="1720" t="s">
        <v>1741</v>
      </c>
      <c r="BY960" s="1772"/>
    </row>
    <row r="961" spans="72:77" x14ac:dyDescent="0.3">
      <c r="BT961" s="197" t="str">
        <f>IF(COUNTIF(BU$76:BU961,BU961)=1,MAX(BT$76:BT960)+1,"")</f>
        <v/>
      </c>
      <c r="BU961" s="1720">
        <v>325</v>
      </c>
      <c r="BV961" s="1720">
        <v>400</v>
      </c>
      <c r="BW961" s="1720">
        <v>415</v>
      </c>
      <c r="BX961" s="1720" t="s">
        <v>1742</v>
      </c>
      <c r="BY961" s="1772"/>
    </row>
    <row r="962" spans="72:77" x14ac:dyDescent="0.3">
      <c r="BT962" s="197" t="str">
        <f>IF(COUNTIF(BU$76:BU962,BU962)=1,MAX(BT$76:BT961)+1,"")</f>
        <v/>
      </c>
      <c r="BU962" s="1720">
        <v>325</v>
      </c>
      <c r="BV962" s="1720">
        <v>260</v>
      </c>
      <c r="BW962" s="1720">
        <v>360</v>
      </c>
      <c r="BX962" s="1720" t="s">
        <v>1743</v>
      </c>
      <c r="BY962" s="1772"/>
    </row>
    <row r="963" spans="72:77" x14ac:dyDescent="0.3">
      <c r="BT963" s="197" t="str">
        <f>IF(COUNTIF(BU$76:BU963,BU963)=1,MAX(BT$76:BT962)+1,"")</f>
        <v/>
      </c>
      <c r="BU963" s="1720">
        <v>325</v>
      </c>
      <c r="BV963" s="1720">
        <v>360</v>
      </c>
      <c r="BW963" s="1720">
        <v>360</v>
      </c>
      <c r="BX963" s="1720" t="s">
        <v>1742</v>
      </c>
      <c r="BY963" s="1772"/>
    </row>
    <row r="964" spans="72:77" x14ac:dyDescent="0.3">
      <c r="BT964" s="197">
        <f>IF(COUNTIF(BU$76:BU964,BU964)=1,MAX(BT$76:BT963)+1,"")</f>
        <v>95</v>
      </c>
      <c r="BU964" s="1720">
        <v>327.5</v>
      </c>
      <c r="BV964" s="1720">
        <v>375</v>
      </c>
      <c r="BW964" s="1720">
        <v>360</v>
      </c>
      <c r="BX964" s="1720" t="s">
        <v>1744</v>
      </c>
      <c r="BY964" s="1772"/>
    </row>
    <row r="965" spans="72:77" x14ac:dyDescent="0.3">
      <c r="BT965" s="197">
        <f>IF(COUNTIF(BU$76:BU965,BU965)=1,MAX(BT$76:BT964)+1,"")</f>
        <v>96</v>
      </c>
      <c r="BU965" s="1720">
        <v>330</v>
      </c>
      <c r="BV965" s="1720">
        <v>385</v>
      </c>
      <c r="BW965" s="1720">
        <v>375</v>
      </c>
      <c r="BX965" s="1720" t="s">
        <v>1745</v>
      </c>
      <c r="BY965" s="1772"/>
    </row>
    <row r="966" spans="72:77" x14ac:dyDescent="0.3">
      <c r="BT966" s="197" t="str">
        <f>IF(COUNTIF(BU$76:BU966,BU966)=1,MAX(BT$76:BT965)+1,"")</f>
        <v/>
      </c>
      <c r="BU966" s="1720">
        <v>330</v>
      </c>
      <c r="BV966" s="1720">
        <v>400</v>
      </c>
      <c r="BW966" s="1720">
        <v>415</v>
      </c>
      <c r="BX966" s="1720" t="s">
        <v>1746</v>
      </c>
      <c r="BY966" s="1772"/>
    </row>
    <row r="967" spans="72:77" x14ac:dyDescent="0.3">
      <c r="BT967" s="197" t="str">
        <f>IF(COUNTIF(BU$76:BU967,BU967)=1,MAX(BT$76:BT966)+1,"")</f>
        <v/>
      </c>
      <c r="BU967" s="1720">
        <v>330</v>
      </c>
      <c r="BV967" s="1720">
        <v>495</v>
      </c>
      <c r="BW967" s="1720">
        <v>450</v>
      </c>
      <c r="BX967" s="1720" t="s">
        <v>1747</v>
      </c>
      <c r="BY967" s="1772"/>
    </row>
    <row r="968" spans="72:77" x14ac:dyDescent="0.3">
      <c r="BT968" s="197" t="str">
        <f>IF(COUNTIF(BU$76:BU968,BU968)=1,MAX(BT$76:BT967)+1,"")</f>
        <v/>
      </c>
      <c r="BU968" s="1720">
        <v>330</v>
      </c>
      <c r="BV968" s="1720">
        <v>525</v>
      </c>
      <c r="BW968" s="1720">
        <v>415</v>
      </c>
      <c r="BX968" s="1720" t="s">
        <v>1737</v>
      </c>
      <c r="BY968" s="1772" t="s">
        <v>1867</v>
      </c>
    </row>
    <row r="969" spans="72:77" x14ac:dyDescent="0.3">
      <c r="BT969" s="197">
        <f>IF(COUNTIF(BU$76:BU969,BU969)=1,MAX(BT$76:BT968)+1,"")</f>
        <v>97</v>
      </c>
      <c r="BU969" s="1720">
        <v>332.5</v>
      </c>
      <c r="BV969" s="1720">
        <v>395</v>
      </c>
      <c r="BW969" s="1720">
        <v>415</v>
      </c>
      <c r="BX969" s="1720" t="s">
        <v>1748</v>
      </c>
      <c r="BY969" s="1772"/>
    </row>
    <row r="970" spans="72:77" x14ac:dyDescent="0.3">
      <c r="BT970" s="197" t="str">
        <f>IF(COUNTIF(BU$76:BU970,BU970)=1,MAX(BT$76:BT969)+1,"")</f>
        <v/>
      </c>
      <c r="BU970" s="1720">
        <v>332.5</v>
      </c>
      <c r="BV970" s="1720">
        <v>215</v>
      </c>
      <c r="BW970" s="1720">
        <v>415</v>
      </c>
      <c r="BX970" s="1720" t="s">
        <v>1749</v>
      </c>
      <c r="BY970" s="1772"/>
    </row>
    <row r="971" spans="72:77" x14ac:dyDescent="0.3">
      <c r="BT971" s="197" t="str">
        <f>IF(COUNTIF(BU$76:BU971,BU971)=1,MAX(BT$76:BT970)+1,"")</f>
        <v/>
      </c>
      <c r="BU971" s="1720">
        <v>332.5</v>
      </c>
      <c r="BV971" s="1720">
        <v>395</v>
      </c>
      <c r="BW971" s="1720">
        <v>415</v>
      </c>
      <c r="BX971" s="1720" t="s">
        <v>1748</v>
      </c>
      <c r="BY971" s="1772"/>
    </row>
    <row r="972" spans="72:77" x14ac:dyDescent="0.3">
      <c r="BT972" s="197">
        <f>IF(COUNTIF(BU$76:BU972,BU972)=1,MAX(BT$76:BT971)+1,"")</f>
        <v>98</v>
      </c>
      <c r="BU972" s="1720">
        <v>335</v>
      </c>
      <c r="BV972" s="1720">
        <v>210</v>
      </c>
      <c r="BW972" s="1720">
        <v>415</v>
      </c>
      <c r="BX972" s="1720" t="s">
        <v>1750</v>
      </c>
      <c r="BY972" s="1772"/>
    </row>
    <row r="973" spans="72:77" x14ac:dyDescent="0.3">
      <c r="BT973" s="197" t="str">
        <f>IF(COUNTIF(BU$76:BU973,BU973)=1,MAX(BT$76:BT972)+1,"")</f>
        <v/>
      </c>
      <c r="BU973" s="1720">
        <v>335</v>
      </c>
      <c r="BV973" s="1720">
        <v>210</v>
      </c>
      <c r="BW973" s="1720">
        <v>415</v>
      </c>
      <c r="BX973" s="1720" t="s">
        <v>1750</v>
      </c>
      <c r="BY973" s="1772"/>
    </row>
    <row r="974" spans="72:77" x14ac:dyDescent="0.3">
      <c r="BT974" s="197" t="str">
        <f>IF(COUNTIF(BU$76:BU974,BU974)=1,MAX(BT$76:BT973)+1,"")</f>
        <v/>
      </c>
      <c r="BU974" s="1720">
        <v>335</v>
      </c>
      <c r="BV974" s="1720">
        <v>210</v>
      </c>
      <c r="BW974" s="1720">
        <v>415</v>
      </c>
      <c r="BX974" s="1720" t="s">
        <v>1750</v>
      </c>
      <c r="BY974" s="1772"/>
    </row>
    <row r="975" spans="72:77" x14ac:dyDescent="0.3">
      <c r="BT975" s="197" t="str">
        <f>IF(COUNTIF(BU$76:BU975,BU975)=1,MAX(BT$76:BT974)+1,"")</f>
        <v/>
      </c>
      <c r="BU975" s="1720">
        <v>335</v>
      </c>
      <c r="BV975" s="1720">
        <v>212</v>
      </c>
      <c r="BW975" s="1720">
        <v>415</v>
      </c>
      <c r="BX975" s="1720" t="s">
        <v>1750</v>
      </c>
      <c r="BY975" s="1772"/>
    </row>
    <row r="976" spans="72:77" x14ac:dyDescent="0.3">
      <c r="BT976" s="197" t="str">
        <f>IF(COUNTIF(BU$76:BU976,BU976)=1,MAX(BT$76:BT975)+1,"")</f>
        <v/>
      </c>
      <c r="BU976" s="1720">
        <v>335</v>
      </c>
      <c r="BV976" s="1720">
        <v>210</v>
      </c>
      <c r="BW976" s="1720">
        <v>360</v>
      </c>
      <c r="BX976" s="1720" t="s">
        <v>1750</v>
      </c>
      <c r="BY976" s="1772"/>
    </row>
    <row r="977" spans="72:77" x14ac:dyDescent="0.3">
      <c r="BT977" s="197" t="str">
        <f>IF(COUNTIF(BU$76:BU977,BU977)=1,MAX(BT$76:BT976)+1,"")</f>
        <v/>
      </c>
      <c r="BU977" s="1720">
        <v>335</v>
      </c>
      <c r="BV977" s="1720">
        <v>258</v>
      </c>
      <c r="BW977" s="1720">
        <v>360</v>
      </c>
      <c r="BX977" s="1720" t="s">
        <v>1751</v>
      </c>
      <c r="BY977" s="1772"/>
    </row>
    <row r="978" spans="72:77" x14ac:dyDescent="0.3">
      <c r="BT978" s="197" t="str">
        <f>IF(COUNTIF(BU$76:BU978,BU978)=1,MAX(BT$76:BT977)+1,"")</f>
        <v/>
      </c>
      <c r="BU978" s="1720">
        <v>335</v>
      </c>
      <c r="BV978" s="1720">
        <v>255</v>
      </c>
      <c r="BW978" s="1720">
        <v>360</v>
      </c>
      <c r="BX978" s="1720" t="s">
        <v>1751</v>
      </c>
      <c r="BY978" s="1772"/>
    </row>
    <row r="979" spans="72:77" x14ac:dyDescent="0.3">
      <c r="BT979" s="197">
        <f>IF(COUNTIF(BU$76:BU979,BU979)=1,MAX(BT$76:BT978)+1,"")</f>
        <v>99</v>
      </c>
      <c r="BU979" s="1720">
        <v>337.5</v>
      </c>
      <c r="BV979" s="1720">
        <v>260</v>
      </c>
      <c r="BW979" s="1720">
        <v>375</v>
      </c>
      <c r="BX979" s="1720" t="s">
        <v>1752</v>
      </c>
      <c r="BY979" s="1772"/>
    </row>
    <row r="980" spans="72:77" x14ac:dyDescent="0.3">
      <c r="BT980" s="197" t="str">
        <f>IF(COUNTIF(BU$76:BU980,BU980)=1,MAX(BT$76:BT979)+1,"")</f>
        <v/>
      </c>
      <c r="BU980" s="1720">
        <v>337.5</v>
      </c>
      <c r="BV980" s="1720">
        <v>260</v>
      </c>
      <c r="BW980" s="1720">
        <v>360</v>
      </c>
      <c r="BX980" s="1720" t="s">
        <v>1752</v>
      </c>
      <c r="BY980" s="1772"/>
    </row>
    <row r="981" spans="72:77" x14ac:dyDescent="0.3">
      <c r="BT981" s="197">
        <f>IF(COUNTIF(BU$76:BU981,BU981)=1,MAX(BT$76:BT980)+1,"")</f>
        <v>100</v>
      </c>
      <c r="BU981" s="1720">
        <v>340</v>
      </c>
      <c r="BV981" s="1720">
        <v>315</v>
      </c>
      <c r="BW981" s="1720">
        <v>415</v>
      </c>
      <c r="BX981" s="1720" t="s">
        <v>1753</v>
      </c>
      <c r="BY981" s="1772"/>
    </row>
    <row r="982" spans="72:77" x14ac:dyDescent="0.3">
      <c r="BT982" s="197" t="str">
        <f>IF(COUNTIF(BU$76:BU982,BU982)=1,MAX(BT$76:BT981)+1,"")</f>
        <v/>
      </c>
      <c r="BU982" s="1720">
        <v>340</v>
      </c>
      <c r="BV982" s="1720">
        <v>380</v>
      </c>
      <c r="BW982" s="1720">
        <v>415</v>
      </c>
      <c r="BX982" s="1720" t="s">
        <v>1754</v>
      </c>
      <c r="BY982" s="1772"/>
    </row>
    <row r="983" spans="72:77" x14ac:dyDescent="0.3">
      <c r="BT983" s="197">
        <f>IF(COUNTIF(BU$76:BU983,BU983)=1,MAX(BT$76:BT982)+1,"")</f>
        <v>101</v>
      </c>
      <c r="BU983" s="1720">
        <v>347.5</v>
      </c>
      <c r="BV983" s="1720">
        <v>263</v>
      </c>
      <c r="BW983" s="1720">
        <v>415</v>
      </c>
      <c r="BX983" s="1720" t="s">
        <v>1755</v>
      </c>
      <c r="BY983" s="1772"/>
    </row>
    <row r="984" spans="72:77" x14ac:dyDescent="0.3">
      <c r="BT984" s="197" t="str">
        <f>IF(COUNTIF(BU$76:BU984,BU984)=1,MAX(BT$76:BT983)+1,"")</f>
        <v/>
      </c>
      <c r="BU984" s="1720">
        <v>347.5</v>
      </c>
      <c r="BV984" s="1720">
        <v>495</v>
      </c>
      <c r="BW984" s="1720">
        <v>450</v>
      </c>
      <c r="BX984" s="1720" t="s">
        <v>1756</v>
      </c>
      <c r="BY984" s="1772"/>
    </row>
    <row r="985" spans="72:77" x14ac:dyDescent="0.3">
      <c r="BT985" s="197" t="str">
        <f>IF(COUNTIF(BU$76:BU985,BU985)=1,MAX(BT$76:BT984)+1,"")</f>
        <v/>
      </c>
      <c r="BU985" s="1720">
        <v>347.5</v>
      </c>
      <c r="BV985" s="1720">
        <v>495</v>
      </c>
      <c r="BW985" s="1720">
        <v>450</v>
      </c>
      <c r="BX985" s="1720" t="s">
        <v>1756</v>
      </c>
      <c r="BY985" s="1772"/>
    </row>
    <row r="986" spans="72:77" x14ac:dyDescent="0.3">
      <c r="BT986" s="197">
        <f>IF(COUNTIF(BU$76:BU986,BU986)=1,MAX(BT$76:BT985)+1,"")</f>
        <v>102</v>
      </c>
      <c r="BU986" s="1720">
        <v>350</v>
      </c>
      <c r="BV986" s="1720">
        <v>397</v>
      </c>
      <c r="BW986" s="1720">
        <v>415</v>
      </c>
      <c r="BX986" s="1720" t="s">
        <v>1757</v>
      </c>
      <c r="BY986" s="1772"/>
    </row>
    <row r="987" spans="72:77" x14ac:dyDescent="0.3">
      <c r="BT987" s="197" t="str">
        <f>IF(COUNTIF(BU$76:BU987,BU987)=1,MAX(BT$76:BT986)+1,"")</f>
        <v/>
      </c>
      <c r="BU987" s="1720">
        <v>350</v>
      </c>
      <c r="BV987" s="1720">
        <v>398</v>
      </c>
      <c r="BW987" s="1720">
        <v>415</v>
      </c>
      <c r="BX987" s="1720" t="s">
        <v>1757</v>
      </c>
      <c r="BY987" s="1772"/>
    </row>
    <row r="988" spans="72:77" x14ac:dyDescent="0.3">
      <c r="BT988" s="197" t="str">
        <f>IF(COUNTIF(BU$76:BU988,BU988)=1,MAX(BT$76:BT987)+1,"")</f>
        <v/>
      </c>
      <c r="BU988" s="1720">
        <v>350</v>
      </c>
      <c r="BV988" s="1720">
        <v>257</v>
      </c>
      <c r="BW988" s="1720">
        <v>415</v>
      </c>
      <c r="BX988" s="1720" t="s">
        <v>1758</v>
      </c>
      <c r="BY988" s="1772"/>
    </row>
    <row r="989" spans="72:77" x14ac:dyDescent="0.3">
      <c r="BT989" s="197" t="str">
        <f>IF(COUNTIF(BU$76:BU989,BU989)=1,MAX(BT$76:BT988)+1,"")</f>
        <v/>
      </c>
      <c r="BU989" s="1720">
        <v>350</v>
      </c>
      <c r="BV989" s="1720">
        <v>257</v>
      </c>
      <c r="BW989" s="1720">
        <v>400</v>
      </c>
      <c r="BX989" s="1720" t="s">
        <v>1758</v>
      </c>
      <c r="BY989" s="1772"/>
    </row>
    <row r="990" spans="72:77" x14ac:dyDescent="0.3">
      <c r="BT990" s="197" t="str">
        <f>IF(COUNTIF(BU$76:BU990,BU990)=1,MAX(BT$76:BT989)+1,"")</f>
        <v/>
      </c>
      <c r="BU990" s="1720">
        <v>350</v>
      </c>
      <c r="BV990" s="1720">
        <v>397</v>
      </c>
      <c r="BW990" s="1720">
        <v>415</v>
      </c>
      <c r="BX990" s="1720" t="s">
        <v>1757</v>
      </c>
      <c r="BY990" s="1772"/>
    </row>
    <row r="991" spans="72:77" x14ac:dyDescent="0.3">
      <c r="BT991" s="197">
        <f>IF(COUNTIF(BU$76:BU991,BU991)=1,MAX(BT$76:BT990)+1,"")</f>
        <v>103</v>
      </c>
      <c r="BU991" s="1720">
        <v>355</v>
      </c>
      <c r="BV991" s="1720">
        <v>495</v>
      </c>
      <c r="BW991" s="1720">
        <v>450</v>
      </c>
      <c r="BX991" s="1720" t="s">
        <v>1759</v>
      </c>
      <c r="BY991" s="1772"/>
    </row>
    <row r="992" spans="72:77" x14ac:dyDescent="0.3">
      <c r="BT992" s="197" t="str">
        <f>IF(COUNTIF(BU$76:BU992,BU992)=1,MAX(BT$76:BT991)+1,"")</f>
        <v/>
      </c>
      <c r="BU992" s="1720">
        <v>355</v>
      </c>
      <c r="BV992" s="1720">
        <v>495</v>
      </c>
      <c r="BW992" s="1720">
        <v>450</v>
      </c>
      <c r="BX992" s="1720" t="s">
        <v>1759</v>
      </c>
      <c r="BY992" s="1772"/>
    </row>
    <row r="993" spans="72:77" x14ac:dyDescent="0.3">
      <c r="BT993" s="197" t="str">
        <f>IF(COUNTIF(BU$76:BU993,BU993)=1,MAX(BT$76:BT992)+1,"")</f>
        <v/>
      </c>
      <c r="BU993" s="1720">
        <v>355</v>
      </c>
      <c r="BV993" s="1720">
        <v>240</v>
      </c>
      <c r="BW993" s="1720">
        <v>415</v>
      </c>
      <c r="BX993" s="1720" t="s">
        <v>1741</v>
      </c>
      <c r="BY993" s="1772"/>
    </row>
    <row r="994" spans="72:77" x14ac:dyDescent="0.3">
      <c r="BT994" s="197" t="str">
        <f>IF(COUNTIF(BU$76:BU994,BU994)=1,MAX(BT$76:BT993)+1,"")</f>
        <v/>
      </c>
      <c r="BU994" s="1720">
        <v>355</v>
      </c>
      <c r="BV994" s="1720">
        <v>387</v>
      </c>
      <c r="BW994" s="1720">
        <v>375</v>
      </c>
      <c r="BX994" s="1720" t="s">
        <v>1760</v>
      </c>
      <c r="BY994" s="1772"/>
    </row>
    <row r="995" spans="72:77" x14ac:dyDescent="0.3">
      <c r="BT995" s="197">
        <f>IF(COUNTIF(BU$76:BU995,BU995)=1,MAX(BT$76:BT994)+1,"")</f>
        <v>104</v>
      </c>
      <c r="BU995" s="1720">
        <v>360</v>
      </c>
      <c r="BV995" s="1720">
        <v>500</v>
      </c>
      <c r="BW995" s="1720">
        <v>470</v>
      </c>
      <c r="BX995" s="1720" t="s">
        <v>1761</v>
      </c>
      <c r="BY995" s="1772"/>
    </row>
    <row r="996" spans="72:77" x14ac:dyDescent="0.3">
      <c r="BT996" s="197">
        <f>IF(COUNTIF(BU$76:BU996,BU996)=1,MAX(BT$76:BT995)+1,"")</f>
        <v>105</v>
      </c>
      <c r="BU996" s="1720">
        <v>365</v>
      </c>
      <c r="BV996" s="1720">
        <v>495</v>
      </c>
      <c r="BW996" s="1720">
        <v>470</v>
      </c>
      <c r="BX996" s="1720" t="s">
        <v>1762</v>
      </c>
      <c r="BY996" s="1772"/>
    </row>
    <row r="997" spans="72:77" x14ac:dyDescent="0.3">
      <c r="BT997" s="197" t="str">
        <f>IF(COUNTIF(BU$76:BU997,BU997)=1,MAX(BT$76:BT996)+1,"")</f>
        <v/>
      </c>
      <c r="BU997" s="1720">
        <v>365</v>
      </c>
      <c r="BV997" s="1720">
        <v>317</v>
      </c>
      <c r="BW997" s="1720">
        <v>415</v>
      </c>
      <c r="BX997" s="1720" t="s">
        <v>1763</v>
      </c>
      <c r="BY997" s="1772"/>
    </row>
    <row r="998" spans="72:77" x14ac:dyDescent="0.3">
      <c r="BT998" s="197" t="str">
        <f>IF(COUNTIF(BU$76:BU998,BU998)=1,MAX(BT$76:BT997)+1,"")</f>
        <v/>
      </c>
      <c r="BU998" s="1720">
        <v>365</v>
      </c>
      <c r="BV998" s="1720">
        <v>315</v>
      </c>
      <c r="BW998" s="1720">
        <v>415</v>
      </c>
      <c r="BX998" s="1720" t="s">
        <v>1763</v>
      </c>
      <c r="BY998" s="1772"/>
    </row>
    <row r="999" spans="72:77" x14ac:dyDescent="0.3">
      <c r="BT999" s="197" t="str">
        <f>IF(COUNTIF(BU$76:BU999,BU999)=1,MAX(BT$76:BT998)+1,"")</f>
        <v/>
      </c>
      <c r="BU999" s="1720">
        <v>365</v>
      </c>
      <c r="BV999" s="1720">
        <v>500</v>
      </c>
      <c r="BW999" s="1720">
        <v>470</v>
      </c>
      <c r="BX999" s="1720" t="s">
        <v>1762</v>
      </c>
      <c r="BY999" s="1772"/>
    </row>
    <row r="1000" spans="72:77" x14ac:dyDescent="0.3">
      <c r="BT1000" s="197">
        <f>IF(COUNTIF(BU$76:BU1000,BU1000)=1,MAX(BT$76:BT999)+1,"")</f>
        <v>106</v>
      </c>
      <c r="BU1000" s="1720">
        <v>367.5</v>
      </c>
      <c r="BV1000" s="1720">
        <v>654</v>
      </c>
      <c r="BW1000" s="1720">
        <v>400</v>
      </c>
      <c r="BX1000" s="1720" t="s">
        <v>1764</v>
      </c>
      <c r="BY1000" s="1772" t="s">
        <v>1868</v>
      </c>
    </row>
    <row r="1001" spans="72:77" x14ac:dyDescent="0.3">
      <c r="BT1001" s="197">
        <f>IF(COUNTIF(BU$76:BU1001,BU1001)=1,MAX(BT$76:BT1000)+1,"")</f>
        <v>107</v>
      </c>
      <c r="BU1001" s="1720">
        <v>370</v>
      </c>
      <c r="BV1001" s="1720">
        <v>255</v>
      </c>
      <c r="BW1001" s="1720">
        <v>400</v>
      </c>
      <c r="BX1001" s="1720" t="s">
        <v>1765</v>
      </c>
      <c r="BY1001" s="1772"/>
    </row>
    <row r="1002" spans="72:77" x14ac:dyDescent="0.3">
      <c r="BT1002" s="197">
        <f>IF(COUNTIF(BU$76:BU1002,BU1002)=1,MAX(BT$76:BT1001)+1,"")</f>
        <v>108</v>
      </c>
      <c r="BU1002" s="1720">
        <v>372.5</v>
      </c>
      <c r="BV1002" s="1720">
        <v>498</v>
      </c>
      <c r="BW1002" s="1720">
        <v>470</v>
      </c>
      <c r="BX1002" s="1720" t="s">
        <v>1766</v>
      </c>
      <c r="BY1002" s="1772"/>
    </row>
    <row r="1003" spans="72:77" x14ac:dyDescent="0.3">
      <c r="BT1003" s="197" t="str">
        <f>IF(COUNTIF(BU$76:BU1003,BU1003)=1,MAX(BT$76:BT1002)+1,"")</f>
        <v/>
      </c>
      <c r="BU1003" s="1720">
        <v>372.5</v>
      </c>
      <c r="BV1003" s="1720">
        <v>495</v>
      </c>
      <c r="BW1003" s="1720">
        <v>470</v>
      </c>
      <c r="BX1003" s="1720" t="s">
        <v>1766</v>
      </c>
      <c r="BY1003" s="1772"/>
    </row>
    <row r="1004" spans="72:77" x14ac:dyDescent="0.3">
      <c r="BT1004" s="197" t="str">
        <f>IF(COUNTIF(BU$76:BU1004,BU1004)=1,MAX(BT$76:BT1003)+1,"")</f>
        <v/>
      </c>
      <c r="BU1004" s="1720">
        <v>372.5</v>
      </c>
      <c r="BV1004" s="1720">
        <v>397</v>
      </c>
      <c r="BW1004" s="1720">
        <v>470</v>
      </c>
      <c r="BX1004" s="1720" t="s">
        <v>1767</v>
      </c>
      <c r="BY1004" s="1772"/>
    </row>
    <row r="1005" spans="72:77" ht="28.8" x14ac:dyDescent="0.3">
      <c r="BT1005" s="197">
        <f>IF(COUNTIF(BU$76:BU1005,BU1005)=1,MAX(BT$76:BT1004)+1,"")</f>
        <v>109</v>
      </c>
      <c r="BU1005" s="1720">
        <v>377.5</v>
      </c>
      <c r="BV1005" s="1720">
        <v>655</v>
      </c>
      <c r="BW1005" s="1720">
        <v>470</v>
      </c>
      <c r="BX1005" s="1720" t="s">
        <v>1764</v>
      </c>
      <c r="BY1005" s="1772" t="s">
        <v>1869</v>
      </c>
    </row>
    <row r="1006" spans="72:77" x14ac:dyDescent="0.3">
      <c r="BT1006" s="197" t="str">
        <f>IF(COUNTIF(BU$76:BU1006,BU1006)=1,MAX(BT$76:BT1005)+1,"")</f>
        <v/>
      </c>
      <c r="BU1006" s="1720">
        <v>377.5</v>
      </c>
      <c r="BV1006" s="1720">
        <v>230</v>
      </c>
      <c r="BW1006" s="1720">
        <v>415</v>
      </c>
      <c r="BX1006" s="1720" t="s">
        <v>1768</v>
      </c>
      <c r="BY1006" s="1772"/>
    </row>
    <row r="1007" spans="72:77" x14ac:dyDescent="0.3">
      <c r="BT1007" s="197" t="str">
        <f>IF(COUNTIF(BU$76:BU1007,BU1007)=1,MAX(BT$76:BT1006)+1,"")</f>
        <v/>
      </c>
      <c r="BU1007" s="1720">
        <v>377.5</v>
      </c>
      <c r="BV1007" s="1720">
        <v>455</v>
      </c>
      <c r="BW1007" s="1720">
        <v>470</v>
      </c>
      <c r="BX1007" s="1720" t="s">
        <v>1769</v>
      </c>
      <c r="BY1007" s="1772"/>
    </row>
    <row r="1008" spans="72:77" x14ac:dyDescent="0.3">
      <c r="BT1008" s="197" t="str">
        <f>IF(COUNTIF(BU$76:BU1008,BU1008)=1,MAX(BT$76:BT1007)+1,"")</f>
        <v/>
      </c>
      <c r="BU1008" s="1720">
        <v>377.5</v>
      </c>
      <c r="BV1008" s="1720">
        <v>457</v>
      </c>
      <c r="BW1008" s="1720">
        <v>500</v>
      </c>
      <c r="BX1008" s="1720" t="s">
        <v>1769</v>
      </c>
      <c r="BY1008" s="1772"/>
    </row>
    <row r="1009" spans="72:77" x14ac:dyDescent="0.3">
      <c r="BT1009" s="197" t="str">
        <f>IF(COUNTIF(BU$76:BU1009,BU1009)=1,MAX(BT$76:BT1008)+1,"")</f>
        <v/>
      </c>
      <c r="BU1009" s="1720">
        <v>377.5</v>
      </c>
      <c r="BV1009" s="1720">
        <v>457</v>
      </c>
      <c r="BW1009" s="1720">
        <v>500</v>
      </c>
      <c r="BX1009" s="1720" t="s">
        <v>1769</v>
      </c>
      <c r="BY1009" s="1772"/>
    </row>
    <row r="1010" spans="72:77" x14ac:dyDescent="0.3">
      <c r="BT1010" s="197" t="str">
        <f>IF(COUNTIF(BU$76:BU1010,BU1010)=1,MAX(BT$76:BT1009)+1,"")</f>
        <v/>
      </c>
      <c r="BU1010" s="1720">
        <v>377.5</v>
      </c>
      <c r="BV1010" s="1720">
        <v>460</v>
      </c>
      <c r="BW1010" s="1720">
        <v>500</v>
      </c>
      <c r="BX1010" s="1720" t="s">
        <v>1769</v>
      </c>
      <c r="BY1010" s="1772"/>
    </row>
    <row r="1011" spans="72:77" x14ac:dyDescent="0.3">
      <c r="BT1011" s="197">
        <f>IF(COUNTIF(BU$76:BU1011,BU1011)=1,MAX(BT$76:BT1010)+1,"")</f>
        <v>110</v>
      </c>
      <c r="BU1011" s="1720">
        <v>380</v>
      </c>
      <c r="BV1011" s="1720">
        <v>420</v>
      </c>
      <c r="BW1011" s="1720">
        <v>520</v>
      </c>
      <c r="BX1011" s="1720" t="s">
        <v>1770</v>
      </c>
      <c r="BY1011" s="1772"/>
    </row>
    <row r="1012" spans="72:77" x14ac:dyDescent="0.3">
      <c r="BT1012" s="197" t="str">
        <f>IF(COUNTIF(BU$76:BU1012,BU1012)=1,MAX(BT$76:BT1011)+1,"")</f>
        <v/>
      </c>
      <c r="BU1012" s="1720">
        <v>380</v>
      </c>
      <c r="BV1012" s="1720">
        <v>460</v>
      </c>
      <c r="BW1012" s="1720">
        <v>500</v>
      </c>
      <c r="BX1012" s="1720" t="s">
        <v>1771</v>
      </c>
      <c r="BY1012" s="1772"/>
    </row>
    <row r="1013" spans="72:77" x14ac:dyDescent="0.3">
      <c r="BT1013" s="197" t="str">
        <f>IF(COUNTIF(BU$76:BU1013,BU1013)=1,MAX(BT$76:BT1012)+1,"")</f>
        <v/>
      </c>
      <c r="BU1013" s="1720">
        <v>380</v>
      </c>
      <c r="BV1013" s="1720">
        <v>413</v>
      </c>
      <c r="BW1013" s="1720">
        <v>500</v>
      </c>
      <c r="BX1013" s="1720" t="s">
        <v>1770</v>
      </c>
      <c r="BY1013" s="1772"/>
    </row>
    <row r="1014" spans="72:77" x14ac:dyDescent="0.3">
      <c r="BT1014" s="197" t="str">
        <f>IF(COUNTIF(BU$76:BU1014,BU1014)=1,MAX(BT$76:BT1013)+1,"")</f>
        <v/>
      </c>
      <c r="BU1014" s="1720">
        <v>380</v>
      </c>
      <c r="BV1014" s="1720">
        <v>540</v>
      </c>
      <c r="BW1014" s="1720">
        <v>470</v>
      </c>
      <c r="BX1014" s="1720" t="s">
        <v>1772</v>
      </c>
      <c r="BY1014" s="1772"/>
    </row>
    <row r="1015" spans="72:77" x14ac:dyDescent="0.3">
      <c r="BT1015" s="197">
        <f>IF(COUNTIF(BU$76:BU1015,BU1015)=1,MAX(BT$76:BT1014)+1,"")</f>
        <v>111</v>
      </c>
      <c r="BU1015" s="1720">
        <v>382.5</v>
      </c>
      <c r="BV1015" s="1720">
        <v>540</v>
      </c>
      <c r="BW1015" s="1720">
        <v>470</v>
      </c>
      <c r="BX1015" s="1720" t="s">
        <v>1773</v>
      </c>
      <c r="BY1015" s="1772"/>
    </row>
    <row r="1016" spans="72:77" x14ac:dyDescent="0.3">
      <c r="BT1016" s="197">
        <f>IF(COUNTIF(BU$76:BU1016,BU1016)=1,MAX(BT$76:BT1015)+1,"")</f>
        <v>112</v>
      </c>
      <c r="BU1016" s="1720">
        <v>385</v>
      </c>
      <c r="BV1016" s="1720">
        <v>455</v>
      </c>
      <c r="BW1016" s="1720">
        <v>500</v>
      </c>
      <c r="BX1016" s="1720" t="s">
        <v>1774</v>
      </c>
      <c r="BY1016" s="1772"/>
    </row>
    <row r="1017" spans="72:77" x14ac:dyDescent="0.3">
      <c r="BT1017" s="197" t="str">
        <f>IF(COUNTIF(BU$76:BU1017,BU1017)=1,MAX(BT$76:BT1016)+1,"")</f>
        <v/>
      </c>
      <c r="BU1017" s="1720">
        <v>385</v>
      </c>
      <c r="BV1017" s="1720">
        <v>455</v>
      </c>
      <c r="BW1017" s="1720">
        <v>470</v>
      </c>
      <c r="BX1017" s="1720" t="s">
        <v>1774</v>
      </c>
      <c r="BY1017" s="1772"/>
    </row>
    <row r="1018" spans="72:77" x14ac:dyDescent="0.3">
      <c r="BT1018" s="197" t="str">
        <f>IF(COUNTIF(BU$76:BU1018,BU1018)=1,MAX(BT$76:BT1017)+1,"")</f>
        <v/>
      </c>
      <c r="BU1018" s="1720">
        <v>385</v>
      </c>
      <c r="BV1018" s="1720">
        <v>457</v>
      </c>
      <c r="BW1018" s="1720">
        <v>500</v>
      </c>
      <c r="BX1018" s="1720" t="s">
        <v>1774</v>
      </c>
      <c r="BY1018" s="1772"/>
    </row>
    <row r="1019" spans="72:77" x14ac:dyDescent="0.3">
      <c r="BT1019" s="197" t="str">
        <f>IF(COUNTIF(BU$76:BU1019,BU1019)=1,MAX(BT$76:BT1018)+1,"")</f>
        <v/>
      </c>
      <c r="BU1019" s="1720">
        <v>385</v>
      </c>
      <c r="BV1019" s="1720">
        <v>460</v>
      </c>
      <c r="BW1019" s="1720">
        <v>470</v>
      </c>
      <c r="BX1019" s="1720" t="s">
        <v>1774</v>
      </c>
      <c r="BY1019" s="1772"/>
    </row>
    <row r="1020" spans="72:77" x14ac:dyDescent="0.3">
      <c r="BT1020" s="197">
        <f>IF(COUNTIF(BU$76:BU1020,BU1020)=1,MAX(BT$76:BT1019)+1,"")</f>
        <v>113</v>
      </c>
      <c r="BU1020" s="1720">
        <v>390</v>
      </c>
      <c r="BV1020" s="1720">
        <v>453</v>
      </c>
      <c r="BW1020" s="1720">
        <v>470</v>
      </c>
      <c r="BX1020" s="1720" t="s">
        <v>1775</v>
      </c>
      <c r="BY1020" s="1772"/>
    </row>
    <row r="1021" spans="72:77" x14ac:dyDescent="0.3">
      <c r="BT1021" s="197" t="str">
        <f>IF(COUNTIF(BU$76:BU1021,BU1021)=1,MAX(BT$76:BT1020)+1,"")</f>
        <v/>
      </c>
      <c r="BU1021" s="1720">
        <v>390</v>
      </c>
      <c r="BV1021" s="1720">
        <v>455</v>
      </c>
      <c r="BW1021" s="1720">
        <v>470</v>
      </c>
      <c r="BX1021" s="1720" t="s">
        <v>1775</v>
      </c>
      <c r="BY1021" s="1772"/>
    </row>
    <row r="1022" spans="72:77" x14ac:dyDescent="0.3">
      <c r="BT1022" s="197">
        <f>IF(COUNTIF(BU$76:BU1022,BU1022)=1,MAX(BT$76:BT1021)+1,"")</f>
        <v>114</v>
      </c>
      <c r="BU1022" s="1720">
        <v>392.5</v>
      </c>
      <c r="BV1022" s="1720">
        <v>327</v>
      </c>
      <c r="BW1022" s="1720">
        <v>520</v>
      </c>
      <c r="BX1022" s="1720" t="s">
        <v>1776</v>
      </c>
      <c r="BY1022" s="1772"/>
    </row>
    <row r="1023" spans="72:77" x14ac:dyDescent="0.3">
      <c r="BT1023" s="197" t="str">
        <f>IF(COUNTIF(BU$76:BU1023,BU1023)=1,MAX(BT$76:BT1022)+1,"")</f>
        <v/>
      </c>
      <c r="BU1023" s="1720">
        <v>392.5</v>
      </c>
      <c r="BV1023" s="1720">
        <v>330</v>
      </c>
      <c r="BW1023" s="1720">
        <v>520</v>
      </c>
      <c r="BX1023" s="1720" t="s">
        <v>1776</v>
      </c>
      <c r="BY1023" s="1772"/>
    </row>
    <row r="1024" spans="72:77" x14ac:dyDescent="0.3">
      <c r="BT1024" s="197" t="str">
        <f>IF(COUNTIF(BU$76:BU1024,BU1024)=1,MAX(BT$76:BT1023)+1,"")</f>
        <v/>
      </c>
      <c r="BU1024" s="1720">
        <v>392.5</v>
      </c>
      <c r="BV1024" s="1720">
        <v>300</v>
      </c>
      <c r="BW1024" s="1720">
        <v>520</v>
      </c>
      <c r="BX1024" s="1720" t="s">
        <v>1777</v>
      </c>
      <c r="BY1024" s="1772"/>
    </row>
    <row r="1025" spans="72:77" x14ac:dyDescent="0.3">
      <c r="BT1025" s="197" t="str">
        <f>IF(COUNTIF(BU$76:BU1025,BU1025)=1,MAX(BT$76:BT1024)+1,"")</f>
        <v/>
      </c>
      <c r="BU1025" s="1720">
        <v>392.5</v>
      </c>
      <c r="BV1025" s="1720">
        <v>345</v>
      </c>
      <c r="BW1025" s="1720">
        <v>470</v>
      </c>
      <c r="BX1025" s="1720" t="s">
        <v>1776</v>
      </c>
      <c r="BY1025" s="1772"/>
    </row>
    <row r="1026" spans="72:77" x14ac:dyDescent="0.3">
      <c r="BT1026" s="197">
        <f>IF(COUNTIF(BU$76:BU1026,BU1026)=1,MAX(BT$76:BT1025)+1,"")</f>
        <v>115</v>
      </c>
      <c r="BU1026" s="1720">
        <v>397.5</v>
      </c>
      <c r="BV1026" s="1720">
        <v>327</v>
      </c>
      <c r="BW1026" s="1720">
        <v>520</v>
      </c>
      <c r="BX1026" s="1720" t="s">
        <v>1776</v>
      </c>
      <c r="BY1026" s="1772"/>
    </row>
    <row r="1027" spans="72:77" x14ac:dyDescent="0.3">
      <c r="BT1027" s="197" t="str">
        <f>IF(COUNTIF(BU$76:BU1027,BU1027)=1,MAX(BT$76:BT1026)+1,"")</f>
        <v/>
      </c>
      <c r="BU1027" s="1720">
        <v>397.5</v>
      </c>
      <c r="BV1027" s="1720">
        <v>228</v>
      </c>
      <c r="BW1027" s="1720">
        <v>470</v>
      </c>
      <c r="BX1027" s="1720" t="s">
        <v>1778</v>
      </c>
      <c r="BY1027" s="1772"/>
    </row>
    <row r="1028" spans="72:77" x14ac:dyDescent="0.3">
      <c r="BT1028" s="197">
        <f>IF(COUNTIF(BU$76:BU1028,BU1028)=1,MAX(BT$76:BT1027)+1,"")</f>
        <v>116</v>
      </c>
      <c r="BU1028" s="1720">
        <v>405</v>
      </c>
      <c r="BV1028" s="1720">
        <v>450</v>
      </c>
      <c r="BW1028" s="1720">
        <v>470</v>
      </c>
      <c r="BX1028" s="1720" t="s">
        <v>1779</v>
      </c>
      <c r="BY1028" s="1772"/>
    </row>
    <row r="1029" spans="72:77" x14ac:dyDescent="0.3">
      <c r="BT1029" s="197">
        <f>IF(COUNTIF(BU$76:BU1029,BU1029)=1,MAX(BT$76:BT1028)+1,"")</f>
        <v>117</v>
      </c>
      <c r="BU1029" s="1720">
        <v>410</v>
      </c>
      <c r="BV1029" s="1720">
        <v>470</v>
      </c>
      <c r="BW1029" s="1720">
        <v>470</v>
      </c>
      <c r="BX1029" s="1720" t="s">
        <v>1780</v>
      </c>
      <c r="BY1029" s="1772"/>
    </row>
    <row r="1030" spans="72:77" x14ac:dyDescent="0.3">
      <c r="BT1030" s="197">
        <f>IF(COUNTIF(BU$76:BU1030,BU1030)=1,MAX(BT$76:BT1029)+1,"")</f>
        <v>118</v>
      </c>
      <c r="BU1030" s="1720">
        <v>412.5</v>
      </c>
      <c r="BV1030" s="1720">
        <v>512</v>
      </c>
      <c r="BW1030" s="1720">
        <v>500</v>
      </c>
      <c r="BX1030" s="1720" t="s">
        <v>1781</v>
      </c>
      <c r="BY1030" s="1772"/>
    </row>
    <row r="1031" spans="72:77" x14ac:dyDescent="0.3">
      <c r="BT1031" s="197">
        <f>IF(COUNTIF(BU$76:BU1031,BU1031)=1,MAX(BT$76:BT1030)+1,"")</f>
        <v>119</v>
      </c>
      <c r="BU1031" s="1720">
        <v>415</v>
      </c>
      <c r="BV1031" s="1720">
        <v>275</v>
      </c>
      <c r="BW1031" s="1720">
        <v>520</v>
      </c>
      <c r="BX1031" s="1720" t="s">
        <v>1782</v>
      </c>
      <c r="BY1031" s="1772"/>
    </row>
    <row r="1032" spans="72:77" x14ac:dyDescent="0.3">
      <c r="BT1032" s="197" t="str">
        <f>IF(COUNTIF(BU$76:BU1032,BU1032)=1,MAX(BT$76:BT1031)+1,"")</f>
        <v/>
      </c>
      <c r="BU1032" s="1720">
        <v>415</v>
      </c>
      <c r="BV1032" s="1720">
        <v>280</v>
      </c>
      <c r="BW1032" s="1720">
        <v>520</v>
      </c>
      <c r="BX1032" s="1720" t="s">
        <v>1782</v>
      </c>
      <c r="BY1032" s="1772"/>
    </row>
    <row r="1033" spans="72:77" x14ac:dyDescent="0.3">
      <c r="BT1033" s="197" t="str">
        <f>IF(COUNTIF(BU$76:BU1033,BU1033)=1,MAX(BT$76:BT1032)+1,"")</f>
        <v/>
      </c>
      <c r="BU1033" s="1720">
        <v>415</v>
      </c>
      <c r="BV1033" s="1720">
        <v>275</v>
      </c>
      <c r="BW1033" s="1720">
        <v>500</v>
      </c>
      <c r="BX1033" s="1720" t="s">
        <v>1782</v>
      </c>
      <c r="BY1033" s="1772"/>
    </row>
    <row r="1034" spans="72:77" x14ac:dyDescent="0.3">
      <c r="BT1034" s="197">
        <f>IF(COUNTIF(BU$76:BU1034,BU1034)=1,MAX(BT$76:BT1033)+1,"")</f>
        <v>120</v>
      </c>
      <c r="BU1034" s="1720">
        <v>417.5</v>
      </c>
      <c r="BV1034" s="1720">
        <v>257</v>
      </c>
      <c r="BW1034" s="1720">
        <v>470</v>
      </c>
      <c r="BX1034" s="1720" t="s">
        <v>1783</v>
      </c>
      <c r="BY1034" s="1772"/>
    </row>
    <row r="1035" spans="72:77" x14ac:dyDescent="0.3">
      <c r="BT1035" s="197" t="str">
        <f>IF(COUNTIF(BU$76:BU1035,BU1035)=1,MAX(BT$76:BT1034)+1,"")</f>
        <v/>
      </c>
      <c r="BU1035" s="1720">
        <v>417.5</v>
      </c>
      <c r="BV1035" s="1720">
        <v>515</v>
      </c>
      <c r="BW1035" s="1720">
        <v>520</v>
      </c>
      <c r="BX1035" s="1720" t="s">
        <v>1784</v>
      </c>
      <c r="BY1035" s="1772"/>
    </row>
    <row r="1036" spans="72:77" x14ac:dyDescent="0.3">
      <c r="BT1036" s="197" t="str">
        <f>IF(COUNTIF(BU$76:BU1036,BU1036)=1,MAX(BT$76:BT1035)+1,"")</f>
        <v/>
      </c>
      <c r="BU1036" s="1720">
        <v>417.5</v>
      </c>
      <c r="BV1036" s="1720">
        <v>257</v>
      </c>
      <c r="BW1036" s="1720">
        <v>470</v>
      </c>
      <c r="BX1036" s="1720" t="s">
        <v>1783</v>
      </c>
      <c r="BY1036" s="1772"/>
    </row>
    <row r="1037" spans="72:77" x14ac:dyDescent="0.3">
      <c r="BT1037" s="197">
        <f>IF(COUNTIF(BU$76:BU1037,BU1037)=1,MAX(BT$76:BT1036)+1,"")</f>
        <v>121</v>
      </c>
      <c r="BU1037" s="1720">
        <v>420</v>
      </c>
      <c r="BV1037" s="1720">
        <v>510</v>
      </c>
      <c r="BW1037" s="1720">
        <v>520</v>
      </c>
      <c r="BX1037" s="1720" t="s">
        <v>1784</v>
      </c>
      <c r="BY1037" s="1772"/>
    </row>
    <row r="1038" spans="72:77" x14ac:dyDescent="0.3">
      <c r="BT1038" s="197" t="str">
        <f>IF(COUNTIF(BU$76:BU1038,BU1038)=1,MAX(BT$76:BT1037)+1,"")</f>
        <v/>
      </c>
      <c r="BU1038" s="1720">
        <v>420</v>
      </c>
      <c r="BV1038" s="1720">
        <v>300</v>
      </c>
      <c r="BW1038" s="1720">
        <v>520</v>
      </c>
      <c r="BX1038" s="1720" t="s">
        <v>1785</v>
      </c>
      <c r="BY1038" s="1772"/>
    </row>
    <row r="1039" spans="72:77" x14ac:dyDescent="0.3">
      <c r="BT1039" s="197" t="str">
        <f>IF(COUNTIF(BU$76:BU1039,BU1039)=1,MAX(BT$76:BT1038)+1,"")</f>
        <v/>
      </c>
      <c r="BU1039" s="1720">
        <v>420</v>
      </c>
      <c r="BV1039" s="1720">
        <v>295</v>
      </c>
      <c r="BW1039" s="1720">
        <v>520</v>
      </c>
      <c r="BX1039" s="1720" t="s">
        <v>1785</v>
      </c>
      <c r="BY1039" s="1772"/>
    </row>
    <row r="1040" spans="72:77" x14ac:dyDescent="0.3">
      <c r="BT1040" s="197" t="str">
        <f>IF(COUNTIF(BU$76:BU1040,BU1040)=1,MAX(BT$76:BT1039)+1,"")</f>
        <v/>
      </c>
      <c r="BU1040" s="1720">
        <v>420</v>
      </c>
      <c r="BV1040" s="1720">
        <v>260</v>
      </c>
      <c r="BW1040" s="1720">
        <v>500</v>
      </c>
      <c r="BX1040" s="1720" t="s">
        <v>1786</v>
      </c>
      <c r="BY1040" s="1772"/>
    </row>
    <row r="1041" spans="72:77" x14ac:dyDescent="0.3">
      <c r="BT1041" s="197" t="str">
        <f>IF(COUNTIF(BU$76:BU1041,BU1041)=1,MAX(BT$76:BT1040)+1,"")</f>
        <v/>
      </c>
      <c r="BU1041" s="1720">
        <v>420</v>
      </c>
      <c r="BV1041" s="1720">
        <v>260</v>
      </c>
      <c r="BW1041" s="1720">
        <v>500</v>
      </c>
      <c r="BX1041" s="1720" t="s">
        <v>1786</v>
      </c>
      <c r="BY1041" s="1772"/>
    </row>
    <row r="1042" spans="72:77" x14ac:dyDescent="0.3">
      <c r="BT1042" s="197" t="str">
        <f>IF(COUNTIF(BU$76:BU1042,BU1042)=1,MAX(BT$76:BT1041)+1,"")</f>
        <v/>
      </c>
      <c r="BU1042" s="1720">
        <v>420</v>
      </c>
      <c r="BV1042" s="1720">
        <v>300</v>
      </c>
      <c r="BW1042" s="1720">
        <v>520</v>
      </c>
      <c r="BX1042" s="1720" t="s">
        <v>1785</v>
      </c>
      <c r="BY1042" s="1772"/>
    </row>
    <row r="1043" spans="72:77" x14ac:dyDescent="0.3">
      <c r="BT1043" s="197" t="str">
        <f>IF(COUNTIF(BU$76:BU1043,BU1043)=1,MAX(BT$76:BT1042)+1,"")</f>
        <v/>
      </c>
      <c r="BU1043" s="1720">
        <v>420</v>
      </c>
      <c r="BV1043" s="1720">
        <v>245</v>
      </c>
      <c r="BW1043" s="1720">
        <v>500</v>
      </c>
      <c r="BX1043" s="1720" t="s">
        <v>1786</v>
      </c>
      <c r="BY1043" s="1772"/>
    </row>
    <row r="1044" spans="72:77" x14ac:dyDescent="0.3">
      <c r="BT1044" s="197" t="str">
        <f>IF(COUNTIF(BU$76:BU1044,BU1044)=1,MAX(BT$76:BT1043)+1,"")</f>
        <v/>
      </c>
      <c r="BU1044" s="1720">
        <v>420</v>
      </c>
      <c r="BV1044" s="1720">
        <v>257</v>
      </c>
      <c r="BW1044" s="1720">
        <v>500</v>
      </c>
      <c r="BX1044" s="1720" t="s">
        <v>1786</v>
      </c>
      <c r="BY1044" s="1772"/>
    </row>
    <row r="1045" spans="72:77" x14ac:dyDescent="0.3">
      <c r="BT1045" s="197" t="str">
        <f>IF(COUNTIF(BU$76:BU1045,BU1045)=1,MAX(BT$76:BT1044)+1,"")</f>
        <v/>
      </c>
      <c r="BU1045" s="1720">
        <v>420</v>
      </c>
      <c r="BV1045" s="1720">
        <v>300</v>
      </c>
      <c r="BW1045" s="1720">
        <v>520</v>
      </c>
      <c r="BX1045" s="1720" t="s">
        <v>1785</v>
      </c>
      <c r="BY1045" s="1772"/>
    </row>
    <row r="1046" spans="72:77" x14ac:dyDescent="0.3">
      <c r="BT1046" s="197">
        <f>IF(COUNTIF(BU$76:BU1046,BU1046)=1,MAX(BT$76:BT1045)+1,"")</f>
        <v>122</v>
      </c>
      <c r="BU1046" s="1720">
        <v>425</v>
      </c>
      <c r="BV1046" s="1720">
        <v>333</v>
      </c>
      <c r="BW1046" s="1720">
        <v>520</v>
      </c>
      <c r="BX1046" s="1720" t="s">
        <v>1787</v>
      </c>
      <c r="BY1046" s="1772"/>
    </row>
    <row r="1047" spans="72:77" x14ac:dyDescent="0.3">
      <c r="BT1047" s="197" t="str">
        <f>IF(COUNTIF(BU$76:BU1047,BU1047)=1,MAX(BT$76:BT1046)+1,"")</f>
        <v/>
      </c>
      <c r="BU1047" s="1720">
        <v>425</v>
      </c>
      <c r="BV1047" s="1720">
        <v>335</v>
      </c>
      <c r="BW1047" s="1720">
        <v>520</v>
      </c>
      <c r="BX1047" s="1720" t="s">
        <v>1787</v>
      </c>
      <c r="BY1047" s="1772"/>
    </row>
    <row r="1048" spans="72:77" x14ac:dyDescent="0.3">
      <c r="BT1048" s="197">
        <f>IF(COUNTIF(BU$76:BU1048,BU1048)=1,MAX(BT$76:BT1047)+1,"")</f>
        <v>123</v>
      </c>
      <c r="BU1048" s="1720">
        <v>427.5</v>
      </c>
      <c r="BV1048" s="1720">
        <v>335</v>
      </c>
      <c r="BW1048" s="1720">
        <v>520</v>
      </c>
      <c r="BX1048" s="1720" t="s">
        <v>1788</v>
      </c>
      <c r="BY1048" s="1772"/>
    </row>
    <row r="1049" spans="72:77" x14ac:dyDescent="0.3">
      <c r="BT1049" s="197" t="str">
        <f>IF(COUNTIF(BU$76:BU1049,BU1049)=1,MAX(BT$76:BT1048)+1,"")</f>
        <v/>
      </c>
      <c r="BU1049" s="1720">
        <v>427.5</v>
      </c>
      <c r="BV1049" s="1720">
        <v>505</v>
      </c>
      <c r="BW1049" s="1720">
        <v>520</v>
      </c>
      <c r="BX1049" s="1720" t="s">
        <v>1789</v>
      </c>
      <c r="BY1049" s="1772"/>
    </row>
    <row r="1050" spans="72:77" x14ac:dyDescent="0.3">
      <c r="BT1050" s="197">
        <f>IF(COUNTIF(BU$76:BU1050,BU1050)=1,MAX(BT$76:BT1049)+1,"")</f>
        <v>124</v>
      </c>
      <c r="BU1050" s="1720">
        <v>430</v>
      </c>
      <c r="BV1050" s="1720">
        <v>180</v>
      </c>
      <c r="BW1050" s="1720">
        <v>520</v>
      </c>
      <c r="BX1050" s="1720" t="s">
        <v>1790</v>
      </c>
      <c r="BY1050" s="1772"/>
    </row>
    <row r="1051" spans="72:77" x14ac:dyDescent="0.3">
      <c r="BT1051" s="197" t="str">
        <f>IF(COUNTIF(BU$76:BU1051,BU1051)=1,MAX(BT$76:BT1050)+1,"")</f>
        <v/>
      </c>
      <c r="BU1051" s="1720">
        <v>430</v>
      </c>
      <c r="BV1051" s="1720">
        <v>550</v>
      </c>
      <c r="BW1051" s="1720">
        <v>550</v>
      </c>
      <c r="BX1051" s="1720" t="s">
        <v>1791</v>
      </c>
      <c r="BY1051" s="1772"/>
    </row>
    <row r="1052" spans="72:77" x14ac:dyDescent="0.3">
      <c r="BT1052" s="197" t="str">
        <f>IF(COUNTIF(BU$76:BU1052,BU1052)=1,MAX(BT$76:BT1051)+1,"")</f>
        <v/>
      </c>
      <c r="BU1052" s="1720">
        <v>430</v>
      </c>
      <c r="BV1052" s="1720">
        <v>612</v>
      </c>
      <c r="BW1052" s="1720">
        <v>500</v>
      </c>
      <c r="BX1052" s="1720" t="s">
        <v>1792</v>
      </c>
      <c r="BY1052" s="1772"/>
    </row>
    <row r="1053" spans="72:77" x14ac:dyDescent="0.3">
      <c r="BT1053" s="197">
        <f>IF(COUNTIF(BU$76:BU1053,BU1053)=1,MAX(BT$76:BT1052)+1,"")</f>
        <v>125</v>
      </c>
      <c r="BU1053" s="1720">
        <v>432.5</v>
      </c>
      <c r="BV1053" s="1720">
        <v>510</v>
      </c>
      <c r="BW1053" s="1720">
        <v>520</v>
      </c>
      <c r="BX1053" s="1720" t="s">
        <v>1793</v>
      </c>
      <c r="BY1053" s="1772"/>
    </row>
    <row r="1054" spans="72:77" x14ac:dyDescent="0.3">
      <c r="BT1054" s="197">
        <f>IF(COUNTIF(BU$76:BU1054,BU1054)=1,MAX(BT$76:BT1053)+1,"")</f>
        <v>126</v>
      </c>
      <c r="BU1054" s="1720">
        <v>440</v>
      </c>
      <c r="BV1054" s="1720">
        <v>255</v>
      </c>
      <c r="BW1054" s="1720">
        <v>550</v>
      </c>
      <c r="BX1054" s="1720" t="s">
        <v>1794</v>
      </c>
      <c r="BY1054" s="1772"/>
    </row>
    <row r="1055" spans="72:77" x14ac:dyDescent="0.3">
      <c r="BT1055" s="197" t="str">
        <f>IF(COUNTIF(BU$76:BU1055,BU1055)=1,MAX(BT$76:BT1054)+1,"")</f>
        <v/>
      </c>
      <c r="BU1055" s="1720">
        <v>440</v>
      </c>
      <c r="BV1055" s="1720">
        <v>265</v>
      </c>
      <c r="BW1055" s="1720">
        <v>550</v>
      </c>
      <c r="BX1055" s="1720" t="s">
        <v>1794</v>
      </c>
      <c r="BY1055" s="1772"/>
    </row>
    <row r="1056" spans="72:77" x14ac:dyDescent="0.3">
      <c r="BT1056" s="197" t="str">
        <f>IF(COUNTIF(BU$76:BU1056,BU1056)=1,MAX(BT$76:BT1055)+1,"")</f>
        <v/>
      </c>
      <c r="BU1056" s="1720">
        <v>440</v>
      </c>
      <c r="BV1056" s="1720">
        <v>513</v>
      </c>
      <c r="BW1056" s="1720">
        <v>500</v>
      </c>
      <c r="BX1056" s="1720" t="s">
        <v>1795</v>
      </c>
      <c r="BY1056" s="1772"/>
    </row>
    <row r="1057" spans="72:77" x14ac:dyDescent="0.3">
      <c r="BT1057" s="197" t="str">
        <f>IF(COUNTIF(BU$76:BU1057,BU1057)=1,MAX(BT$76:BT1056)+1,"")</f>
        <v/>
      </c>
      <c r="BU1057" s="1720">
        <v>440</v>
      </c>
      <c r="BV1057" s="1720">
        <v>512</v>
      </c>
      <c r="BW1057" s="1720">
        <v>500</v>
      </c>
      <c r="BX1057" s="1720" t="s">
        <v>1795</v>
      </c>
      <c r="BY1057" s="1772"/>
    </row>
    <row r="1058" spans="72:77" x14ac:dyDescent="0.3">
      <c r="BT1058" s="197" t="str">
        <f>IF(COUNTIF(BU$76:BU1058,BU1058)=1,MAX(BT$76:BT1057)+1,"")</f>
        <v/>
      </c>
      <c r="BU1058" s="1720">
        <v>440</v>
      </c>
      <c r="BV1058" s="1720">
        <v>505</v>
      </c>
      <c r="BW1058" s="1720">
        <v>500</v>
      </c>
      <c r="BX1058" s="1720" t="s">
        <v>1793</v>
      </c>
      <c r="BY1058" s="1772"/>
    </row>
    <row r="1059" spans="72:77" x14ac:dyDescent="0.3">
      <c r="BT1059" s="197">
        <f>IF(COUNTIF(BU$76:BU1059,BU1059)=1,MAX(BT$76:BT1058)+1,"")</f>
        <v>127</v>
      </c>
      <c r="BU1059" s="1720">
        <v>442.5</v>
      </c>
      <c r="BV1059" s="1720">
        <v>160</v>
      </c>
      <c r="BW1059" s="1720">
        <v>520</v>
      </c>
      <c r="BX1059" s="1720" t="s">
        <v>1796</v>
      </c>
      <c r="BY1059" s="1772"/>
    </row>
    <row r="1060" spans="72:77" x14ac:dyDescent="0.3">
      <c r="BT1060" s="197" t="str">
        <f>IF(COUNTIF(BU$76:BU1060,BU1060)=1,MAX(BT$76:BT1059)+1,"")</f>
        <v/>
      </c>
      <c r="BU1060" s="1720">
        <v>442.5</v>
      </c>
      <c r="BV1060" s="1720">
        <v>355</v>
      </c>
      <c r="BW1060" s="1720">
        <v>520</v>
      </c>
      <c r="BX1060" s="1720" t="s">
        <v>1797</v>
      </c>
      <c r="BY1060" s="1772"/>
    </row>
    <row r="1061" spans="72:77" x14ac:dyDescent="0.3">
      <c r="BT1061" s="197">
        <f>IF(COUNTIF(BU$76:BU1061,BU1061)=1,MAX(BT$76:BT1060)+1,"")</f>
        <v>128</v>
      </c>
      <c r="BU1061" s="1720">
        <v>445</v>
      </c>
      <c r="BV1061" s="1720">
        <v>160</v>
      </c>
      <c r="BW1061" s="1720">
        <v>520</v>
      </c>
      <c r="BX1061" s="1720" t="s">
        <v>1798</v>
      </c>
      <c r="BY1061" s="1772"/>
    </row>
    <row r="1062" spans="72:77" x14ac:dyDescent="0.3">
      <c r="BT1062" s="197" t="str">
        <f>IF(COUNTIF(BU$76:BU1062,BU1062)=1,MAX(BT$76:BT1061)+1,"")</f>
        <v/>
      </c>
      <c r="BU1062" s="1720">
        <v>445</v>
      </c>
      <c r="BV1062" s="1720">
        <v>160</v>
      </c>
      <c r="BW1062" s="1720">
        <v>520</v>
      </c>
      <c r="BX1062" s="1720" t="s">
        <v>1798</v>
      </c>
      <c r="BY1062" s="1772"/>
    </row>
    <row r="1063" spans="72:77" x14ac:dyDescent="0.3">
      <c r="BT1063" s="197" t="str">
        <f>IF(COUNTIF(BU$76:BU1063,BU1063)=1,MAX(BT$76:BT1062)+1,"")</f>
        <v/>
      </c>
      <c r="BU1063" s="1720">
        <v>445</v>
      </c>
      <c r="BV1063" s="1720">
        <v>160</v>
      </c>
      <c r="BW1063" s="1720">
        <v>520</v>
      </c>
      <c r="BX1063" s="1720" t="s">
        <v>1798</v>
      </c>
      <c r="BY1063" s="1772"/>
    </row>
    <row r="1064" spans="72:77" x14ac:dyDescent="0.3">
      <c r="BT1064" s="197" t="str">
        <f>IF(COUNTIF(BU$76:BU1064,BU1064)=1,MAX(BT$76:BT1063)+1,"")</f>
        <v/>
      </c>
      <c r="BU1064" s="1720">
        <v>445</v>
      </c>
      <c r="BV1064" s="1720">
        <v>160</v>
      </c>
      <c r="BW1064" s="1720">
        <v>520</v>
      </c>
      <c r="BX1064" s="1720" t="s">
        <v>1798</v>
      </c>
      <c r="BY1064" s="1772"/>
    </row>
    <row r="1065" spans="72:77" x14ac:dyDescent="0.3">
      <c r="BT1065" s="197" t="str">
        <f>IF(COUNTIF(BU$76:BU1065,BU1065)=1,MAX(BT$76:BT1064)+1,"")</f>
        <v/>
      </c>
      <c r="BU1065" s="1720">
        <v>445</v>
      </c>
      <c r="BV1065" s="1720">
        <v>1140</v>
      </c>
      <c r="BW1065" s="1720">
        <v>530</v>
      </c>
      <c r="BX1065" s="1720" t="s">
        <v>1303</v>
      </c>
      <c r="BY1065" s="1772" t="s">
        <v>1870</v>
      </c>
    </row>
    <row r="1066" spans="72:77" x14ac:dyDescent="0.3">
      <c r="BT1066" s="197">
        <f>IF(COUNTIF(BU$76:BU1066,BU1066)=1,MAX(BT$76:BT1065)+1,"")</f>
        <v>129</v>
      </c>
      <c r="BU1066" s="1720">
        <v>447.5</v>
      </c>
      <c r="BV1066" s="1720">
        <v>160</v>
      </c>
      <c r="BW1066" s="1720">
        <v>520</v>
      </c>
      <c r="BX1066" s="1720" t="s">
        <v>1799</v>
      </c>
      <c r="BY1066" s="1772"/>
    </row>
    <row r="1067" spans="72:77" x14ac:dyDescent="0.3">
      <c r="BT1067" s="197">
        <f>IF(COUNTIF(BU$76:BU1067,BU1067)=1,MAX(BT$76:BT1066)+1,"")</f>
        <v>130</v>
      </c>
      <c r="BU1067" s="1720">
        <v>457.5</v>
      </c>
      <c r="BV1067" s="1720">
        <v>540</v>
      </c>
      <c r="BW1067" s="1720">
        <v>520</v>
      </c>
      <c r="BX1067" s="1720" t="s">
        <v>1800</v>
      </c>
      <c r="BY1067" s="1772" t="s">
        <v>1871</v>
      </c>
    </row>
    <row r="1068" spans="72:77" x14ac:dyDescent="0.3">
      <c r="BT1068" s="197">
        <f>IF(COUNTIF(BU$76:BU1068,BU1068)=1,MAX(BT$76:BT1067)+1,"")</f>
        <v>131</v>
      </c>
      <c r="BU1068" s="1720">
        <v>460</v>
      </c>
      <c r="BV1068" s="1720">
        <v>218</v>
      </c>
      <c r="BW1068" s="1720">
        <v>520</v>
      </c>
      <c r="BX1068" s="1720" t="s">
        <v>1801</v>
      </c>
      <c r="BY1068" s="1772"/>
    </row>
    <row r="1069" spans="72:77" x14ac:dyDescent="0.3">
      <c r="BT1069" s="197">
        <f>IF(COUNTIF(BU$76:BU1069,BU1069)=1,MAX(BT$76:BT1068)+1,"")</f>
        <v>132</v>
      </c>
      <c r="BU1069" s="1720">
        <v>475</v>
      </c>
      <c r="BV1069" s="1720">
        <v>270</v>
      </c>
      <c r="BW1069" s="1720">
        <v>520</v>
      </c>
      <c r="BX1069" s="1720" t="s">
        <v>1802</v>
      </c>
      <c r="BY1069" s="1772"/>
    </row>
    <row r="1070" spans="72:77" x14ac:dyDescent="0.3">
      <c r="BT1070" s="197" t="str">
        <f>IF(COUNTIF(BU$76:BU1070,BU1070)=1,MAX(BT$76:BT1069)+1,"")</f>
        <v/>
      </c>
      <c r="BU1070" s="1720">
        <v>475</v>
      </c>
      <c r="BV1070" s="1720">
        <v>397</v>
      </c>
      <c r="BW1070" s="1720">
        <v>520</v>
      </c>
      <c r="BX1070" s="1720" t="s">
        <v>1803</v>
      </c>
      <c r="BY1070" s="1772" t="s">
        <v>1872</v>
      </c>
    </row>
    <row r="1071" spans="72:77" x14ac:dyDescent="0.3">
      <c r="BT1071" s="197">
        <f>IF(COUNTIF(BU$76:BU1071,BU1071)=1,MAX(BT$76:BT1070)+1,"")</f>
        <v>133</v>
      </c>
      <c r="BU1071" s="1720">
        <v>480</v>
      </c>
      <c r="BV1071" s="1720">
        <v>630</v>
      </c>
      <c r="BW1071" s="1720">
        <v>610</v>
      </c>
      <c r="BX1071" s="1720" t="s">
        <v>1804</v>
      </c>
      <c r="BY1071" s="1772" t="s">
        <v>1873</v>
      </c>
    </row>
    <row r="1072" spans="72:77" x14ac:dyDescent="0.3">
      <c r="BT1072" s="197" t="str">
        <f>IF(COUNTIF(BU$76:BU1072,BU1072)=1,MAX(BT$76:BT1071)+1,"")</f>
        <v/>
      </c>
      <c r="BU1072" s="1720">
        <v>480</v>
      </c>
      <c r="BV1072" s="1720">
        <v>630</v>
      </c>
      <c r="BW1072" s="1720">
        <v>610</v>
      </c>
      <c r="BX1072" s="1720" t="s">
        <v>1804</v>
      </c>
      <c r="BY1072" s="1772"/>
    </row>
    <row r="1073" spans="72:77" x14ac:dyDescent="0.3">
      <c r="BT1073" s="197">
        <f>IF(COUNTIF(BU$76:BU1073,BU1073)=1,MAX(BT$76:BT1072)+1,"")</f>
        <v>134</v>
      </c>
      <c r="BU1073" s="1720">
        <v>482.5</v>
      </c>
      <c r="BV1073" s="1720">
        <v>633</v>
      </c>
      <c r="BW1073" s="1720">
        <v>610</v>
      </c>
      <c r="BX1073" s="1720" t="s">
        <v>1804</v>
      </c>
      <c r="BY1073" s="1772"/>
    </row>
    <row r="1074" spans="72:77" x14ac:dyDescent="0.3">
      <c r="BT1074" s="197">
        <f>IF(COUNTIF(BU$76:BU1074,BU1074)=1,MAX(BT$76:BT1073)+1,"")</f>
        <v>135</v>
      </c>
      <c r="BU1074" s="1720">
        <v>495</v>
      </c>
      <c r="BV1074" s="1720">
        <v>375</v>
      </c>
      <c r="BW1074" s="1720">
        <v>550</v>
      </c>
      <c r="BX1074" s="1720" t="s">
        <v>1805</v>
      </c>
      <c r="BY1074" s="1772" t="s">
        <v>1874</v>
      </c>
    </row>
    <row r="1075" spans="72:77" x14ac:dyDescent="0.3">
      <c r="BT1075" s="197" t="str">
        <f>IF(COUNTIF(BU$76:BU1075,BU1075)=1,MAX(BT$76:BT1074)+1,"")</f>
        <v/>
      </c>
      <c r="BU1075" s="1720">
        <v>495</v>
      </c>
      <c r="BV1075" s="1720">
        <v>380</v>
      </c>
      <c r="BW1075" s="1720">
        <v>550</v>
      </c>
      <c r="BX1075" s="1720" t="s">
        <v>1805</v>
      </c>
      <c r="BY1075" s="1772"/>
    </row>
    <row r="1076" spans="72:77" x14ac:dyDescent="0.3">
      <c r="BT1076" s="197">
        <f>IF(COUNTIF(BU$76:BU1076,BU1076)=1,MAX(BT$76:BT1075)+1,"")</f>
        <v>136</v>
      </c>
      <c r="BU1076" s="1720">
        <v>500</v>
      </c>
      <c r="BV1076" s="1720">
        <v>128</v>
      </c>
      <c r="BW1076" s="1720">
        <v>610</v>
      </c>
      <c r="BX1076" s="1720" t="s">
        <v>1806</v>
      </c>
      <c r="BY1076" s="1772"/>
    </row>
    <row r="1077" spans="72:77" x14ac:dyDescent="0.3">
      <c r="BT1077" s="197" t="str">
        <f>IF(COUNTIF(BU$76:BU1077,BU1077)=1,MAX(BT$76:BT1076)+1,"")</f>
        <v/>
      </c>
      <c r="BU1077" s="1720">
        <v>500</v>
      </c>
      <c r="BV1077" s="1720">
        <v>680</v>
      </c>
      <c r="BW1077" s="1720">
        <v>610</v>
      </c>
      <c r="BX1077" s="1720" t="s">
        <v>1807</v>
      </c>
      <c r="BY1077" s="1772"/>
    </row>
    <row r="1078" spans="72:77" x14ac:dyDescent="0.3">
      <c r="BT1078" s="197" t="str">
        <f>IF(COUNTIF(BU$76:BU1078,BU1078)=1,MAX(BT$76:BT1077)+1,"")</f>
        <v/>
      </c>
      <c r="BU1078" s="1720">
        <v>500</v>
      </c>
      <c r="BV1078" s="1720">
        <v>248</v>
      </c>
      <c r="BW1078" s="1720">
        <v>570</v>
      </c>
      <c r="BX1078" s="1720" t="s">
        <v>1808</v>
      </c>
      <c r="BY1078" s="1772"/>
    </row>
    <row r="1079" spans="72:77" x14ac:dyDescent="0.3">
      <c r="BT1079" s="197" t="str">
        <f>IF(COUNTIF(BU$76:BU1079,BU1079)=1,MAX(BT$76:BT1078)+1,"")</f>
        <v/>
      </c>
      <c r="BU1079" s="1720">
        <v>500</v>
      </c>
      <c r="BV1079" s="1720">
        <v>247</v>
      </c>
      <c r="BW1079" s="1720">
        <v>570</v>
      </c>
      <c r="BX1079" s="1720" t="s">
        <v>1808</v>
      </c>
      <c r="BY1079" s="1772"/>
    </row>
    <row r="1080" spans="72:77" x14ac:dyDescent="0.3">
      <c r="BT1080" s="197">
        <f>IF(COUNTIF(BU$76:BU1080,BU1080)=1,MAX(BT$76:BT1079)+1,"")</f>
        <v>137</v>
      </c>
      <c r="BU1080" s="1720">
        <v>502.5</v>
      </c>
      <c r="BV1080" s="1720">
        <v>205</v>
      </c>
      <c r="BW1080" s="1720">
        <v>570</v>
      </c>
      <c r="BX1080" s="1720" t="s">
        <v>1809</v>
      </c>
      <c r="BY1080" s="1772"/>
    </row>
    <row r="1081" spans="72:77" x14ac:dyDescent="0.3">
      <c r="BT1081" s="197">
        <f>IF(COUNTIF(BU$76:BU1081,BU1081)=1,MAX(BT$76:BT1080)+1,"")</f>
        <v>138</v>
      </c>
      <c r="BU1081" s="1720">
        <v>505</v>
      </c>
      <c r="BV1081" s="1720">
        <v>680</v>
      </c>
      <c r="BW1081" s="1720">
        <v>610</v>
      </c>
      <c r="BX1081" s="1720" t="s">
        <v>1807</v>
      </c>
      <c r="BY1081" s="1772"/>
    </row>
    <row r="1082" spans="72:77" x14ac:dyDescent="0.3">
      <c r="BT1082" s="197" t="str">
        <f>IF(COUNTIF(BU$76:BU1082,BU1082)=1,MAX(BT$76:BT1081)+1,"")</f>
        <v/>
      </c>
      <c r="BU1082" s="1720">
        <v>505</v>
      </c>
      <c r="BV1082" s="1720">
        <v>245</v>
      </c>
      <c r="BW1082" s="1720">
        <v>550</v>
      </c>
      <c r="BX1082" s="1720" t="s">
        <v>1808</v>
      </c>
      <c r="BY1082" s="1772"/>
    </row>
    <row r="1083" spans="72:77" x14ac:dyDescent="0.3">
      <c r="BT1083" s="197">
        <f>IF(COUNTIF(BU$76:BU1083,BU1083)=1,MAX(BT$76:BT1082)+1,"")</f>
        <v>139</v>
      </c>
      <c r="BU1083" s="1720">
        <v>507.5</v>
      </c>
      <c r="BV1083" s="1720">
        <v>580</v>
      </c>
      <c r="BW1083" s="1720">
        <v>570</v>
      </c>
      <c r="BX1083" s="1720" t="s">
        <v>1810</v>
      </c>
      <c r="BY1083" s="1772"/>
    </row>
    <row r="1084" spans="72:77" x14ac:dyDescent="0.3">
      <c r="BT1084" s="197" t="str">
        <f>IF(COUNTIF(BU$76:BU1084,BU1084)=1,MAX(BT$76:BT1083)+1,"")</f>
        <v/>
      </c>
      <c r="BU1084" s="1720">
        <v>507.5</v>
      </c>
      <c r="BV1084" s="1720">
        <v>545</v>
      </c>
      <c r="BW1084" s="1720">
        <v>610</v>
      </c>
      <c r="BX1084" s="1720" t="s">
        <v>1810</v>
      </c>
      <c r="BY1084" s="1772"/>
    </row>
    <row r="1085" spans="72:77" x14ac:dyDescent="0.3">
      <c r="BT1085" s="197">
        <f>IF(COUNTIF(BU$76:BU1085,BU1085)=1,MAX(BT$76:BT1084)+1,"")</f>
        <v>140</v>
      </c>
      <c r="BU1085" s="1720">
        <v>510</v>
      </c>
      <c r="BV1085" s="1720">
        <v>120</v>
      </c>
      <c r="BW1085" s="1720">
        <v>610</v>
      </c>
      <c r="BX1085" s="1720" t="s">
        <v>1811</v>
      </c>
      <c r="BY1085" s="1772"/>
    </row>
    <row r="1086" spans="72:77" x14ac:dyDescent="0.3">
      <c r="BT1086" s="197" t="str">
        <f>IF(COUNTIF(BU$76:BU1086,BU1086)=1,MAX(BT$76:BT1085)+1,"")</f>
        <v/>
      </c>
      <c r="BU1086" s="1720">
        <v>510</v>
      </c>
      <c r="BV1086" s="1720">
        <v>120</v>
      </c>
      <c r="BW1086" s="1720">
        <v>570</v>
      </c>
      <c r="BX1086" s="1720" t="s">
        <v>1811</v>
      </c>
      <c r="BY1086" s="1772"/>
    </row>
    <row r="1087" spans="72:77" x14ac:dyDescent="0.3">
      <c r="BT1087" s="197" t="str">
        <f>IF(COUNTIF(BU$76:BU1087,BU1087)=1,MAX(BT$76:BT1086)+1,"")</f>
        <v/>
      </c>
      <c r="BU1087" s="1720">
        <v>510</v>
      </c>
      <c r="BV1087" s="1720">
        <v>120</v>
      </c>
      <c r="BW1087" s="1720">
        <v>610</v>
      </c>
      <c r="BX1087" s="1720" t="s">
        <v>1811</v>
      </c>
      <c r="BY1087" s="1772"/>
    </row>
    <row r="1088" spans="72:77" x14ac:dyDescent="0.3">
      <c r="BT1088" s="197" t="str">
        <f>IF(COUNTIF(BU$76:BU1088,BU1088)=1,MAX(BT$76:BT1087)+1,"")</f>
        <v/>
      </c>
      <c r="BU1088" s="1720">
        <v>510</v>
      </c>
      <c r="BV1088" s="1720">
        <v>120</v>
      </c>
      <c r="BW1088" s="1720">
        <v>610</v>
      </c>
      <c r="BX1088" s="1720" t="s">
        <v>1811</v>
      </c>
      <c r="BY1088" s="1772"/>
    </row>
    <row r="1089" spans="72:77" x14ac:dyDescent="0.3">
      <c r="BT1089" s="197">
        <f>IF(COUNTIF(BU$76:BU1089,BU1089)=1,MAX(BT$76:BT1088)+1,"")</f>
        <v>141</v>
      </c>
      <c r="BU1089" s="1720">
        <v>515</v>
      </c>
      <c r="BV1089" s="1720">
        <v>265</v>
      </c>
      <c r="BW1089" s="1720">
        <v>610</v>
      </c>
      <c r="BX1089" s="1720" t="s">
        <v>1794</v>
      </c>
      <c r="BY1089" s="1772"/>
    </row>
    <row r="1090" spans="72:77" x14ac:dyDescent="0.3">
      <c r="BT1090" s="197">
        <f>IF(COUNTIF(BU$76:BU1090,BU1090)=1,MAX(BT$76:BT1089)+1,"")</f>
        <v>142</v>
      </c>
      <c r="BU1090" s="1720">
        <v>517.5</v>
      </c>
      <c r="BV1090" s="1720">
        <v>510</v>
      </c>
      <c r="BW1090" s="1720">
        <v>610</v>
      </c>
      <c r="BX1090" s="1720" t="s">
        <v>1812</v>
      </c>
      <c r="BY1090" s="1772"/>
    </row>
    <row r="1091" spans="72:77" x14ac:dyDescent="0.3">
      <c r="BT1091" s="197">
        <f>IF(COUNTIF(BU$76:BU1091,BU1091)=1,MAX(BT$76:BT1090)+1,"")</f>
        <v>143</v>
      </c>
      <c r="BU1091" s="1720">
        <v>520</v>
      </c>
      <c r="BV1091" s="1720">
        <v>230</v>
      </c>
      <c r="BW1091" s="1720">
        <v>570</v>
      </c>
      <c r="BX1091" s="1720" t="s">
        <v>1813</v>
      </c>
      <c r="BY1091" s="1772" t="s">
        <v>1875</v>
      </c>
    </row>
    <row r="1092" spans="72:77" x14ac:dyDescent="0.3">
      <c r="BT1092" s="197" t="str">
        <f>IF(COUNTIF(BU$76:BU1092,BU1092)=1,MAX(BT$76:BT1091)+1,"")</f>
        <v/>
      </c>
      <c r="BU1092" s="1720">
        <v>520</v>
      </c>
      <c r="BV1092" s="1720">
        <v>615</v>
      </c>
      <c r="BW1092" s="1720">
        <v>570</v>
      </c>
      <c r="BX1092" s="1720" t="s">
        <v>1814</v>
      </c>
      <c r="BY1092" s="1772"/>
    </row>
    <row r="1093" spans="72:77" x14ac:dyDescent="0.3">
      <c r="BT1093" s="197" t="str">
        <f>IF(COUNTIF(BU$76:BU1093,BU1093)=1,MAX(BT$76:BT1092)+1,"")</f>
        <v/>
      </c>
      <c r="BU1093" s="1720">
        <v>520</v>
      </c>
      <c r="BV1093" s="1720">
        <v>510</v>
      </c>
      <c r="BW1093" s="1720">
        <v>570</v>
      </c>
      <c r="BX1093" s="1720" t="s">
        <v>1812</v>
      </c>
      <c r="BY1093" s="1772"/>
    </row>
    <row r="1094" spans="72:77" x14ac:dyDescent="0.3">
      <c r="BT1094" s="197">
        <f>IF(COUNTIF(BU$76:BU1094,BU1094)=1,MAX(BT$76:BT1093)+1,"")</f>
        <v>144</v>
      </c>
      <c r="BU1094" s="1720">
        <v>522.5</v>
      </c>
      <c r="BV1094" s="1720">
        <v>510</v>
      </c>
      <c r="BW1094" s="1720">
        <v>610</v>
      </c>
      <c r="BX1094" s="1720" t="s">
        <v>1815</v>
      </c>
      <c r="BY1094" s="1772"/>
    </row>
    <row r="1095" spans="72:77" x14ac:dyDescent="0.3">
      <c r="BT1095" s="197" t="str">
        <f>IF(COUNTIF(BU$76:BU1095,BU1095)=1,MAX(BT$76:BT1094)+1,"")</f>
        <v/>
      </c>
      <c r="BU1095" s="1720">
        <v>522.5</v>
      </c>
      <c r="BV1095" s="1720">
        <v>277</v>
      </c>
      <c r="BW1095" s="1720">
        <v>570</v>
      </c>
      <c r="BX1095" s="1720" t="s">
        <v>1813</v>
      </c>
      <c r="BY1095" s="1772"/>
    </row>
    <row r="1096" spans="72:77" x14ac:dyDescent="0.3">
      <c r="BT1096" s="197">
        <f>IF(COUNTIF(BU$76:BU1096,BU1096)=1,MAX(BT$76:BT1095)+1,"")</f>
        <v>145</v>
      </c>
      <c r="BU1096" s="1720">
        <v>525</v>
      </c>
      <c r="BV1096" s="1720">
        <v>165</v>
      </c>
      <c r="BW1096" s="1720">
        <v>610</v>
      </c>
      <c r="BX1096" s="1720" t="s">
        <v>1816</v>
      </c>
      <c r="BY1096" s="1772"/>
    </row>
    <row r="1097" spans="72:77" x14ac:dyDescent="0.3">
      <c r="BT1097" s="197" t="str">
        <f>IF(COUNTIF(BU$76:BU1097,BU1097)=1,MAX(BT$76:BT1096)+1,"")</f>
        <v/>
      </c>
      <c r="BU1097" s="1720">
        <v>525</v>
      </c>
      <c r="BV1097" s="1720">
        <v>615</v>
      </c>
      <c r="BW1097" s="1720">
        <v>570</v>
      </c>
      <c r="BX1097" s="1720" t="s">
        <v>1817</v>
      </c>
      <c r="BY1097" s="1772"/>
    </row>
    <row r="1098" spans="72:77" x14ac:dyDescent="0.3">
      <c r="BT1098" s="197">
        <f>IF(COUNTIF(BU$76:BU1098,BU1098)=1,MAX(BT$76:BT1097)+1,"")</f>
        <v>146</v>
      </c>
      <c r="BU1098" s="1720">
        <v>527.5</v>
      </c>
      <c r="BV1098" s="1720">
        <v>508</v>
      </c>
      <c r="BW1098" s="1720">
        <v>610</v>
      </c>
      <c r="BX1098" s="1720" t="s">
        <v>1818</v>
      </c>
      <c r="BY1098" s="1772"/>
    </row>
    <row r="1099" spans="72:77" x14ac:dyDescent="0.3">
      <c r="BT1099" s="197" t="str">
        <f>IF(COUNTIF(BU$76:BU1099,BU1099)=1,MAX(BT$76:BT1098)+1,"")</f>
        <v/>
      </c>
      <c r="BU1099" s="1720">
        <v>527.5</v>
      </c>
      <c r="BV1099" s="1720">
        <v>677</v>
      </c>
      <c r="BW1099" s="1720">
        <v>570</v>
      </c>
      <c r="BX1099" s="1720" t="s">
        <v>1807</v>
      </c>
      <c r="BY1099" s="1772" t="s">
        <v>1876</v>
      </c>
    </row>
    <row r="1100" spans="72:77" x14ac:dyDescent="0.3">
      <c r="BT1100" s="197">
        <f>IF(COUNTIF(BU$76:BU1100,BU1100)=1,MAX(BT$76:BT1099)+1,"")</f>
        <v>147</v>
      </c>
      <c r="BU1100" s="1720">
        <v>530</v>
      </c>
      <c r="BV1100" s="1720">
        <v>375</v>
      </c>
      <c r="BW1100" s="1720">
        <v>610</v>
      </c>
      <c r="BX1100" s="1720" t="s">
        <v>1819</v>
      </c>
      <c r="BY1100" s="1772" t="s">
        <v>1877</v>
      </c>
    </row>
    <row r="1101" spans="72:77" x14ac:dyDescent="0.3">
      <c r="BT1101" s="197" t="str">
        <f>IF(COUNTIF(BU$76:BU1101,BU1101)=1,MAX(BT$76:BT1100)+1,"")</f>
        <v/>
      </c>
      <c r="BU1101" s="1720">
        <v>530</v>
      </c>
      <c r="BV1101" s="1720">
        <v>374</v>
      </c>
      <c r="BW1101" s="1720">
        <v>610</v>
      </c>
      <c r="BX1101" s="1720" t="s">
        <v>1819</v>
      </c>
      <c r="BY1101" s="1772"/>
    </row>
    <row r="1102" spans="72:77" x14ac:dyDescent="0.3">
      <c r="BT1102" s="197">
        <f>IF(COUNTIF(BU$76:BU1102,BU1102)=1,MAX(BT$76:BT1101)+1,"")</f>
        <v>148</v>
      </c>
      <c r="BU1102" s="1720">
        <v>532.5</v>
      </c>
      <c r="BV1102" s="1720">
        <v>550</v>
      </c>
      <c r="BW1102" s="1720">
        <v>610</v>
      </c>
      <c r="BX1102" s="1720" t="s">
        <v>1820</v>
      </c>
      <c r="BY1102" s="1772"/>
    </row>
    <row r="1103" spans="72:77" x14ac:dyDescent="0.3">
      <c r="BT1103" s="197">
        <f>IF(COUNTIF(BU$76:BU1103,BU1103)=1,MAX(BT$76:BT1102)+1,"")</f>
        <v>149</v>
      </c>
      <c r="BU1103" s="1720">
        <v>535</v>
      </c>
      <c r="BV1103" s="1720">
        <v>170</v>
      </c>
      <c r="BW1103" s="1720">
        <v>610</v>
      </c>
      <c r="BX1103" s="1720" t="s">
        <v>1821</v>
      </c>
      <c r="BY1103" s="1772" t="s">
        <v>1878</v>
      </c>
    </row>
    <row r="1104" spans="72:77" x14ac:dyDescent="0.3">
      <c r="BT1104" s="197">
        <f>IF(COUNTIF(BU$76:BU1104,BU1104)=1,MAX(BT$76:BT1103)+1,"")</f>
        <v>150</v>
      </c>
      <c r="BU1104" s="1720">
        <v>537.5</v>
      </c>
      <c r="BV1104" s="1720">
        <v>260</v>
      </c>
      <c r="BW1104" s="1720">
        <v>610</v>
      </c>
      <c r="BX1104" s="1720" t="s">
        <v>1822</v>
      </c>
      <c r="BY1104" s="1772"/>
    </row>
    <row r="1105" spans="72:77" x14ac:dyDescent="0.3">
      <c r="BT1105" s="197">
        <f>IF(COUNTIF(BU$76:BU1105,BU1105)=1,MAX(BT$76:BT1104)+1,"")</f>
        <v>151</v>
      </c>
      <c r="BU1105" s="1720">
        <v>545</v>
      </c>
      <c r="BV1105" s="1720">
        <v>403</v>
      </c>
      <c r="BW1105" s="1720">
        <v>640</v>
      </c>
      <c r="BX1105" s="1720" t="s">
        <v>1823</v>
      </c>
      <c r="BY1105" s="1772"/>
    </row>
    <row r="1106" spans="72:77" x14ac:dyDescent="0.3">
      <c r="BT1106" s="197">
        <f>IF(COUNTIF(BU$76:BU1106,BU1106)=1,MAX(BT$76:BT1105)+1,"")</f>
        <v>152</v>
      </c>
      <c r="BU1106" s="1720">
        <v>547.5</v>
      </c>
      <c r="BV1106" s="1720">
        <v>263</v>
      </c>
      <c r="BW1106" s="1720">
        <v>610</v>
      </c>
      <c r="BX1106" s="1720" t="s">
        <v>1822</v>
      </c>
      <c r="BY1106" s="1772"/>
    </row>
    <row r="1107" spans="72:77" x14ac:dyDescent="0.3">
      <c r="BT1107" s="197">
        <f>IF(COUNTIF(BU$76:BU1107,BU1107)=1,MAX(BT$76:BT1106)+1,"")</f>
        <v>153</v>
      </c>
      <c r="BU1107" s="1720">
        <v>555</v>
      </c>
      <c r="BV1107" s="1720">
        <v>135</v>
      </c>
      <c r="BW1107" s="1720">
        <v>640</v>
      </c>
      <c r="BX1107" s="1720" t="s">
        <v>1824</v>
      </c>
      <c r="BY1107" s="1772"/>
    </row>
    <row r="1108" spans="72:77" x14ac:dyDescent="0.3">
      <c r="BT1108" s="197" t="str">
        <f>IF(COUNTIF(BU$76:BU1108,BU1108)=1,MAX(BT$76:BT1107)+1,"")</f>
        <v/>
      </c>
      <c r="BU1108" s="1720">
        <v>555</v>
      </c>
      <c r="BV1108" s="1720">
        <v>132</v>
      </c>
      <c r="BW1108" s="1720">
        <v>640</v>
      </c>
      <c r="BX1108" s="1720" t="s">
        <v>1824</v>
      </c>
      <c r="BY1108" s="1772"/>
    </row>
    <row r="1109" spans="72:77" x14ac:dyDescent="0.3">
      <c r="BT1109" s="197" t="str">
        <f>IF(COUNTIF(BU$76:BU1109,BU1109)=1,MAX(BT$76:BT1108)+1,"")</f>
        <v/>
      </c>
      <c r="BU1109" s="1720">
        <v>555</v>
      </c>
      <c r="BV1109" s="1720">
        <v>645</v>
      </c>
      <c r="BW1109" s="1720">
        <v>640</v>
      </c>
      <c r="BX1109" s="1720" t="s">
        <v>1825</v>
      </c>
      <c r="BY1109" s="1772" t="s">
        <v>1879</v>
      </c>
    </row>
    <row r="1110" spans="72:77" x14ac:dyDescent="0.3">
      <c r="BT1110" s="197">
        <f>IF(COUNTIF(BU$76:BU1110,BU1110)=1,MAX(BT$76:BT1109)+1,"")</f>
        <v>154</v>
      </c>
      <c r="BU1110" s="1720">
        <v>560</v>
      </c>
      <c r="BV1110" s="1720">
        <v>135</v>
      </c>
      <c r="BW1110" s="1720">
        <v>610</v>
      </c>
      <c r="BX1110" s="1720" t="s">
        <v>1824</v>
      </c>
      <c r="BY1110" s="1772"/>
    </row>
    <row r="1111" spans="72:77" x14ac:dyDescent="0.3">
      <c r="BT1111" s="197">
        <f>IF(COUNTIF(BU$76:BU1111,BU1111)=1,MAX(BT$76:BT1110)+1,"")</f>
        <v>155</v>
      </c>
      <c r="BU1111" s="1720">
        <v>565</v>
      </c>
      <c r="BV1111" s="1720">
        <v>350</v>
      </c>
      <c r="BW1111" s="1720">
        <v>640</v>
      </c>
      <c r="BX1111" s="1720" t="s">
        <v>1797</v>
      </c>
      <c r="BY1111" s="1772" t="s">
        <v>1880</v>
      </c>
    </row>
    <row r="1112" spans="72:77" x14ac:dyDescent="0.3">
      <c r="BT1112" s="197" t="str">
        <f>IF(COUNTIF(BU$76:BU1112,BU1112)=1,MAX(BT$76:BT1111)+1,"")</f>
        <v/>
      </c>
      <c r="BU1112" s="1720">
        <v>565</v>
      </c>
      <c r="BV1112" s="1720">
        <v>588</v>
      </c>
      <c r="BW1112" s="1720">
        <v>640</v>
      </c>
      <c r="BX1112" s="1720" t="s">
        <v>1810</v>
      </c>
      <c r="BY1112" s="1772"/>
    </row>
    <row r="1113" spans="72:77" x14ac:dyDescent="0.3">
      <c r="BT1113" s="197">
        <f>IF(COUNTIF(BU$76:BU1113,BU1113)=1,MAX(BT$76:BT1112)+1,"")</f>
        <v>156</v>
      </c>
      <c r="BU1113" s="1720">
        <v>572.5</v>
      </c>
      <c r="BV1113" s="1720">
        <v>645</v>
      </c>
      <c r="BW1113" s="1720">
        <v>670</v>
      </c>
      <c r="BX1113" s="1720" t="s">
        <v>1825</v>
      </c>
      <c r="BY1113" s="1772"/>
    </row>
    <row r="1114" spans="72:77" x14ac:dyDescent="0.3">
      <c r="BT1114" s="197">
        <f>IF(COUNTIF(BU$76:BU1114,BU1114)=1,MAX(BT$76:BT1113)+1,"")</f>
        <v>157</v>
      </c>
      <c r="BU1114" s="1720">
        <v>575</v>
      </c>
      <c r="BV1114" s="1720">
        <v>280</v>
      </c>
      <c r="BW1114" s="1720">
        <v>640</v>
      </c>
      <c r="BX1114" s="1720" t="s">
        <v>1802</v>
      </c>
      <c r="BY1114" s="1772" t="s">
        <v>1880</v>
      </c>
    </row>
    <row r="1115" spans="72:77" x14ac:dyDescent="0.3">
      <c r="BT1115" s="197" t="str">
        <f>IF(COUNTIF(BU$76:BU1115,BU1115)=1,MAX(BT$76:BT1114)+1,"")</f>
        <v/>
      </c>
      <c r="BU1115" s="1720">
        <v>575</v>
      </c>
      <c r="BV1115" s="1720">
        <v>483</v>
      </c>
      <c r="BW1115" s="1720">
        <v>640</v>
      </c>
      <c r="BX1115" s="1720" t="s">
        <v>1826</v>
      </c>
      <c r="BY1115" s="1772"/>
    </row>
    <row r="1116" spans="72:77" x14ac:dyDescent="0.3">
      <c r="BT1116" s="197">
        <f>IF(COUNTIF(BU$76:BU1116,BU1116)=1,MAX(BT$76:BT1115)+1,"")</f>
        <v>158</v>
      </c>
      <c r="BU1116" s="1720">
        <v>580</v>
      </c>
      <c r="BV1116" s="1720">
        <v>457</v>
      </c>
      <c r="BW1116" s="1720">
        <v>670</v>
      </c>
      <c r="BX1116" s="1720" t="s">
        <v>1826</v>
      </c>
      <c r="BY1116" s="1772"/>
    </row>
    <row r="1117" spans="72:77" x14ac:dyDescent="0.3">
      <c r="BT1117" s="197">
        <f>IF(COUNTIF(BU$76:BU1117,BU1117)=1,MAX(BT$76:BT1116)+1,"")</f>
        <v>159</v>
      </c>
      <c r="BU1117" s="1720">
        <v>585</v>
      </c>
      <c r="BV1117" s="1720">
        <v>315</v>
      </c>
      <c r="BW1117" s="1720">
        <v>700</v>
      </c>
      <c r="BX1117" s="1720" t="s">
        <v>1827</v>
      </c>
      <c r="BY1117" s="1772" t="s">
        <v>1881</v>
      </c>
    </row>
    <row r="1118" spans="72:77" x14ac:dyDescent="0.3">
      <c r="BT1118" s="197" t="str">
        <f>IF(COUNTIF(BU$76:BU1118,BU1118)=1,MAX(BT$76:BT1117)+1,"")</f>
        <v/>
      </c>
      <c r="BU1118" s="1720">
        <v>585</v>
      </c>
      <c r="BV1118" s="1720">
        <v>360</v>
      </c>
      <c r="BW1118" s="1720">
        <v>670</v>
      </c>
      <c r="BX1118" s="1720" t="s">
        <v>1828</v>
      </c>
      <c r="BY1118" s="1772"/>
    </row>
    <row r="1119" spans="72:77" x14ac:dyDescent="0.3">
      <c r="BT1119" s="197">
        <f>IF(COUNTIF(BU$76:BU1119,BU1119)=1,MAX(BT$76:BT1118)+1,"")</f>
        <v>160</v>
      </c>
      <c r="BU1119" s="1720">
        <v>590</v>
      </c>
      <c r="BV1119" s="1720">
        <v>363</v>
      </c>
      <c r="BW1119" s="1720">
        <v>700</v>
      </c>
      <c r="BX1119" s="1720" t="s">
        <v>1828</v>
      </c>
      <c r="BY1119" s="1772" t="s">
        <v>1882</v>
      </c>
    </row>
    <row r="1120" spans="72:77" x14ac:dyDescent="0.3">
      <c r="BT1120" s="197">
        <f>IF(COUNTIF(BU$76:BU1120,BU1120)=1,MAX(BT$76:BT1119)+1,"")</f>
        <v>161</v>
      </c>
      <c r="BU1120" s="1720">
        <v>592.5</v>
      </c>
      <c r="BV1120" s="1720">
        <v>270</v>
      </c>
      <c r="BW1120" s="1720">
        <v>700</v>
      </c>
      <c r="BX1120" s="1720" t="s">
        <v>1829</v>
      </c>
      <c r="BY1120" s="1772"/>
    </row>
    <row r="1121" spans="72:77" x14ac:dyDescent="0.3">
      <c r="BT1121" s="197">
        <f>IF(COUNTIF(BU$76:BU1121,BU1121)=1,MAX(BT$76:BT1120)+1,"")</f>
        <v>162</v>
      </c>
      <c r="BU1121" s="1720">
        <v>595</v>
      </c>
      <c r="BV1121" s="1720">
        <v>300</v>
      </c>
      <c r="BW1121" s="1720">
        <v>670</v>
      </c>
      <c r="BX1121" s="1720" t="s">
        <v>1830</v>
      </c>
      <c r="BY1121" s="1772"/>
    </row>
    <row r="1122" spans="72:77" x14ac:dyDescent="0.3">
      <c r="BT1122" s="197">
        <f>IF(COUNTIF(BU$76:BU1122,BU1122)=1,MAX(BT$76:BT1121)+1,"")</f>
        <v>163</v>
      </c>
      <c r="BU1122" s="1720">
        <v>597.5</v>
      </c>
      <c r="BV1122" s="1720">
        <v>592</v>
      </c>
      <c r="BW1122" s="1720">
        <v>700</v>
      </c>
      <c r="BX1122" s="1720" t="s">
        <v>1831</v>
      </c>
      <c r="BY1122" s="1772"/>
    </row>
    <row r="1123" spans="72:77" x14ac:dyDescent="0.3">
      <c r="BT1123" s="197">
        <f>IF(COUNTIF(BU$76:BU1123,BU1123)=1,MAX(BT$76:BT1122)+1,"")</f>
        <v>164</v>
      </c>
      <c r="BU1123" s="1720">
        <v>600</v>
      </c>
      <c r="BV1123" s="1720">
        <v>260</v>
      </c>
      <c r="BW1123" s="1720">
        <v>670</v>
      </c>
      <c r="BX1123" s="1720" t="s">
        <v>1832</v>
      </c>
      <c r="BY1123" s="1772"/>
    </row>
    <row r="1124" spans="72:77" x14ac:dyDescent="0.3">
      <c r="BT1124" s="197">
        <f>IF(COUNTIF(BU$76:BU1124,BU1124)=1,MAX(BT$76:BT1123)+1,"")</f>
        <v>165</v>
      </c>
      <c r="BU1124" s="1720">
        <v>610</v>
      </c>
      <c r="BV1124" s="1720">
        <v>643</v>
      </c>
      <c r="BW1124" s="1720">
        <v>670</v>
      </c>
      <c r="BX1124" s="1720" t="s">
        <v>1831</v>
      </c>
      <c r="BY1124" s="1772"/>
    </row>
    <row r="1125" spans="72:77" x14ac:dyDescent="0.3">
      <c r="BT1125" s="197" t="str">
        <f>IF(COUNTIF(BU$76:BU1125,BU1125)=1,MAX(BT$76:BT1124)+1,"")</f>
        <v/>
      </c>
      <c r="BU1125" s="1720">
        <v>610</v>
      </c>
      <c r="BV1125" s="1720">
        <v>420</v>
      </c>
      <c r="BW1125" s="1720">
        <v>700</v>
      </c>
      <c r="BX1125" s="1720" t="s">
        <v>1833</v>
      </c>
      <c r="BY1125" s="1772"/>
    </row>
    <row r="1126" spans="72:77" x14ac:dyDescent="0.3">
      <c r="BT1126" s="197">
        <f>IF(COUNTIF(BU$76:BU1126,BU1126)=1,MAX(BT$76:BT1125)+1,"")</f>
        <v>166</v>
      </c>
      <c r="BU1126" s="1720">
        <v>620</v>
      </c>
      <c r="BV1126" s="1720">
        <v>640</v>
      </c>
      <c r="BW1126" s="1720">
        <v>700</v>
      </c>
      <c r="BX1126" s="1720" t="s">
        <v>1831</v>
      </c>
      <c r="BY1126" s="1772"/>
    </row>
    <row r="1127" spans="72:77" x14ac:dyDescent="0.3">
      <c r="BT1127" s="197">
        <f>IF(COUNTIF(BU$76:BU1127,BU1127)=1,MAX(BT$76:BT1126)+1,"")</f>
        <v>167</v>
      </c>
      <c r="BU1127" s="1720">
        <v>622.5</v>
      </c>
      <c r="BV1127" s="1720">
        <v>200</v>
      </c>
      <c r="BW1127" s="1720">
        <v>700</v>
      </c>
      <c r="BX1127" s="1720" t="s">
        <v>1834</v>
      </c>
      <c r="BY1127" s="1772" t="s">
        <v>1883</v>
      </c>
    </row>
    <row r="1128" spans="72:77" x14ac:dyDescent="0.3">
      <c r="BT1128" s="197">
        <f>IF(COUNTIF(BU$76:BU1128,BU1128)=1,MAX(BT$76:BT1127)+1,"")</f>
        <v>168</v>
      </c>
      <c r="BU1128" s="1720">
        <v>625</v>
      </c>
      <c r="BV1128" s="1720">
        <v>200</v>
      </c>
      <c r="BW1128" s="1720">
        <v>700</v>
      </c>
      <c r="BX1128" s="1720" t="s">
        <v>1835</v>
      </c>
      <c r="BY1128" s="1772"/>
    </row>
    <row r="1129" spans="72:77" ht="28.8" x14ac:dyDescent="0.3">
      <c r="BT1129" s="197">
        <f>IF(COUNTIF(BU$76:BU1129,BU1129)=1,MAX(BT$76:BT1128)+1,"")</f>
        <v>169</v>
      </c>
      <c r="BU1129" s="1720">
        <v>627.5</v>
      </c>
      <c r="BV1129" s="1720">
        <v>200</v>
      </c>
      <c r="BW1129" s="1720">
        <v>670</v>
      </c>
      <c r="BX1129" s="1720" t="s">
        <v>1836</v>
      </c>
      <c r="BY1129" s="1772" t="s">
        <v>1884</v>
      </c>
    </row>
    <row r="1130" spans="72:77" x14ac:dyDescent="0.3">
      <c r="BT1130" s="197">
        <f>IF(COUNTIF(BU$76:BU1130,BU1130)=1,MAX(BT$76:BT1129)+1,"")</f>
        <v>170</v>
      </c>
      <c r="BU1130" s="1720">
        <v>630</v>
      </c>
      <c r="BV1130" s="1720">
        <v>420</v>
      </c>
      <c r="BW1130" s="1720">
        <v>700</v>
      </c>
      <c r="BX1130" s="1720" t="s">
        <v>1837</v>
      </c>
      <c r="BY1130" s="1772"/>
    </row>
    <row r="1131" spans="72:77" x14ac:dyDescent="0.3">
      <c r="BT1131" s="197">
        <f>IF(COUNTIF(BU$76:BU1131,BU1131)=1,MAX(BT$76:BT1130)+1,"")</f>
        <v>171</v>
      </c>
      <c r="BU1131" s="1720">
        <v>635</v>
      </c>
      <c r="BV1131" s="1720">
        <v>320</v>
      </c>
      <c r="BW1131" s="1720">
        <v>700</v>
      </c>
      <c r="BX1131" s="1720" t="s">
        <v>1838</v>
      </c>
      <c r="BY1131" s="1772"/>
    </row>
    <row r="1132" spans="72:77" x14ac:dyDescent="0.3">
      <c r="BT1132" s="197" t="str">
        <f>IF(COUNTIF(BU$76:BU1132,BU1132)=1,MAX(BT$76:BT1131)+1,"")</f>
        <v/>
      </c>
      <c r="BU1132" s="1720">
        <v>635</v>
      </c>
      <c r="BV1132" s="1720">
        <v>420</v>
      </c>
      <c r="BW1132" s="1720">
        <v>700</v>
      </c>
      <c r="BX1132" s="1720" t="s">
        <v>1839</v>
      </c>
      <c r="BY1132" s="1772"/>
    </row>
    <row r="1133" spans="72:77" x14ac:dyDescent="0.3">
      <c r="BT1133" s="197">
        <f>IF(COUNTIF(BU$76:BU1133,BU1133)=1,MAX(BT$76:BT1132)+1,"")</f>
        <v>172</v>
      </c>
      <c r="BU1133" s="1720">
        <v>637.5</v>
      </c>
      <c r="BV1133" s="1720">
        <v>470</v>
      </c>
      <c r="BW1133" s="1720">
        <v>700</v>
      </c>
      <c r="BX1133" s="1720">
        <v>7260106</v>
      </c>
      <c r="BY1133" s="1772"/>
    </row>
    <row r="1134" spans="72:77" x14ac:dyDescent="0.3">
      <c r="BT1134" s="197">
        <f>IF(COUNTIF(BU$76:BU1134,BU1134)=1,MAX(BT$76:BT1133)+1,"")</f>
        <v>173</v>
      </c>
      <c r="BU1134" s="1720">
        <v>642.5</v>
      </c>
      <c r="BV1134" s="1720">
        <v>575</v>
      </c>
      <c r="BW1134" s="1720">
        <v>700</v>
      </c>
      <c r="BX1134" s="1720" t="s">
        <v>1840</v>
      </c>
      <c r="BY1134" s="1772" t="s">
        <v>1885</v>
      </c>
    </row>
    <row r="1135" spans="72:77" x14ac:dyDescent="0.3">
      <c r="BT1135" s="197">
        <f>IF(COUNTIF(BU$76:BU1135,BU1135)=1,MAX(BT$76:BT1134)+1,"")</f>
        <v>174</v>
      </c>
      <c r="BU1135" s="1720">
        <v>650</v>
      </c>
      <c r="BV1135" s="1720">
        <v>155</v>
      </c>
      <c r="BW1135" s="1720">
        <v>700</v>
      </c>
      <c r="BX1135" s="1720" t="s">
        <v>1841</v>
      </c>
      <c r="BY1135" s="1772" t="s">
        <v>1886</v>
      </c>
    </row>
    <row r="1136" spans="72:77" x14ac:dyDescent="0.3">
      <c r="BT1136" s="197" t="str">
        <f>IF(COUNTIF(BU$76:BU1136,BU1136)=1,MAX(BT$76:BT1135)+1,"")</f>
        <v/>
      </c>
      <c r="BU1136" s="1720">
        <v>650</v>
      </c>
      <c r="BV1136" s="1720">
        <v>153</v>
      </c>
      <c r="BW1136" s="1720">
        <v>700</v>
      </c>
      <c r="BX1136" s="1720" t="s">
        <v>1841</v>
      </c>
      <c r="BY1136" s="1772" t="s">
        <v>1887</v>
      </c>
    </row>
    <row r="1137" spans="72:77" x14ac:dyDescent="0.3">
      <c r="BT1137" s="197" t="str">
        <f>IF(COUNTIF(BU$76:BU1137,BU1137)=1,MAX(BT$76:BT1136)+1,"")</f>
        <v/>
      </c>
      <c r="BU1137" s="1720">
        <v>650</v>
      </c>
      <c r="BV1137" s="1720">
        <v>155</v>
      </c>
      <c r="BW1137" s="1720">
        <v>700</v>
      </c>
      <c r="BX1137" s="1720" t="s">
        <v>1841</v>
      </c>
      <c r="BY1137" s="1772"/>
    </row>
    <row r="1138" spans="72:77" x14ac:dyDescent="0.3">
      <c r="BT1138" s="197" t="str">
        <f>IF(COUNTIF(BU$76:BU1138,BU1138)=1,MAX(BT$76:BT1137)+1,"")</f>
        <v/>
      </c>
      <c r="BU1138" s="1720">
        <v>650</v>
      </c>
      <c r="BV1138" s="1720">
        <v>150</v>
      </c>
      <c r="BW1138" s="1720">
        <v>700</v>
      </c>
      <c r="BX1138" s="1720" t="s">
        <v>1841</v>
      </c>
      <c r="BY1138" s="1772"/>
    </row>
    <row r="1139" spans="72:77" x14ac:dyDescent="0.3">
      <c r="BT1139" s="197">
        <f>IF(COUNTIF(BU$76:BU1139,BU1139)=1,MAX(BT$76:BT1138)+1,"")</f>
        <v>175</v>
      </c>
      <c r="BU1139" s="1720">
        <v>652.5</v>
      </c>
      <c r="BV1139" s="1720">
        <v>154</v>
      </c>
      <c r="BW1139" s="1720">
        <v>700</v>
      </c>
      <c r="BX1139" s="1720" t="s">
        <v>1841</v>
      </c>
      <c r="BY1139" s="1772"/>
    </row>
    <row r="1140" spans="72:77" x14ac:dyDescent="0.3">
      <c r="BT1140" s="197" t="str">
        <f>IF(COUNTIF(BU$76:BU1140,BU1140)=1,MAX(BT$76:BT1139)+1,"")</f>
        <v/>
      </c>
      <c r="BU1140" s="1720">
        <v>652.5</v>
      </c>
      <c r="BV1140" s="1720">
        <v>150</v>
      </c>
      <c r="BW1140" s="1720">
        <v>700</v>
      </c>
      <c r="BX1140" s="1720" t="s">
        <v>1841</v>
      </c>
      <c r="BY1140" s="1772"/>
    </row>
    <row r="1141" spans="72:77" x14ac:dyDescent="0.3">
      <c r="BT1141" s="197">
        <f>IF(COUNTIF(BU$76:BU1141,BU1141)=1,MAX(BT$76:BT1140)+1,"")</f>
        <v>176</v>
      </c>
      <c r="BU1141" s="1720">
        <v>655</v>
      </c>
      <c r="BV1141" s="1720">
        <v>175</v>
      </c>
      <c r="BW1141" s="1720">
        <v>700</v>
      </c>
      <c r="BX1141" s="1720" t="s">
        <v>1842</v>
      </c>
      <c r="BY1141" s="1772"/>
    </row>
    <row r="1142" spans="72:77" x14ac:dyDescent="0.3">
      <c r="BT1142" s="197" t="str">
        <f>IF(COUNTIF(BU$76:BU1142,BU1142)=1,MAX(BT$76:BT1141)+1,"")</f>
        <v/>
      </c>
      <c r="BU1142" s="1720">
        <v>655</v>
      </c>
      <c r="BV1142" s="1720">
        <v>175</v>
      </c>
      <c r="BW1142" s="1720">
        <v>700</v>
      </c>
      <c r="BX1142" s="1720" t="s">
        <v>1842</v>
      </c>
      <c r="BY1142" s="1772"/>
    </row>
    <row r="1143" spans="72:77" x14ac:dyDescent="0.3">
      <c r="BT1143" s="197" t="str">
        <f>IF(COUNTIF(BU$76:BU1143,BU1143)=1,MAX(BT$76:BT1142)+1,"")</f>
        <v/>
      </c>
      <c r="BU1143" s="1720">
        <v>655</v>
      </c>
      <c r="BV1143" s="1720">
        <v>153</v>
      </c>
      <c r="BW1143" s="1720">
        <v>700</v>
      </c>
      <c r="BX1143" s="1720" t="s">
        <v>1841</v>
      </c>
      <c r="BY1143" s="1772"/>
    </row>
    <row r="1144" spans="72:77" x14ac:dyDescent="0.3">
      <c r="BT1144" s="197" t="str">
        <f>IF(COUNTIF(BU$76:BU1144,BU1144)=1,MAX(BT$76:BT1143)+1,"")</f>
        <v/>
      </c>
      <c r="BU1144" s="1720">
        <v>655</v>
      </c>
      <c r="BV1144" s="1720">
        <v>155</v>
      </c>
      <c r="BW1144" s="1720">
        <v>700</v>
      </c>
      <c r="BX1144" s="1720" t="s">
        <v>1841</v>
      </c>
      <c r="BY1144" s="1772"/>
    </row>
    <row r="1145" spans="72:77" x14ac:dyDescent="0.3">
      <c r="BT1145" s="197" t="str">
        <f>IF(COUNTIF(BU$76:BU1145,BU1145)=1,MAX(BT$76:BT1144)+1,"")</f>
        <v/>
      </c>
      <c r="BU1145" s="1720">
        <v>655</v>
      </c>
      <c r="BV1145" s="1720">
        <v>155</v>
      </c>
      <c r="BW1145" s="1720">
        <v>700</v>
      </c>
      <c r="BX1145" s="1720" t="s">
        <v>1841</v>
      </c>
      <c r="BY1145" s="1772"/>
    </row>
    <row r="1146" spans="72:77" x14ac:dyDescent="0.3">
      <c r="BT1146" s="197">
        <f>IF(COUNTIF(BU$76:BU1146,BU1146)=1,MAX(BT$76:BT1145)+1,"")</f>
        <v>177</v>
      </c>
      <c r="BU1146" s="1720">
        <v>657.5</v>
      </c>
      <c r="BV1146" s="1720">
        <v>150</v>
      </c>
      <c r="BW1146" s="1720">
        <v>700</v>
      </c>
      <c r="BX1146" s="1720" t="s">
        <v>1841</v>
      </c>
      <c r="BY1146" s="1772" t="s">
        <v>1886</v>
      </c>
    </row>
    <row r="1147" spans="72:77" x14ac:dyDescent="0.3">
      <c r="BT1147" s="197">
        <f>IF(COUNTIF(BU$76:BU1147,BU1147)=1,MAX(BT$76:BT1146)+1,"")</f>
        <v>178</v>
      </c>
      <c r="BU1147" s="1720">
        <v>660</v>
      </c>
      <c r="BV1147" s="1720">
        <v>150</v>
      </c>
      <c r="BW1147" s="1720">
        <v>700</v>
      </c>
      <c r="BX1147" s="1720" t="s">
        <v>1841</v>
      </c>
      <c r="BY1147" s="1772" t="s">
        <v>1886</v>
      </c>
    </row>
    <row r="1148" spans="72:77" x14ac:dyDescent="0.3">
      <c r="BT1148" s="197" t="str">
        <f>IF(COUNTIF(BU$76:BU1148,BU1148)=1,MAX(BT$76:BT1147)+1,"")</f>
        <v/>
      </c>
      <c r="BU1148" s="1720">
        <v>660</v>
      </c>
      <c r="BV1148" s="1720">
        <v>150</v>
      </c>
      <c r="BW1148" s="1720">
        <v>700</v>
      </c>
      <c r="BX1148" s="1720" t="s">
        <v>1841</v>
      </c>
      <c r="BY1148" s="1772"/>
    </row>
    <row r="1149" spans="72:77" x14ac:dyDescent="0.3">
      <c r="BT1149" s="197">
        <f>IF(COUNTIF(BU$76:BU1149,BU1149)=1,MAX(BT$76:BT1148)+1,"")</f>
        <v>179</v>
      </c>
      <c r="BU1149" s="1720">
        <v>665</v>
      </c>
      <c r="BV1149" s="1720">
        <v>175</v>
      </c>
      <c r="BW1149" s="1720"/>
      <c r="BX1149" s="1720" t="s">
        <v>1843</v>
      </c>
      <c r="BY1149" s="1772" t="s">
        <v>1888</v>
      </c>
    </row>
    <row r="1150" spans="72:77" x14ac:dyDescent="0.3">
      <c r="BT1150" s="197">
        <f>IF(COUNTIF(BU$76:BU1150,BU1150)=1,MAX(BT$76:BT1149)+1,"")</f>
        <v>180</v>
      </c>
      <c r="BU1150" s="1720">
        <v>667.5</v>
      </c>
      <c r="BV1150" s="1720">
        <v>173</v>
      </c>
      <c r="BW1150" s="1720">
        <v>700</v>
      </c>
      <c r="BX1150" s="1720" t="s">
        <v>1843</v>
      </c>
      <c r="BY1150" s="1772" t="s">
        <v>1886</v>
      </c>
    </row>
    <row r="1151" spans="72:77" ht="28.8" x14ac:dyDescent="0.3">
      <c r="BT1151" s="197">
        <f>IF(COUNTIF(BU$76:BU1151,BU1151)=1,MAX(BT$76:BT1150)+1,"")</f>
        <v>181</v>
      </c>
      <c r="BU1151" s="1720">
        <v>700</v>
      </c>
      <c r="BV1151" s="1720">
        <v>260</v>
      </c>
      <c r="BW1151" s="1720">
        <v>743</v>
      </c>
      <c r="BX1151" s="1720" t="s">
        <v>1844</v>
      </c>
      <c r="BY1151" s="1772" t="s">
        <v>1889</v>
      </c>
    </row>
    <row r="1152" spans="72:77" x14ac:dyDescent="0.3">
      <c r="BT1152" s="197">
        <f>IF(COUNTIF(BU$76:BU1152,BU1152)=1,MAX(BT$76:BT1151)+1,"")</f>
        <v>182</v>
      </c>
      <c r="BU1152" s="1720"/>
      <c r="BV1152" s="1720"/>
      <c r="BW1152" s="1720"/>
      <c r="BX1152" s="1720"/>
      <c r="BY1152" s="1772"/>
    </row>
    <row r="1153" spans="72:77" x14ac:dyDescent="0.3">
      <c r="BT1153" s="197">
        <f>IF(COUNTIF(BU$76:BU1153,BU1153)=1,MAX(BT$76:BT1152)+1,"")</f>
        <v>183</v>
      </c>
      <c r="BU1153" s="1720"/>
      <c r="BV1153" s="1720"/>
      <c r="BW1153" s="1720"/>
      <c r="BX1153" s="1720"/>
      <c r="BY1153" s="1772" t="s">
        <v>1890</v>
      </c>
    </row>
    <row r="1154" spans="72:77" x14ac:dyDescent="0.3">
      <c r="BT1154" s="197">
        <f>IF(COUNTIF(BU$76:BU1154,BU1154)=1,MAX(BT$76:BT1153)+1,"")</f>
        <v>184</v>
      </c>
      <c r="BU1154" s="1720"/>
      <c r="BV1154" s="1720"/>
      <c r="BW1154" s="1720"/>
      <c r="BX1154" s="1720"/>
      <c r="BY1154" s="1772"/>
    </row>
    <row r="1155" spans="72:77" x14ac:dyDescent="0.3">
      <c r="BT1155" s="197">
        <f>IF(COUNTIF(BU$76:BU1155,BU1155)=1,MAX(BT$76:BT1154)+1,"")</f>
        <v>185</v>
      </c>
      <c r="BU1155" s="1720"/>
      <c r="BV1155" s="1720"/>
      <c r="BW1155" s="1720"/>
      <c r="BX1155" s="1720"/>
      <c r="BY1155" s="1772"/>
    </row>
    <row r="1156" spans="72:77" x14ac:dyDescent="0.3">
      <c r="BT1156" s="197">
        <f>IF(COUNTIF(BU$76:BU1156,BU1156)=1,MAX(BT$76:BT1155)+1,"")</f>
        <v>186</v>
      </c>
      <c r="BU1156" s="1720"/>
      <c r="BV1156" s="1720"/>
      <c r="BW1156" s="1720"/>
      <c r="BX1156" s="1720"/>
      <c r="BY1156" s="1772"/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2024-07-17T06:31:46Z</cp:lastPrinted>
  <dcterms:created xsi:type="dcterms:W3CDTF">2006-09-16T00:00:00Z</dcterms:created>
  <dcterms:modified xsi:type="dcterms:W3CDTF">2024-07-24T11:42:16Z</dcterms:modified>
  <dc:language>ru-RU</dc:language>
</cp:coreProperties>
</file>