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5.xml" ContentType="application/vnd.ms-excel.controlpropertie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trlProps/ctrlProp10.xml" ContentType="application/vnd.ms-excel.controlproperties+xml"/>
  <Override PartName="/xl/drawings/drawing11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Kovalev\Documents\etc\"/>
    </mc:Choice>
  </mc:AlternateContent>
  <xr:revisionPtr revIDLastSave="0" documentId="13_ncr:1_{DEDBB658-461F-440D-A351-022EF3D62953}" xr6:coauthVersionLast="37" xr6:coauthVersionMax="37" xr10:uidLastSave="{00000000-0000-0000-0000-000000000000}"/>
  <bookViews>
    <workbookView minimized="1" xWindow="0" yWindow="0" windowWidth="23040" windowHeight="9060" tabRatio="720" firstSheet="2" activeTab="6" xr2:uid="{00000000-000D-0000-FFFF-FFFF00000000}"/>
  </bookViews>
  <sheets>
    <sheet name="Втулка" sheetId="1" r:id="rId1"/>
    <sheet name="Втулка с буртом" sheetId="4" r:id="rId2"/>
    <sheet name="цб" sheetId="5" r:id="rId3"/>
    <sheet name="цб с буртом" sheetId="6" r:id="rId4"/>
    <sheet name="Планка" sheetId="2" r:id="rId5"/>
    <sheet name="Планка К" sheetId="11" r:id="rId6"/>
    <sheet name="Ролик" sheetId="13" r:id="rId7"/>
    <sheet name="Подпятник" sheetId="8" r:id="rId8"/>
    <sheet name="Кольцо" sheetId="9" r:id="rId9"/>
    <sheet name="Бандаж" sheetId="14" r:id="rId10"/>
    <sheet name="Сухарь" sheetId="10" r:id="rId11"/>
    <sheet name="Болваны" sheetId="12" r:id="rId12"/>
    <sheet name="Данные" sheetId="3" r:id="rId13"/>
  </sheets>
  <externalReferences>
    <externalReference r:id="rId14"/>
    <externalReference r:id="rId15"/>
    <externalReference r:id="rId16"/>
  </externalReferences>
  <definedNames>
    <definedName name="_xlnm._FilterDatabase" localSheetId="12" hidden="1">Данные!$AD$1:$AE$1157</definedName>
    <definedName name="suhar">Сухарь!$A$62:$V$74</definedName>
    <definedName name="кок_с_буртом">Данные!$AR$4:$AX$150</definedName>
    <definedName name="Марка_мет">Данные!$A$3:$I$27</definedName>
    <definedName name="прип.ал">Данные!$A$161:$H$171</definedName>
    <definedName name="прип.лат">Данные!$A$175:$H$185</definedName>
    <definedName name="прип.ол">Данные!$A$190:$H$199</definedName>
    <definedName name="Стац.Болваны">Данные!$AZ$4:$BH$46</definedName>
  </definedNames>
  <calcPr calcId="179021" iterate="1"/>
</workbook>
</file>

<file path=xl/calcChain.xml><?xml version="1.0" encoding="utf-8"?>
<calcChain xmlns="http://schemas.openxmlformats.org/spreadsheetml/2006/main">
  <c r="S50" i="12" l="1"/>
  <c r="F14" i="5" l="1"/>
  <c r="Q29" i="12" l="1"/>
  <c r="J54" i="1" l="1"/>
  <c r="U11" i="5" l="1"/>
  <c r="B69" i="2" l="1"/>
  <c r="N7" i="12"/>
  <c r="D23" i="12" s="1"/>
  <c r="I26" i="12"/>
  <c r="G26" i="12"/>
  <c r="N199" i="3" s="1"/>
  <c r="P199" i="3" s="1"/>
  <c r="R199" i="3" s="1"/>
  <c r="N18" i="12" s="1"/>
  <c r="N21" i="12" s="1"/>
  <c r="G31" i="12"/>
  <c r="U35" i="12"/>
  <c r="H63" i="2"/>
  <c r="L49" i="12"/>
  <c r="C19" i="12"/>
  <c r="Q19" i="12"/>
  <c r="N29" i="12"/>
  <c r="N28" i="12"/>
  <c r="L11" i="12"/>
  <c r="N24" i="12" s="1"/>
  <c r="AA11" i="12"/>
  <c r="AA12" i="12" s="1"/>
  <c r="U10" i="12" s="1"/>
  <c r="I47" i="12"/>
  <c r="B42" i="12"/>
  <c r="G27" i="12"/>
  <c r="D24" i="12"/>
  <c r="N17" i="12"/>
  <c r="AA15" i="12"/>
  <c r="AA18" i="12" s="1"/>
  <c r="AA20" i="12"/>
  <c r="AC20" i="12" s="1"/>
  <c r="T34" i="12" s="1"/>
  <c r="R23" i="12"/>
  <c r="AC41" i="12" s="1"/>
  <c r="R24" i="12"/>
  <c r="U27" i="12"/>
  <c r="AA28" i="12"/>
  <c r="AA32" i="12"/>
  <c r="AC32" i="12" s="1"/>
  <c r="Q33" i="12"/>
  <c r="U33" i="12"/>
  <c r="AC39" i="12"/>
  <c r="AC40" i="12"/>
  <c r="P41" i="12"/>
  <c r="AC43" i="12" l="1"/>
  <c r="X19" i="12" s="1"/>
  <c r="N11" i="12"/>
  <c r="N12" i="12" s="1"/>
  <c r="L12" i="12"/>
  <c r="G10" i="12" s="1"/>
  <c r="N16" i="12"/>
  <c r="N22" i="12"/>
  <c r="AC42" i="12"/>
  <c r="X28" i="12" s="1"/>
  <c r="AC33" i="12"/>
  <c r="AC21" i="12"/>
  <c r="AC11" i="12"/>
  <c r="N25" i="12" l="1"/>
  <c r="G13" i="12" s="1"/>
  <c r="G11" i="12"/>
  <c r="G12" i="12" s="1"/>
  <c r="J9" i="12" s="1"/>
  <c r="N31" i="12"/>
  <c r="I29" i="12" s="1"/>
  <c r="N30" i="12"/>
  <c r="N32" i="12" s="1"/>
  <c r="H19" i="12" l="1"/>
  <c r="G14" i="12"/>
  <c r="G15" i="12"/>
  <c r="G16" i="12" s="1"/>
  <c r="J10" i="12" s="1"/>
  <c r="U26" i="12"/>
  <c r="AC10" i="12"/>
  <c r="C19" i="5" l="1"/>
  <c r="N8" i="5"/>
  <c r="N9" i="5" s="1"/>
  <c r="K56" i="1" l="1"/>
  <c r="N45" i="1"/>
  <c r="K58" i="1"/>
  <c r="K57" i="1"/>
  <c r="N197" i="3" l="1"/>
  <c r="P197" i="3" s="1"/>
  <c r="R197" i="3" s="1"/>
  <c r="J13" i="9"/>
  <c r="G13" i="9"/>
  <c r="F11" i="9"/>
  <c r="F9" i="9"/>
  <c r="F8" i="9"/>
  <c r="O8" i="9"/>
  <c r="F10" i="9" l="1"/>
  <c r="P10" i="14" l="1"/>
  <c r="P12" i="14"/>
  <c r="E28" i="14" s="1"/>
  <c r="P11" i="14"/>
  <c r="E29" i="14"/>
  <c r="F24" i="14"/>
  <c r="E24" i="14" l="1"/>
  <c r="P15" i="14"/>
  <c r="D16" i="14" s="1"/>
  <c r="W4" i="14"/>
  <c r="W5" i="14"/>
  <c r="W3" i="14"/>
  <c r="L14" i="14"/>
  <c r="I14" i="14"/>
  <c r="F40" i="14"/>
  <c r="K14" i="14"/>
  <c r="H24" i="14" l="1"/>
  <c r="G24" i="14"/>
  <c r="B47" i="14"/>
  <c r="P8" i="14"/>
  <c r="P13" i="14" s="1"/>
  <c r="I9" i="14" l="1"/>
  <c r="I12" i="14" s="1"/>
  <c r="P6" i="14"/>
  <c r="I8" i="14" s="1"/>
  <c r="I13" i="14" l="1"/>
  <c r="K52" i="14" s="1"/>
  <c r="F41" i="14"/>
  <c r="M7" i="14"/>
  <c r="M8" i="14" l="1"/>
  <c r="V26" i="6"/>
  <c r="AG6" i="6" l="1"/>
  <c r="AG7" i="6" s="1"/>
  <c r="AF6" i="6"/>
  <c r="AF7" i="6" s="1"/>
  <c r="AF5" i="6"/>
  <c r="AG5" i="6"/>
  <c r="AJ4" i="6"/>
  <c r="AH5" i="6" s="1"/>
  <c r="AH6" i="6" s="1"/>
  <c r="AH7" i="6" s="1"/>
  <c r="AI5" i="6" l="1"/>
  <c r="AI6" i="6" s="1"/>
  <c r="AI7" i="6" s="1"/>
  <c r="E30" i="6"/>
  <c r="E31" i="6"/>
  <c r="F30" i="6"/>
  <c r="F31" i="6"/>
  <c r="N22" i="6" l="1"/>
  <c r="N23" i="6" s="1"/>
  <c r="I20" i="11"/>
  <c r="L144" i="3"/>
  <c r="L143" i="3"/>
  <c r="E300" i="3" l="1"/>
  <c r="B302" i="3"/>
  <c r="A300" i="3"/>
  <c r="B300" i="3" s="1"/>
  <c r="E298" i="3" s="1"/>
  <c r="E285" i="3"/>
  <c r="A282" i="3"/>
  <c r="E270" i="3"/>
  <c r="A267" i="3"/>
  <c r="D285" i="3"/>
  <c r="B282" i="3"/>
  <c r="D270" i="3"/>
  <c r="B267" i="3"/>
  <c r="J27" i="4"/>
  <c r="I27" i="4"/>
  <c r="H27" i="4"/>
  <c r="U11" i="4"/>
  <c r="D302" i="3" l="1"/>
  <c r="M10" i="4" l="1"/>
  <c r="AZ45" i="3" l="1"/>
  <c r="AZ4" i="3"/>
  <c r="BA4" i="3"/>
  <c r="BB4" i="3"/>
  <c r="BC4" i="3"/>
  <c r="BD4" i="3"/>
  <c r="BE4" i="3"/>
  <c r="BF4" i="3"/>
  <c r="BG4" i="3"/>
  <c r="BH4" i="3"/>
  <c r="AZ5" i="3"/>
  <c r="BA5" i="3"/>
  <c r="BB5" i="3"/>
  <c r="BC5" i="3"/>
  <c r="BD5" i="3"/>
  <c r="BE5" i="3"/>
  <c r="BF5" i="3"/>
  <c r="BG5" i="3"/>
  <c r="BH5" i="3"/>
  <c r="AZ6" i="3"/>
  <c r="BA6" i="3"/>
  <c r="BB6" i="3"/>
  <c r="BC6" i="3"/>
  <c r="BD6" i="3"/>
  <c r="BE6" i="3"/>
  <c r="BF6" i="3"/>
  <c r="BG6" i="3"/>
  <c r="BH6" i="3"/>
  <c r="AZ7" i="3"/>
  <c r="BA7" i="3"/>
  <c r="BB7" i="3"/>
  <c r="BC7" i="3"/>
  <c r="BD7" i="3"/>
  <c r="BE7" i="3"/>
  <c r="BF7" i="3"/>
  <c r="BG7" i="3"/>
  <c r="BH7" i="3"/>
  <c r="AZ8" i="3"/>
  <c r="BA8" i="3"/>
  <c r="BB8" i="3"/>
  <c r="BC8" i="3"/>
  <c r="BD8" i="3"/>
  <c r="BE8" i="3"/>
  <c r="BF8" i="3"/>
  <c r="BG8" i="3"/>
  <c r="BH8" i="3"/>
  <c r="AZ9" i="3"/>
  <c r="BA9" i="3"/>
  <c r="BB9" i="3"/>
  <c r="BC9" i="3"/>
  <c r="BD9" i="3"/>
  <c r="BE9" i="3"/>
  <c r="BF9" i="3"/>
  <c r="BG9" i="3"/>
  <c r="BH9" i="3"/>
  <c r="AZ10" i="3"/>
  <c r="BA10" i="3"/>
  <c r="BB10" i="3"/>
  <c r="BC10" i="3"/>
  <c r="BD10" i="3"/>
  <c r="BE10" i="3"/>
  <c r="BF10" i="3"/>
  <c r="BG10" i="3"/>
  <c r="BH10" i="3"/>
  <c r="AZ11" i="3"/>
  <c r="BA11" i="3"/>
  <c r="BB11" i="3"/>
  <c r="BC11" i="3"/>
  <c r="BD11" i="3"/>
  <c r="BE11" i="3"/>
  <c r="BF11" i="3"/>
  <c r="BG11" i="3"/>
  <c r="BH11" i="3"/>
  <c r="AZ12" i="3"/>
  <c r="BA12" i="3"/>
  <c r="BB12" i="3"/>
  <c r="BC12" i="3"/>
  <c r="BD12" i="3"/>
  <c r="BE12" i="3"/>
  <c r="BF12" i="3"/>
  <c r="BG12" i="3"/>
  <c r="BH12" i="3"/>
  <c r="AZ13" i="3"/>
  <c r="BA13" i="3"/>
  <c r="BB13" i="3"/>
  <c r="BC13" i="3"/>
  <c r="BD13" i="3"/>
  <c r="BE13" i="3"/>
  <c r="BF13" i="3"/>
  <c r="BG13" i="3"/>
  <c r="BH13" i="3"/>
  <c r="AZ14" i="3"/>
  <c r="BA14" i="3"/>
  <c r="BB14" i="3"/>
  <c r="BC14" i="3"/>
  <c r="BD14" i="3"/>
  <c r="BE14" i="3"/>
  <c r="BF14" i="3"/>
  <c r="BG14" i="3"/>
  <c r="BH14" i="3"/>
  <c r="AZ15" i="3"/>
  <c r="BA15" i="3"/>
  <c r="BB15" i="3"/>
  <c r="BC15" i="3"/>
  <c r="BD15" i="3"/>
  <c r="BE15" i="3"/>
  <c r="BF15" i="3"/>
  <c r="BG15" i="3"/>
  <c r="BH15" i="3"/>
  <c r="AZ16" i="3"/>
  <c r="BA16" i="3"/>
  <c r="BB16" i="3"/>
  <c r="BC16" i="3"/>
  <c r="BD16" i="3"/>
  <c r="BE16" i="3"/>
  <c r="BF16" i="3"/>
  <c r="BG16" i="3"/>
  <c r="BH16" i="3"/>
  <c r="AZ17" i="3"/>
  <c r="BA17" i="3"/>
  <c r="BB17" i="3"/>
  <c r="BC17" i="3"/>
  <c r="BD17" i="3"/>
  <c r="BE17" i="3"/>
  <c r="BF17" i="3"/>
  <c r="BG17" i="3"/>
  <c r="BH17" i="3"/>
  <c r="AZ18" i="3"/>
  <c r="BA18" i="3"/>
  <c r="BB18" i="3"/>
  <c r="BC18" i="3"/>
  <c r="BD18" i="3"/>
  <c r="BE18" i="3"/>
  <c r="BF18" i="3"/>
  <c r="BG18" i="3"/>
  <c r="BH18" i="3"/>
  <c r="AZ19" i="3"/>
  <c r="BA19" i="3"/>
  <c r="BB19" i="3"/>
  <c r="BC19" i="3"/>
  <c r="BD19" i="3"/>
  <c r="BE19" i="3"/>
  <c r="BF19" i="3"/>
  <c r="BG19" i="3"/>
  <c r="BH19" i="3"/>
  <c r="AZ20" i="3"/>
  <c r="BA20" i="3"/>
  <c r="BB20" i="3"/>
  <c r="BC20" i="3"/>
  <c r="BD20" i="3"/>
  <c r="BE20" i="3"/>
  <c r="BF20" i="3"/>
  <c r="BG20" i="3"/>
  <c r="BH20" i="3"/>
  <c r="AZ21" i="3"/>
  <c r="BA21" i="3"/>
  <c r="BB21" i="3"/>
  <c r="BC21" i="3"/>
  <c r="BD21" i="3"/>
  <c r="BE21" i="3"/>
  <c r="BF21" i="3"/>
  <c r="BG21" i="3"/>
  <c r="BH21" i="3"/>
  <c r="AZ22" i="3"/>
  <c r="BA22" i="3"/>
  <c r="BB22" i="3"/>
  <c r="BC22" i="3"/>
  <c r="BD22" i="3"/>
  <c r="BE22" i="3"/>
  <c r="BF22" i="3"/>
  <c r="BG22" i="3"/>
  <c r="BH22" i="3"/>
  <c r="AZ23" i="3"/>
  <c r="BA23" i="3"/>
  <c r="BB23" i="3"/>
  <c r="BC23" i="3"/>
  <c r="BD23" i="3"/>
  <c r="BE23" i="3"/>
  <c r="BF23" i="3"/>
  <c r="BG23" i="3"/>
  <c r="BH23" i="3"/>
  <c r="AZ24" i="3"/>
  <c r="BA24" i="3"/>
  <c r="BB24" i="3"/>
  <c r="BC24" i="3"/>
  <c r="BD24" i="3"/>
  <c r="BE24" i="3"/>
  <c r="BF24" i="3"/>
  <c r="BG24" i="3"/>
  <c r="BH24" i="3"/>
  <c r="AZ25" i="3"/>
  <c r="BA25" i="3"/>
  <c r="BB25" i="3"/>
  <c r="BC25" i="3"/>
  <c r="BD25" i="3"/>
  <c r="BE25" i="3"/>
  <c r="BF25" i="3"/>
  <c r="BG25" i="3"/>
  <c r="BH25" i="3"/>
  <c r="AZ26" i="3"/>
  <c r="BA26" i="3"/>
  <c r="BB26" i="3"/>
  <c r="BC26" i="3"/>
  <c r="BD26" i="3"/>
  <c r="BE26" i="3"/>
  <c r="BF26" i="3"/>
  <c r="BG26" i="3"/>
  <c r="BH26" i="3"/>
  <c r="AZ27" i="3"/>
  <c r="BA27" i="3"/>
  <c r="BB27" i="3"/>
  <c r="BC27" i="3"/>
  <c r="BD27" i="3"/>
  <c r="BE27" i="3"/>
  <c r="BF27" i="3"/>
  <c r="BG27" i="3"/>
  <c r="BH27" i="3"/>
  <c r="AZ28" i="3"/>
  <c r="BA28" i="3"/>
  <c r="BB28" i="3"/>
  <c r="BC28" i="3"/>
  <c r="BD28" i="3"/>
  <c r="BE28" i="3"/>
  <c r="BF28" i="3"/>
  <c r="BG28" i="3"/>
  <c r="BH28" i="3"/>
  <c r="AZ29" i="3"/>
  <c r="BA29" i="3"/>
  <c r="BB29" i="3"/>
  <c r="BC29" i="3"/>
  <c r="BD29" i="3"/>
  <c r="BE29" i="3"/>
  <c r="BF29" i="3"/>
  <c r="BG29" i="3"/>
  <c r="BH29" i="3"/>
  <c r="AZ30" i="3"/>
  <c r="BA30" i="3"/>
  <c r="BB30" i="3"/>
  <c r="BC30" i="3"/>
  <c r="BD30" i="3"/>
  <c r="BE30" i="3"/>
  <c r="BF30" i="3"/>
  <c r="BG30" i="3"/>
  <c r="BH30" i="3"/>
  <c r="AZ31" i="3"/>
  <c r="BA31" i="3"/>
  <c r="BB31" i="3"/>
  <c r="BC31" i="3"/>
  <c r="BD31" i="3"/>
  <c r="BE31" i="3"/>
  <c r="BF31" i="3"/>
  <c r="BG31" i="3"/>
  <c r="BH31" i="3"/>
  <c r="AZ32" i="3"/>
  <c r="BA32" i="3"/>
  <c r="BB32" i="3"/>
  <c r="BC32" i="3"/>
  <c r="BD32" i="3"/>
  <c r="BE32" i="3"/>
  <c r="BF32" i="3"/>
  <c r="BG32" i="3"/>
  <c r="BH32" i="3"/>
  <c r="AZ33" i="3"/>
  <c r="BA33" i="3"/>
  <c r="BB33" i="3"/>
  <c r="BC33" i="3"/>
  <c r="BD33" i="3"/>
  <c r="BE33" i="3"/>
  <c r="BF33" i="3"/>
  <c r="BG33" i="3"/>
  <c r="BH33" i="3"/>
  <c r="AZ34" i="3"/>
  <c r="BA34" i="3"/>
  <c r="BB34" i="3"/>
  <c r="BC34" i="3"/>
  <c r="BD34" i="3"/>
  <c r="BE34" i="3"/>
  <c r="BF34" i="3"/>
  <c r="BG34" i="3"/>
  <c r="BH34" i="3"/>
  <c r="AZ35" i="3"/>
  <c r="BA35" i="3"/>
  <c r="BB35" i="3"/>
  <c r="BC35" i="3"/>
  <c r="BD35" i="3"/>
  <c r="BE35" i="3"/>
  <c r="BF35" i="3"/>
  <c r="BG35" i="3"/>
  <c r="BH35" i="3"/>
  <c r="AZ36" i="3"/>
  <c r="BA36" i="3"/>
  <c r="BB36" i="3"/>
  <c r="BC36" i="3"/>
  <c r="BD36" i="3"/>
  <c r="BE36" i="3"/>
  <c r="BF36" i="3"/>
  <c r="BG36" i="3"/>
  <c r="BH36" i="3"/>
  <c r="AZ37" i="3"/>
  <c r="BA37" i="3"/>
  <c r="BB37" i="3"/>
  <c r="BC37" i="3"/>
  <c r="BD37" i="3"/>
  <c r="BE37" i="3"/>
  <c r="BF37" i="3"/>
  <c r="BG37" i="3"/>
  <c r="BH37" i="3"/>
  <c r="AZ38" i="3"/>
  <c r="BA38" i="3"/>
  <c r="BB38" i="3"/>
  <c r="BC38" i="3"/>
  <c r="BD38" i="3"/>
  <c r="BE38" i="3"/>
  <c r="BF38" i="3"/>
  <c r="BG38" i="3"/>
  <c r="BH38" i="3"/>
  <c r="AZ39" i="3"/>
  <c r="BA39" i="3"/>
  <c r="BB39" i="3"/>
  <c r="BC39" i="3"/>
  <c r="BD39" i="3"/>
  <c r="BE39" i="3"/>
  <c r="BF39" i="3"/>
  <c r="BG39" i="3"/>
  <c r="BH39" i="3"/>
  <c r="AZ40" i="3"/>
  <c r="BA40" i="3"/>
  <c r="BB40" i="3"/>
  <c r="BC40" i="3"/>
  <c r="BD40" i="3"/>
  <c r="BE40" i="3"/>
  <c r="BF40" i="3"/>
  <c r="BG40" i="3"/>
  <c r="BH40" i="3"/>
  <c r="AZ41" i="3"/>
  <c r="BA41" i="3"/>
  <c r="BB41" i="3"/>
  <c r="BC41" i="3"/>
  <c r="BD41" i="3"/>
  <c r="BE41" i="3"/>
  <c r="BF41" i="3"/>
  <c r="BG41" i="3"/>
  <c r="BH41" i="3"/>
  <c r="AZ42" i="3"/>
  <c r="BA42" i="3"/>
  <c r="BB42" i="3"/>
  <c r="BC42" i="3"/>
  <c r="BD42" i="3"/>
  <c r="BE42" i="3"/>
  <c r="BF42" i="3"/>
  <c r="BG42" i="3"/>
  <c r="BH42" i="3"/>
  <c r="AZ43" i="3"/>
  <c r="BA43" i="3"/>
  <c r="BB43" i="3"/>
  <c r="BC43" i="3"/>
  <c r="BD43" i="3"/>
  <c r="BE43" i="3"/>
  <c r="BF43" i="3"/>
  <c r="BG43" i="3"/>
  <c r="BH43" i="3"/>
  <c r="AZ44" i="3"/>
  <c r="BA44" i="3"/>
  <c r="BB44" i="3"/>
  <c r="BC44" i="3"/>
  <c r="BD44" i="3"/>
  <c r="BE44" i="3"/>
  <c r="BF44" i="3"/>
  <c r="BG44" i="3"/>
  <c r="BH44" i="3"/>
  <c r="BA45" i="3"/>
  <c r="BB45" i="3"/>
  <c r="BC45" i="3"/>
  <c r="BD45" i="3"/>
  <c r="BE45" i="3"/>
  <c r="BF45" i="3"/>
  <c r="BG45" i="3"/>
  <c r="BH45" i="3"/>
  <c r="AZ46" i="3"/>
  <c r="BA46" i="3"/>
  <c r="BB46" i="3"/>
  <c r="BC46" i="3"/>
  <c r="BD46" i="3"/>
  <c r="BE46" i="3"/>
  <c r="BF46" i="3"/>
  <c r="BG46" i="3"/>
  <c r="BH46" i="3"/>
  <c r="AA17" i="12" l="1"/>
  <c r="AO17" i="12"/>
  <c r="Q45" i="12"/>
  <c r="AE45" i="12"/>
  <c r="AC7" i="12" l="1"/>
  <c r="AC12" i="12" s="1"/>
  <c r="U11" i="12" s="1"/>
  <c r="U12" i="12" s="1"/>
  <c r="Y9" i="12" s="1"/>
  <c r="AC17" i="12"/>
  <c r="AC22" i="12" s="1"/>
  <c r="V131" i="3"/>
  <c r="U131" i="3"/>
  <c r="T131" i="3"/>
  <c r="S131" i="3"/>
  <c r="R131" i="3"/>
  <c r="Q131" i="3"/>
  <c r="P131" i="3"/>
  <c r="O131" i="3"/>
  <c r="N131" i="3"/>
  <c r="M131" i="3"/>
  <c r="L131" i="3"/>
  <c r="V130" i="3"/>
  <c r="U130" i="3"/>
  <c r="T130" i="3"/>
  <c r="S130" i="3"/>
  <c r="R130" i="3"/>
  <c r="Q130" i="3"/>
  <c r="P130" i="3"/>
  <c r="O130" i="3"/>
  <c r="N130" i="3"/>
  <c r="M130" i="3"/>
  <c r="L130" i="3"/>
  <c r="V129" i="3"/>
  <c r="U129" i="3"/>
  <c r="T129" i="3"/>
  <c r="S129" i="3"/>
  <c r="R129" i="3"/>
  <c r="Q129" i="3"/>
  <c r="P129" i="3"/>
  <c r="O129" i="3"/>
  <c r="N129" i="3"/>
  <c r="M129" i="3"/>
  <c r="L129" i="3"/>
  <c r="V128" i="3"/>
  <c r="U128" i="3"/>
  <c r="T128" i="3"/>
  <c r="S128" i="3"/>
  <c r="R128" i="3"/>
  <c r="Q128" i="3"/>
  <c r="P128" i="3"/>
  <c r="O128" i="3"/>
  <c r="N128" i="3"/>
  <c r="M128" i="3"/>
  <c r="L128" i="3"/>
  <c r="V127" i="3"/>
  <c r="U127" i="3"/>
  <c r="T127" i="3"/>
  <c r="S127" i="3"/>
  <c r="R127" i="3"/>
  <c r="Q127" i="3"/>
  <c r="P127" i="3"/>
  <c r="O127" i="3"/>
  <c r="N127" i="3"/>
  <c r="M127" i="3"/>
  <c r="L127" i="3"/>
  <c r="V126" i="3"/>
  <c r="U126" i="3"/>
  <c r="T126" i="3"/>
  <c r="S126" i="3"/>
  <c r="R126" i="3"/>
  <c r="Q126" i="3"/>
  <c r="P126" i="3"/>
  <c r="O126" i="3"/>
  <c r="N126" i="3"/>
  <c r="M126" i="3"/>
  <c r="L126" i="3"/>
  <c r="V125" i="3"/>
  <c r="U125" i="3"/>
  <c r="T125" i="3"/>
  <c r="S125" i="3"/>
  <c r="R125" i="3"/>
  <c r="Q125" i="3"/>
  <c r="P125" i="3"/>
  <c r="O125" i="3"/>
  <c r="N125" i="3"/>
  <c r="M125" i="3"/>
  <c r="L125" i="3"/>
  <c r="V124" i="3"/>
  <c r="U124" i="3"/>
  <c r="T124" i="3"/>
  <c r="S124" i="3"/>
  <c r="R124" i="3"/>
  <c r="Q124" i="3"/>
  <c r="P124" i="3"/>
  <c r="O124" i="3"/>
  <c r="N124" i="3"/>
  <c r="M124" i="3"/>
  <c r="L124" i="3"/>
  <c r="V123" i="3"/>
  <c r="U123" i="3"/>
  <c r="T123" i="3"/>
  <c r="S123" i="3"/>
  <c r="R123" i="3"/>
  <c r="Q123" i="3"/>
  <c r="P123" i="3"/>
  <c r="O123" i="3"/>
  <c r="N123" i="3"/>
  <c r="M123" i="3"/>
  <c r="L123" i="3"/>
  <c r="V122" i="3"/>
  <c r="U122" i="3"/>
  <c r="T122" i="3"/>
  <c r="S122" i="3"/>
  <c r="R122" i="3"/>
  <c r="Q122" i="3"/>
  <c r="P122" i="3"/>
  <c r="O122" i="3"/>
  <c r="N122" i="3"/>
  <c r="M122" i="3"/>
  <c r="L122" i="3"/>
  <c r="V121" i="3"/>
  <c r="U121" i="3"/>
  <c r="T121" i="3"/>
  <c r="S121" i="3"/>
  <c r="R121" i="3"/>
  <c r="Q121" i="3"/>
  <c r="P121" i="3"/>
  <c r="O121" i="3"/>
  <c r="N121" i="3"/>
  <c r="M121" i="3"/>
  <c r="L121" i="3"/>
  <c r="V120" i="3"/>
  <c r="U120" i="3"/>
  <c r="T120" i="3"/>
  <c r="S120" i="3"/>
  <c r="R120" i="3"/>
  <c r="Q120" i="3"/>
  <c r="P120" i="3"/>
  <c r="O120" i="3"/>
  <c r="N120" i="3"/>
  <c r="M120" i="3"/>
  <c r="L120" i="3"/>
  <c r="V119" i="3"/>
  <c r="U119" i="3"/>
  <c r="T119" i="3"/>
  <c r="S119" i="3"/>
  <c r="R119" i="3"/>
  <c r="Q119" i="3"/>
  <c r="P119" i="3"/>
  <c r="O119" i="3"/>
  <c r="N119" i="3"/>
  <c r="M119" i="3"/>
  <c r="L119" i="3"/>
  <c r="V118" i="3"/>
  <c r="U118" i="3"/>
  <c r="T118" i="3"/>
  <c r="S118" i="3"/>
  <c r="R118" i="3"/>
  <c r="Q118" i="3"/>
  <c r="P118" i="3"/>
  <c r="O118" i="3"/>
  <c r="N118" i="3"/>
  <c r="M118" i="3"/>
  <c r="L118" i="3"/>
  <c r="V117" i="3"/>
  <c r="U117" i="3"/>
  <c r="T117" i="3"/>
  <c r="S117" i="3"/>
  <c r="R117" i="3"/>
  <c r="Q117" i="3"/>
  <c r="P117" i="3"/>
  <c r="O117" i="3"/>
  <c r="N117" i="3"/>
  <c r="M117" i="3"/>
  <c r="L117" i="3"/>
  <c r="V116" i="3"/>
  <c r="U116" i="3"/>
  <c r="T116" i="3"/>
  <c r="S116" i="3"/>
  <c r="R116" i="3"/>
  <c r="Q116" i="3"/>
  <c r="P116" i="3"/>
  <c r="O116" i="3"/>
  <c r="N116" i="3"/>
  <c r="M116" i="3"/>
  <c r="L116" i="3"/>
  <c r="V115" i="3"/>
  <c r="U115" i="3"/>
  <c r="T115" i="3"/>
  <c r="S115" i="3"/>
  <c r="R115" i="3"/>
  <c r="Q115" i="3"/>
  <c r="P115" i="3"/>
  <c r="O115" i="3"/>
  <c r="N115" i="3"/>
  <c r="M115" i="3"/>
  <c r="L115" i="3"/>
  <c r="V114" i="3"/>
  <c r="U114" i="3"/>
  <c r="T114" i="3"/>
  <c r="S114" i="3"/>
  <c r="R114" i="3"/>
  <c r="Q114" i="3"/>
  <c r="P114" i="3"/>
  <c r="O114" i="3"/>
  <c r="N114" i="3"/>
  <c r="M114" i="3"/>
  <c r="L114" i="3"/>
  <c r="V113" i="3"/>
  <c r="U113" i="3"/>
  <c r="T113" i="3"/>
  <c r="S113" i="3"/>
  <c r="R113" i="3"/>
  <c r="Q113" i="3"/>
  <c r="P113" i="3"/>
  <c r="O113" i="3"/>
  <c r="N113" i="3"/>
  <c r="M113" i="3"/>
  <c r="L113" i="3"/>
  <c r="V112" i="3"/>
  <c r="U112" i="3"/>
  <c r="T112" i="3"/>
  <c r="S112" i="3"/>
  <c r="R112" i="3"/>
  <c r="Q112" i="3"/>
  <c r="P112" i="3"/>
  <c r="O112" i="3"/>
  <c r="N112" i="3"/>
  <c r="M112" i="3"/>
  <c r="L112" i="3"/>
  <c r="V111" i="3"/>
  <c r="U111" i="3"/>
  <c r="T111" i="3"/>
  <c r="S111" i="3"/>
  <c r="R111" i="3"/>
  <c r="Q111" i="3"/>
  <c r="P111" i="3"/>
  <c r="O111" i="3"/>
  <c r="N111" i="3"/>
  <c r="M111" i="3"/>
  <c r="L111" i="3"/>
  <c r="V110" i="3"/>
  <c r="U110" i="3"/>
  <c r="T110" i="3"/>
  <c r="S110" i="3"/>
  <c r="R110" i="3"/>
  <c r="Q110" i="3"/>
  <c r="P110" i="3"/>
  <c r="O110" i="3"/>
  <c r="N110" i="3"/>
  <c r="M110" i="3"/>
  <c r="L110" i="3"/>
  <c r="V109" i="3"/>
  <c r="U109" i="3"/>
  <c r="T109" i="3"/>
  <c r="S109" i="3"/>
  <c r="R109" i="3"/>
  <c r="Q109" i="3"/>
  <c r="P109" i="3"/>
  <c r="O109" i="3"/>
  <c r="N109" i="3"/>
  <c r="M109" i="3"/>
  <c r="L109" i="3"/>
  <c r="V108" i="3"/>
  <c r="U108" i="3"/>
  <c r="T108" i="3"/>
  <c r="S108" i="3"/>
  <c r="R108" i="3"/>
  <c r="Q108" i="3"/>
  <c r="P108" i="3"/>
  <c r="O108" i="3"/>
  <c r="N108" i="3"/>
  <c r="M108" i="3"/>
  <c r="L108" i="3"/>
  <c r="V107" i="3"/>
  <c r="U107" i="3"/>
  <c r="T107" i="3"/>
  <c r="S107" i="3"/>
  <c r="R107" i="3"/>
  <c r="Q107" i="3"/>
  <c r="P107" i="3"/>
  <c r="O107" i="3"/>
  <c r="N107" i="3"/>
  <c r="M107" i="3"/>
  <c r="L107" i="3"/>
  <c r="V106" i="3"/>
  <c r="U106" i="3"/>
  <c r="T106" i="3"/>
  <c r="S106" i="3"/>
  <c r="R106" i="3"/>
  <c r="Q106" i="3"/>
  <c r="P106" i="3"/>
  <c r="O106" i="3"/>
  <c r="N106" i="3"/>
  <c r="M106" i="3"/>
  <c r="L106" i="3"/>
  <c r="V105" i="3"/>
  <c r="U105" i="3"/>
  <c r="T105" i="3"/>
  <c r="S105" i="3"/>
  <c r="R105" i="3"/>
  <c r="Q105" i="3"/>
  <c r="P105" i="3"/>
  <c r="O105" i="3"/>
  <c r="N105" i="3"/>
  <c r="M105" i="3"/>
  <c r="L105" i="3"/>
  <c r="V104" i="3"/>
  <c r="U104" i="3"/>
  <c r="T104" i="3"/>
  <c r="S104" i="3"/>
  <c r="R104" i="3"/>
  <c r="Q104" i="3"/>
  <c r="P104" i="3"/>
  <c r="O104" i="3"/>
  <c r="N104" i="3"/>
  <c r="M104" i="3"/>
  <c r="L104" i="3"/>
  <c r="V103" i="3"/>
  <c r="U103" i="3"/>
  <c r="T103" i="3"/>
  <c r="S103" i="3"/>
  <c r="R103" i="3"/>
  <c r="Q103" i="3"/>
  <c r="P103" i="3"/>
  <c r="O103" i="3"/>
  <c r="N103" i="3"/>
  <c r="M103" i="3"/>
  <c r="L103" i="3"/>
  <c r="V102" i="3"/>
  <c r="U102" i="3"/>
  <c r="T102" i="3"/>
  <c r="S102" i="3"/>
  <c r="R102" i="3"/>
  <c r="Q102" i="3"/>
  <c r="P102" i="3"/>
  <c r="O102" i="3"/>
  <c r="N102" i="3"/>
  <c r="M102" i="3"/>
  <c r="L102" i="3"/>
  <c r="V101" i="3"/>
  <c r="U101" i="3"/>
  <c r="T101" i="3"/>
  <c r="S101" i="3"/>
  <c r="R101" i="3"/>
  <c r="Q101" i="3"/>
  <c r="P101" i="3"/>
  <c r="O101" i="3"/>
  <c r="N101" i="3"/>
  <c r="M101" i="3"/>
  <c r="L101" i="3"/>
  <c r="V100" i="3"/>
  <c r="U100" i="3"/>
  <c r="T100" i="3"/>
  <c r="S100" i="3"/>
  <c r="R100" i="3"/>
  <c r="Q100" i="3"/>
  <c r="P100" i="3"/>
  <c r="O100" i="3"/>
  <c r="N100" i="3"/>
  <c r="M100" i="3"/>
  <c r="L100" i="3"/>
  <c r="V99" i="3"/>
  <c r="U99" i="3"/>
  <c r="T99" i="3"/>
  <c r="S99" i="3"/>
  <c r="R99" i="3"/>
  <c r="Q99" i="3"/>
  <c r="P99" i="3"/>
  <c r="O99" i="3"/>
  <c r="N99" i="3"/>
  <c r="M99" i="3"/>
  <c r="L99" i="3"/>
  <c r="V98" i="3"/>
  <c r="U98" i="3"/>
  <c r="T98" i="3"/>
  <c r="S98" i="3"/>
  <c r="R98" i="3"/>
  <c r="Q98" i="3"/>
  <c r="P98" i="3"/>
  <c r="O98" i="3"/>
  <c r="N98" i="3"/>
  <c r="M98" i="3"/>
  <c r="L98" i="3"/>
  <c r="V97" i="3"/>
  <c r="U97" i="3"/>
  <c r="T97" i="3"/>
  <c r="S97" i="3"/>
  <c r="R97" i="3"/>
  <c r="Q97" i="3"/>
  <c r="P97" i="3"/>
  <c r="O97" i="3"/>
  <c r="N97" i="3"/>
  <c r="M97" i="3"/>
  <c r="L97" i="3"/>
  <c r="V96" i="3"/>
  <c r="U96" i="3"/>
  <c r="T96" i="3"/>
  <c r="S96" i="3"/>
  <c r="R96" i="3"/>
  <c r="Q96" i="3"/>
  <c r="P96" i="3"/>
  <c r="O96" i="3"/>
  <c r="N96" i="3"/>
  <c r="M96" i="3"/>
  <c r="L96" i="3"/>
  <c r="V95" i="3"/>
  <c r="U95" i="3"/>
  <c r="T95" i="3"/>
  <c r="S95" i="3"/>
  <c r="R95" i="3"/>
  <c r="Q95" i="3"/>
  <c r="P95" i="3"/>
  <c r="O95" i="3"/>
  <c r="N95" i="3"/>
  <c r="M95" i="3"/>
  <c r="L95" i="3"/>
  <c r="V94" i="3"/>
  <c r="U94" i="3"/>
  <c r="T94" i="3"/>
  <c r="S94" i="3"/>
  <c r="R94" i="3"/>
  <c r="Q94" i="3"/>
  <c r="P94" i="3"/>
  <c r="O94" i="3"/>
  <c r="N94" i="3"/>
  <c r="M94" i="3"/>
  <c r="L94" i="3"/>
  <c r="V93" i="3"/>
  <c r="U93" i="3"/>
  <c r="T93" i="3"/>
  <c r="S93" i="3"/>
  <c r="R93" i="3"/>
  <c r="Q93" i="3"/>
  <c r="P93" i="3"/>
  <c r="O93" i="3"/>
  <c r="N93" i="3"/>
  <c r="M93" i="3"/>
  <c r="L93" i="3"/>
  <c r="V92" i="3"/>
  <c r="U92" i="3"/>
  <c r="T92" i="3"/>
  <c r="S92" i="3"/>
  <c r="R92" i="3"/>
  <c r="Q92" i="3"/>
  <c r="P92" i="3"/>
  <c r="O92" i="3"/>
  <c r="N92" i="3"/>
  <c r="M92" i="3"/>
  <c r="L92" i="3"/>
  <c r="V91" i="3"/>
  <c r="U91" i="3"/>
  <c r="T91" i="3"/>
  <c r="S91" i="3"/>
  <c r="R91" i="3"/>
  <c r="Q91" i="3"/>
  <c r="P91" i="3"/>
  <c r="O91" i="3"/>
  <c r="N91" i="3"/>
  <c r="M91" i="3"/>
  <c r="L91" i="3"/>
  <c r="V90" i="3"/>
  <c r="U90" i="3"/>
  <c r="T90" i="3"/>
  <c r="S90" i="3"/>
  <c r="R90" i="3"/>
  <c r="Q90" i="3"/>
  <c r="P90" i="3"/>
  <c r="O90" i="3"/>
  <c r="N90" i="3"/>
  <c r="M90" i="3"/>
  <c r="L90" i="3"/>
  <c r="V89" i="3"/>
  <c r="U89" i="3"/>
  <c r="T89" i="3"/>
  <c r="S89" i="3"/>
  <c r="R89" i="3"/>
  <c r="Q89" i="3"/>
  <c r="P89" i="3"/>
  <c r="O89" i="3"/>
  <c r="N89" i="3"/>
  <c r="M89" i="3"/>
  <c r="L89" i="3"/>
  <c r="V88" i="3"/>
  <c r="U88" i="3"/>
  <c r="T88" i="3"/>
  <c r="S88" i="3"/>
  <c r="R88" i="3"/>
  <c r="Q88" i="3"/>
  <c r="P88" i="3"/>
  <c r="O88" i="3"/>
  <c r="N88" i="3"/>
  <c r="M88" i="3"/>
  <c r="L88" i="3"/>
  <c r="V87" i="3"/>
  <c r="U87" i="3"/>
  <c r="T87" i="3"/>
  <c r="S87" i="3"/>
  <c r="R87" i="3"/>
  <c r="Q87" i="3"/>
  <c r="P87" i="3"/>
  <c r="O87" i="3"/>
  <c r="N87" i="3"/>
  <c r="M87" i="3"/>
  <c r="L87" i="3"/>
  <c r="V86" i="3"/>
  <c r="U86" i="3"/>
  <c r="T86" i="3"/>
  <c r="S86" i="3"/>
  <c r="R86" i="3"/>
  <c r="Q86" i="3"/>
  <c r="P86" i="3"/>
  <c r="O86" i="3"/>
  <c r="N86" i="3"/>
  <c r="M86" i="3"/>
  <c r="L86" i="3"/>
  <c r="V85" i="3"/>
  <c r="U85" i="3"/>
  <c r="T85" i="3"/>
  <c r="S85" i="3"/>
  <c r="R85" i="3"/>
  <c r="Q85" i="3"/>
  <c r="P85" i="3"/>
  <c r="O85" i="3"/>
  <c r="N85" i="3"/>
  <c r="M85" i="3"/>
  <c r="L85" i="3"/>
  <c r="V84" i="3"/>
  <c r="U84" i="3"/>
  <c r="T84" i="3"/>
  <c r="S84" i="3"/>
  <c r="R84" i="3"/>
  <c r="Q84" i="3"/>
  <c r="P84" i="3"/>
  <c r="O84" i="3"/>
  <c r="N84" i="3"/>
  <c r="M84" i="3"/>
  <c r="L84" i="3"/>
  <c r="V83" i="3"/>
  <c r="U83" i="3"/>
  <c r="T83" i="3"/>
  <c r="S83" i="3"/>
  <c r="R83" i="3"/>
  <c r="Q83" i="3"/>
  <c r="P83" i="3"/>
  <c r="O83" i="3"/>
  <c r="N83" i="3"/>
  <c r="M83" i="3"/>
  <c r="L83" i="3"/>
  <c r="V82" i="3"/>
  <c r="U82" i="3"/>
  <c r="T82" i="3"/>
  <c r="S82" i="3"/>
  <c r="R82" i="3"/>
  <c r="Q82" i="3"/>
  <c r="P82" i="3"/>
  <c r="O82" i="3"/>
  <c r="N82" i="3"/>
  <c r="M82" i="3"/>
  <c r="L82" i="3"/>
  <c r="V81" i="3"/>
  <c r="U81" i="3"/>
  <c r="T81" i="3"/>
  <c r="S81" i="3"/>
  <c r="R81" i="3"/>
  <c r="Q81" i="3"/>
  <c r="P81" i="3"/>
  <c r="O81" i="3"/>
  <c r="N81" i="3"/>
  <c r="M81" i="3"/>
  <c r="L81" i="3"/>
  <c r="V80" i="3"/>
  <c r="U80" i="3"/>
  <c r="T80" i="3"/>
  <c r="S80" i="3"/>
  <c r="R80" i="3"/>
  <c r="Q80" i="3"/>
  <c r="P80" i="3"/>
  <c r="O80" i="3"/>
  <c r="N80" i="3"/>
  <c r="M80" i="3"/>
  <c r="L80" i="3"/>
  <c r="V79" i="3"/>
  <c r="U79" i="3"/>
  <c r="T79" i="3"/>
  <c r="S79" i="3"/>
  <c r="R79" i="3"/>
  <c r="Q79" i="3"/>
  <c r="P79" i="3"/>
  <c r="O79" i="3"/>
  <c r="N79" i="3"/>
  <c r="M79" i="3"/>
  <c r="L79" i="3"/>
  <c r="V78" i="3"/>
  <c r="U78" i="3"/>
  <c r="T78" i="3"/>
  <c r="S78" i="3"/>
  <c r="R78" i="3"/>
  <c r="Q78" i="3"/>
  <c r="P78" i="3"/>
  <c r="O78" i="3"/>
  <c r="N78" i="3"/>
  <c r="M78" i="3"/>
  <c r="L78" i="3"/>
  <c r="V77" i="3"/>
  <c r="U77" i="3"/>
  <c r="T77" i="3"/>
  <c r="S77" i="3"/>
  <c r="R77" i="3"/>
  <c r="Q77" i="3"/>
  <c r="P77" i="3"/>
  <c r="O77" i="3"/>
  <c r="N77" i="3"/>
  <c r="M77" i="3"/>
  <c r="L77" i="3"/>
  <c r="V76" i="3"/>
  <c r="U76" i="3"/>
  <c r="T76" i="3"/>
  <c r="S76" i="3"/>
  <c r="R76" i="3"/>
  <c r="Q76" i="3"/>
  <c r="P76" i="3"/>
  <c r="O76" i="3"/>
  <c r="N76" i="3"/>
  <c r="M76" i="3"/>
  <c r="L76" i="3"/>
  <c r="V75" i="3"/>
  <c r="U75" i="3"/>
  <c r="T75" i="3"/>
  <c r="S75" i="3"/>
  <c r="R75" i="3"/>
  <c r="Q75" i="3"/>
  <c r="P75" i="3"/>
  <c r="O75" i="3"/>
  <c r="N75" i="3"/>
  <c r="M75" i="3"/>
  <c r="L75" i="3"/>
  <c r="V74" i="3"/>
  <c r="U74" i="3"/>
  <c r="T74" i="3"/>
  <c r="S74" i="3"/>
  <c r="R74" i="3"/>
  <c r="Q74" i="3"/>
  <c r="P74" i="3"/>
  <c r="O74" i="3"/>
  <c r="N74" i="3"/>
  <c r="M74" i="3"/>
  <c r="L74" i="3"/>
  <c r="V73" i="3"/>
  <c r="U73" i="3"/>
  <c r="T73" i="3"/>
  <c r="S73" i="3"/>
  <c r="R73" i="3"/>
  <c r="Q73" i="3"/>
  <c r="P73" i="3"/>
  <c r="O73" i="3"/>
  <c r="N73" i="3"/>
  <c r="M73" i="3"/>
  <c r="L73" i="3"/>
  <c r="V72" i="3"/>
  <c r="U72" i="3"/>
  <c r="T72" i="3"/>
  <c r="S72" i="3"/>
  <c r="R72" i="3"/>
  <c r="Q72" i="3"/>
  <c r="P72" i="3"/>
  <c r="O72" i="3"/>
  <c r="N72" i="3"/>
  <c r="M72" i="3"/>
  <c r="L72" i="3"/>
  <c r="V71" i="3"/>
  <c r="U71" i="3"/>
  <c r="T71" i="3"/>
  <c r="S71" i="3"/>
  <c r="R71" i="3"/>
  <c r="Q71" i="3"/>
  <c r="P71" i="3"/>
  <c r="O71" i="3"/>
  <c r="N71" i="3"/>
  <c r="M71" i="3"/>
  <c r="L71" i="3"/>
  <c r="V70" i="3"/>
  <c r="U70" i="3"/>
  <c r="T70" i="3"/>
  <c r="S70" i="3"/>
  <c r="R70" i="3"/>
  <c r="Q70" i="3"/>
  <c r="P70" i="3"/>
  <c r="O70" i="3"/>
  <c r="N70" i="3"/>
  <c r="M70" i="3"/>
  <c r="L70" i="3"/>
  <c r="V69" i="3"/>
  <c r="U69" i="3"/>
  <c r="T69" i="3"/>
  <c r="S69" i="3"/>
  <c r="R69" i="3"/>
  <c r="Q69" i="3"/>
  <c r="P69" i="3"/>
  <c r="O69" i="3"/>
  <c r="N69" i="3"/>
  <c r="M69" i="3"/>
  <c r="L69" i="3"/>
  <c r="V68" i="3"/>
  <c r="U68" i="3"/>
  <c r="T68" i="3"/>
  <c r="S68" i="3"/>
  <c r="R68" i="3"/>
  <c r="Q68" i="3"/>
  <c r="P68" i="3"/>
  <c r="O68" i="3"/>
  <c r="N68" i="3"/>
  <c r="M68" i="3"/>
  <c r="L68" i="3"/>
  <c r="V67" i="3"/>
  <c r="U67" i="3"/>
  <c r="T67" i="3"/>
  <c r="S67" i="3"/>
  <c r="R67" i="3"/>
  <c r="Q67" i="3"/>
  <c r="P67" i="3"/>
  <c r="O67" i="3"/>
  <c r="N67" i="3"/>
  <c r="M67" i="3"/>
  <c r="L67" i="3"/>
  <c r="V66" i="3"/>
  <c r="U66" i="3"/>
  <c r="T66" i="3"/>
  <c r="S66" i="3"/>
  <c r="R66" i="3"/>
  <c r="Q66" i="3"/>
  <c r="P66" i="3"/>
  <c r="O66" i="3"/>
  <c r="N66" i="3"/>
  <c r="M66" i="3"/>
  <c r="L66" i="3"/>
  <c r="V65" i="3"/>
  <c r="U65" i="3"/>
  <c r="T65" i="3"/>
  <c r="S65" i="3"/>
  <c r="R65" i="3"/>
  <c r="Q65" i="3"/>
  <c r="P65" i="3"/>
  <c r="O65" i="3"/>
  <c r="N65" i="3"/>
  <c r="M65" i="3"/>
  <c r="L65" i="3"/>
  <c r="V64" i="3"/>
  <c r="U64" i="3"/>
  <c r="T64" i="3"/>
  <c r="S64" i="3"/>
  <c r="R64" i="3"/>
  <c r="Q64" i="3"/>
  <c r="P64" i="3"/>
  <c r="O64" i="3"/>
  <c r="N64" i="3"/>
  <c r="M64" i="3"/>
  <c r="L64" i="3"/>
  <c r="V63" i="3"/>
  <c r="U63" i="3"/>
  <c r="T63" i="3"/>
  <c r="S63" i="3"/>
  <c r="R63" i="3"/>
  <c r="Q63" i="3"/>
  <c r="P63" i="3"/>
  <c r="O63" i="3"/>
  <c r="N63" i="3"/>
  <c r="M63" i="3"/>
  <c r="L63" i="3"/>
  <c r="V62" i="3"/>
  <c r="U62" i="3"/>
  <c r="T62" i="3"/>
  <c r="S62" i="3"/>
  <c r="R62" i="3"/>
  <c r="Q62" i="3"/>
  <c r="P62" i="3"/>
  <c r="O62" i="3"/>
  <c r="N62" i="3"/>
  <c r="M62" i="3"/>
  <c r="L62" i="3"/>
  <c r="V61" i="3"/>
  <c r="U61" i="3"/>
  <c r="T61" i="3"/>
  <c r="S61" i="3"/>
  <c r="R61" i="3"/>
  <c r="Q61" i="3"/>
  <c r="P61" i="3"/>
  <c r="O61" i="3"/>
  <c r="N61" i="3"/>
  <c r="M61" i="3"/>
  <c r="L61" i="3"/>
  <c r="V60" i="3"/>
  <c r="U60" i="3"/>
  <c r="T60" i="3"/>
  <c r="S60" i="3"/>
  <c r="R60" i="3"/>
  <c r="Q60" i="3"/>
  <c r="P60" i="3"/>
  <c r="O60" i="3"/>
  <c r="N60" i="3"/>
  <c r="M60" i="3"/>
  <c r="L60" i="3"/>
  <c r="V59" i="3"/>
  <c r="U59" i="3"/>
  <c r="T59" i="3"/>
  <c r="S59" i="3"/>
  <c r="R59" i="3"/>
  <c r="Q59" i="3"/>
  <c r="P59" i="3"/>
  <c r="O59" i="3"/>
  <c r="N59" i="3"/>
  <c r="M59" i="3"/>
  <c r="L59" i="3"/>
  <c r="V58" i="3"/>
  <c r="U58" i="3"/>
  <c r="T58" i="3"/>
  <c r="S58" i="3"/>
  <c r="R58" i="3"/>
  <c r="Q58" i="3"/>
  <c r="P58" i="3"/>
  <c r="O58" i="3"/>
  <c r="N58" i="3"/>
  <c r="M58" i="3"/>
  <c r="L58" i="3"/>
  <c r="V57" i="3"/>
  <c r="U57" i="3"/>
  <c r="T57" i="3"/>
  <c r="S57" i="3"/>
  <c r="R57" i="3"/>
  <c r="Q57" i="3"/>
  <c r="P57" i="3"/>
  <c r="O57" i="3"/>
  <c r="N57" i="3"/>
  <c r="M57" i="3"/>
  <c r="L57" i="3"/>
  <c r="V56" i="3"/>
  <c r="U56" i="3"/>
  <c r="T56" i="3"/>
  <c r="S56" i="3"/>
  <c r="R56" i="3"/>
  <c r="Q56" i="3"/>
  <c r="P56" i="3"/>
  <c r="O56" i="3"/>
  <c r="N56" i="3"/>
  <c r="M56" i="3"/>
  <c r="L56" i="3"/>
  <c r="V55" i="3"/>
  <c r="U55" i="3"/>
  <c r="T55" i="3"/>
  <c r="S55" i="3"/>
  <c r="R55" i="3"/>
  <c r="Q55" i="3"/>
  <c r="P55" i="3"/>
  <c r="O55" i="3"/>
  <c r="N55" i="3"/>
  <c r="M55" i="3"/>
  <c r="L55" i="3"/>
  <c r="V54" i="3"/>
  <c r="U54" i="3"/>
  <c r="T54" i="3"/>
  <c r="S54" i="3"/>
  <c r="R54" i="3"/>
  <c r="Q54" i="3"/>
  <c r="P54" i="3"/>
  <c r="O54" i="3"/>
  <c r="N54" i="3"/>
  <c r="M54" i="3"/>
  <c r="L54" i="3"/>
  <c r="V53" i="3"/>
  <c r="U53" i="3"/>
  <c r="T53" i="3"/>
  <c r="S53" i="3"/>
  <c r="R53" i="3"/>
  <c r="Q53" i="3"/>
  <c r="P53" i="3"/>
  <c r="O53" i="3"/>
  <c r="N53" i="3"/>
  <c r="M53" i="3"/>
  <c r="L53" i="3"/>
  <c r="V52" i="3"/>
  <c r="U52" i="3"/>
  <c r="T52" i="3"/>
  <c r="S52" i="3"/>
  <c r="R52" i="3"/>
  <c r="Q52" i="3"/>
  <c r="P52" i="3"/>
  <c r="O52" i="3"/>
  <c r="N52" i="3"/>
  <c r="M52" i="3"/>
  <c r="L52" i="3"/>
  <c r="V51" i="3"/>
  <c r="U51" i="3"/>
  <c r="T51" i="3"/>
  <c r="S51" i="3"/>
  <c r="R51" i="3"/>
  <c r="Q51" i="3"/>
  <c r="P51" i="3"/>
  <c r="O51" i="3"/>
  <c r="N51" i="3"/>
  <c r="M51" i="3"/>
  <c r="L51" i="3"/>
  <c r="V50" i="3"/>
  <c r="U50" i="3"/>
  <c r="T50" i="3"/>
  <c r="S50" i="3"/>
  <c r="R50" i="3"/>
  <c r="Q50" i="3"/>
  <c r="P50" i="3"/>
  <c r="O50" i="3"/>
  <c r="N50" i="3"/>
  <c r="M50" i="3"/>
  <c r="L50" i="3"/>
  <c r="V49" i="3"/>
  <c r="U49" i="3"/>
  <c r="T49" i="3"/>
  <c r="S49" i="3"/>
  <c r="R49" i="3"/>
  <c r="Q49" i="3"/>
  <c r="P49" i="3"/>
  <c r="O49" i="3"/>
  <c r="N49" i="3"/>
  <c r="M49" i="3"/>
  <c r="L49" i="3"/>
  <c r="V48" i="3"/>
  <c r="U48" i="3"/>
  <c r="T48" i="3"/>
  <c r="S48" i="3"/>
  <c r="R48" i="3"/>
  <c r="Q48" i="3"/>
  <c r="P48" i="3"/>
  <c r="O48" i="3"/>
  <c r="N48" i="3"/>
  <c r="M48" i="3"/>
  <c r="L48" i="3"/>
  <c r="V47" i="3"/>
  <c r="U47" i="3"/>
  <c r="T47" i="3"/>
  <c r="S47" i="3"/>
  <c r="R47" i="3"/>
  <c r="Q47" i="3"/>
  <c r="P47" i="3"/>
  <c r="O47" i="3"/>
  <c r="N47" i="3"/>
  <c r="M47" i="3"/>
  <c r="L47" i="3"/>
  <c r="V46" i="3"/>
  <c r="U46" i="3"/>
  <c r="T46" i="3"/>
  <c r="S46" i="3"/>
  <c r="R46" i="3"/>
  <c r="Q46" i="3"/>
  <c r="P46" i="3"/>
  <c r="O46" i="3"/>
  <c r="N46" i="3"/>
  <c r="M46" i="3"/>
  <c r="L46" i="3"/>
  <c r="V45" i="3"/>
  <c r="U45" i="3"/>
  <c r="T45" i="3"/>
  <c r="S45" i="3"/>
  <c r="R45" i="3"/>
  <c r="Q45" i="3"/>
  <c r="P45" i="3"/>
  <c r="O45" i="3"/>
  <c r="N45" i="3"/>
  <c r="M45" i="3"/>
  <c r="L45" i="3"/>
  <c r="V44" i="3"/>
  <c r="U44" i="3"/>
  <c r="T44" i="3"/>
  <c r="S44" i="3"/>
  <c r="R44" i="3"/>
  <c r="Q44" i="3"/>
  <c r="P44" i="3"/>
  <c r="O44" i="3"/>
  <c r="N44" i="3"/>
  <c r="M44" i="3"/>
  <c r="L44" i="3"/>
  <c r="V43" i="3"/>
  <c r="U43" i="3"/>
  <c r="T43" i="3"/>
  <c r="S43" i="3"/>
  <c r="R43" i="3"/>
  <c r="Q43" i="3"/>
  <c r="P43" i="3"/>
  <c r="O43" i="3"/>
  <c r="N43" i="3"/>
  <c r="M43" i="3"/>
  <c r="L43" i="3"/>
  <c r="V42" i="3"/>
  <c r="U42" i="3"/>
  <c r="T42" i="3"/>
  <c r="S42" i="3"/>
  <c r="R42" i="3"/>
  <c r="Q42" i="3"/>
  <c r="P42" i="3"/>
  <c r="O42" i="3"/>
  <c r="N42" i="3"/>
  <c r="M42" i="3"/>
  <c r="L42" i="3"/>
  <c r="V41" i="3"/>
  <c r="U41" i="3"/>
  <c r="T41" i="3"/>
  <c r="S41" i="3"/>
  <c r="R41" i="3"/>
  <c r="Q41" i="3"/>
  <c r="P41" i="3"/>
  <c r="O41" i="3"/>
  <c r="N41" i="3"/>
  <c r="M41" i="3"/>
  <c r="L41" i="3"/>
  <c r="V40" i="3"/>
  <c r="U40" i="3"/>
  <c r="T40" i="3"/>
  <c r="S40" i="3"/>
  <c r="R40" i="3"/>
  <c r="Q40" i="3"/>
  <c r="P40" i="3"/>
  <c r="O40" i="3"/>
  <c r="N40" i="3"/>
  <c r="M40" i="3"/>
  <c r="L40" i="3"/>
  <c r="V39" i="3"/>
  <c r="U39" i="3"/>
  <c r="T39" i="3"/>
  <c r="S39" i="3"/>
  <c r="R39" i="3"/>
  <c r="Q39" i="3"/>
  <c r="P39" i="3"/>
  <c r="O39" i="3"/>
  <c r="N39" i="3"/>
  <c r="M39" i="3"/>
  <c r="L39" i="3"/>
  <c r="V38" i="3"/>
  <c r="U38" i="3"/>
  <c r="T38" i="3"/>
  <c r="S38" i="3"/>
  <c r="R38" i="3"/>
  <c r="Q38" i="3"/>
  <c r="P38" i="3"/>
  <c r="O38" i="3"/>
  <c r="N38" i="3"/>
  <c r="M38" i="3"/>
  <c r="L38" i="3"/>
  <c r="V37" i="3"/>
  <c r="U37" i="3"/>
  <c r="T37" i="3"/>
  <c r="S37" i="3"/>
  <c r="R37" i="3"/>
  <c r="Q37" i="3"/>
  <c r="P37" i="3"/>
  <c r="O37" i="3"/>
  <c r="N37" i="3"/>
  <c r="M37" i="3"/>
  <c r="L37" i="3"/>
  <c r="V36" i="3"/>
  <c r="U36" i="3"/>
  <c r="T36" i="3"/>
  <c r="S36" i="3"/>
  <c r="R36" i="3"/>
  <c r="Q36" i="3"/>
  <c r="P36" i="3"/>
  <c r="O36" i="3"/>
  <c r="N36" i="3"/>
  <c r="M36" i="3"/>
  <c r="L36" i="3"/>
  <c r="V35" i="3"/>
  <c r="U35" i="3"/>
  <c r="T35" i="3"/>
  <c r="S35" i="3"/>
  <c r="R35" i="3"/>
  <c r="Q35" i="3"/>
  <c r="P35" i="3"/>
  <c r="O35" i="3"/>
  <c r="N35" i="3"/>
  <c r="M35" i="3"/>
  <c r="L35" i="3"/>
  <c r="V34" i="3"/>
  <c r="U34" i="3"/>
  <c r="T34" i="3"/>
  <c r="S34" i="3"/>
  <c r="R34" i="3"/>
  <c r="Q34" i="3"/>
  <c r="P34" i="3"/>
  <c r="O34" i="3"/>
  <c r="N34" i="3"/>
  <c r="M34" i="3"/>
  <c r="L34" i="3"/>
  <c r="V33" i="3"/>
  <c r="U33" i="3"/>
  <c r="T33" i="3"/>
  <c r="S33" i="3"/>
  <c r="R33" i="3"/>
  <c r="Q33" i="3"/>
  <c r="P33" i="3"/>
  <c r="O33" i="3"/>
  <c r="N33" i="3"/>
  <c r="M33" i="3"/>
  <c r="L33" i="3"/>
  <c r="V32" i="3"/>
  <c r="U32" i="3"/>
  <c r="T32" i="3"/>
  <c r="S32" i="3"/>
  <c r="R32" i="3"/>
  <c r="Q32" i="3"/>
  <c r="P32" i="3"/>
  <c r="O32" i="3"/>
  <c r="N32" i="3"/>
  <c r="M32" i="3"/>
  <c r="L32" i="3"/>
  <c r="V31" i="3"/>
  <c r="U31" i="3"/>
  <c r="T31" i="3"/>
  <c r="S31" i="3"/>
  <c r="R31" i="3"/>
  <c r="Q31" i="3"/>
  <c r="P31" i="3"/>
  <c r="O31" i="3"/>
  <c r="N31" i="3"/>
  <c r="M31" i="3"/>
  <c r="L31" i="3"/>
  <c r="V30" i="3"/>
  <c r="U30" i="3"/>
  <c r="T30" i="3"/>
  <c r="S30" i="3"/>
  <c r="R30" i="3"/>
  <c r="Q30" i="3"/>
  <c r="P30" i="3"/>
  <c r="O30" i="3"/>
  <c r="N30" i="3"/>
  <c r="M30" i="3"/>
  <c r="L30" i="3"/>
  <c r="V29" i="3"/>
  <c r="U29" i="3"/>
  <c r="T29" i="3"/>
  <c r="S29" i="3"/>
  <c r="R29" i="3"/>
  <c r="Q29" i="3"/>
  <c r="P29" i="3"/>
  <c r="O29" i="3"/>
  <c r="N29" i="3"/>
  <c r="M29" i="3"/>
  <c r="L29" i="3"/>
  <c r="V28" i="3"/>
  <c r="U28" i="3"/>
  <c r="T28" i="3"/>
  <c r="S28" i="3"/>
  <c r="R28" i="3"/>
  <c r="Q28" i="3"/>
  <c r="P28" i="3"/>
  <c r="O28" i="3"/>
  <c r="N28" i="3"/>
  <c r="M28" i="3"/>
  <c r="L28" i="3"/>
  <c r="V27" i="3"/>
  <c r="U27" i="3"/>
  <c r="T27" i="3"/>
  <c r="S27" i="3"/>
  <c r="R27" i="3"/>
  <c r="Q27" i="3"/>
  <c r="P27" i="3"/>
  <c r="O27" i="3"/>
  <c r="N27" i="3"/>
  <c r="M27" i="3"/>
  <c r="L27" i="3"/>
  <c r="V26" i="3"/>
  <c r="U26" i="3"/>
  <c r="T26" i="3"/>
  <c r="S26" i="3"/>
  <c r="R26" i="3"/>
  <c r="Q26" i="3"/>
  <c r="P26" i="3"/>
  <c r="O26" i="3"/>
  <c r="N26" i="3"/>
  <c r="M26" i="3"/>
  <c r="L26" i="3"/>
  <c r="V25" i="3"/>
  <c r="U25" i="3"/>
  <c r="T25" i="3"/>
  <c r="S25" i="3"/>
  <c r="R25" i="3"/>
  <c r="Q25" i="3"/>
  <c r="P25" i="3"/>
  <c r="O25" i="3"/>
  <c r="N25" i="3"/>
  <c r="M25" i="3"/>
  <c r="L25" i="3"/>
  <c r="V24" i="3"/>
  <c r="U24" i="3"/>
  <c r="T24" i="3"/>
  <c r="S24" i="3"/>
  <c r="R24" i="3"/>
  <c r="Q24" i="3"/>
  <c r="P24" i="3"/>
  <c r="O24" i="3"/>
  <c r="N24" i="3"/>
  <c r="M24" i="3"/>
  <c r="L24" i="3"/>
  <c r="V23" i="3"/>
  <c r="U23" i="3"/>
  <c r="T23" i="3"/>
  <c r="S23" i="3"/>
  <c r="R23" i="3"/>
  <c r="Q23" i="3"/>
  <c r="P23" i="3"/>
  <c r="O23" i="3"/>
  <c r="N23" i="3"/>
  <c r="M23" i="3"/>
  <c r="L23" i="3"/>
  <c r="V22" i="3"/>
  <c r="U22" i="3"/>
  <c r="T22" i="3"/>
  <c r="S22" i="3"/>
  <c r="R22" i="3"/>
  <c r="Q22" i="3"/>
  <c r="P22" i="3"/>
  <c r="O22" i="3"/>
  <c r="N22" i="3"/>
  <c r="M22" i="3"/>
  <c r="L22" i="3"/>
  <c r="V21" i="3"/>
  <c r="U21" i="3"/>
  <c r="T21" i="3"/>
  <c r="S21" i="3"/>
  <c r="R21" i="3"/>
  <c r="Q21" i="3"/>
  <c r="P21" i="3"/>
  <c r="O21" i="3"/>
  <c r="N21" i="3"/>
  <c r="M21" i="3"/>
  <c r="L21" i="3"/>
  <c r="V20" i="3"/>
  <c r="U20" i="3"/>
  <c r="T20" i="3"/>
  <c r="S20" i="3"/>
  <c r="R20" i="3"/>
  <c r="Q20" i="3"/>
  <c r="P20" i="3"/>
  <c r="O20" i="3"/>
  <c r="N20" i="3"/>
  <c r="M20" i="3"/>
  <c r="L20" i="3"/>
  <c r="V19" i="3"/>
  <c r="U19" i="3"/>
  <c r="T19" i="3"/>
  <c r="S19" i="3"/>
  <c r="R19" i="3"/>
  <c r="Q19" i="3"/>
  <c r="P19" i="3"/>
  <c r="O19" i="3"/>
  <c r="N19" i="3"/>
  <c r="M19" i="3"/>
  <c r="L19" i="3"/>
  <c r="V18" i="3"/>
  <c r="U18" i="3"/>
  <c r="T18" i="3"/>
  <c r="S18" i="3"/>
  <c r="R18" i="3"/>
  <c r="Q18" i="3"/>
  <c r="P18" i="3"/>
  <c r="O18" i="3"/>
  <c r="N18" i="3"/>
  <c r="M18" i="3"/>
  <c r="L18" i="3"/>
  <c r="V17" i="3"/>
  <c r="U17" i="3"/>
  <c r="T17" i="3"/>
  <c r="S17" i="3"/>
  <c r="R17" i="3"/>
  <c r="Q17" i="3"/>
  <c r="P17" i="3"/>
  <c r="O17" i="3"/>
  <c r="N17" i="3"/>
  <c r="M17" i="3"/>
  <c r="L17" i="3"/>
  <c r="V16" i="3"/>
  <c r="U16" i="3"/>
  <c r="T16" i="3"/>
  <c r="S16" i="3"/>
  <c r="R16" i="3"/>
  <c r="Q16" i="3"/>
  <c r="P16" i="3"/>
  <c r="O16" i="3"/>
  <c r="N16" i="3"/>
  <c r="M16" i="3"/>
  <c r="L16" i="3"/>
  <c r="V15" i="3"/>
  <c r="U15" i="3"/>
  <c r="T15" i="3"/>
  <c r="S15" i="3"/>
  <c r="R15" i="3"/>
  <c r="Q15" i="3"/>
  <c r="P15" i="3"/>
  <c r="O15" i="3"/>
  <c r="N15" i="3"/>
  <c r="M15" i="3"/>
  <c r="L15" i="3"/>
  <c r="V14" i="3"/>
  <c r="U14" i="3"/>
  <c r="T14" i="3"/>
  <c r="S14" i="3"/>
  <c r="R14" i="3"/>
  <c r="Q14" i="3"/>
  <c r="P14" i="3"/>
  <c r="O14" i="3"/>
  <c r="N14" i="3"/>
  <c r="M14" i="3"/>
  <c r="L14" i="3"/>
  <c r="V13" i="3"/>
  <c r="U13" i="3"/>
  <c r="T13" i="3"/>
  <c r="S13" i="3"/>
  <c r="R13" i="3"/>
  <c r="Q13" i="3"/>
  <c r="P13" i="3"/>
  <c r="O13" i="3"/>
  <c r="N13" i="3"/>
  <c r="M13" i="3"/>
  <c r="L13" i="3"/>
  <c r="V12" i="3"/>
  <c r="U12" i="3"/>
  <c r="T12" i="3"/>
  <c r="S12" i="3"/>
  <c r="R12" i="3"/>
  <c r="Q12" i="3"/>
  <c r="P12" i="3"/>
  <c r="O12" i="3"/>
  <c r="N12" i="3"/>
  <c r="M12" i="3"/>
  <c r="L12" i="3"/>
  <c r="V11" i="3"/>
  <c r="U11" i="3"/>
  <c r="T11" i="3"/>
  <c r="S11" i="3"/>
  <c r="R11" i="3"/>
  <c r="Q11" i="3"/>
  <c r="P11" i="3"/>
  <c r="O11" i="3"/>
  <c r="N11" i="3"/>
  <c r="M11" i="3"/>
  <c r="L11" i="3"/>
  <c r="V10" i="3"/>
  <c r="U10" i="3"/>
  <c r="T10" i="3"/>
  <c r="S10" i="3"/>
  <c r="R10" i="3"/>
  <c r="Q10" i="3"/>
  <c r="P10" i="3"/>
  <c r="O10" i="3"/>
  <c r="N10" i="3"/>
  <c r="M10" i="3"/>
  <c r="L10" i="3"/>
  <c r="V9" i="3"/>
  <c r="U9" i="3"/>
  <c r="T9" i="3"/>
  <c r="S9" i="3"/>
  <c r="R9" i="3"/>
  <c r="Q9" i="3"/>
  <c r="P9" i="3"/>
  <c r="O9" i="3"/>
  <c r="N9" i="3"/>
  <c r="M9" i="3"/>
  <c r="L9" i="3"/>
  <c r="V8" i="3"/>
  <c r="U8" i="3"/>
  <c r="T8" i="3"/>
  <c r="S8" i="3"/>
  <c r="R8" i="3"/>
  <c r="Q8" i="3"/>
  <c r="P8" i="3"/>
  <c r="O8" i="3"/>
  <c r="N8" i="3"/>
  <c r="M8" i="3"/>
  <c r="L8" i="3"/>
  <c r="V7" i="3"/>
  <c r="U7" i="3"/>
  <c r="T7" i="3"/>
  <c r="S7" i="3"/>
  <c r="R7" i="3"/>
  <c r="Q7" i="3"/>
  <c r="P7" i="3"/>
  <c r="O7" i="3"/>
  <c r="N7" i="3"/>
  <c r="M7" i="3"/>
  <c r="L7" i="3"/>
  <c r="V6" i="3"/>
  <c r="U6" i="3"/>
  <c r="T6" i="3"/>
  <c r="S6" i="3"/>
  <c r="R6" i="3"/>
  <c r="Q6" i="3"/>
  <c r="P6" i="3"/>
  <c r="O6" i="3"/>
  <c r="N6" i="3"/>
  <c r="M6" i="3"/>
  <c r="L6" i="3"/>
  <c r="V5" i="3"/>
  <c r="U5" i="3"/>
  <c r="T5" i="3"/>
  <c r="S5" i="3"/>
  <c r="R5" i="3"/>
  <c r="Q5" i="3"/>
  <c r="P5" i="3"/>
  <c r="O5" i="3"/>
  <c r="N5" i="3"/>
  <c r="M5" i="3"/>
  <c r="L5" i="3"/>
  <c r="V4" i="3"/>
  <c r="U4" i="3"/>
  <c r="T4" i="3"/>
  <c r="S4" i="3"/>
  <c r="R4" i="3"/>
  <c r="Q4" i="3"/>
  <c r="P4" i="3"/>
  <c r="O4" i="3"/>
  <c r="N4" i="3"/>
  <c r="M4" i="3"/>
  <c r="L4" i="3"/>
  <c r="V3" i="3"/>
  <c r="U3" i="3"/>
  <c r="T3" i="3"/>
  <c r="S3" i="3"/>
  <c r="R3" i="3"/>
  <c r="Q3" i="3"/>
  <c r="P3" i="3"/>
  <c r="O3" i="3"/>
  <c r="N3" i="3"/>
  <c r="M3" i="3"/>
  <c r="L3" i="3"/>
  <c r="V74" i="10"/>
  <c r="U74" i="10"/>
  <c r="T74" i="10"/>
  <c r="S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V73" i="10"/>
  <c r="U73" i="10"/>
  <c r="T73" i="10"/>
  <c r="S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V72" i="10"/>
  <c r="U72" i="10"/>
  <c r="T72" i="10"/>
  <c r="S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V71" i="10"/>
  <c r="U71" i="10"/>
  <c r="T71" i="10"/>
  <c r="S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V70" i="10"/>
  <c r="U70" i="10"/>
  <c r="T70" i="10"/>
  <c r="S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V69" i="10"/>
  <c r="U69" i="10"/>
  <c r="T69" i="10"/>
  <c r="S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V68" i="10"/>
  <c r="U68" i="10"/>
  <c r="T68" i="10"/>
  <c r="S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V67" i="10"/>
  <c r="U67" i="10"/>
  <c r="T67" i="10"/>
  <c r="S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V66" i="10"/>
  <c r="U66" i="10"/>
  <c r="T66" i="10"/>
  <c r="S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V65" i="10"/>
  <c r="U65" i="10"/>
  <c r="T65" i="10"/>
  <c r="S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V64" i="10"/>
  <c r="U64" i="10"/>
  <c r="T64" i="10"/>
  <c r="S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V63" i="10"/>
  <c r="U63" i="10"/>
  <c r="T63" i="10"/>
  <c r="S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V62" i="10"/>
  <c r="U62" i="10"/>
  <c r="T62" i="10"/>
  <c r="S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B60" i="10"/>
  <c r="AM28" i="1" l="1"/>
  <c r="AL28" i="1"/>
  <c r="AN5" i="1"/>
  <c r="S14" i="4" l="1"/>
  <c r="T11" i="4" s="1"/>
  <c r="T13" i="4" s="1"/>
  <c r="Q11" i="4"/>
  <c r="R11" i="4" s="1"/>
  <c r="U9" i="4" s="1"/>
  <c r="I38" i="4"/>
  <c r="T9" i="4"/>
  <c r="R8" i="4"/>
  <c r="T7" i="4"/>
  <c r="R5" i="4"/>
  <c r="R14" i="4" l="1"/>
  <c r="V11" i="4"/>
  <c r="T14" i="4"/>
  <c r="W14" i="4" l="1"/>
  <c r="S29" i="5" l="1"/>
  <c r="S30" i="5" s="1"/>
  <c r="H20" i="5" l="1"/>
  <c r="E35" i="13" l="1"/>
  <c r="E25" i="9" l="1"/>
  <c r="E22" i="9"/>
  <c r="E21" i="9"/>
  <c r="E24" i="9"/>
  <c r="BE42" i="12" l="1"/>
  <c r="BE40" i="12"/>
  <c r="BE39" i="12"/>
  <c r="AQ40" i="12"/>
  <c r="AQ39" i="12"/>
  <c r="AQ42" i="12"/>
  <c r="AL28" i="12" l="1"/>
  <c r="AZ28" i="12"/>
  <c r="T23" i="1" l="1"/>
  <c r="Y23" i="1"/>
  <c r="Z23" i="1"/>
  <c r="U29" i="1"/>
  <c r="E40" i="4" l="1"/>
  <c r="S26" i="11" l="1"/>
  <c r="V36" i="6" l="1"/>
  <c r="V34" i="6" s="1"/>
  <c r="S38" i="6"/>
  <c r="C38" i="6"/>
  <c r="Z22" i="6"/>
  <c r="U22" i="6"/>
  <c r="V27" i="6"/>
  <c r="U17" i="6"/>
  <c r="S22" i="6"/>
  <c r="F26" i="6" l="1"/>
  <c r="AD14" i="11" l="1"/>
  <c r="AD16" i="11"/>
  <c r="Q20" i="11"/>
  <c r="P20" i="11"/>
  <c r="R20" i="11"/>
  <c r="Z21" i="6" l="1"/>
  <c r="U21" i="6"/>
  <c r="S21" i="6"/>
  <c r="U13" i="5" l="1"/>
  <c r="U21" i="5" s="1"/>
  <c r="AQ29" i="1" l="1"/>
  <c r="AM38" i="1"/>
  <c r="AI22" i="1"/>
  <c r="AN6" i="1" s="1"/>
  <c r="BD41" i="8" l="1"/>
  <c r="BH7" i="8"/>
  <c r="BD12" i="8"/>
  <c r="BG51" i="8" s="1"/>
  <c r="AZ46" i="8"/>
  <c r="BA35" i="8"/>
  <c r="BB32" i="8"/>
  <c r="BF31" i="8"/>
  <c r="BF30" i="8"/>
  <c r="BF28" i="8"/>
  <c r="BF21" i="8"/>
  <c r="BF19" i="8"/>
  <c r="BF18" i="8"/>
  <c r="BF17" i="8"/>
  <c r="BF16" i="8"/>
  <c r="BD13" i="8" l="1"/>
  <c r="BH8" i="8" s="1"/>
  <c r="M16" i="11"/>
  <c r="C20" i="11" l="1"/>
  <c r="S20" i="11" l="1"/>
  <c r="T20" i="11"/>
  <c r="Z47" i="11"/>
  <c r="AS39" i="11"/>
  <c r="BD33" i="11"/>
  <c r="AJ33" i="11"/>
  <c r="AS27" i="11"/>
  <c r="AS17" i="11"/>
  <c r="AJ11" i="11"/>
  <c r="AS3" i="11"/>
  <c r="U20" i="11" l="1"/>
  <c r="S21" i="11" s="1"/>
  <c r="S22" i="11"/>
  <c r="S23" i="11" l="1"/>
  <c r="Q22" i="11"/>
  <c r="R22" i="11"/>
  <c r="Q21" i="11"/>
  <c r="P23" i="11"/>
  <c r="T23" i="11"/>
  <c r="Q23" i="11"/>
  <c r="T22" i="11"/>
  <c r="P22" i="11"/>
  <c r="P21" i="11"/>
  <c r="R23" i="11"/>
  <c r="R21" i="11"/>
  <c r="T21" i="11"/>
  <c r="E140" i="5"/>
  <c r="AO15" i="12" l="1"/>
  <c r="AO18" i="12" l="1"/>
  <c r="X34" i="2"/>
  <c r="X33" i="2"/>
  <c r="R29" i="2"/>
  <c r="T29" i="2"/>
  <c r="T30" i="2"/>
  <c r="X22" i="2"/>
  <c r="X23" i="2"/>
  <c r="Q53" i="2"/>
  <c r="R42" i="2"/>
  <c r="S37" i="2"/>
  <c r="W36" i="2"/>
  <c r="W35" i="2"/>
  <c r="W34" i="2"/>
  <c r="W33" i="2"/>
  <c r="W26" i="2"/>
  <c r="W25" i="2"/>
  <c r="W24" i="2"/>
  <c r="W23" i="2"/>
  <c r="W22" i="2"/>
  <c r="W21" i="2"/>
  <c r="U16" i="2"/>
  <c r="U11" i="2" s="1"/>
  <c r="Y8" i="2" s="1"/>
  <c r="U14" i="2"/>
  <c r="X58" i="2" l="1"/>
  <c r="U15" i="2"/>
  <c r="Y9" i="2" s="1"/>
  <c r="U13" i="2"/>
  <c r="C20" i="5" l="1"/>
  <c r="B205" i="3" l="1"/>
  <c r="B204" i="3"/>
  <c r="K238" i="3" l="1"/>
  <c r="A253" i="3" l="1"/>
  <c r="J29" i="1" l="1"/>
  <c r="A243" i="3" l="1"/>
  <c r="A244" i="3"/>
  <c r="A245" i="3"/>
  <c r="A246" i="3"/>
  <c r="A247" i="3"/>
  <c r="A248" i="3"/>
  <c r="A249" i="3"/>
  <c r="A250" i="3"/>
  <c r="A251" i="3"/>
  <c r="A252" i="3"/>
  <c r="A242" i="3"/>
  <c r="J18" i="9" l="1"/>
  <c r="N198" i="3" s="1"/>
  <c r="P198" i="3" s="1"/>
  <c r="R198" i="3" s="1"/>
  <c r="I13" i="9" s="1"/>
  <c r="M8" i="9"/>
  <c r="J19" i="9"/>
  <c r="M9" i="9" l="1"/>
  <c r="M6" i="9"/>
  <c r="Q159" i="3" l="1"/>
  <c r="L181" i="3" s="1"/>
  <c r="J184" i="3" l="1"/>
  <c r="J185" i="3"/>
  <c r="J186" i="3"/>
  <c r="J187" i="3"/>
  <c r="J188" i="3"/>
  <c r="J189" i="3"/>
  <c r="J190" i="3"/>
  <c r="J191" i="3"/>
  <c r="J192" i="3"/>
  <c r="J193" i="3"/>
  <c r="J183" i="3"/>
  <c r="N144" i="3" l="1"/>
  <c r="O144" i="3" s="1"/>
  <c r="N143" i="3"/>
  <c r="O143" i="3" s="1"/>
  <c r="K117" i="5" l="1"/>
  <c r="AB48" i="1"/>
  <c r="U17" i="1"/>
  <c r="E30" i="2" l="1"/>
  <c r="I34" i="2"/>
  <c r="I23" i="2"/>
  <c r="N159" i="3" l="1"/>
  <c r="O159" i="3" s="1"/>
  <c r="F9" i="5" l="1"/>
  <c r="E157" i="3"/>
  <c r="E74" i="13"/>
  <c r="Q144" i="3" l="1"/>
  <c r="L166" i="3"/>
  <c r="N12" i="5" s="1"/>
  <c r="Q143" i="3"/>
  <c r="C144" i="5"/>
  <c r="C35" i="5"/>
  <c r="S16" i="5" l="1"/>
  <c r="S18" i="5" s="1"/>
  <c r="S17" i="5" l="1"/>
  <c r="S19" i="5" l="1"/>
  <c r="K118" i="5"/>
  <c r="G36" i="3" l="1"/>
  <c r="E72" i="13" l="1"/>
  <c r="G50" i="13" s="1"/>
  <c r="G51" i="13" s="1"/>
  <c r="E71" i="13"/>
  <c r="G54" i="13" s="1"/>
  <c r="K65" i="13"/>
  <c r="F45" i="13"/>
  <c r="E36" i="13"/>
  <c r="E33" i="13"/>
  <c r="E32" i="13"/>
  <c r="E31" i="13"/>
  <c r="F24" i="13"/>
  <c r="F38" i="13" l="1"/>
  <c r="I38" i="13" s="1"/>
  <c r="G52" i="13"/>
  <c r="G53" i="13" s="1"/>
  <c r="K50" i="13"/>
  <c r="K51" i="13" s="1"/>
  <c r="F39" i="13" l="1"/>
  <c r="F40" i="13" s="1"/>
  <c r="E73" i="13" s="1"/>
  <c r="D42" i="13" s="1"/>
  <c r="B50" i="4"/>
  <c r="C21" i="4" l="1"/>
  <c r="D34" i="4"/>
  <c r="E22" i="4"/>
  <c r="D33" i="4"/>
  <c r="V5" i="5" l="1"/>
  <c r="U62" i="12" l="1"/>
  <c r="X62" i="12" s="1"/>
  <c r="X61" i="12"/>
  <c r="T61" i="12"/>
  <c r="X60" i="12"/>
  <c r="T60" i="12"/>
  <c r="X59" i="12"/>
  <c r="T59" i="12"/>
  <c r="X58" i="12"/>
  <c r="T58" i="12"/>
  <c r="X57" i="12"/>
  <c r="T57" i="12"/>
  <c r="AA27" i="12" s="1"/>
  <c r="AA29" i="12" s="1"/>
  <c r="AC29" i="12" s="1"/>
  <c r="AC34" i="12" s="1"/>
  <c r="AC35" i="12" l="1"/>
  <c r="AC36" i="12"/>
  <c r="U13" i="12" s="1"/>
  <c r="AT12" i="8"/>
  <c r="U14" i="12" l="1"/>
  <c r="U15" i="12"/>
  <c r="U16" i="12" s="1"/>
  <c r="Y10" i="12" s="1"/>
  <c r="AT41" i="8"/>
  <c r="AP46" i="8"/>
  <c r="AQ35" i="8"/>
  <c r="AR32" i="8"/>
  <c r="AV31" i="8"/>
  <c r="AV30" i="8"/>
  <c r="AV29" i="8"/>
  <c r="AV28" i="8"/>
  <c r="AV21" i="8"/>
  <c r="AV20" i="8"/>
  <c r="AV19" i="8"/>
  <c r="AV18" i="8"/>
  <c r="AV17" i="8"/>
  <c r="AV16" i="8"/>
  <c r="AT13" i="8"/>
  <c r="AX8" i="8" s="1"/>
  <c r="AX7" i="8"/>
  <c r="AW51" i="8" l="1"/>
  <c r="AO11" i="12" l="1"/>
  <c r="AJ27" i="12" l="1"/>
  <c r="AX27" i="12"/>
  <c r="AU24" i="12"/>
  <c r="AG24" i="12"/>
  <c r="AX35" i="12"/>
  <c r="AJ35" i="12"/>
  <c r="BC11" i="12"/>
  <c r="BE11" i="12" s="1"/>
  <c r="AQ32" i="12"/>
  <c r="AS41" i="12"/>
  <c r="AW34" i="12"/>
  <c r="AX26" i="12" s="1"/>
  <c r="BC31" i="12"/>
  <c r="BC26" i="12"/>
  <c r="AU23" i="12"/>
  <c r="BE41" i="12" s="1"/>
  <c r="BE43" i="12" s="1"/>
  <c r="AZ19" i="12" s="1"/>
  <c r="BE10" i="12" s="1"/>
  <c r="BE21" i="12"/>
  <c r="BC21" i="12"/>
  <c r="AT19" i="12"/>
  <c r="BC16" i="12"/>
  <c r="AO31" i="12"/>
  <c r="AQ31" i="12" s="1"/>
  <c r="BC27" i="12" l="1"/>
  <c r="BC28" i="12" s="1"/>
  <c r="BE28" i="12" s="1"/>
  <c r="BC17" i="12"/>
  <c r="BC18" i="12" s="1"/>
  <c r="BE31" i="12"/>
  <c r="BE32" i="12"/>
  <c r="BC12" i="12"/>
  <c r="AX10" i="12" s="1"/>
  <c r="BE22" i="12"/>
  <c r="BE33" i="12" l="1"/>
  <c r="BE18" i="12"/>
  <c r="BE23" i="12" s="1"/>
  <c r="BE7" i="12"/>
  <c r="BE12" i="12" s="1"/>
  <c r="AX11" i="12" s="1"/>
  <c r="AX12" i="12" s="1"/>
  <c r="BA9" i="12" s="1"/>
  <c r="BE34" i="12" l="1"/>
  <c r="AX13" i="12" s="1"/>
  <c r="AX15" i="12" s="1"/>
  <c r="AX16" i="12" s="1"/>
  <c r="BA10" i="12" s="1"/>
  <c r="AX14" i="12" l="1"/>
  <c r="AF19" i="12"/>
  <c r="AQ11" i="12"/>
  <c r="AO26" i="12"/>
  <c r="N28" i="5"/>
  <c r="AO21" i="12"/>
  <c r="AE41" i="12"/>
  <c r="AI34" i="12"/>
  <c r="AJ26" i="12" s="1"/>
  <c r="AQ21" i="12"/>
  <c r="AG23" i="12"/>
  <c r="AQ41" i="12" s="1"/>
  <c r="AQ43" i="12" s="1"/>
  <c r="AL19" i="12" s="1"/>
  <c r="AO27" i="12" l="1"/>
  <c r="AO28" i="12" s="1"/>
  <c r="AQ28" i="12" s="1"/>
  <c r="AQ18" i="12"/>
  <c r="AO12" i="12"/>
  <c r="AJ10" i="12" s="1"/>
  <c r="AQ22" i="12"/>
  <c r="AQ23" i="12" l="1"/>
  <c r="AQ33" i="12"/>
  <c r="AQ12" i="12"/>
  <c r="AJ11" i="12" s="1"/>
  <c r="AQ34" i="12" l="1"/>
  <c r="AJ13" i="12" s="1"/>
  <c r="AJ15" i="12" s="1"/>
  <c r="AJ16" i="12" s="1"/>
  <c r="AM10" i="12" s="1"/>
  <c r="AJ12" i="12"/>
  <c r="AM9" i="12" s="1"/>
  <c r="AJ14" i="12" l="1"/>
  <c r="F45" i="11" l="1"/>
  <c r="I37" i="11" l="1"/>
  <c r="E33" i="11"/>
  <c r="I25" i="11"/>
  <c r="F16" i="11" l="1"/>
  <c r="M24" i="11"/>
  <c r="F9" i="11" s="1"/>
  <c r="F8" i="10" l="1"/>
  <c r="L14" i="11" l="1"/>
  <c r="L13" i="11"/>
  <c r="L12" i="11"/>
  <c r="L11" i="11"/>
  <c r="C32" i="11" s="1"/>
  <c r="L7" i="11"/>
  <c r="L6" i="11"/>
  <c r="F44" i="11" s="1"/>
  <c r="L5" i="11"/>
  <c r="Q9" i="11"/>
  <c r="L4" i="11" s="1"/>
  <c r="E32" i="11" s="1"/>
  <c r="I36" i="11" l="1"/>
  <c r="I24" i="11"/>
  <c r="F34" i="1" l="1"/>
  <c r="N6" i="1" l="1"/>
  <c r="N19" i="1" s="1"/>
  <c r="G9" i="1" s="1"/>
  <c r="E203" i="3" l="1"/>
  <c r="Y50" i="1" l="1"/>
  <c r="V9" i="1"/>
  <c r="S17" i="1"/>
  <c r="AQ19" i="1" l="1"/>
  <c r="AI20" i="1"/>
  <c r="AQ6" i="1"/>
  <c r="AQ11" i="1" s="1"/>
  <c r="AI23" i="1"/>
  <c r="AL29" i="1"/>
  <c r="AI38" i="1"/>
  <c r="U33" i="1"/>
  <c r="AE49" i="1"/>
  <c r="AM29" i="1"/>
  <c r="AJ17" i="1"/>
  <c r="AJ41" i="8"/>
  <c r="AQ10" i="1" l="1"/>
  <c r="AQ25" i="1"/>
  <c r="AQ27" i="1" s="1"/>
  <c r="AF46" i="8"/>
  <c r="AG35" i="8"/>
  <c r="AH32" i="8"/>
  <c r="AL31" i="8"/>
  <c r="AL30" i="8"/>
  <c r="AL29" i="8"/>
  <c r="AL28" i="8"/>
  <c r="AL21" i="8"/>
  <c r="AL20" i="8"/>
  <c r="AL19" i="8"/>
  <c r="AL18" i="8"/>
  <c r="AL17" i="8"/>
  <c r="AL16" i="8"/>
  <c r="AJ12" i="8"/>
  <c r="AM51" i="8" s="1"/>
  <c r="AN7" i="8"/>
  <c r="AQ26" i="1" l="1"/>
  <c r="U34" i="1"/>
  <c r="AJ13" i="1"/>
  <c r="AI39" i="1" s="1"/>
  <c r="AJ13" i="8"/>
  <c r="AN8" i="8" s="1"/>
  <c r="AM54" i="1" l="1"/>
  <c r="AJ15" i="1"/>
  <c r="AJ16" i="1" s="1"/>
  <c r="AN10" i="1" s="1"/>
  <c r="AJ14" i="1"/>
  <c r="AN8" i="1" s="1"/>
  <c r="AM55" i="1"/>
  <c r="AC45" i="8" l="1"/>
  <c r="V40" i="8"/>
  <c r="W33" i="8"/>
  <c r="X30" i="8"/>
  <c r="AB29" i="8"/>
  <c r="AB28" i="8"/>
  <c r="AB27" i="8"/>
  <c r="AB26" i="8"/>
  <c r="Z11" i="8"/>
  <c r="AD8" i="8" s="1"/>
  <c r="AD7" i="8"/>
  <c r="G17" i="1" l="1"/>
  <c r="B49" i="11" l="1"/>
  <c r="D37" i="2" l="1"/>
  <c r="L15" i="11" l="1"/>
  <c r="L8" i="11"/>
  <c r="M18" i="11" l="1"/>
  <c r="F12" i="11" s="1"/>
  <c r="F14" i="11" s="1"/>
  <c r="M17" i="11"/>
  <c r="F10" i="11" s="1"/>
  <c r="F15" i="11" l="1"/>
  <c r="J10" i="11" s="1"/>
  <c r="F13" i="11"/>
  <c r="F11" i="11"/>
  <c r="J9" i="11" s="1"/>
  <c r="C33" i="10" l="1"/>
  <c r="B45" i="10" l="1"/>
  <c r="F40" i="10"/>
  <c r="M15" i="10"/>
  <c r="M7" i="10" l="1"/>
  <c r="M8" i="10"/>
  <c r="I19" i="10" s="1"/>
  <c r="J19" i="10" s="1"/>
  <c r="M3" i="10"/>
  <c r="I17" i="10" s="1"/>
  <c r="J17" i="10" s="1"/>
  <c r="M14" i="10"/>
  <c r="I24" i="10" s="1"/>
  <c r="J24" i="10" s="1"/>
  <c r="M13" i="10"/>
  <c r="I23" i="10" s="1"/>
  <c r="J23" i="10" s="1"/>
  <c r="M12" i="10"/>
  <c r="I22" i="10" s="1"/>
  <c r="J22" i="10" s="1"/>
  <c r="M11" i="10"/>
  <c r="M6" i="10"/>
  <c r="M5" i="10"/>
  <c r="C77" i="10" s="1"/>
  <c r="F38" i="10" s="1"/>
  <c r="M4" i="10"/>
  <c r="F16" i="2"/>
  <c r="I18" i="10" l="1"/>
  <c r="J18" i="10" s="1"/>
  <c r="X30" i="6" l="1"/>
  <c r="AH411" i="3" l="1"/>
  <c r="F36" i="6" l="1"/>
  <c r="E33" i="1" l="1"/>
  <c r="AH80" i="3" l="1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79" i="3"/>
  <c r="AG134" i="3" l="1"/>
  <c r="AG135" i="3"/>
  <c r="AG136" i="3"/>
  <c r="AG137" i="3"/>
  <c r="AG138" i="3"/>
  <c r="AG139" i="3"/>
  <c r="AG140" i="3"/>
  <c r="AG133" i="3"/>
  <c r="AF134" i="3"/>
  <c r="AF135" i="3"/>
  <c r="AF136" i="3"/>
  <c r="AF137" i="3"/>
  <c r="AF138" i="3"/>
  <c r="AF139" i="3"/>
  <c r="AF140" i="3"/>
  <c r="AF133" i="3"/>
  <c r="AE134" i="3"/>
  <c r="AE135" i="3"/>
  <c r="AE136" i="3"/>
  <c r="AE137" i="3"/>
  <c r="AE138" i="3"/>
  <c r="AE139" i="3"/>
  <c r="AE140" i="3"/>
  <c r="AE133" i="3"/>
  <c r="AD134" i="3"/>
  <c r="AD135" i="3"/>
  <c r="AD136" i="3"/>
  <c r="AD137" i="3"/>
  <c r="AD138" i="3"/>
  <c r="AD139" i="3"/>
  <c r="AD140" i="3"/>
  <c r="AD133" i="3"/>
  <c r="AU44" i="3"/>
  <c r="F23" i="1" l="1"/>
  <c r="AA8" i="6" l="1"/>
  <c r="Y51" i="1" l="1"/>
  <c r="R45" i="6" l="1"/>
  <c r="U33" i="6"/>
  <c r="AA9" i="6"/>
  <c r="P41" i="8" l="1"/>
  <c r="L46" i="8" l="1"/>
  <c r="S51" i="8"/>
  <c r="T7" i="8"/>
  <c r="P13" i="8" l="1"/>
  <c r="T8" i="8" s="1"/>
  <c r="E17" i="6" l="1"/>
  <c r="E22" i="6"/>
  <c r="F12" i="8" l="1"/>
  <c r="I51" i="8" s="1"/>
  <c r="F41" i="8" l="1"/>
  <c r="B46" i="8"/>
  <c r="F13" i="8"/>
  <c r="J8" i="8" s="1"/>
  <c r="J7" i="8"/>
  <c r="AD1151" i="3" l="1"/>
  <c r="AD79" i="3" l="1"/>
  <c r="AD80" i="3"/>
  <c r="AC80" i="3" s="1"/>
  <c r="AD81" i="3"/>
  <c r="AC81" i="3" s="1"/>
  <c r="AD82" i="3"/>
  <c r="AC82" i="3" s="1"/>
  <c r="AD83" i="3"/>
  <c r="AC83" i="3" s="1"/>
  <c r="AD84" i="3"/>
  <c r="AD85" i="3"/>
  <c r="AD86" i="3"/>
  <c r="AD87" i="3"/>
  <c r="AD88" i="3"/>
  <c r="AD89" i="3"/>
  <c r="AD90" i="3"/>
  <c r="AD91" i="3"/>
  <c r="AD92" i="3"/>
  <c r="AD93" i="3"/>
  <c r="AC79" i="3" l="1"/>
  <c r="AC91" i="3"/>
  <c r="AC87" i="3"/>
  <c r="AC86" i="3"/>
  <c r="AC85" i="3"/>
  <c r="AC93" i="3"/>
  <c r="AC84" i="3"/>
  <c r="AC90" i="3"/>
  <c r="AC88" i="3"/>
  <c r="AC89" i="3" l="1"/>
  <c r="AC92" i="3" s="1"/>
  <c r="F29" i="5" l="1"/>
  <c r="Z8" i="1" l="1"/>
  <c r="Z10" i="1"/>
  <c r="AC16" i="1" l="1"/>
  <c r="AC20" i="1" l="1"/>
  <c r="AC19" i="1"/>
  <c r="V10" i="1" s="1"/>
  <c r="AC27" i="1"/>
  <c r="R45" i="1"/>
  <c r="Z24" i="1"/>
  <c r="Y24" i="1"/>
  <c r="U18" i="1"/>
  <c r="E16" i="6" l="1"/>
  <c r="C21" i="6"/>
  <c r="F34" i="6"/>
  <c r="J21" i="6"/>
  <c r="P8" i="6"/>
  <c r="AP27" i="3" l="1"/>
  <c r="H32" i="6" s="1"/>
  <c r="X32" i="6" s="1"/>
  <c r="H28" i="4"/>
  <c r="I28" i="4"/>
  <c r="J28" i="4"/>
  <c r="F27" i="6"/>
  <c r="J22" i="6"/>
  <c r="C22" i="6"/>
  <c r="N9" i="6" l="1"/>
  <c r="N10" i="6" s="1"/>
  <c r="F9" i="6" s="1"/>
  <c r="M142" i="3" l="1"/>
  <c r="BX42" i="8"/>
  <c r="BX13" i="8"/>
  <c r="BT47" i="8"/>
  <c r="CB8" i="8"/>
  <c r="BX14" i="8" l="1"/>
  <c r="CB9" i="8" s="1"/>
  <c r="CA52" i="8"/>
  <c r="B43" i="9"/>
  <c r="F38" i="9"/>
  <c r="C32" i="9"/>
  <c r="H19" i="9"/>
  <c r="H18" i="9"/>
  <c r="F12" i="9"/>
  <c r="J7" i="9"/>
  <c r="J8" i="9" l="1"/>
  <c r="I48" i="9"/>
  <c r="E21" i="4"/>
  <c r="F38" i="1" l="1"/>
  <c r="E25" i="5" l="1"/>
  <c r="C42" i="5"/>
  <c r="BN13" i="8" l="1"/>
  <c r="BQ52" i="8" s="1"/>
  <c r="BN14" i="8" l="1"/>
  <c r="BR9" i="8" s="1"/>
  <c r="B45" i="6"/>
  <c r="BR8" i="8"/>
  <c r="BJ47" i="8"/>
  <c r="BN42" i="8"/>
  <c r="BK36" i="8"/>
  <c r="BL33" i="8"/>
  <c r="BP32" i="8"/>
  <c r="BP31" i="8"/>
  <c r="BP30" i="8"/>
  <c r="BP29" i="8"/>
  <c r="BP22" i="8"/>
  <c r="BP21" i="8"/>
  <c r="BP20" i="8"/>
  <c r="BP19" i="8"/>
  <c r="BP18" i="8"/>
  <c r="BP17" i="8"/>
  <c r="F48" i="2" l="1"/>
  <c r="M18" i="2"/>
  <c r="D101" i="3" l="1"/>
  <c r="F101" i="3"/>
  <c r="B96" i="3"/>
  <c r="N23" i="5" l="1"/>
  <c r="N27" i="5" l="1"/>
  <c r="E29" i="5"/>
  <c r="E31" i="5" s="1"/>
  <c r="AC2" i="3" l="1"/>
  <c r="AD2" i="3"/>
  <c r="AE2" i="3"/>
  <c r="AF2" i="3"/>
  <c r="AG2" i="3"/>
  <c r="AH2" i="3"/>
  <c r="AI2" i="3"/>
  <c r="AJ2" i="3"/>
  <c r="AK2" i="3"/>
  <c r="AL2" i="3"/>
  <c r="AM2" i="3"/>
  <c r="AC3" i="3"/>
  <c r="AD3" i="3"/>
  <c r="AE3" i="3"/>
  <c r="AF3" i="3"/>
  <c r="AG3" i="3"/>
  <c r="AH3" i="3"/>
  <c r="AI3" i="3"/>
  <c r="AJ3" i="3"/>
  <c r="AK3" i="3"/>
  <c r="AL3" i="3"/>
  <c r="AM3" i="3"/>
  <c r="AC4" i="3"/>
  <c r="AD4" i="3"/>
  <c r="AE4" i="3"/>
  <c r="AF4" i="3"/>
  <c r="AG4" i="3"/>
  <c r="AH4" i="3"/>
  <c r="AI4" i="3"/>
  <c r="AJ4" i="3"/>
  <c r="AK4" i="3"/>
  <c r="AL4" i="3"/>
  <c r="AM4" i="3"/>
  <c r="AC5" i="3"/>
  <c r="AD5" i="3"/>
  <c r="AE5" i="3"/>
  <c r="AF5" i="3"/>
  <c r="AG5" i="3"/>
  <c r="AH5" i="3"/>
  <c r="AI5" i="3"/>
  <c r="AJ5" i="3"/>
  <c r="AK5" i="3"/>
  <c r="AL5" i="3"/>
  <c r="AM5" i="3"/>
  <c r="AC6" i="3"/>
  <c r="AD6" i="3"/>
  <c r="AE6" i="3"/>
  <c r="AF6" i="3"/>
  <c r="AG6" i="3"/>
  <c r="AH6" i="3"/>
  <c r="AI6" i="3"/>
  <c r="AJ6" i="3"/>
  <c r="AK6" i="3"/>
  <c r="AL6" i="3"/>
  <c r="AM6" i="3"/>
  <c r="AC7" i="3"/>
  <c r="AD7" i="3"/>
  <c r="AE7" i="3"/>
  <c r="AF7" i="3"/>
  <c r="AG7" i="3"/>
  <c r="AH7" i="3"/>
  <c r="AI7" i="3"/>
  <c r="AJ7" i="3"/>
  <c r="AK7" i="3"/>
  <c r="AL7" i="3"/>
  <c r="AM7" i="3"/>
  <c r="AC8" i="3"/>
  <c r="AD8" i="3"/>
  <c r="AE8" i="3"/>
  <c r="AF8" i="3"/>
  <c r="AG8" i="3"/>
  <c r="AH8" i="3"/>
  <c r="AI8" i="3"/>
  <c r="AJ8" i="3"/>
  <c r="AK8" i="3"/>
  <c r="AL8" i="3"/>
  <c r="AM8" i="3"/>
  <c r="AC9" i="3"/>
  <c r="AD9" i="3"/>
  <c r="AE9" i="3"/>
  <c r="AF9" i="3"/>
  <c r="AG9" i="3"/>
  <c r="AH9" i="3"/>
  <c r="AI9" i="3"/>
  <c r="AJ9" i="3"/>
  <c r="AK9" i="3"/>
  <c r="AL9" i="3"/>
  <c r="AM9" i="3"/>
  <c r="AC10" i="3"/>
  <c r="AD10" i="3"/>
  <c r="AE10" i="3"/>
  <c r="AF10" i="3"/>
  <c r="AG10" i="3"/>
  <c r="AH10" i="3"/>
  <c r="AI10" i="3"/>
  <c r="AJ10" i="3"/>
  <c r="AK10" i="3"/>
  <c r="AL10" i="3"/>
  <c r="AM10" i="3"/>
  <c r="AC11" i="3"/>
  <c r="AD11" i="3"/>
  <c r="AE11" i="3"/>
  <c r="AF11" i="3"/>
  <c r="AG11" i="3"/>
  <c r="AH11" i="3"/>
  <c r="AI11" i="3"/>
  <c r="AJ11" i="3"/>
  <c r="AK11" i="3"/>
  <c r="AL11" i="3"/>
  <c r="AM11" i="3"/>
  <c r="AC12" i="3"/>
  <c r="AD12" i="3"/>
  <c r="AE12" i="3"/>
  <c r="AF12" i="3"/>
  <c r="AG12" i="3"/>
  <c r="AH12" i="3"/>
  <c r="AI12" i="3"/>
  <c r="AJ12" i="3"/>
  <c r="AK12" i="3"/>
  <c r="AL12" i="3"/>
  <c r="AM12" i="3"/>
  <c r="AC13" i="3"/>
  <c r="AD13" i="3"/>
  <c r="AE13" i="3"/>
  <c r="AF13" i="3"/>
  <c r="AG13" i="3"/>
  <c r="AH13" i="3"/>
  <c r="AI13" i="3"/>
  <c r="AJ13" i="3"/>
  <c r="AK13" i="3"/>
  <c r="AL13" i="3"/>
  <c r="AM13" i="3"/>
  <c r="AC14" i="3"/>
  <c r="AD14" i="3"/>
  <c r="AE14" i="3"/>
  <c r="AF14" i="3"/>
  <c r="AG14" i="3"/>
  <c r="AH14" i="3"/>
  <c r="AI14" i="3"/>
  <c r="AJ14" i="3"/>
  <c r="AK14" i="3"/>
  <c r="AL14" i="3"/>
  <c r="AM14" i="3"/>
  <c r="AC15" i="3"/>
  <c r="AD15" i="3"/>
  <c r="AE15" i="3"/>
  <c r="AF15" i="3"/>
  <c r="AG15" i="3"/>
  <c r="AH15" i="3"/>
  <c r="AI15" i="3"/>
  <c r="AJ15" i="3"/>
  <c r="AK15" i="3"/>
  <c r="AL15" i="3"/>
  <c r="AM15" i="3"/>
  <c r="AC16" i="3"/>
  <c r="AD16" i="3"/>
  <c r="AE16" i="3"/>
  <c r="AF16" i="3"/>
  <c r="AG16" i="3"/>
  <c r="AH16" i="3"/>
  <c r="AI16" i="3"/>
  <c r="AJ16" i="3"/>
  <c r="AK16" i="3"/>
  <c r="AL16" i="3"/>
  <c r="AM16" i="3"/>
  <c r="AC17" i="3"/>
  <c r="AD17" i="3"/>
  <c r="AE17" i="3"/>
  <c r="AF17" i="3"/>
  <c r="AG17" i="3"/>
  <c r="AH17" i="3"/>
  <c r="AI17" i="3"/>
  <c r="AJ17" i="3"/>
  <c r="AK17" i="3"/>
  <c r="AL17" i="3"/>
  <c r="AM17" i="3"/>
  <c r="AC18" i="3"/>
  <c r="AD18" i="3"/>
  <c r="AE18" i="3"/>
  <c r="AF18" i="3"/>
  <c r="AG18" i="3"/>
  <c r="AH18" i="3"/>
  <c r="AI18" i="3"/>
  <c r="AJ18" i="3"/>
  <c r="AK18" i="3"/>
  <c r="AL18" i="3"/>
  <c r="AM18" i="3"/>
  <c r="AC19" i="3"/>
  <c r="AD19" i="3"/>
  <c r="AE19" i="3"/>
  <c r="AF19" i="3"/>
  <c r="AG19" i="3"/>
  <c r="AH19" i="3"/>
  <c r="AI19" i="3"/>
  <c r="AJ19" i="3"/>
  <c r="AK19" i="3"/>
  <c r="AL19" i="3"/>
  <c r="AM19" i="3"/>
  <c r="AC20" i="3"/>
  <c r="AD20" i="3"/>
  <c r="AE20" i="3"/>
  <c r="AF20" i="3"/>
  <c r="AG20" i="3"/>
  <c r="AH20" i="3"/>
  <c r="AI20" i="3"/>
  <c r="AJ20" i="3"/>
  <c r="AK20" i="3"/>
  <c r="AL20" i="3"/>
  <c r="AM20" i="3"/>
  <c r="AC21" i="3"/>
  <c r="AD21" i="3"/>
  <c r="AE21" i="3"/>
  <c r="AF21" i="3"/>
  <c r="AG21" i="3"/>
  <c r="AH21" i="3"/>
  <c r="AI21" i="3"/>
  <c r="AJ21" i="3"/>
  <c r="AK21" i="3"/>
  <c r="AL21" i="3"/>
  <c r="AM21" i="3"/>
  <c r="AC22" i="3"/>
  <c r="AD22" i="3"/>
  <c r="AE22" i="3"/>
  <c r="AF22" i="3"/>
  <c r="AG22" i="3"/>
  <c r="AH22" i="3"/>
  <c r="AI22" i="3"/>
  <c r="AJ22" i="3"/>
  <c r="AK22" i="3"/>
  <c r="AL22" i="3"/>
  <c r="AM22" i="3"/>
  <c r="AC23" i="3"/>
  <c r="AD23" i="3"/>
  <c r="AE23" i="3"/>
  <c r="AF23" i="3"/>
  <c r="AG23" i="3"/>
  <c r="AH23" i="3"/>
  <c r="AI23" i="3"/>
  <c r="AJ23" i="3"/>
  <c r="AK23" i="3"/>
  <c r="AL23" i="3"/>
  <c r="AM23" i="3"/>
  <c r="AC24" i="3"/>
  <c r="AD24" i="3"/>
  <c r="AE24" i="3"/>
  <c r="AF24" i="3"/>
  <c r="AG24" i="3"/>
  <c r="AH24" i="3"/>
  <c r="AI24" i="3"/>
  <c r="AJ24" i="3"/>
  <c r="AK24" i="3"/>
  <c r="AL24" i="3"/>
  <c r="AM24" i="3"/>
  <c r="AC25" i="3"/>
  <c r="AD25" i="3"/>
  <c r="AE25" i="3"/>
  <c r="AF25" i="3"/>
  <c r="AG25" i="3"/>
  <c r="AH25" i="3"/>
  <c r="AI25" i="3"/>
  <c r="AJ25" i="3"/>
  <c r="AK25" i="3"/>
  <c r="AL25" i="3"/>
  <c r="AM25" i="3"/>
  <c r="AC26" i="3"/>
  <c r="AD26" i="3"/>
  <c r="AE26" i="3"/>
  <c r="AF26" i="3"/>
  <c r="AG26" i="3"/>
  <c r="AH26" i="3"/>
  <c r="AI26" i="3"/>
  <c r="AJ26" i="3"/>
  <c r="AK26" i="3"/>
  <c r="AL26" i="3"/>
  <c r="AM26" i="3"/>
  <c r="AC27" i="3"/>
  <c r="AD27" i="3"/>
  <c r="AE27" i="3"/>
  <c r="AF27" i="3"/>
  <c r="AG27" i="3"/>
  <c r="AH27" i="3"/>
  <c r="AI27" i="3"/>
  <c r="AJ27" i="3"/>
  <c r="AK27" i="3"/>
  <c r="AL27" i="3"/>
  <c r="AM27" i="3"/>
  <c r="AC28" i="3"/>
  <c r="AD28" i="3"/>
  <c r="AE28" i="3"/>
  <c r="AF28" i="3"/>
  <c r="AG28" i="3"/>
  <c r="AH28" i="3"/>
  <c r="AI28" i="3"/>
  <c r="AJ28" i="3"/>
  <c r="AK28" i="3"/>
  <c r="AL28" i="3"/>
  <c r="AM28" i="3"/>
  <c r="AC29" i="3"/>
  <c r="AD29" i="3"/>
  <c r="AE29" i="3"/>
  <c r="AF29" i="3"/>
  <c r="AG29" i="3"/>
  <c r="AH29" i="3"/>
  <c r="AI29" i="3"/>
  <c r="AJ29" i="3"/>
  <c r="AK29" i="3"/>
  <c r="AL29" i="3"/>
  <c r="AM29" i="3"/>
  <c r="AC30" i="3"/>
  <c r="AD30" i="3"/>
  <c r="AE30" i="3"/>
  <c r="AF30" i="3"/>
  <c r="AG30" i="3"/>
  <c r="AH30" i="3"/>
  <c r="AI30" i="3"/>
  <c r="AJ30" i="3"/>
  <c r="AK30" i="3"/>
  <c r="AL30" i="3"/>
  <c r="AM30" i="3"/>
  <c r="AC31" i="3"/>
  <c r="AD31" i="3"/>
  <c r="AE31" i="3"/>
  <c r="AF31" i="3"/>
  <c r="AG31" i="3"/>
  <c r="AH31" i="3"/>
  <c r="AI31" i="3"/>
  <c r="AJ31" i="3"/>
  <c r="AK31" i="3"/>
  <c r="AL31" i="3"/>
  <c r="AM31" i="3"/>
  <c r="AC32" i="3"/>
  <c r="AD32" i="3"/>
  <c r="AE32" i="3"/>
  <c r="AF32" i="3"/>
  <c r="AG32" i="3"/>
  <c r="AH32" i="3"/>
  <c r="AI32" i="3"/>
  <c r="AJ32" i="3"/>
  <c r="AK32" i="3"/>
  <c r="AL32" i="3"/>
  <c r="AM32" i="3"/>
  <c r="AC33" i="3"/>
  <c r="AD33" i="3"/>
  <c r="AE33" i="3"/>
  <c r="AF33" i="3"/>
  <c r="AG33" i="3"/>
  <c r="AH33" i="3"/>
  <c r="AI33" i="3"/>
  <c r="AH33" i="1" s="1"/>
  <c r="AJ33" i="3"/>
  <c r="AK33" i="3"/>
  <c r="AL33" i="3"/>
  <c r="AM33" i="3"/>
  <c r="AC34" i="3"/>
  <c r="AD34" i="3"/>
  <c r="AE34" i="3"/>
  <c r="AF34" i="3"/>
  <c r="AG34" i="3"/>
  <c r="AH34" i="3"/>
  <c r="AI34" i="3"/>
  <c r="AK36" i="1" s="1"/>
  <c r="AJ34" i="3"/>
  <c r="AK34" i="3"/>
  <c r="AL34" i="3"/>
  <c r="AM34" i="3"/>
  <c r="AC35" i="3"/>
  <c r="AD35" i="3"/>
  <c r="AE35" i="3"/>
  <c r="AF35" i="3"/>
  <c r="AG35" i="3"/>
  <c r="AH35" i="3"/>
  <c r="AI35" i="3"/>
  <c r="AJ35" i="3"/>
  <c r="AK35" i="3"/>
  <c r="AL35" i="3"/>
  <c r="AM35" i="3"/>
  <c r="AC36" i="3"/>
  <c r="AD36" i="3"/>
  <c r="AE36" i="3"/>
  <c r="AF36" i="3"/>
  <c r="AG36" i="3"/>
  <c r="AH36" i="3"/>
  <c r="AI36" i="3"/>
  <c r="AJ36" i="3"/>
  <c r="AK36" i="3"/>
  <c r="AL36" i="3"/>
  <c r="AM36" i="3"/>
  <c r="AC37" i="3"/>
  <c r="AD37" i="3"/>
  <c r="AE37" i="3"/>
  <c r="AF37" i="3"/>
  <c r="AG37" i="3"/>
  <c r="AH37" i="3"/>
  <c r="AI37" i="3"/>
  <c r="AJ37" i="3"/>
  <c r="AK37" i="3"/>
  <c r="AL37" i="3"/>
  <c r="AM37" i="3"/>
  <c r="AC38" i="3"/>
  <c r="AD38" i="3"/>
  <c r="U19" i="2" s="1"/>
  <c r="AE38" i="3"/>
  <c r="AF38" i="3"/>
  <c r="AG38" i="3"/>
  <c r="AH38" i="3"/>
  <c r="AI38" i="3"/>
  <c r="AJ38" i="3"/>
  <c r="AK38" i="3"/>
  <c r="AL38" i="3"/>
  <c r="AM38" i="3"/>
  <c r="AC39" i="3"/>
  <c r="AD39" i="3"/>
  <c r="AE39" i="3"/>
  <c r="AF39" i="3"/>
  <c r="AG39" i="3"/>
  <c r="AH39" i="3"/>
  <c r="AI39" i="3"/>
  <c r="AJ39" i="3"/>
  <c r="AK39" i="3"/>
  <c r="AL39" i="3"/>
  <c r="AM39" i="3"/>
  <c r="AC40" i="3"/>
  <c r="AD40" i="3"/>
  <c r="AE40" i="3"/>
  <c r="AF40" i="3"/>
  <c r="AG40" i="3"/>
  <c r="AH40" i="3"/>
  <c r="AI40" i="3"/>
  <c r="AJ40" i="3"/>
  <c r="AK40" i="3"/>
  <c r="AL40" i="3"/>
  <c r="AM40" i="3"/>
  <c r="AC41" i="3"/>
  <c r="AD41" i="3"/>
  <c r="AE41" i="3"/>
  <c r="AF41" i="3"/>
  <c r="AG41" i="3"/>
  <c r="AH41" i="3"/>
  <c r="AI41" i="3"/>
  <c r="AJ41" i="3"/>
  <c r="AK41" i="3"/>
  <c r="AL41" i="3"/>
  <c r="AM41" i="3"/>
  <c r="AC42" i="3"/>
  <c r="AD42" i="3"/>
  <c r="AE42" i="3"/>
  <c r="AF42" i="3"/>
  <c r="AG42" i="3"/>
  <c r="AH42" i="3"/>
  <c r="AI42" i="3"/>
  <c r="AJ42" i="3"/>
  <c r="AK42" i="3"/>
  <c r="AL42" i="3"/>
  <c r="AM42" i="3"/>
  <c r="AC43" i="3"/>
  <c r="AD43" i="3"/>
  <c r="AE43" i="3"/>
  <c r="AF43" i="3"/>
  <c r="AG43" i="3"/>
  <c r="AH43" i="3"/>
  <c r="AI43" i="3"/>
  <c r="AJ43" i="3"/>
  <c r="AK43" i="3"/>
  <c r="AL43" i="3"/>
  <c r="AM43" i="3"/>
  <c r="AC44" i="3"/>
  <c r="AD44" i="3"/>
  <c r="AE44" i="3"/>
  <c r="AF44" i="3"/>
  <c r="AG44" i="3"/>
  <c r="AH44" i="3"/>
  <c r="AI44" i="3"/>
  <c r="AJ44" i="3"/>
  <c r="AK44" i="3"/>
  <c r="AL44" i="3"/>
  <c r="AM44" i="3"/>
  <c r="AC45" i="3"/>
  <c r="AD45" i="3"/>
  <c r="AE45" i="3"/>
  <c r="AF45" i="3"/>
  <c r="AG45" i="3"/>
  <c r="AH45" i="3"/>
  <c r="AI45" i="3"/>
  <c r="AJ45" i="3"/>
  <c r="AK45" i="3"/>
  <c r="AL45" i="3"/>
  <c r="AM45" i="3"/>
  <c r="AC46" i="3"/>
  <c r="AD46" i="3"/>
  <c r="AE46" i="3"/>
  <c r="AF46" i="3"/>
  <c r="AG46" i="3"/>
  <c r="AH46" i="3"/>
  <c r="AI46" i="3"/>
  <c r="AJ46" i="3"/>
  <c r="AK46" i="3"/>
  <c r="AL46" i="3"/>
  <c r="AM46" i="3"/>
  <c r="AC47" i="3"/>
  <c r="AD47" i="3"/>
  <c r="AE47" i="3"/>
  <c r="AF47" i="3"/>
  <c r="AG47" i="3"/>
  <c r="AH47" i="3"/>
  <c r="AI47" i="3"/>
  <c r="AJ47" i="3"/>
  <c r="AK47" i="3"/>
  <c r="AL47" i="3"/>
  <c r="AM47" i="3"/>
  <c r="AC48" i="3"/>
  <c r="AD48" i="3"/>
  <c r="AE48" i="3"/>
  <c r="AF48" i="3"/>
  <c r="AG48" i="3"/>
  <c r="AH48" i="3"/>
  <c r="AI48" i="3"/>
  <c r="AJ48" i="3"/>
  <c r="AK48" i="3"/>
  <c r="AL48" i="3"/>
  <c r="AM48" i="3"/>
  <c r="AC49" i="3"/>
  <c r="AD49" i="3"/>
  <c r="AE49" i="3"/>
  <c r="AF49" i="3"/>
  <c r="AG49" i="3"/>
  <c r="AH49" i="3"/>
  <c r="AI49" i="3"/>
  <c r="AJ49" i="3"/>
  <c r="AK49" i="3"/>
  <c r="AL49" i="3"/>
  <c r="AM49" i="3"/>
  <c r="AC50" i="3"/>
  <c r="AD50" i="3"/>
  <c r="AE50" i="3"/>
  <c r="AF50" i="3"/>
  <c r="AG50" i="3"/>
  <c r="AH50" i="3"/>
  <c r="AI50" i="3"/>
  <c r="AJ50" i="3"/>
  <c r="AK50" i="3"/>
  <c r="AL50" i="3"/>
  <c r="AM50" i="3"/>
  <c r="AC51" i="3"/>
  <c r="AD51" i="3"/>
  <c r="AE51" i="3"/>
  <c r="AF51" i="3"/>
  <c r="AG51" i="3"/>
  <c r="AH51" i="3"/>
  <c r="AI51" i="3"/>
  <c r="AJ51" i="3"/>
  <c r="AK51" i="3"/>
  <c r="AL51" i="3"/>
  <c r="AM51" i="3"/>
  <c r="AC52" i="3"/>
  <c r="AD52" i="3"/>
  <c r="AE52" i="3"/>
  <c r="AF52" i="3"/>
  <c r="AG52" i="3"/>
  <c r="AH52" i="3"/>
  <c r="AI52" i="3"/>
  <c r="AJ52" i="3"/>
  <c r="AK52" i="3"/>
  <c r="AL52" i="3"/>
  <c r="AM52" i="3"/>
  <c r="AC53" i="3"/>
  <c r="AD53" i="3"/>
  <c r="AE53" i="3"/>
  <c r="AF53" i="3"/>
  <c r="AG53" i="3"/>
  <c r="AH53" i="3"/>
  <c r="AI53" i="3"/>
  <c r="AJ53" i="3"/>
  <c r="AK53" i="3"/>
  <c r="AL53" i="3"/>
  <c r="AM53" i="3"/>
  <c r="AC54" i="3"/>
  <c r="AD54" i="3"/>
  <c r="AE54" i="3"/>
  <c r="AF54" i="3"/>
  <c r="AG54" i="3"/>
  <c r="AH54" i="3"/>
  <c r="AI54" i="3"/>
  <c r="AJ54" i="3"/>
  <c r="AK54" i="3"/>
  <c r="AL54" i="3"/>
  <c r="AM54" i="3"/>
  <c r="AC55" i="3"/>
  <c r="AD55" i="3"/>
  <c r="AE55" i="3"/>
  <c r="AF55" i="3"/>
  <c r="AG55" i="3"/>
  <c r="AH55" i="3"/>
  <c r="AI55" i="3"/>
  <c r="AJ55" i="3"/>
  <c r="AK55" i="3"/>
  <c r="AL55" i="3"/>
  <c r="AM55" i="3"/>
  <c r="AC56" i="3"/>
  <c r="AD56" i="3"/>
  <c r="AE56" i="3"/>
  <c r="AF56" i="3"/>
  <c r="AG56" i="3"/>
  <c r="AH56" i="3"/>
  <c r="AI56" i="3"/>
  <c r="AJ56" i="3"/>
  <c r="AK56" i="3"/>
  <c r="AL56" i="3"/>
  <c r="AM56" i="3"/>
  <c r="AC57" i="3"/>
  <c r="AD57" i="3"/>
  <c r="AE57" i="3"/>
  <c r="AF57" i="3"/>
  <c r="AG57" i="3"/>
  <c r="AH57" i="3"/>
  <c r="AI57" i="3"/>
  <c r="AJ57" i="3"/>
  <c r="AK57" i="3"/>
  <c r="AL57" i="3"/>
  <c r="AM57" i="3"/>
  <c r="AC58" i="3"/>
  <c r="AD58" i="3"/>
  <c r="AE58" i="3"/>
  <c r="AF58" i="3"/>
  <c r="AG58" i="3"/>
  <c r="AH58" i="3"/>
  <c r="AI58" i="3"/>
  <c r="AJ58" i="3"/>
  <c r="AK58" i="3"/>
  <c r="AL58" i="3"/>
  <c r="AM58" i="3"/>
  <c r="AC59" i="3"/>
  <c r="AD59" i="3"/>
  <c r="AE59" i="3"/>
  <c r="AF59" i="3"/>
  <c r="AG59" i="3"/>
  <c r="AH59" i="3"/>
  <c r="AI59" i="3"/>
  <c r="AJ59" i="3"/>
  <c r="AK59" i="3"/>
  <c r="AL59" i="3"/>
  <c r="AM59" i="3"/>
  <c r="AC60" i="3"/>
  <c r="AD60" i="3"/>
  <c r="AE60" i="3"/>
  <c r="AF60" i="3"/>
  <c r="AG60" i="3"/>
  <c r="AH60" i="3"/>
  <c r="AI60" i="3"/>
  <c r="AJ60" i="3"/>
  <c r="AK60" i="3"/>
  <c r="AL60" i="3"/>
  <c r="AM60" i="3"/>
  <c r="AC61" i="3"/>
  <c r="AD61" i="3"/>
  <c r="AE61" i="3"/>
  <c r="AF61" i="3"/>
  <c r="AG61" i="3"/>
  <c r="AH61" i="3"/>
  <c r="AI61" i="3"/>
  <c r="AJ61" i="3"/>
  <c r="AK61" i="3"/>
  <c r="AL61" i="3"/>
  <c r="AM61" i="3"/>
  <c r="AC62" i="3"/>
  <c r="AD62" i="3"/>
  <c r="AE62" i="3"/>
  <c r="AF62" i="3"/>
  <c r="AG62" i="3"/>
  <c r="AH62" i="3"/>
  <c r="AI62" i="3"/>
  <c r="AJ62" i="3"/>
  <c r="AK62" i="3"/>
  <c r="AL62" i="3"/>
  <c r="AM62" i="3"/>
  <c r="AC63" i="3"/>
  <c r="AD63" i="3"/>
  <c r="AE63" i="3"/>
  <c r="AF63" i="3"/>
  <c r="AG63" i="3"/>
  <c r="AH63" i="3"/>
  <c r="AI63" i="3"/>
  <c r="AJ63" i="3"/>
  <c r="AK63" i="3"/>
  <c r="AL63" i="3"/>
  <c r="AM63" i="3"/>
  <c r="AC64" i="3"/>
  <c r="AD64" i="3"/>
  <c r="AE64" i="3"/>
  <c r="AF64" i="3"/>
  <c r="AG64" i="3"/>
  <c r="AH64" i="3"/>
  <c r="AI64" i="3"/>
  <c r="AJ64" i="3"/>
  <c r="AK64" i="3"/>
  <c r="AL64" i="3"/>
  <c r="AM64" i="3"/>
  <c r="AC65" i="3"/>
  <c r="AD65" i="3"/>
  <c r="AE65" i="3"/>
  <c r="AF65" i="3"/>
  <c r="AG65" i="3"/>
  <c r="AH65" i="3"/>
  <c r="AI65" i="3"/>
  <c r="AJ65" i="3"/>
  <c r="AK65" i="3"/>
  <c r="AL65" i="3"/>
  <c r="AM65" i="3"/>
  <c r="AC66" i="3"/>
  <c r="AD66" i="3"/>
  <c r="AE66" i="3"/>
  <c r="AF66" i="3"/>
  <c r="AG66" i="3"/>
  <c r="AH66" i="3"/>
  <c r="AI66" i="3"/>
  <c r="AJ66" i="3"/>
  <c r="AK66" i="3"/>
  <c r="AL66" i="3"/>
  <c r="AM66" i="3"/>
  <c r="AC67" i="3"/>
  <c r="AD67" i="3"/>
  <c r="AE67" i="3"/>
  <c r="AF67" i="3"/>
  <c r="AG67" i="3"/>
  <c r="AH67" i="3"/>
  <c r="AI67" i="3"/>
  <c r="AJ67" i="3"/>
  <c r="AK67" i="3"/>
  <c r="AL67" i="3"/>
  <c r="AM67" i="3"/>
  <c r="AC68" i="3"/>
  <c r="AD68" i="3"/>
  <c r="AE68" i="3"/>
  <c r="AF68" i="3"/>
  <c r="AG68" i="3"/>
  <c r="AH68" i="3"/>
  <c r="AI68" i="3"/>
  <c r="AJ68" i="3"/>
  <c r="AK68" i="3"/>
  <c r="AL68" i="3"/>
  <c r="AM68" i="3"/>
  <c r="AC69" i="3"/>
  <c r="AD69" i="3"/>
  <c r="AE69" i="3"/>
  <c r="AF69" i="3"/>
  <c r="AG69" i="3"/>
  <c r="AH69" i="3"/>
  <c r="AI69" i="3"/>
  <c r="AJ69" i="3"/>
  <c r="AK69" i="3"/>
  <c r="AL69" i="3"/>
  <c r="AM69" i="3"/>
  <c r="AC70" i="3"/>
  <c r="AD70" i="3"/>
  <c r="AE70" i="3"/>
  <c r="AF70" i="3"/>
  <c r="AG70" i="3"/>
  <c r="AH70" i="3"/>
  <c r="AI70" i="3"/>
  <c r="AJ70" i="3"/>
  <c r="AK70" i="3"/>
  <c r="AL70" i="3"/>
  <c r="AM70" i="3"/>
  <c r="AC71" i="3"/>
  <c r="AD71" i="3"/>
  <c r="AE71" i="3"/>
  <c r="AF71" i="3"/>
  <c r="AG71" i="3"/>
  <c r="AH71" i="3"/>
  <c r="AI71" i="3"/>
  <c r="AJ71" i="3"/>
  <c r="AK71" i="3"/>
  <c r="AL71" i="3"/>
  <c r="AM71" i="3"/>
  <c r="AC72" i="3"/>
  <c r="AD72" i="3"/>
  <c r="AE72" i="3"/>
  <c r="AF72" i="3"/>
  <c r="AG72" i="3"/>
  <c r="AH72" i="3"/>
  <c r="AI72" i="3"/>
  <c r="AJ72" i="3"/>
  <c r="AK72" i="3"/>
  <c r="AL72" i="3"/>
  <c r="AM72" i="3"/>
  <c r="AC73" i="3"/>
  <c r="AD73" i="3"/>
  <c r="AE73" i="3"/>
  <c r="AF73" i="3"/>
  <c r="AG73" i="3"/>
  <c r="AH73" i="3"/>
  <c r="AI73" i="3"/>
  <c r="AJ73" i="3"/>
  <c r="AK73" i="3"/>
  <c r="AL73" i="3"/>
  <c r="AM73" i="3"/>
  <c r="AC74" i="3"/>
  <c r="AD74" i="3"/>
  <c r="AE74" i="3"/>
  <c r="AF74" i="3"/>
  <c r="AG74" i="3"/>
  <c r="AH74" i="3"/>
  <c r="AI74" i="3"/>
  <c r="AJ74" i="3"/>
  <c r="AK74" i="3"/>
  <c r="AL74" i="3"/>
  <c r="AM74" i="3"/>
  <c r="AC75" i="3"/>
  <c r="AD75" i="3"/>
  <c r="AE75" i="3"/>
  <c r="AF75" i="3"/>
  <c r="AG75" i="3"/>
  <c r="AH75" i="3"/>
  <c r="AI75" i="3"/>
  <c r="AJ75" i="3"/>
  <c r="AK75" i="3"/>
  <c r="AL75" i="3"/>
  <c r="AM75" i="3"/>
  <c r="AC76" i="3"/>
  <c r="AD76" i="3"/>
  <c r="AE76" i="3"/>
  <c r="AF76" i="3"/>
  <c r="AG76" i="3"/>
  <c r="AH76" i="3"/>
  <c r="AI76" i="3"/>
  <c r="AJ76" i="3"/>
  <c r="AK76" i="3"/>
  <c r="AL76" i="3"/>
  <c r="AM76" i="3"/>
  <c r="AC77" i="3"/>
  <c r="AD77" i="3"/>
  <c r="AE77" i="3"/>
  <c r="AF77" i="3"/>
  <c r="AG77" i="3"/>
  <c r="AH77" i="3"/>
  <c r="AI77" i="3"/>
  <c r="AJ77" i="3"/>
  <c r="AK77" i="3"/>
  <c r="AL77" i="3"/>
  <c r="AM77" i="3"/>
  <c r="AE78" i="3"/>
  <c r="AF78" i="3"/>
  <c r="AG78" i="3"/>
  <c r="AH78" i="3"/>
  <c r="AI78" i="3"/>
  <c r="AJ78" i="3"/>
  <c r="AK78" i="3"/>
  <c r="AL78" i="3"/>
  <c r="AM78" i="3"/>
  <c r="AE79" i="3"/>
  <c r="AF79" i="3"/>
  <c r="AG79" i="3"/>
  <c r="AI79" i="3"/>
  <c r="AJ79" i="3"/>
  <c r="AK79" i="3"/>
  <c r="AM79" i="3"/>
  <c r="AE80" i="3"/>
  <c r="AF80" i="3"/>
  <c r="AG80" i="3"/>
  <c r="AI80" i="3"/>
  <c r="AJ80" i="3"/>
  <c r="AK80" i="3"/>
  <c r="AM80" i="3"/>
  <c r="AE81" i="3"/>
  <c r="AF81" i="3"/>
  <c r="AG81" i="3"/>
  <c r="AI81" i="3"/>
  <c r="AJ81" i="3"/>
  <c r="AK81" i="3"/>
  <c r="AM81" i="3"/>
  <c r="AE82" i="3"/>
  <c r="AF82" i="3"/>
  <c r="AG82" i="3"/>
  <c r="AI82" i="3"/>
  <c r="AJ82" i="3"/>
  <c r="AK82" i="3"/>
  <c r="AM82" i="3"/>
  <c r="AE83" i="3"/>
  <c r="AF83" i="3"/>
  <c r="AG83" i="3"/>
  <c r="AI83" i="3"/>
  <c r="AJ83" i="3"/>
  <c r="AK83" i="3"/>
  <c r="AM83" i="3"/>
  <c r="AE84" i="3"/>
  <c r="AF84" i="3"/>
  <c r="AG84" i="3"/>
  <c r="AI84" i="3"/>
  <c r="AJ84" i="3"/>
  <c r="AK84" i="3"/>
  <c r="AM84" i="3"/>
  <c r="AE85" i="3"/>
  <c r="AF85" i="3"/>
  <c r="AG85" i="3"/>
  <c r="AI85" i="3"/>
  <c r="AJ85" i="3"/>
  <c r="AK85" i="3"/>
  <c r="AM85" i="3"/>
  <c r="AE86" i="3"/>
  <c r="AF86" i="3"/>
  <c r="AG86" i="3"/>
  <c r="AI86" i="3"/>
  <c r="AJ86" i="3"/>
  <c r="AK86" i="3"/>
  <c r="AM86" i="3"/>
  <c r="AE87" i="3"/>
  <c r="AF87" i="3"/>
  <c r="AG87" i="3"/>
  <c r="AI87" i="3"/>
  <c r="AJ87" i="3"/>
  <c r="AK87" i="3"/>
  <c r="AM87" i="3"/>
  <c r="AE88" i="3"/>
  <c r="AF88" i="3"/>
  <c r="AG88" i="3"/>
  <c r="AI88" i="3"/>
  <c r="AJ88" i="3"/>
  <c r="AK88" i="3"/>
  <c r="AM88" i="3"/>
  <c r="AE89" i="3"/>
  <c r="AF89" i="3"/>
  <c r="AG89" i="3"/>
  <c r="AI89" i="3"/>
  <c r="AJ89" i="3"/>
  <c r="AK89" i="3"/>
  <c r="AM89" i="3"/>
  <c r="AE90" i="3"/>
  <c r="AF90" i="3"/>
  <c r="AG90" i="3"/>
  <c r="AI90" i="3"/>
  <c r="AJ90" i="3"/>
  <c r="AK90" i="3"/>
  <c r="AM90" i="3"/>
  <c r="AE91" i="3"/>
  <c r="AF91" i="3"/>
  <c r="AG91" i="3"/>
  <c r="AI91" i="3"/>
  <c r="AJ91" i="3"/>
  <c r="AK91" i="3"/>
  <c r="AM91" i="3"/>
  <c r="AE92" i="3"/>
  <c r="AF92" i="3"/>
  <c r="AG92" i="3"/>
  <c r="AI92" i="3"/>
  <c r="AJ92" i="3"/>
  <c r="AK92" i="3"/>
  <c r="AM92" i="3"/>
  <c r="AE93" i="3"/>
  <c r="AF93" i="3"/>
  <c r="AG93" i="3"/>
  <c r="AI93" i="3"/>
  <c r="AJ93" i="3"/>
  <c r="AK93" i="3"/>
  <c r="AM93" i="3"/>
  <c r="AD94" i="3"/>
  <c r="AE94" i="3"/>
  <c r="AF94" i="3"/>
  <c r="AG94" i="3"/>
  <c r="AI94" i="3"/>
  <c r="AJ94" i="3"/>
  <c r="AK94" i="3"/>
  <c r="AM94" i="3"/>
  <c r="AD95" i="3"/>
  <c r="AE95" i="3"/>
  <c r="AF95" i="3"/>
  <c r="AG95" i="3"/>
  <c r="AI95" i="3"/>
  <c r="AJ95" i="3"/>
  <c r="AK95" i="3"/>
  <c r="AM95" i="3"/>
  <c r="AD96" i="3"/>
  <c r="AE96" i="3"/>
  <c r="AF96" i="3"/>
  <c r="AG96" i="3"/>
  <c r="AI96" i="3"/>
  <c r="AJ96" i="3"/>
  <c r="AK96" i="3"/>
  <c r="AM96" i="3"/>
  <c r="AD97" i="3"/>
  <c r="AE97" i="3"/>
  <c r="AF97" i="3"/>
  <c r="AG97" i="3"/>
  <c r="AI97" i="3"/>
  <c r="AJ97" i="3"/>
  <c r="AK97" i="3"/>
  <c r="AM97" i="3"/>
  <c r="AD98" i="3"/>
  <c r="AE98" i="3"/>
  <c r="AF98" i="3"/>
  <c r="AG98" i="3"/>
  <c r="AI98" i="3"/>
  <c r="AJ98" i="3"/>
  <c r="AK98" i="3"/>
  <c r="AM98" i="3"/>
  <c r="AD99" i="3"/>
  <c r="AE99" i="3"/>
  <c r="AF99" i="3"/>
  <c r="AG99" i="3"/>
  <c r="AI99" i="3"/>
  <c r="AJ99" i="3"/>
  <c r="AK99" i="3"/>
  <c r="AM99" i="3"/>
  <c r="AD100" i="3"/>
  <c r="AE100" i="3"/>
  <c r="AF100" i="3"/>
  <c r="AG100" i="3"/>
  <c r="AI100" i="3"/>
  <c r="AJ100" i="3"/>
  <c r="AK100" i="3"/>
  <c r="AM100" i="3"/>
  <c r="AD101" i="3"/>
  <c r="AE101" i="3"/>
  <c r="AF101" i="3"/>
  <c r="AG101" i="3"/>
  <c r="AI101" i="3"/>
  <c r="AJ101" i="3"/>
  <c r="AK101" i="3"/>
  <c r="AM101" i="3"/>
  <c r="AD102" i="3"/>
  <c r="AE102" i="3"/>
  <c r="AF102" i="3"/>
  <c r="AG102" i="3"/>
  <c r="AI102" i="3"/>
  <c r="AJ102" i="3"/>
  <c r="AK102" i="3"/>
  <c r="AM102" i="3"/>
  <c r="AD103" i="3"/>
  <c r="AE103" i="3"/>
  <c r="AF103" i="3"/>
  <c r="AG103" i="3"/>
  <c r="AI103" i="3"/>
  <c r="AJ103" i="3"/>
  <c r="AK103" i="3"/>
  <c r="AM103" i="3"/>
  <c r="AD104" i="3"/>
  <c r="AE104" i="3"/>
  <c r="AF104" i="3"/>
  <c r="AG104" i="3"/>
  <c r="AI104" i="3"/>
  <c r="AJ104" i="3"/>
  <c r="AK104" i="3"/>
  <c r="AM104" i="3"/>
  <c r="AD105" i="3"/>
  <c r="AE105" i="3"/>
  <c r="AF105" i="3"/>
  <c r="AG105" i="3"/>
  <c r="AI105" i="3"/>
  <c r="AJ105" i="3"/>
  <c r="AK105" i="3"/>
  <c r="AM105" i="3"/>
  <c r="AD106" i="3"/>
  <c r="AE106" i="3"/>
  <c r="AF106" i="3"/>
  <c r="AG106" i="3"/>
  <c r="AI106" i="3"/>
  <c r="AJ106" i="3"/>
  <c r="AK106" i="3"/>
  <c r="AM106" i="3"/>
  <c r="AD107" i="3"/>
  <c r="AE107" i="3"/>
  <c r="AF107" i="3"/>
  <c r="AG107" i="3"/>
  <c r="AI107" i="3"/>
  <c r="AJ107" i="3"/>
  <c r="AK107" i="3"/>
  <c r="AM107" i="3"/>
  <c r="AD108" i="3"/>
  <c r="AE108" i="3"/>
  <c r="AF108" i="3"/>
  <c r="AG108" i="3"/>
  <c r="AI108" i="3"/>
  <c r="AJ108" i="3"/>
  <c r="AK108" i="3"/>
  <c r="AM108" i="3"/>
  <c r="AD109" i="3"/>
  <c r="AE109" i="3"/>
  <c r="AF109" i="3"/>
  <c r="AG109" i="3"/>
  <c r="AI109" i="3"/>
  <c r="AJ109" i="3"/>
  <c r="AK109" i="3"/>
  <c r="AM109" i="3"/>
  <c r="AD110" i="3"/>
  <c r="AE110" i="3"/>
  <c r="AF110" i="3"/>
  <c r="AG110" i="3"/>
  <c r="AI110" i="3"/>
  <c r="AJ110" i="3"/>
  <c r="AK110" i="3"/>
  <c r="AM110" i="3"/>
  <c r="AD111" i="3"/>
  <c r="AE111" i="3"/>
  <c r="AF111" i="3"/>
  <c r="AG111" i="3"/>
  <c r="AI111" i="3"/>
  <c r="AJ111" i="3"/>
  <c r="AK111" i="3"/>
  <c r="AM111" i="3"/>
  <c r="AD112" i="3"/>
  <c r="AE112" i="3"/>
  <c r="AF112" i="3"/>
  <c r="AG112" i="3"/>
  <c r="AI112" i="3"/>
  <c r="AJ112" i="3"/>
  <c r="AK112" i="3"/>
  <c r="AM112" i="3"/>
  <c r="AD113" i="3"/>
  <c r="AE113" i="3"/>
  <c r="AF113" i="3"/>
  <c r="AG113" i="3"/>
  <c r="AI113" i="3"/>
  <c r="AJ113" i="3"/>
  <c r="AK113" i="3"/>
  <c r="AM113" i="3"/>
  <c r="AD114" i="3"/>
  <c r="AE114" i="3"/>
  <c r="AF114" i="3"/>
  <c r="AG114" i="3"/>
  <c r="AI114" i="3"/>
  <c r="AJ114" i="3"/>
  <c r="AK114" i="3"/>
  <c r="AM114" i="3"/>
  <c r="AD115" i="3"/>
  <c r="AE115" i="3"/>
  <c r="AF115" i="3"/>
  <c r="AG115" i="3"/>
  <c r="AI115" i="3"/>
  <c r="AJ115" i="3"/>
  <c r="AK115" i="3"/>
  <c r="AM115" i="3"/>
  <c r="AD116" i="3"/>
  <c r="AE116" i="3"/>
  <c r="AF116" i="3"/>
  <c r="AG116" i="3"/>
  <c r="AI116" i="3"/>
  <c r="AJ116" i="3"/>
  <c r="AK116" i="3"/>
  <c r="AM116" i="3"/>
  <c r="AD117" i="3"/>
  <c r="AE117" i="3"/>
  <c r="AF117" i="3"/>
  <c r="AG117" i="3"/>
  <c r="AI117" i="3"/>
  <c r="AJ117" i="3"/>
  <c r="AK117" i="3"/>
  <c r="AM117" i="3"/>
  <c r="AD118" i="3"/>
  <c r="AE118" i="3"/>
  <c r="AF118" i="3"/>
  <c r="AG118" i="3"/>
  <c r="AI118" i="3"/>
  <c r="AJ118" i="3"/>
  <c r="AK118" i="3"/>
  <c r="AM118" i="3"/>
  <c r="AD119" i="3"/>
  <c r="AE119" i="3"/>
  <c r="AF119" i="3"/>
  <c r="AG119" i="3"/>
  <c r="AI119" i="3"/>
  <c r="AJ119" i="3"/>
  <c r="AK119" i="3"/>
  <c r="AM119" i="3"/>
  <c r="AD120" i="3"/>
  <c r="AE120" i="3"/>
  <c r="AF120" i="3"/>
  <c r="AG120" i="3"/>
  <c r="AI120" i="3"/>
  <c r="AJ120" i="3"/>
  <c r="AK120" i="3"/>
  <c r="AM120" i="3"/>
  <c r="AD121" i="3"/>
  <c r="AE121" i="3"/>
  <c r="AF121" i="3"/>
  <c r="AG121" i="3"/>
  <c r="AI121" i="3"/>
  <c r="AJ121" i="3"/>
  <c r="AK121" i="3"/>
  <c r="AM121" i="3"/>
  <c r="AD122" i="3"/>
  <c r="AE122" i="3"/>
  <c r="AF122" i="3"/>
  <c r="AG122" i="3"/>
  <c r="AI122" i="3"/>
  <c r="AJ122" i="3"/>
  <c r="AK122" i="3"/>
  <c r="AM122" i="3"/>
  <c r="AD123" i="3"/>
  <c r="AE123" i="3"/>
  <c r="AF123" i="3"/>
  <c r="AG123" i="3"/>
  <c r="AI123" i="3"/>
  <c r="AJ123" i="3"/>
  <c r="AK123" i="3"/>
  <c r="AM123" i="3"/>
  <c r="AD124" i="3"/>
  <c r="AE124" i="3"/>
  <c r="AF124" i="3"/>
  <c r="AG124" i="3"/>
  <c r="AI124" i="3"/>
  <c r="AJ124" i="3"/>
  <c r="AK124" i="3"/>
  <c r="AM124" i="3"/>
  <c r="AD125" i="3"/>
  <c r="AE125" i="3"/>
  <c r="AF125" i="3"/>
  <c r="AG125" i="3"/>
  <c r="AI125" i="3"/>
  <c r="AJ125" i="3"/>
  <c r="AK125" i="3"/>
  <c r="AM125" i="3"/>
  <c r="AD126" i="3"/>
  <c r="AE126" i="3"/>
  <c r="AF126" i="3"/>
  <c r="AG126" i="3"/>
  <c r="AI126" i="3"/>
  <c r="AJ126" i="3"/>
  <c r="AK126" i="3"/>
  <c r="AM126" i="3"/>
  <c r="AD127" i="3"/>
  <c r="AE127" i="3"/>
  <c r="AF127" i="3"/>
  <c r="AG127" i="3"/>
  <c r="AI127" i="3"/>
  <c r="AJ127" i="3"/>
  <c r="AK127" i="3"/>
  <c r="AM127" i="3"/>
  <c r="AD128" i="3"/>
  <c r="AE128" i="3"/>
  <c r="AF128" i="3"/>
  <c r="AG128" i="3"/>
  <c r="AI128" i="3"/>
  <c r="AJ128" i="3"/>
  <c r="AK128" i="3"/>
  <c r="AM128" i="3"/>
  <c r="AD129" i="3"/>
  <c r="AE129" i="3"/>
  <c r="AF129" i="3"/>
  <c r="AG129" i="3"/>
  <c r="AI129" i="3"/>
  <c r="AJ129" i="3"/>
  <c r="AK129" i="3"/>
  <c r="AM129" i="3"/>
  <c r="AD130" i="3"/>
  <c r="AE130" i="3"/>
  <c r="AF130" i="3"/>
  <c r="AG130" i="3"/>
  <c r="AI130" i="3"/>
  <c r="AJ130" i="3"/>
  <c r="AK130" i="3"/>
  <c r="AM130" i="3"/>
  <c r="AD131" i="3"/>
  <c r="AE131" i="3"/>
  <c r="AF131" i="3"/>
  <c r="AG131" i="3"/>
  <c r="AI131" i="3"/>
  <c r="AJ131" i="3"/>
  <c r="AK131" i="3"/>
  <c r="AM131" i="3"/>
  <c r="AD132" i="3"/>
  <c r="AE132" i="3"/>
  <c r="AF132" i="3"/>
  <c r="AG132" i="3"/>
  <c r="AI132" i="3"/>
  <c r="AJ132" i="3"/>
  <c r="AK132" i="3"/>
  <c r="AM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D141" i="3"/>
  <c r="AE141" i="3"/>
  <c r="AF141" i="3"/>
  <c r="AG141" i="3"/>
  <c r="AI141" i="3"/>
  <c r="AJ141" i="3"/>
  <c r="AK141" i="3"/>
  <c r="AM141" i="3"/>
  <c r="AD142" i="3"/>
  <c r="AE142" i="3"/>
  <c r="AF142" i="3"/>
  <c r="AG142" i="3"/>
  <c r="AI142" i="3"/>
  <c r="AJ142" i="3"/>
  <c r="AK142" i="3"/>
  <c r="AM142" i="3"/>
  <c r="AD143" i="3"/>
  <c r="AE143" i="3"/>
  <c r="AF143" i="3"/>
  <c r="AG143" i="3"/>
  <c r="AI143" i="3"/>
  <c r="AJ143" i="3"/>
  <c r="AK143" i="3"/>
  <c r="AM143" i="3"/>
  <c r="AD144" i="3"/>
  <c r="AE144" i="3"/>
  <c r="AF144" i="3"/>
  <c r="AG144" i="3"/>
  <c r="AI144" i="3"/>
  <c r="AJ144" i="3"/>
  <c r="AK144" i="3"/>
  <c r="AM144" i="3"/>
  <c r="AD145" i="3"/>
  <c r="AE145" i="3"/>
  <c r="AF145" i="3"/>
  <c r="AG145" i="3"/>
  <c r="AI145" i="3"/>
  <c r="AJ145" i="3"/>
  <c r="AK145" i="3"/>
  <c r="AM145" i="3"/>
  <c r="AD146" i="3"/>
  <c r="AE146" i="3"/>
  <c r="AF146" i="3"/>
  <c r="AG146" i="3"/>
  <c r="AI146" i="3"/>
  <c r="AJ146" i="3"/>
  <c r="AK146" i="3"/>
  <c r="AM146" i="3"/>
  <c r="AD147" i="3"/>
  <c r="AE147" i="3"/>
  <c r="AF147" i="3"/>
  <c r="AG147" i="3"/>
  <c r="AI147" i="3"/>
  <c r="AJ147" i="3"/>
  <c r="AK147" i="3"/>
  <c r="AM147" i="3"/>
  <c r="AD148" i="3"/>
  <c r="AE148" i="3"/>
  <c r="AF148" i="3"/>
  <c r="AG148" i="3"/>
  <c r="AI148" i="3"/>
  <c r="AJ148" i="3"/>
  <c r="AK148" i="3"/>
  <c r="AM148" i="3"/>
  <c r="AD149" i="3"/>
  <c r="AE149" i="3"/>
  <c r="AF149" i="3"/>
  <c r="AG149" i="3"/>
  <c r="AI149" i="3"/>
  <c r="AJ149" i="3"/>
  <c r="AK149" i="3"/>
  <c r="AM149" i="3"/>
  <c r="AD150" i="3"/>
  <c r="AE150" i="3"/>
  <c r="AF150" i="3"/>
  <c r="AG150" i="3"/>
  <c r="AI150" i="3"/>
  <c r="AJ150" i="3"/>
  <c r="AK150" i="3"/>
  <c r="AM150" i="3"/>
  <c r="AD151" i="3"/>
  <c r="AE151" i="3"/>
  <c r="AF151" i="3"/>
  <c r="AG151" i="3"/>
  <c r="AI151" i="3"/>
  <c r="AJ151" i="3"/>
  <c r="AK151" i="3"/>
  <c r="AM151" i="3"/>
  <c r="AD152" i="3"/>
  <c r="AE152" i="3"/>
  <c r="AF152" i="3"/>
  <c r="AG152" i="3"/>
  <c r="AI152" i="3"/>
  <c r="AJ152" i="3"/>
  <c r="AK152" i="3"/>
  <c r="AM152" i="3"/>
  <c r="AD153" i="3"/>
  <c r="AE153" i="3"/>
  <c r="AF153" i="3"/>
  <c r="AG153" i="3"/>
  <c r="AI153" i="3"/>
  <c r="AJ153" i="3"/>
  <c r="AK153" i="3"/>
  <c r="AM153" i="3"/>
  <c r="AD154" i="3"/>
  <c r="AE154" i="3"/>
  <c r="AF154" i="3"/>
  <c r="AG154" i="3"/>
  <c r="AI154" i="3"/>
  <c r="AJ154" i="3"/>
  <c r="AK154" i="3"/>
  <c r="AM154" i="3"/>
  <c r="AD155" i="3"/>
  <c r="AE155" i="3"/>
  <c r="AF155" i="3"/>
  <c r="AG155" i="3"/>
  <c r="AI155" i="3"/>
  <c r="AJ155" i="3"/>
  <c r="AK155" i="3"/>
  <c r="AM155" i="3"/>
  <c r="AD156" i="3"/>
  <c r="AE156" i="3"/>
  <c r="AF156" i="3"/>
  <c r="AG156" i="3"/>
  <c r="AI156" i="3"/>
  <c r="AJ156" i="3"/>
  <c r="AK156" i="3"/>
  <c r="AM156" i="3"/>
  <c r="AD157" i="3"/>
  <c r="AE157" i="3"/>
  <c r="AF157" i="3"/>
  <c r="AG157" i="3"/>
  <c r="AI157" i="3"/>
  <c r="AJ157" i="3"/>
  <c r="AK157" i="3"/>
  <c r="AM157" i="3"/>
  <c r="AD158" i="3"/>
  <c r="AE158" i="3"/>
  <c r="AF158" i="3"/>
  <c r="AG158" i="3"/>
  <c r="AI158" i="3"/>
  <c r="AJ158" i="3"/>
  <c r="AK158" i="3"/>
  <c r="AM158" i="3"/>
  <c r="AD159" i="3"/>
  <c r="AE159" i="3"/>
  <c r="AF159" i="3"/>
  <c r="AG159" i="3"/>
  <c r="AI159" i="3"/>
  <c r="AJ159" i="3"/>
  <c r="AK159" i="3"/>
  <c r="AM159" i="3"/>
  <c r="AD160" i="3"/>
  <c r="AE160" i="3"/>
  <c r="AF160" i="3"/>
  <c r="AG160" i="3"/>
  <c r="AI160" i="3"/>
  <c r="AJ160" i="3"/>
  <c r="AK160" i="3"/>
  <c r="AM160" i="3"/>
  <c r="AD161" i="3"/>
  <c r="AE161" i="3"/>
  <c r="AF161" i="3"/>
  <c r="AG161" i="3"/>
  <c r="AI161" i="3"/>
  <c r="AJ161" i="3"/>
  <c r="AK161" i="3"/>
  <c r="AM161" i="3"/>
  <c r="AD162" i="3"/>
  <c r="AE162" i="3"/>
  <c r="AF162" i="3"/>
  <c r="AG162" i="3"/>
  <c r="AI162" i="3"/>
  <c r="AJ162" i="3"/>
  <c r="AK162" i="3"/>
  <c r="AM162" i="3"/>
  <c r="AD163" i="3"/>
  <c r="AE163" i="3"/>
  <c r="AF163" i="3"/>
  <c r="AG163" i="3"/>
  <c r="AI163" i="3"/>
  <c r="AJ163" i="3"/>
  <c r="AK163" i="3"/>
  <c r="AM163" i="3"/>
  <c r="AD164" i="3"/>
  <c r="AE164" i="3"/>
  <c r="AF164" i="3"/>
  <c r="AG164" i="3"/>
  <c r="AI164" i="3"/>
  <c r="AJ164" i="3"/>
  <c r="AK164" i="3"/>
  <c r="AM164" i="3"/>
  <c r="AD165" i="3"/>
  <c r="AE165" i="3"/>
  <c r="AF165" i="3"/>
  <c r="AG165" i="3"/>
  <c r="AI165" i="3"/>
  <c r="AJ165" i="3"/>
  <c r="AK165" i="3"/>
  <c r="AM165" i="3"/>
  <c r="AD166" i="3"/>
  <c r="AE166" i="3"/>
  <c r="AF166" i="3"/>
  <c r="AG166" i="3"/>
  <c r="AI166" i="3"/>
  <c r="AJ166" i="3"/>
  <c r="AK166" i="3"/>
  <c r="AM166" i="3"/>
  <c r="AD167" i="3"/>
  <c r="AE167" i="3"/>
  <c r="AF167" i="3"/>
  <c r="AG167" i="3"/>
  <c r="AI167" i="3"/>
  <c r="AJ167" i="3"/>
  <c r="AK167" i="3"/>
  <c r="AM167" i="3"/>
  <c r="AD168" i="3"/>
  <c r="AE168" i="3"/>
  <c r="AF168" i="3"/>
  <c r="AG168" i="3"/>
  <c r="AI168" i="3"/>
  <c r="AJ168" i="3"/>
  <c r="AK168" i="3"/>
  <c r="AM168" i="3"/>
  <c r="AD169" i="3"/>
  <c r="AE169" i="3"/>
  <c r="AF169" i="3"/>
  <c r="AG169" i="3"/>
  <c r="AI169" i="3"/>
  <c r="AJ169" i="3"/>
  <c r="AK169" i="3"/>
  <c r="AM169" i="3"/>
  <c r="AD170" i="3"/>
  <c r="AE170" i="3"/>
  <c r="AF170" i="3"/>
  <c r="AG170" i="3"/>
  <c r="AI170" i="3"/>
  <c r="AJ170" i="3"/>
  <c r="AK170" i="3"/>
  <c r="AM170" i="3"/>
  <c r="AD171" i="3"/>
  <c r="AE171" i="3"/>
  <c r="AF171" i="3"/>
  <c r="AG171" i="3"/>
  <c r="AI171" i="3"/>
  <c r="AJ171" i="3"/>
  <c r="AK171" i="3"/>
  <c r="AM171" i="3"/>
  <c r="AD172" i="3"/>
  <c r="AE172" i="3"/>
  <c r="AF172" i="3"/>
  <c r="AG172" i="3"/>
  <c r="AI172" i="3"/>
  <c r="AJ172" i="3"/>
  <c r="AK172" i="3"/>
  <c r="AM172" i="3"/>
  <c r="AD173" i="3"/>
  <c r="AE173" i="3"/>
  <c r="AF173" i="3"/>
  <c r="AG173" i="3"/>
  <c r="AI173" i="3"/>
  <c r="AJ173" i="3"/>
  <c r="AK173" i="3"/>
  <c r="AM173" i="3"/>
  <c r="AD174" i="3"/>
  <c r="AE174" i="3"/>
  <c r="AF174" i="3"/>
  <c r="AG174" i="3"/>
  <c r="AI174" i="3"/>
  <c r="AJ174" i="3"/>
  <c r="AK174" i="3"/>
  <c r="AM174" i="3"/>
  <c r="AD175" i="3"/>
  <c r="AE175" i="3"/>
  <c r="AF175" i="3"/>
  <c r="AG175" i="3"/>
  <c r="AI175" i="3"/>
  <c r="AJ175" i="3"/>
  <c r="AK175" i="3"/>
  <c r="AM175" i="3"/>
  <c r="AD176" i="3"/>
  <c r="AE176" i="3"/>
  <c r="AF176" i="3"/>
  <c r="AG176" i="3"/>
  <c r="AI176" i="3"/>
  <c r="AJ176" i="3"/>
  <c r="AK176" i="3"/>
  <c r="AM176" i="3"/>
  <c r="AD177" i="3"/>
  <c r="AE177" i="3"/>
  <c r="AF177" i="3"/>
  <c r="AG177" i="3"/>
  <c r="AI177" i="3"/>
  <c r="AJ177" i="3"/>
  <c r="AK177" i="3"/>
  <c r="AM177" i="3"/>
  <c r="AD178" i="3"/>
  <c r="AE178" i="3"/>
  <c r="AF178" i="3"/>
  <c r="AG178" i="3"/>
  <c r="AI178" i="3"/>
  <c r="AJ178" i="3"/>
  <c r="AK178" i="3"/>
  <c r="AM178" i="3"/>
  <c r="AD179" i="3"/>
  <c r="AE179" i="3"/>
  <c r="AF179" i="3"/>
  <c r="AG179" i="3"/>
  <c r="AI179" i="3"/>
  <c r="AJ179" i="3"/>
  <c r="AK179" i="3"/>
  <c r="AM179" i="3"/>
  <c r="AD180" i="3"/>
  <c r="AE180" i="3"/>
  <c r="AF180" i="3"/>
  <c r="AG180" i="3"/>
  <c r="AI180" i="3"/>
  <c r="AJ180" i="3"/>
  <c r="AK180" i="3"/>
  <c r="AM180" i="3"/>
  <c r="AD181" i="3"/>
  <c r="AE181" i="3"/>
  <c r="AF181" i="3"/>
  <c r="AG181" i="3"/>
  <c r="AI181" i="3"/>
  <c r="AJ181" i="3"/>
  <c r="AK181" i="3"/>
  <c r="AM181" i="3"/>
  <c r="AD182" i="3"/>
  <c r="AE182" i="3"/>
  <c r="AF182" i="3"/>
  <c r="AG182" i="3"/>
  <c r="AI182" i="3"/>
  <c r="AJ182" i="3"/>
  <c r="AK182" i="3"/>
  <c r="AM182" i="3"/>
  <c r="AD183" i="3"/>
  <c r="AE183" i="3"/>
  <c r="AF183" i="3"/>
  <c r="AG183" i="3"/>
  <c r="AI183" i="3"/>
  <c r="AJ183" i="3"/>
  <c r="AK183" i="3"/>
  <c r="AM183" i="3"/>
  <c r="AD184" i="3"/>
  <c r="AE184" i="3"/>
  <c r="AF184" i="3"/>
  <c r="AG184" i="3"/>
  <c r="AI184" i="3"/>
  <c r="AJ184" i="3"/>
  <c r="AK184" i="3"/>
  <c r="AM184" i="3"/>
  <c r="AD185" i="3"/>
  <c r="AE185" i="3"/>
  <c r="AF185" i="3"/>
  <c r="AG185" i="3"/>
  <c r="AI185" i="3"/>
  <c r="AJ185" i="3"/>
  <c r="AK185" i="3"/>
  <c r="AM185" i="3"/>
  <c r="AD186" i="3"/>
  <c r="AE186" i="3"/>
  <c r="AF186" i="3"/>
  <c r="AG186" i="3"/>
  <c r="AI186" i="3"/>
  <c r="AJ186" i="3"/>
  <c r="AK186" i="3"/>
  <c r="AM186" i="3"/>
  <c r="AD187" i="3"/>
  <c r="AE187" i="3"/>
  <c r="AF187" i="3"/>
  <c r="AG187" i="3"/>
  <c r="AI187" i="3"/>
  <c r="AJ187" i="3"/>
  <c r="AK187" i="3"/>
  <c r="AM187" i="3"/>
  <c r="AD188" i="3"/>
  <c r="AE188" i="3"/>
  <c r="AF188" i="3"/>
  <c r="AG188" i="3"/>
  <c r="AI188" i="3"/>
  <c r="AJ188" i="3"/>
  <c r="AK188" i="3"/>
  <c r="AM188" i="3"/>
  <c r="AD189" i="3"/>
  <c r="AE189" i="3"/>
  <c r="AF189" i="3"/>
  <c r="AG189" i="3"/>
  <c r="AI189" i="3"/>
  <c r="AJ189" i="3"/>
  <c r="AK189" i="3"/>
  <c r="AM189" i="3"/>
  <c r="AD190" i="3"/>
  <c r="AE190" i="3"/>
  <c r="AF190" i="3"/>
  <c r="AG190" i="3"/>
  <c r="AI190" i="3"/>
  <c r="AJ190" i="3"/>
  <c r="AK190" i="3"/>
  <c r="AM190" i="3"/>
  <c r="AD191" i="3"/>
  <c r="AE191" i="3"/>
  <c r="AF191" i="3"/>
  <c r="AG191" i="3"/>
  <c r="AI191" i="3"/>
  <c r="AJ191" i="3"/>
  <c r="AK191" i="3"/>
  <c r="AM191" i="3"/>
  <c r="AD192" i="3"/>
  <c r="AE192" i="3"/>
  <c r="AF192" i="3"/>
  <c r="AG192" i="3"/>
  <c r="AI192" i="3"/>
  <c r="AJ192" i="3"/>
  <c r="AK192" i="3"/>
  <c r="AM192" i="3"/>
  <c r="AD193" i="3"/>
  <c r="AE193" i="3"/>
  <c r="AF193" i="3"/>
  <c r="AG193" i="3"/>
  <c r="AI193" i="3"/>
  <c r="AJ193" i="3"/>
  <c r="AK193" i="3"/>
  <c r="AM193" i="3"/>
  <c r="AD194" i="3"/>
  <c r="AE194" i="3"/>
  <c r="AF194" i="3"/>
  <c r="AG194" i="3"/>
  <c r="AI194" i="3"/>
  <c r="AJ194" i="3"/>
  <c r="AK194" i="3"/>
  <c r="AM194" i="3"/>
  <c r="AD195" i="3"/>
  <c r="AE195" i="3"/>
  <c r="AF195" i="3"/>
  <c r="AG195" i="3"/>
  <c r="AI195" i="3"/>
  <c r="AJ195" i="3"/>
  <c r="AK195" i="3"/>
  <c r="AM195" i="3"/>
  <c r="AD196" i="3"/>
  <c r="AE196" i="3"/>
  <c r="AF196" i="3"/>
  <c r="AG196" i="3"/>
  <c r="AI196" i="3"/>
  <c r="AJ196" i="3"/>
  <c r="AK196" i="3"/>
  <c r="AM196" i="3"/>
  <c r="AD197" i="3"/>
  <c r="AE197" i="3"/>
  <c r="AF197" i="3"/>
  <c r="AG197" i="3"/>
  <c r="AI197" i="3"/>
  <c r="AJ197" i="3"/>
  <c r="AK197" i="3"/>
  <c r="AM197" i="3"/>
  <c r="AD198" i="3"/>
  <c r="AE198" i="3"/>
  <c r="AF198" i="3"/>
  <c r="AG198" i="3"/>
  <c r="AI198" i="3"/>
  <c r="AJ198" i="3"/>
  <c r="AK198" i="3"/>
  <c r="AM198" i="3"/>
  <c r="AD199" i="3"/>
  <c r="AE199" i="3"/>
  <c r="AF199" i="3"/>
  <c r="AG199" i="3"/>
  <c r="AI199" i="3"/>
  <c r="AJ199" i="3"/>
  <c r="AK199" i="3"/>
  <c r="AM199" i="3"/>
  <c r="AD200" i="3"/>
  <c r="AE200" i="3"/>
  <c r="AF200" i="3"/>
  <c r="AG200" i="3"/>
  <c r="AI200" i="3"/>
  <c r="AJ200" i="3"/>
  <c r="AK200" i="3"/>
  <c r="AM200" i="3"/>
  <c r="AD201" i="3"/>
  <c r="AE201" i="3"/>
  <c r="AF201" i="3"/>
  <c r="AG201" i="3"/>
  <c r="AI201" i="3"/>
  <c r="AJ201" i="3"/>
  <c r="AK201" i="3"/>
  <c r="AM201" i="3"/>
  <c r="AD202" i="3"/>
  <c r="AE202" i="3"/>
  <c r="AF202" i="3"/>
  <c r="AG202" i="3"/>
  <c r="AI202" i="3"/>
  <c r="AJ202" i="3"/>
  <c r="AK202" i="3"/>
  <c r="AM202" i="3"/>
  <c r="AD203" i="3"/>
  <c r="AE203" i="3"/>
  <c r="AF203" i="3"/>
  <c r="AG203" i="3"/>
  <c r="AI203" i="3"/>
  <c r="AJ203" i="3"/>
  <c r="AK203" i="3"/>
  <c r="AM203" i="3"/>
  <c r="AD204" i="3"/>
  <c r="AE204" i="3"/>
  <c r="AF204" i="3"/>
  <c r="AG204" i="3"/>
  <c r="AI204" i="3"/>
  <c r="AJ204" i="3"/>
  <c r="AK204" i="3"/>
  <c r="AM204" i="3"/>
  <c r="AD205" i="3"/>
  <c r="AE205" i="3"/>
  <c r="AF205" i="3"/>
  <c r="AG205" i="3"/>
  <c r="AI205" i="3"/>
  <c r="AJ205" i="3"/>
  <c r="AK205" i="3"/>
  <c r="AM205" i="3"/>
  <c r="AD206" i="3"/>
  <c r="AE206" i="3"/>
  <c r="AF206" i="3"/>
  <c r="AG206" i="3"/>
  <c r="AI206" i="3"/>
  <c r="AJ206" i="3"/>
  <c r="AK206" i="3"/>
  <c r="AM206" i="3"/>
  <c r="AD207" i="3"/>
  <c r="AE207" i="3"/>
  <c r="AF207" i="3"/>
  <c r="AG207" i="3"/>
  <c r="AI207" i="3"/>
  <c r="AJ207" i="3"/>
  <c r="AK207" i="3"/>
  <c r="AM207" i="3"/>
  <c r="AD208" i="3"/>
  <c r="AE208" i="3"/>
  <c r="AF208" i="3"/>
  <c r="AG208" i="3"/>
  <c r="AI208" i="3"/>
  <c r="AJ208" i="3"/>
  <c r="AK208" i="3"/>
  <c r="AM208" i="3"/>
  <c r="AD209" i="3"/>
  <c r="AE209" i="3"/>
  <c r="AF209" i="3"/>
  <c r="AG209" i="3"/>
  <c r="AI209" i="3"/>
  <c r="AJ209" i="3"/>
  <c r="AK209" i="3"/>
  <c r="AM209" i="3"/>
  <c r="AD210" i="3"/>
  <c r="AE210" i="3"/>
  <c r="AF210" i="3"/>
  <c r="AG210" i="3"/>
  <c r="AI210" i="3"/>
  <c r="AJ210" i="3"/>
  <c r="AK210" i="3"/>
  <c r="AM210" i="3"/>
  <c r="AD211" i="3"/>
  <c r="AE211" i="3"/>
  <c r="AF211" i="3"/>
  <c r="AG211" i="3"/>
  <c r="AI211" i="3"/>
  <c r="AJ211" i="3"/>
  <c r="AK211" i="3"/>
  <c r="AM211" i="3"/>
  <c r="AD212" i="3"/>
  <c r="AE212" i="3"/>
  <c r="AF212" i="3"/>
  <c r="AG212" i="3"/>
  <c r="AI212" i="3"/>
  <c r="AJ212" i="3"/>
  <c r="AK212" i="3"/>
  <c r="AM212" i="3"/>
  <c r="AD213" i="3"/>
  <c r="AE213" i="3"/>
  <c r="AF213" i="3"/>
  <c r="AG213" i="3"/>
  <c r="AI213" i="3"/>
  <c r="AJ213" i="3"/>
  <c r="AK213" i="3"/>
  <c r="AM213" i="3"/>
  <c r="AD214" i="3"/>
  <c r="AE214" i="3"/>
  <c r="AF214" i="3"/>
  <c r="AG214" i="3"/>
  <c r="AI214" i="3"/>
  <c r="AJ214" i="3"/>
  <c r="AK214" i="3"/>
  <c r="AM214" i="3"/>
  <c r="AD215" i="3"/>
  <c r="AE215" i="3"/>
  <c r="AF215" i="3"/>
  <c r="AG215" i="3"/>
  <c r="AI215" i="3"/>
  <c r="AJ215" i="3"/>
  <c r="AK215" i="3"/>
  <c r="AM215" i="3"/>
  <c r="AD216" i="3"/>
  <c r="AE216" i="3"/>
  <c r="AF216" i="3"/>
  <c r="AG216" i="3"/>
  <c r="AI216" i="3"/>
  <c r="AJ216" i="3"/>
  <c r="AK216" i="3"/>
  <c r="AM216" i="3"/>
  <c r="AD217" i="3"/>
  <c r="AE217" i="3"/>
  <c r="AF217" i="3"/>
  <c r="AG217" i="3"/>
  <c r="AI217" i="3"/>
  <c r="AJ217" i="3"/>
  <c r="AK217" i="3"/>
  <c r="AM217" i="3"/>
  <c r="AD218" i="3"/>
  <c r="AE218" i="3"/>
  <c r="AF218" i="3"/>
  <c r="AG218" i="3"/>
  <c r="AI218" i="3"/>
  <c r="AJ218" i="3"/>
  <c r="AK218" i="3"/>
  <c r="AM218" i="3"/>
  <c r="AD219" i="3"/>
  <c r="AE219" i="3"/>
  <c r="AF219" i="3"/>
  <c r="AG219" i="3"/>
  <c r="AI219" i="3"/>
  <c r="AJ219" i="3"/>
  <c r="AK219" i="3"/>
  <c r="AM219" i="3"/>
  <c r="AD220" i="3"/>
  <c r="AE220" i="3"/>
  <c r="AF220" i="3"/>
  <c r="AG220" i="3"/>
  <c r="AI220" i="3"/>
  <c r="AJ220" i="3"/>
  <c r="AK220" i="3"/>
  <c r="AM220" i="3"/>
  <c r="AD221" i="3"/>
  <c r="AE221" i="3"/>
  <c r="AF221" i="3"/>
  <c r="AG221" i="3"/>
  <c r="AI221" i="3"/>
  <c r="AJ221" i="3"/>
  <c r="AK221" i="3"/>
  <c r="AM221" i="3"/>
  <c r="AD222" i="3"/>
  <c r="AE222" i="3"/>
  <c r="AF222" i="3"/>
  <c r="AG222" i="3"/>
  <c r="AI222" i="3"/>
  <c r="AJ222" i="3"/>
  <c r="AK222" i="3"/>
  <c r="AM222" i="3"/>
  <c r="AD223" i="3"/>
  <c r="AE223" i="3"/>
  <c r="AF223" i="3"/>
  <c r="AG223" i="3"/>
  <c r="AI223" i="3"/>
  <c r="AJ223" i="3"/>
  <c r="AK223" i="3"/>
  <c r="AM223" i="3"/>
  <c r="AD224" i="3"/>
  <c r="AE224" i="3"/>
  <c r="AF224" i="3"/>
  <c r="AG224" i="3"/>
  <c r="AI224" i="3"/>
  <c r="AJ224" i="3"/>
  <c r="AK224" i="3"/>
  <c r="AM224" i="3"/>
  <c r="AD225" i="3"/>
  <c r="AE225" i="3"/>
  <c r="AF225" i="3"/>
  <c r="AG225" i="3"/>
  <c r="AI225" i="3"/>
  <c r="AJ225" i="3"/>
  <c r="AK225" i="3"/>
  <c r="AM225" i="3"/>
  <c r="AD226" i="3"/>
  <c r="AE226" i="3"/>
  <c r="AF226" i="3"/>
  <c r="AG226" i="3"/>
  <c r="AI226" i="3"/>
  <c r="AJ226" i="3"/>
  <c r="AK226" i="3"/>
  <c r="AM226" i="3"/>
  <c r="AD227" i="3"/>
  <c r="AE227" i="3"/>
  <c r="AF227" i="3"/>
  <c r="AG227" i="3"/>
  <c r="AI227" i="3"/>
  <c r="AJ227" i="3"/>
  <c r="AK227" i="3"/>
  <c r="AM227" i="3"/>
  <c r="AD228" i="3"/>
  <c r="AE228" i="3"/>
  <c r="AF228" i="3"/>
  <c r="AG228" i="3"/>
  <c r="AI228" i="3"/>
  <c r="AJ228" i="3"/>
  <c r="AK228" i="3"/>
  <c r="AM228" i="3"/>
  <c r="AD229" i="3"/>
  <c r="AE229" i="3"/>
  <c r="AF229" i="3"/>
  <c r="AG229" i="3"/>
  <c r="AI229" i="3"/>
  <c r="AJ229" i="3"/>
  <c r="AK229" i="3"/>
  <c r="AM229" i="3"/>
  <c r="AD230" i="3"/>
  <c r="AE230" i="3"/>
  <c r="AF230" i="3"/>
  <c r="AG230" i="3"/>
  <c r="AI230" i="3"/>
  <c r="AJ230" i="3"/>
  <c r="AK230" i="3"/>
  <c r="AM230" i="3"/>
  <c r="AD231" i="3"/>
  <c r="AE231" i="3"/>
  <c r="AF231" i="3"/>
  <c r="AG231" i="3"/>
  <c r="AI231" i="3"/>
  <c r="AJ231" i="3"/>
  <c r="AK231" i="3"/>
  <c r="AM231" i="3"/>
  <c r="AD232" i="3"/>
  <c r="AE232" i="3"/>
  <c r="AF232" i="3"/>
  <c r="AG232" i="3"/>
  <c r="AI232" i="3"/>
  <c r="AJ232" i="3"/>
  <c r="AK232" i="3"/>
  <c r="AM232" i="3"/>
  <c r="AD233" i="3"/>
  <c r="AE233" i="3"/>
  <c r="AF233" i="3"/>
  <c r="AG233" i="3"/>
  <c r="AI233" i="3"/>
  <c r="AJ233" i="3"/>
  <c r="AK233" i="3"/>
  <c r="AM233" i="3"/>
  <c r="AD234" i="3"/>
  <c r="AE234" i="3"/>
  <c r="AF234" i="3"/>
  <c r="AG234" i="3"/>
  <c r="AI234" i="3"/>
  <c r="AJ234" i="3"/>
  <c r="AK234" i="3"/>
  <c r="AM234" i="3"/>
  <c r="AD235" i="3"/>
  <c r="AE235" i="3"/>
  <c r="AF235" i="3"/>
  <c r="AG235" i="3"/>
  <c r="AI235" i="3"/>
  <c r="AJ235" i="3"/>
  <c r="AK235" i="3"/>
  <c r="AM235" i="3"/>
  <c r="AD236" i="3"/>
  <c r="AE236" i="3"/>
  <c r="AF236" i="3"/>
  <c r="AG236" i="3"/>
  <c r="AI236" i="3"/>
  <c r="AJ236" i="3"/>
  <c r="AK236" i="3"/>
  <c r="AM236" i="3"/>
  <c r="AD237" i="3"/>
  <c r="AE237" i="3"/>
  <c r="AF237" i="3"/>
  <c r="AG237" i="3"/>
  <c r="AI237" i="3"/>
  <c r="AJ237" i="3"/>
  <c r="AK237" i="3"/>
  <c r="AM237" i="3"/>
  <c r="AD238" i="3"/>
  <c r="AE238" i="3"/>
  <c r="AF238" i="3"/>
  <c r="AG238" i="3"/>
  <c r="AI238" i="3"/>
  <c r="AJ238" i="3"/>
  <c r="AK238" i="3"/>
  <c r="AM238" i="3"/>
  <c r="AD239" i="3"/>
  <c r="AE239" i="3"/>
  <c r="AF239" i="3"/>
  <c r="AG239" i="3"/>
  <c r="AI239" i="3"/>
  <c r="AJ239" i="3"/>
  <c r="AK239" i="3"/>
  <c r="AM239" i="3"/>
  <c r="AD240" i="3"/>
  <c r="AE240" i="3"/>
  <c r="AF240" i="3"/>
  <c r="AG240" i="3"/>
  <c r="AI240" i="3"/>
  <c r="AJ240" i="3"/>
  <c r="AK240" i="3"/>
  <c r="AM240" i="3"/>
  <c r="AD241" i="3"/>
  <c r="AE241" i="3"/>
  <c r="AF241" i="3"/>
  <c r="AG241" i="3"/>
  <c r="AI241" i="3"/>
  <c r="AJ241" i="3"/>
  <c r="AK241" i="3"/>
  <c r="AM241" i="3"/>
  <c r="AD242" i="3"/>
  <c r="AE242" i="3"/>
  <c r="AF242" i="3"/>
  <c r="AG242" i="3"/>
  <c r="AI242" i="3"/>
  <c r="AJ242" i="3"/>
  <c r="AK242" i="3"/>
  <c r="AM242" i="3"/>
  <c r="AD243" i="3"/>
  <c r="AE243" i="3"/>
  <c r="AF243" i="3"/>
  <c r="AG243" i="3"/>
  <c r="AI243" i="3"/>
  <c r="AJ243" i="3"/>
  <c r="AK243" i="3"/>
  <c r="AM243" i="3"/>
  <c r="AD244" i="3"/>
  <c r="AE244" i="3"/>
  <c r="AF244" i="3"/>
  <c r="AG244" i="3"/>
  <c r="AI244" i="3"/>
  <c r="AJ244" i="3"/>
  <c r="AK244" i="3"/>
  <c r="AM244" i="3"/>
  <c r="AD245" i="3"/>
  <c r="AE245" i="3"/>
  <c r="AF245" i="3"/>
  <c r="AG245" i="3"/>
  <c r="AI245" i="3"/>
  <c r="AJ245" i="3"/>
  <c r="AK245" i="3"/>
  <c r="AM245" i="3"/>
  <c r="AD246" i="3"/>
  <c r="AE246" i="3"/>
  <c r="AF246" i="3"/>
  <c r="AG246" i="3"/>
  <c r="AI246" i="3"/>
  <c r="AJ246" i="3"/>
  <c r="AK246" i="3"/>
  <c r="AM246" i="3"/>
  <c r="AD247" i="3"/>
  <c r="AE247" i="3"/>
  <c r="AF247" i="3"/>
  <c r="AG247" i="3"/>
  <c r="AI247" i="3"/>
  <c r="AJ247" i="3"/>
  <c r="AK247" i="3"/>
  <c r="AM247" i="3"/>
  <c r="AD248" i="3"/>
  <c r="AE248" i="3"/>
  <c r="AF248" i="3"/>
  <c r="AG248" i="3"/>
  <c r="AI248" i="3"/>
  <c r="AJ248" i="3"/>
  <c r="AK248" i="3"/>
  <c r="AM248" i="3"/>
  <c r="AD249" i="3"/>
  <c r="AE249" i="3"/>
  <c r="AF249" i="3"/>
  <c r="AG249" i="3"/>
  <c r="AI249" i="3"/>
  <c r="AJ249" i="3"/>
  <c r="AK249" i="3"/>
  <c r="AM249" i="3"/>
  <c r="AD250" i="3"/>
  <c r="AE250" i="3"/>
  <c r="AF250" i="3"/>
  <c r="AG250" i="3"/>
  <c r="AI250" i="3"/>
  <c r="AJ250" i="3"/>
  <c r="AK250" i="3"/>
  <c r="AM250" i="3"/>
  <c r="AD251" i="3"/>
  <c r="AE251" i="3"/>
  <c r="AF251" i="3"/>
  <c r="AG251" i="3"/>
  <c r="AI251" i="3"/>
  <c r="AJ251" i="3"/>
  <c r="AK251" i="3"/>
  <c r="AM251" i="3"/>
  <c r="AD252" i="3"/>
  <c r="AE252" i="3"/>
  <c r="AF252" i="3"/>
  <c r="AG252" i="3"/>
  <c r="AI252" i="3"/>
  <c r="AJ252" i="3"/>
  <c r="AK252" i="3"/>
  <c r="AM252" i="3"/>
  <c r="AD253" i="3"/>
  <c r="AE253" i="3"/>
  <c r="AF253" i="3"/>
  <c r="AG253" i="3"/>
  <c r="AI253" i="3"/>
  <c r="AJ253" i="3"/>
  <c r="AK253" i="3"/>
  <c r="AM253" i="3"/>
  <c r="AD254" i="3"/>
  <c r="AE254" i="3"/>
  <c r="AF254" i="3"/>
  <c r="AG254" i="3"/>
  <c r="AI254" i="3"/>
  <c r="AJ254" i="3"/>
  <c r="AK254" i="3"/>
  <c r="AM254" i="3"/>
  <c r="AD255" i="3"/>
  <c r="AE255" i="3"/>
  <c r="AF255" i="3"/>
  <c r="AG255" i="3"/>
  <c r="AI255" i="3"/>
  <c r="AJ255" i="3"/>
  <c r="AK255" i="3"/>
  <c r="AM255" i="3"/>
  <c r="AD256" i="3"/>
  <c r="AE256" i="3"/>
  <c r="AF256" i="3"/>
  <c r="AG256" i="3"/>
  <c r="AI256" i="3"/>
  <c r="AJ256" i="3"/>
  <c r="AK256" i="3"/>
  <c r="AM256" i="3"/>
  <c r="AD257" i="3"/>
  <c r="AE257" i="3"/>
  <c r="AF257" i="3"/>
  <c r="AG257" i="3"/>
  <c r="AI257" i="3"/>
  <c r="AJ257" i="3"/>
  <c r="AK257" i="3"/>
  <c r="AM257" i="3"/>
  <c r="AD258" i="3"/>
  <c r="AE258" i="3"/>
  <c r="AF258" i="3"/>
  <c r="AG258" i="3"/>
  <c r="AI258" i="3"/>
  <c r="AJ258" i="3"/>
  <c r="AK258" i="3"/>
  <c r="AM258" i="3"/>
  <c r="AD259" i="3"/>
  <c r="AE259" i="3"/>
  <c r="AF259" i="3"/>
  <c r="AG259" i="3"/>
  <c r="AI259" i="3"/>
  <c r="AJ259" i="3"/>
  <c r="AK259" i="3"/>
  <c r="AM259" i="3"/>
  <c r="AD260" i="3"/>
  <c r="AE260" i="3"/>
  <c r="AF260" i="3"/>
  <c r="AG260" i="3"/>
  <c r="AI260" i="3"/>
  <c r="AJ260" i="3"/>
  <c r="AK260" i="3"/>
  <c r="AM260" i="3"/>
  <c r="AD261" i="3"/>
  <c r="AE261" i="3"/>
  <c r="AF261" i="3"/>
  <c r="AG261" i="3"/>
  <c r="AI261" i="3"/>
  <c r="AJ261" i="3"/>
  <c r="AK261" i="3"/>
  <c r="AM261" i="3"/>
  <c r="AD262" i="3"/>
  <c r="AE262" i="3"/>
  <c r="AF262" i="3"/>
  <c r="AG262" i="3"/>
  <c r="AI262" i="3"/>
  <c r="AJ262" i="3"/>
  <c r="AK262" i="3"/>
  <c r="AM262" i="3"/>
  <c r="AD263" i="3"/>
  <c r="AE263" i="3"/>
  <c r="AF263" i="3"/>
  <c r="AG263" i="3"/>
  <c r="AI263" i="3"/>
  <c r="AJ263" i="3"/>
  <c r="AK263" i="3"/>
  <c r="AM263" i="3"/>
  <c r="AD264" i="3"/>
  <c r="AE264" i="3"/>
  <c r="AF264" i="3"/>
  <c r="AG264" i="3"/>
  <c r="AI264" i="3"/>
  <c r="AJ264" i="3"/>
  <c r="AK264" i="3"/>
  <c r="AM264" i="3"/>
  <c r="AD265" i="3"/>
  <c r="AE265" i="3"/>
  <c r="AF265" i="3"/>
  <c r="AG265" i="3"/>
  <c r="AI265" i="3"/>
  <c r="AJ265" i="3"/>
  <c r="AK265" i="3"/>
  <c r="AM265" i="3"/>
  <c r="AD266" i="3"/>
  <c r="AE266" i="3"/>
  <c r="AF266" i="3"/>
  <c r="AG266" i="3"/>
  <c r="AI266" i="3"/>
  <c r="AJ266" i="3"/>
  <c r="AK266" i="3"/>
  <c r="AM266" i="3"/>
  <c r="AD267" i="3"/>
  <c r="AE267" i="3"/>
  <c r="AF267" i="3"/>
  <c r="AG267" i="3"/>
  <c r="AI267" i="3"/>
  <c r="AJ267" i="3"/>
  <c r="AK267" i="3"/>
  <c r="AM267" i="3"/>
  <c r="AD268" i="3"/>
  <c r="AE268" i="3"/>
  <c r="AF268" i="3"/>
  <c r="AG268" i="3"/>
  <c r="AI268" i="3"/>
  <c r="AJ268" i="3"/>
  <c r="AK268" i="3"/>
  <c r="AM268" i="3"/>
  <c r="AD269" i="3"/>
  <c r="AE269" i="3"/>
  <c r="AF269" i="3"/>
  <c r="AG269" i="3"/>
  <c r="AI269" i="3"/>
  <c r="AJ269" i="3"/>
  <c r="AK269" i="3"/>
  <c r="AM269" i="3"/>
  <c r="AD270" i="3"/>
  <c r="AE270" i="3"/>
  <c r="AF270" i="3"/>
  <c r="AG270" i="3"/>
  <c r="AI270" i="3"/>
  <c r="AJ270" i="3"/>
  <c r="AK270" i="3"/>
  <c r="AM270" i="3"/>
  <c r="AD271" i="3"/>
  <c r="AE271" i="3"/>
  <c r="AF271" i="3"/>
  <c r="AG271" i="3"/>
  <c r="AI271" i="3"/>
  <c r="AJ271" i="3"/>
  <c r="AK271" i="3"/>
  <c r="AM271" i="3"/>
  <c r="AD272" i="3"/>
  <c r="AE272" i="3"/>
  <c r="AF272" i="3"/>
  <c r="AG272" i="3"/>
  <c r="AI272" i="3"/>
  <c r="AJ272" i="3"/>
  <c r="AK272" i="3"/>
  <c r="AM272" i="3"/>
  <c r="AD273" i="3"/>
  <c r="AE273" i="3"/>
  <c r="AF273" i="3"/>
  <c r="AG273" i="3"/>
  <c r="AI273" i="3"/>
  <c r="AJ273" i="3"/>
  <c r="AK273" i="3"/>
  <c r="AM273" i="3"/>
  <c r="AD274" i="3"/>
  <c r="AE274" i="3"/>
  <c r="AF274" i="3"/>
  <c r="AG274" i="3"/>
  <c r="AI274" i="3"/>
  <c r="AJ274" i="3"/>
  <c r="AK274" i="3"/>
  <c r="AM274" i="3"/>
  <c r="AD275" i="3"/>
  <c r="AE275" i="3"/>
  <c r="AF275" i="3"/>
  <c r="AG275" i="3"/>
  <c r="AI275" i="3"/>
  <c r="AJ275" i="3"/>
  <c r="AK275" i="3"/>
  <c r="AM275" i="3"/>
  <c r="AD276" i="3"/>
  <c r="AE276" i="3"/>
  <c r="AF276" i="3"/>
  <c r="AG276" i="3"/>
  <c r="AI276" i="3"/>
  <c r="AJ276" i="3"/>
  <c r="AK276" i="3"/>
  <c r="AM276" i="3"/>
  <c r="AD277" i="3"/>
  <c r="AE277" i="3"/>
  <c r="AF277" i="3"/>
  <c r="AG277" i="3"/>
  <c r="AI277" i="3"/>
  <c r="AJ277" i="3"/>
  <c r="AK277" i="3"/>
  <c r="AM277" i="3"/>
  <c r="AD278" i="3"/>
  <c r="AE278" i="3"/>
  <c r="AF278" i="3"/>
  <c r="AG278" i="3"/>
  <c r="AI278" i="3"/>
  <c r="AJ278" i="3"/>
  <c r="AK278" i="3"/>
  <c r="AM278" i="3"/>
  <c r="AD279" i="3"/>
  <c r="AE279" i="3"/>
  <c r="AF279" i="3"/>
  <c r="AG279" i="3"/>
  <c r="AI279" i="3"/>
  <c r="AJ279" i="3"/>
  <c r="AK279" i="3"/>
  <c r="AM279" i="3"/>
  <c r="AD280" i="3"/>
  <c r="AE280" i="3"/>
  <c r="AF280" i="3"/>
  <c r="AG280" i="3"/>
  <c r="AI280" i="3"/>
  <c r="AJ280" i="3"/>
  <c r="AK280" i="3"/>
  <c r="AM280" i="3"/>
  <c r="AD281" i="3"/>
  <c r="AE281" i="3"/>
  <c r="AF281" i="3"/>
  <c r="AG281" i="3"/>
  <c r="AI281" i="3"/>
  <c r="AJ281" i="3"/>
  <c r="AK281" i="3"/>
  <c r="AM281" i="3"/>
  <c r="AD282" i="3"/>
  <c r="AE282" i="3"/>
  <c r="AF282" i="3"/>
  <c r="AG282" i="3"/>
  <c r="AI282" i="3"/>
  <c r="AJ282" i="3"/>
  <c r="AK282" i="3"/>
  <c r="AM282" i="3"/>
  <c r="AD283" i="3"/>
  <c r="AE283" i="3"/>
  <c r="AF283" i="3"/>
  <c r="AG283" i="3"/>
  <c r="AI283" i="3"/>
  <c r="AJ283" i="3"/>
  <c r="AK283" i="3"/>
  <c r="AM283" i="3"/>
  <c r="AD284" i="3"/>
  <c r="AE284" i="3"/>
  <c r="AF284" i="3"/>
  <c r="AG284" i="3"/>
  <c r="AI284" i="3"/>
  <c r="AJ284" i="3"/>
  <c r="AK284" i="3"/>
  <c r="AM284" i="3"/>
  <c r="AD285" i="3"/>
  <c r="AE285" i="3"/>
  <c r="AF285" i="3"/>
  <c r="AG285" i="3"/>
  <c r="AI285" i="3"/>
  <c r="AJ285" i="3"/>
  <c r="AK285" i="3"/>
  <c r="AM285" i="3"/>
  <c r="AD286" i="3"/>
  <c r="AE286" i="3"/>
  <c r="AF286" i="3"/>
  <c r="AG286" i="3"/>
  <c r="AI286" i="3"/>
  <c r="AJ286" i="3"/>
  <c r="AK286" i="3"/>
  <c r="AM286" i="3"/>
  <c r="AD287" i="3"/>
  <c r="AE287" i="3"/>
  <c r="AF287" i="3"/>
  <c r="AG287" i="3"/>
  <c r="AI287" i="3"/>
  <c r="AJ287" i="3"/>
  <c r="AK287" i="3"/>
  <c r="AM287" i="3"/>
  <c r="AD288" i="3"/>
  <c r="AE288" i="3"/>
  <c r="AF288" i="3"/>
  <c r="AG288" i="3"/>
  <c r="AI288" i="3"/>
  <c r="AJ288" i="3"/>
  <c r="AK288" i="3"/>
  <c r="AM288" i="3"/>
  <c r="AD289" i="3"/>
  <c r="AE289" i="3"/>
  <c r="AF289" i="3"/>
  <c r="AG289" i="3"/>
  <c r="AI289" i="3"/>
  <c r="AJ289" i="3"/>
  <c r="AK289" i="3"/>
  <c r="AM289" i="3"/>
  <c r="AD290" i="3"/>
  <c r="AE290" i="3"/>
  <c r="AF290" i="3"/>
  <c r="AG290" i="3"/>
  <c r="AI290" i="3"/>
  <c r="AJ290" i="3"/>
  <c r="AK290" i="3"/>
  <c r="AM290" i="3"/>
  <c r="AD291" i="3"/>
  <c r="AE291" i="3"/>
  <c r="AF291" i="3"/>
  <c r="AG291" i="3"/>
  <c r="AI291" i="3"/>
  <c r="AJ291" i="3"/>
  <c r="AK291" i="3"/>
  <c r="AM291" i="3"/>
  <c r="AD292" i="3"/>
  <c r="AE292" i="3"/>
  <c r="AF292" i="3"/>
  <c r="AG292" i="3"/>
  <c r="AI292" i="3"/>
  <c r="AJ292" i="3"/>
  <c r="AK292" i="3"/>
  <c r="AM292" i="3"/>
  <c r="AD293" i="3"/>
  <c r="AE293" i="3"/>
  <c r="AF293" i="3"/>
  <c r="AG293" i="3"/>
  <c r="AI293" i="3"/>
  <c r="AJ293" i="3"/>
  <c r="AK293" i="3"/>
  <c r="AM293" i="3"/>
  <c r="AD294" i="3"/>
  <c r="AE294" i="3"/>
  <c r="AF294" i="3"/>
  <c r="AG294" i="3"/>
  <c r="AI294" i="3"/>
  <c r="AJ294" i="3"/>
  <c r="AK294" i="3"/>
  <c r="AM294" i="3"/>
  <c r="AD295" i="3"/>
  <c r="AE295" i="3"/>
  <c r="AF295" i="3"/>
  <c r="AG295" i="3"/>
  <c r="AI295" i="3"/>
  <c r="AJ295" i="3"/>
  <c r="AK295" i="3"/>
  <c r="AM295" i="3"/>
  <c r="AD296" i="3"/>
  <c r="AE296" i="3"/>
  <c r="AF296" i="3"/>
  <c r="AG296" i="3"/>
  <c r="AI296" i="3"/>
  <c r="AJ296" i="3"/>
  <c r="AK296" i="3"/>
  <c r="AM296" i="3"/>
  <c r="AD297" i="3"/>
  <c r="AE297" i="3"/>
  <c r="AF297" i="3"/>
  <c r="AG297" i="3"/>
  <c r="AI297" i="3"/>
  <c r="AJ297" i="3"/>
  <c r="AK297" i="3"/>
  <c r="AM297" i="3"/>
  <c r="AD298" i="3"/>
  <c r="AE298" i="3"/>
  <c r="AF298" i="3"/>
  <c r="AG298" i="3"/>
  <c r="AI298" i="3"/>
  <c r="AJ298" i="3"/>
  <c r="AK298" i="3"/>
  <c r="AM298" i="3"/>
  <c r="AD299" i="3"/>
  <c r="AE299" i="3"/>
  <c r="AF299" i="3"/>
  <c r="AG299" i="3"/>
  <c r="AI299" i="3"/>
  <c r="AJ299" i="3"/>
  <c r="AK299" i="3"/>
  <c r="AM299" i="3"/>
  <c r="AD300" i="3"/>
  <c r="AE300" i="3"/>
  <c r="AF300" i="3"/>
  <c r="AG300" i="3"/>
  <c r="AI300" i="3"/>
  <c r="AJ300" i="3"/>
  <c r="AK300" i="3"/>
  <c r="AM300" i="3"/>
  <c r="AD301" i="3"/>
  <c r="AE301" i="3"/>
  <c r="AF301" i="3"/>
  <c r="AG301" i="3"/>
  <c r="AI301" i="3"/>
  <c r="AJ301" i="3"/>
  <c r="AK301" i="3"/>
  <c r="AM301" i="3"/>
  <c r="AD302" i="3"/>
  <c r="AE302" i="3"/>
  <c r="AF302" i="3"/>
  <c r="AG302" i="3"/>
  <c r="AI302" i="3"/>
  <c r="AJ302" i="3"/>
  <c r="AK302" i="3"/>
  <c r="AM302" i="3"/>
  <c r="AD303" i="3"/>
  <c r="AE303" i="3"/>
  <c r="AF303" i="3"/>
  <c r="AG303" i="3"/>
  <c r="AI303" i="3"/>
  <c r="AJ303" i="3"/>
  <c r="AK303" i="3"/>
  <c r="AM303" i="3"/>
  <c r="AD304" i="3"/>
  <c r="AE304" i="3"/>
  <c r="AF304" i="3"/>
  <c r="AG304" i="3"/>
  <c r="AI304" i="3"/>
  <c r="AJ304" i="3"/>
  <c r="AK304" i="3"/>
  <c r="AM304" i="3"/>
  <c r="AD305" i="3"/>
  <c r="AE305" i="3"/>
  <c r="AF305" i="3"/>
  <c r="AG305" i="3"/>
  <c r="AI305" i="3"/>
  <c r="AJ305" i="3"/>
  <c r="AK305" i="3"/>
  <c r="AM305" i="3"/>
  <c r="AD306" i="3"/>
  <c r="AE306" i="3"/>
  <c r="AF306" i="3"/>
  <c r="AG306" i="3"/>
  <c r="AI306" i="3"/>
  <c r="AJ306" i="3"/>
  <c r="AK306" i="3"/>
  <c r="AM306" i="3"/>
  <c r="AD307" i="3"/>
  <c r="AE307" i="3"/>
  <c r="AF307" i="3"/>
  <c r="AG307" i="3"/>
  <c r="AI307" i="3"/>
  <c r="AJ307" i="3"/>
  <c r="AK307" i="3"/>
  <c r="AM307" i="3"/>
  <c r="AD308" i="3"/>
  <c r="AE308" i="3"/>
  <c r="AF308" i="3"/>
  <c r="AG308" i="3"/>
  <c r="AI308" i="3"/>
  <c r="AJ308" i="3"/>
  <c r="AK308" i="3"/>
  <c r="AM308" i="3"/>
  <c r="AD309" i="3"/>
  <c r="AE309" i="3"/>
  <c r="AF309" i="3"/>
  <c r="AG309" i="3"/>
  <c r="AI309" i="3"/>
  <c r="AJ309" i="3"/>
  <c r="AK309" i="3"/>
  <c r="AM309" i="3"/>
  <c r="AD310" i="3"/>
  <c r="AE310" i="3"/>
  <c r="AF310" i="3"/>
  <c r="AG310" i="3"/>
  <c r="AI310" i="3"/>
  <c r="AJ310" i="3"/>
  <c r="AK310" i="3"/>
  <c r="AM310" i="3"/>
  <c r="AD311" i="3"/>
  <c r="AE311" i="3"/>
  <c r="AF311" i="3"/>
  <c r="AG311" i="3"/>
  <c r="AI311" i="3"/>
  <c r="AJ311" i="3"/>
  <c r="AK311" i="3"/>
  <c r="AM311" i="3"/>
  <c r="AD312" i="3"/>
  <c r="AE312" i="3"/>
  <c r="AF312" i="3"/>
  <c r="AG312" i="3"/>
  <c r="AI312" i="3"/>
  <c r="AJ312" i="3"/>
  <c r="AK312" i="3"/>
  <c r="AM312" i="3"/>
  <c r="AD313" i="3"/>
  <c r="AE313" i="3"/>
  <c r="AF313" i="3"/>
  <c r="AG313" i="3"/>
  <c r="AI313" i="3"/>
  <c r="AJ313" i="3"/>
  <c r="AK313" i="3"/>
  <c r="AM313" i="3"/>
  <c r="AD314" i="3"/>
  <c r="AE314" i="3"/>
  <c r="AF314" i="3"/>
  <c r="AG314" i="3"/>
  <c r="AI314" i="3"/>
  <c r="AJ314" i="3"/>
  <c r="AK314" i="3"/>
  <c r="AM314" i="3"/>
  <c r="AD315" i="3"/>
  <c r="AE315" i="3"/>
  <c r="AF315" i="3"/>
  <c r="AG315" i="3"/>
  <c r="AI315" i="3"/>
  <c r="AJ315" i="3"/>
  <c r="AK315" i="3"/>
  <c r="AM315" i="3"/>
  <c r="AD316" i="3"/>
  <c r="AE316" i="3"/>
  <c r="AF316" i="3"/>
  <c r="AG316" i="3"/>
  <c r="AI316" i="3"/>
  <c r="AJ316" i="3"/>
  <c r="AK316" i="3"/>
  <c r="AM316" i="3"/>
  <c r="AD317" i="3"/>
  <c r="AE317" i="3"/>
  <c r="AF317" i="3"/>
  <c r="AG317" i="3"/>
  <c r="AI317" i="3"/>
  <c r="AJ317" i="3"/>
  <c r="AK317" i="3"/>
  <c r="AM317" i="3"/>
  <c r="AD318" i="3"/>
  <c r="AE318" i="3"/>
  <c r="AF318" i="3"/>
  <c r="AG318" i="3"/>
  <c r="AI318" i="3"/>
  <c r="AJ318" i="3"/>
  <c r="AK318" i="3"/>
  <c r="AM318" i="3"/>
  <c r="AD319" i="3"/>
  <c r="AE319" i="3"/>
  <c r="AF319" i="3"/>
  <c r="AG319" i="3"/>
  <c r="AI319" i="3"/>
  <c r="AJ319" i="3"/>
  <c r="AK319" i="3"/>
  <c r="AM319" i="3"/>
  <c r="AD320" i="3"/>
  <c r="AE320" i="3"/>
  <c r="AF320" i="3"/>
  <c r="AG320" i="3"/>
  <c r="AI320" i="3"/>
  <c r="AJ320" i="3"/>
  <c r="AK320" i="3"/>
  <c r="AM320" i="3"/>
  <c r="AD321" i="3"/>
  <c r="AE321" i="3"/>
  <c r="AF321" i="3"/>
  <c r="AG321" i="3"/>
  <c r="AI321" i="3"/>
  <c r="AJ321" i="3"/>
  <c r="AK321" i="3"/>
  <c r="AM321" i="3"/>
  <c r="AD322" i="3"/>
  <c r="AE322" i="3"/>
  <c r="AF322" i="3"/>
  <c r="AG322" i="3"/>
  <c r="AI322" i="3"/>
  <c r="AJ322" i="3"/>
  <c r="AK322" i="3"/>
  <c r="AM322" i="3"/>
  <c r="AD323" i="3"/>
  <c r="AE323" i="3"/>
  <c r="AF323" i="3"/>
  <c r="AG323" i="3"/>
  <c r="AI323" i="3"/>
  <c r="AJ323" i="3"/>
  <c r="AK323" i="3"/>
  <c r="AM323" i="3"/>
  <c r="AD324" i="3"/>
  <c r="AE324" i="3"/>
  <c r="AF324" i="3"/>
  <c r="AG324" i="3"/>
  <c r="AI324" i="3"/>
  <c r="AJ324" i="3"/>
  <c r="AK324" i="3"/>
  <c r="AM324" i="3"/>
  <c r="AD325" i="3"/>
  <c r="AE325" i="3"/>
  <c r="AF325" i="3"/>
  <c r="AG325" i="3"/>
  <c r="AI325" i="3"/>
  <c r="AJ325" i="3"/>
  <c r="AK325" i="3"/>
  <c r="AM325" i="3"/>
  <c r="AD326" i="3"/>
  <c r="AE326" i="3"/>
  <c r="AF326" i="3"/>
  <c r="AG326" i="3"/>
  <c r="AI326" i="3"/>
  <c r="AJ326" i="3"/>
  <c r="AK326" i="3"/>
  <c r="AM326" i="3"/>
  <c r="AD327" i="3"/>
  <c r="AE327" i="3"/>
  <c r="AF327" i="3"/>
  <c r="AG327" i="3"/>
  <c r="AI327" i="3"/>
  <c r="AJ327" i="3"/>
  <c r="AK327" i="3"/>
  <c r="AM327" i="3"/>
  <c r="AD328" i="3"/>
  <c r="AE328" i="3"/>
  <c r="AF328" i="3"/>
  <c r="AG328" i="3"/>
  <c r="AI328" i="3"/>
  <c r="AJ328" i="3"/>
  <c r="AK328" i="3"/>
  <c r="AM328" i="3"/>
  <c r="AD329" i="3"/>
  <c r="AE329" i="3"/>
  <c r="AF329" i="3"/>
  <c r="AG329" i="3"/>
  <c r="AI329" i="3"/>
  <c r="AJ329" i="3"/>
  <c r="AK329" i="3"/>
  <c r="AM329" i="3"/>
  <c r="AD330" i="3"/>
  <c r="AE330" i="3"/>
  <c r="AF330" i="3"/>
  <c r="AG330" i="3"/>
  <c r="AI330" i="3"/>
  <c r="AJ330" i="3"/>
  <c r="AK330" i="3"/>
  <c r="AM330" i="3"/>
  <c r="AD331" i="3"/>
  <c r="AE331" i="3"/>
  <c r="AF331" i="3"/>
  <c r="AG331" i="3"/>
  <c r="AI331" i="3"/>
  <c r="AJ331" i="3"/>
  <c r="AK331" i="3"/>
  <c r="AM331" i="3"/>
  <c r="AD332" i="3"/>
  <c r="AE332" i="3"/>
  <c r="AF332" i="3"/>
  <c r="AG332" i="3"/>
  <c r="AI332" i="3"/>
  <c r="AJ332" i="3"/>
  <c r="AK332" i="3"/>
  <c r="AM332" i="3"/>
  <c r="AD333" i="3"/>
  <c r="AE333" i="3"/>
  <c r="AF333" i="3"/>
  <c r="AG333" i="3"/>
  <c r="AI333" i="3"/>
  <c r="AJ333" i="3"/>
  <c r="AK333" i="3"/>
  <c r="AM333" i="3"/>
  <c r="AD334" i="3"/>
  <c r="AE334" i="3"/>
  <c r="AF334" i="3"/>
  <c r="AG334" i="3"/>
  <c r="AI334" i="3"/>
  <c r="AJ334" i="3"/>
  <c r="AK334" i="3"/>
  <c r="AM334" i="3"/>
  <c r="AD335" i="3"/>
  <c r="AE335" i="3"/>
  <c r="AF335" i="3"/>
  <c r="AG335" i="3"/>
  <c r="AI335" i="3"/>
  <c r="AJ335" i="3"/>
  <c r="AK335" i="3"/>
  <c r="AM335" i="3"/>
  <c r="AD336" i="3"/>
  <c r="AE336" i="3"/>
  <c r="AF336" i="3"/>
  <c r="AG336" i="3"/>
  <c r="AI336" i="3"/>
  <c r="AJ336" i="3"/>
  <c r="AK336" i="3"/>
  <c r="AM336" i="3"/>
  <c r="AD337" i="3"/>
  <c r="AE337" i="3"/>
  <c r="AF337" i="3"/>
  <c r="AG337" i="3"/>
  <c r="AI337" i="3"/>
  <c r="AJ337" i="3"/>
  <c r="AK337" i="3"/>
  <c r="AM337" i="3"/>
  <c r="AD338" i="3"/>
  <c r="AE338" i="3"/>
  <c r="AF338" i="3"/>
  <c r="AG338" i="3"/>
  <c r="AI338" i="3"/>
  <c r="AJ338" i="3"/>
  <c r="AK338" i="3"/>
  <c r="AM338" i="3"/>
  <c r="AD339" i="3"/>
  <c r="AE339" i="3"/>
  <c r="AF339" i="3"/>
  <c r="AG339" i="3"/>
  <c r="AI339" i="3"/>
  <c r="AJ339" i="3"/>
  <c r="AK339" i="3"/>
  <c r="AM339" i="3"/>
  <c r="AD340" i="3"/>
  <c r="AE340" i="3"/>
  <c r="AF340" i="3"/>
  <c r="AG340" i="3"/>
  <c r="AI340" i="3"/>
  <c r="AJ340" i="3"/>
  <c r="AK340" i="3"/>
  <c r="AM340" i="3"/>
  <c r="AD341" i="3"/>
  <c r="AE341" i="3"/>
  <c r="AF341" i="3"/>
  <c r="AG341" i="3"/>
  <c r="AI341" i="3"/>
  <c r="AJ341" i="3"/>
  <c r="AK341" i="3"/>
  <c r="AM341" i="3"/>
  <c r="AD342" i="3"/>
  <c r="AE342" i="3"/>
  <c r="AF342" i="3"/>
  <c r="AG342" i="3"/>
  <c r="AI342" i="3"/>
  <c r="AJ342" i="3"/>
  <c r="AK342" i="3"/>
  <c r="AM342" i="3"/>
  <c r="AD343" i="3"/>
  <c r="AE343" i="3"/>
  <c r="AF343" i="3"/>
  <c r="AG343" i="3"/>
  <c r="AI343" i="3"/>
  <c r="AJ343" i="3"/>
  <c r="AK343" i="3"/>
  <c r="AM343" i="3"/>
  <c r="AD344" i="3"/>
  <c r="AE344" i="3"/>
  <c r="AF344" i="3"/>
  <c r="AG344" i="3"/>
  <c r="AI344" i="3"/>
  <c r="AJ344" i="3"/>
  <c r="AK344" i="3"/>
  <c r="AM344" i="3"/>
  <c r="AD345" i="3"/>
  <c r="AE345" i="3"/>
  <c r="AF345" i="3"/>
  <c r="AG345" i="3"/>
  <c r="AI345" i="3"/>
  <c r="AJ345" i="3"/>
  <c r="AK345" i="3"/>
  <c r="AM345" i="3"/>
  <c r="AD346" i="3"/>
  <c r="AE346" i="3"/>
  <c r="AF346" i="3"/>
  <c r="AG346" i="3"/>
  <c r="AI346" i="3"/>
  <c r="AJ346" i="3"/>
  <c r="AK346" i="3"/>
  <c r="AM346" i="3"/>
  <c r="AD347" i="3"/>
  <c r="AE347" i="3"/>
  <c r="AF347" i="3"/>
  <c r="AG347" i="3"/>
  <c r="AI347" i="3"/>
  <c r="AJ347" i="3"/>
  <c r="AK347" i="3"/>
  <c r="AM347" i="3"/>
  <c r="AD348" i="3"/>
  <c r="AE348" i="3"/>
  <c r="AF348" i="3"/>
  <c r="AG348" i="3"/>
  <c r="AI348" i="3"/>
  <c r="AJ348" i="3"/>
  <c r="AK348" i="3"/>
  <c r="AM348" i="3"/>
  <c r="AD349" i="3"/>
  <c r="AE349" i="3"/>
  <c r="AF349" i="3"/>
  <c r="AG349" i="3"/>
  <c r="AI349" i="3"/>
  <c r="AJ349" i="3"/>
  <c r="AK349" i="3"/>
  <c r="AM349" i="3"/>
  <c r="AD350" i="3"/>
  <c r="AE350" i="3"/>
  <c r="AF350" i="3"/>
  <c r="AG350" i="3"/>
  <c r="AI350" i="3"/>
  <c r="AJ350" i="3"/>
  <c r="AK350" i="3"/>
  <c r="AM350" i="3"/>
  <c r="AD351" i="3"/>
  <c r="AE351" i="3"/>
  <c r="AF351" i="3"/>
  <c r="AG351" i="3"/>
  <c r="AI351" i="3"/>
  <c r="AJ351" i="3"/>
  <c r="AK351" i="3"/>
  <c r="AM351" i="3"/>
  <c r="AD352" i="3"/>
  <c r="AE352" i="3"/>
  <c r="AF352" i="3"/>
  <c r="AG352" i="3"/>
  <c r="AI352" i="3"/>
  <c r="AJ352" i="3"/>
  <c r="AK352" i="3"/>
  <c r="AM352" i="3"/>
  <c r="AD353" i="3"/>
  <c r="AE353" i="3"/>
  <c r="AF353" i="3"/>
  <c r="AG353" i="3"/>
  <c r="AI353" i="3"/>
  <c r="AJ353" i="3"/>
  <c r="AK353" i="3"/>
  <c r="AM353" i="3"/>
  <c r="AD354" i="3"/>
  <c r="AE354" i="3"/>
  <c r="AF354" i="3"/>
  <c r="AG354" i="3"/>
  <c r="AI354" i="3"/>
  <c r="AJ354" i="3"/>
  <c r="AK354" i="3"/>
  <c r="AM354" i="3"/>
  <c r="AD355" i="3"/>
  <c r="AE355" i="3"/>
  <c r="AF355" i="3"/>
  <c r="AG355" i="3"/>
  <c r="AI355" i="3"/>
  <c r="AJ355" i="3"/>
  <c r="AK355" i="3"/>
  <c r="AM355" i="3"/>
  <c r="AD356" i="3"/>
  <c r="AE356" i="3"/>
  <c r="AF356" i="3"/>
  <c r="AG356" i="3"/>
  <c r="AI356" i="3"/>
  <c r="AJ356" i="3"/>
  <c r="AK356" i="3"/>
  <c r="AM356" i="3"/>
  <c r="AD357" i="3"/>
  <c r="AE357" i="3"/>
  <c r="AF357" i="3"/>
  <c r="AG357" i="3"/>
  <c r="AI357" i="3"/>
  <c r="AJ357" i="3"/>
  <c r="AK357" i="3"/>
  <c r="AM357" i="3"/>
  <c r="AD358" i="3"/>
  <c r="AE358" i="3"/>
  <c r="AF358" i="3"/>
  <c r="AG358" i="3"/>
  <c r="AI358" i="3"/>
  <c r="AJ358" i="3"/>
  <c r="AK358" i="3"/>
  <c r="AM358" i="3"/>
  <c r="AD359" i="3"/>
  <c r="AE359" i="3"/>
  <c r="AF359" i="3"/>
  <c r="AG359" i="3"/>
  <c r="AI359" i="3"/>
  <c r="AJ359" i="3"/>
  <c r="AK359" i="3"/>
  <c r="AM359" i="3"/>
  <c r="AD360" i="3"/>
  <c r="AE360" i="3"/>
  <c r="AF360" i="3"/>
  <c r="AG360" i="3"/>
  <c r="AI360" i="3"/>
  <c r="AJ360" i="3"/>
  <c r="AK360" i="3"/>
  <c r="AM360" i="3"/>
  <c r="AD361" i="3"/>
  <c r="AE361" i="3"/>
  <c r="AF361" i="3"/>
  <c r="AG361" i="3"/>
  <c r="AI361" i="3"/>
  <c r="AJ361" i="3"/>
  <c r="AK361" i="3"/>
  <c r="AM361" i="3"/>
  <c r="AD362" i="3"/>
  <c r="AE362" i="3"/>
  <c r="AF362" i="3"/>
  <c r="AG362" i="3"/>
  <c r="AI362" i="3"/>
  <c r="AJ362" i="3"/>
  <c r="AK362" i="3"/>
  <c r="AM362" i="3"/>
  <c r="AD363" i="3"/>
  <c r="AE363" i="3"/>
  <c r="AF363" i="3"/>
  <c r="AG363" i="3"/>
  <c r="AI363" i="3"/>
  <c r="AJ363" i="3"/>
  <c r="AK363" i="3"/>
  <c r="AM363" i="3"/>
  <c r="AD364" i="3"/>
  <c r="AE364" i="3"/>
  <c r="AF364" i="3"/>
  <c r="AG364" i="3"/>
  <c r="AI364" i="3"/>
  <c r="AJ364" i="3"/>
  <c r="AK364" i="3"/>
  <c r="AM364" i="3"/>
  <c r="AD365" i="3"/>
  <c r="AE365" i="3"/>
  <c r="AF365" i="3"/>
  <c r="AG365" i="3"/>
  <c r="AI365" i="3"/>
  <c r="AJ365" i="3"/>
  <c r="AK365" i="3"/>
  <c r="AM365" i="3"/>
  <c r="AD366" i="3"/>
  <c r="AE366" i="3"/>
  <c r="AF366" i="3"/>
  <c r="AG366" i="3"/>
  <c r="AI366" i="3"/>
  <c r="AJ366" i="3"/>
  <c r="AK366" i="3"/>
  <c r="AM366" i="3"/>
  <c r="AD367" i="3"/>
  <c r="AE367" i="3"/>
  <c r="AF367" i="3"/>
  <c r="AG367" i="3"/>
  <c r="AI367" i="3"/>
  <c r="AJ367" i="3"/>
  <c r="AK367" i="3"/>
  <c r="AM367" i="3"/>
  <c r="AD368" i="3"/>
  <c r="AE368" i="3"/>
  <c r="AF368" i="3"/>
  <c r="AG368" i="3"/>
  <c r="AI368" i="3"/>
  <c r="AJ368" i="3"/>
  <c r="AK368" i="3"/>
  <c r="AM368" i="3"/>
  <c r="AD369" i="3"/>
  <c r="AE369" i="3"/>
  <c r="AF369" i="3"/>
  <c r="AG369" i="3"/>
  <c r="AI369" i="3"/>
  <c r="AJ369" i="3"/>
  <c r="AK369" i="3"/>
  <c r="AM369" i="3"/>
  <c r="AD370" i="3"/>
  <c r="AE370" i="3"/>
  <c r="AF370" i="3"/>
  <c r="AG370" i="3"/>
  <c r="AI370" i="3"/>
  <c r="AJ370" i="3"/>
  <c r="AK370" i="3"/>
  <c r="AM370" i="3"/>
  <c r="AD371" i="3"/>
  <c r="AE371" i="3"/>
  <c r="AF371" i="3"/>
  <c r="AG371" i="3"/>
  <c r="AI371" i="3"/>
  <c r="AJ371" i="3"/>
  <c r="AK371" i="3"/>
  <c r="AM371" i="3"/>
  <c r="AD372" i="3"/>
  <c r="AE372" i="3"/>
  <c r="AF372" i="3"/>
  <c r="AG372" i="3"/>
  <c r="AI372" i="3"/>
  <c r="AJ372" i="3"/>
  <c r="AK372" i="3"/>
  <c r="AM372" i="3"/>
  <c r="AD373" i="3"/>
  <c r="AE373" i="3"/>
  <c r="AF373" i="3"/>
  <c r="AG373" i="3"/>
  <c r="AI373" i="3"/>
  <c r="AJ373" i="3"/>
  <c r="AK373" i="3"/>
  <c r="AM373" i="3"/>
  <c r="AD374" i="3"/>
  <c r="AE374" i="3"/>
  <c r="AF374" i="3"/>
  <c r="AG374" i="3"/>
  <c r="AI374" i="3"/>
  <c r="AJ374" i="3"/>
  <c r="AK374" i="3"/>
  <c r="AM374" i="3"/>
  <c r="AD375" i="3"/>
  <c r="AE375" i="3"/>
  <c r="AF375" i="3"/>
  <c r="AG375" i="3"/>
  <c r="AI375" i="3"/>
  <c r="AJ375" i="3"/>
  <c r="AK375" i="3"/>
  <c r="AM375" i="3"/>
  <c r="AD376" i="3"/>
  <c r="AE376" i="3"/>
  <c r="AF376" i="3"/>
  <c r="AG376" i="3"/>
  <c r="AI376" i="3"/>
  <c r="AJ376" i="3"/>
  <c r="AK376" i="3"/>
  <c r="AM376" i="3"/>
  <c r="AD377" i="3"/>
  <c r="AE377" i="3"/>
  <c r="AF377" i="3"/>
  <c r="AG377" i="3"/>
  <c r="AI377" i="3"/>
  <c r="AJ377" i="3"/>
  <c r="AK377" i="3"/>
  <c r="AM377" i="3"/>
  <c r="AD378" i="3"/>
  <c r="AE378" i="3"/>
  <c r="AF378" i="3"/>
  <c r="AG378" i="3"/>
  <c r="AI378" i="3"/>
  <c r="AJ378" i="3"/>
  <c r="AK378" i="3"/>
  <c r="AM378" i="3"/>
  <c r="AD379" i="3"/>
  <c r="AE379" i="3"/>
  <c r="AF379" i="3"/>
  <c r="AG379" i="3"/>
  <c r="AI379" i="3"/>
  <c r="AJ379" i="3"/>
  <c r="AK379" i="3"/>
  <c r="AM379" i="3"/>
  <c r="AD380" i="3"/>
  <c r="AE380" i="3"/>
  <c r="AF380" i="3"/>
  <c r="AG380" i="3"/>
  <c r="AI380" i="3"/>
  <c r="AJ380" i="3"/>
  <c r="AK380" i="3"/>
  <c r="AM380" i="3"/>
  <c r="AD381" i="3"/>
  <c r="AE381" i="3"/>
  <c r="AF381" i="3"/>
  <c r="AG381" i="3"/>
  <c r="AI381" i="3"/>
  <c r="AJ381" i="3"/>
  <c r="AK381" i="3"/>
  <c r="AM381" i="3"/>
  <c r="AD382" i="3"/>
  <c r="AE382" i="3"/>
  <c r="AF382" i="3"/>
  <c r="AG382" i="3"/>
  <c r="AI382" i="3"/>
  <c r="AJ382" i="3"/>
  <c r="AK382" i="3"/>
  <c r="AM382" i="3"/>
  <c r="AD383" i="3"/>
  <c r="AE383" i="3"/>
  <c r="AF383" i="3"/>
  <c r="AG383" i="3"/>
  <c r="AI383" i="3"/>
  <c r="AJ383" i="3"/>
  <c r="AK383" i="3"/>
  <c r="AM383" i="3"/>
  <c r="AD384" i="3"/>
  <c r="AE384" i="3"/>
  <c r="AF384" i="3"/>
  <c r="AG384" i="3"/>
  <c r="AI384" i="3"/>
  <c r="AJ384" i="3"/>
  <c r="AK384" i="3"/>
  <c r="AM384" i="3"/>
  <c r="AD385" i="3"/>
  <c r="AE385" i="3"/>
  <c r="AF385" i="3"/>
  <c r="AG385" i="3"/>
  <c r="AI385" i="3"/>
  <c r="AJ385" i="3"/>
  <c r="AK385" i="3"/>
  <c r="AM385" i="3"/>
  <c r="AD386" i="3"/>
  <c r="AE386" i="3"/>
  <c r="AF386" i="3"/>
  <c r="AG386" i="3"/>
  <c r="AI386" i="3"/>
  <c r="AJ386" i="3"/>
  <c r="AK386" i="3"/>
  <c r="AM386" i="3"/>
  <c r="AD387" i="3"/>
  <c r="AE387" i="3"/>
  <c r="AF387" i="3"/>
  <c r="AG387" i="3"/>
  <c r="AI387" i="3"/>
  <c r="AJ387" i="3"/>
  <c r="AK387" i="3"/>
  <c r="AM387" i="3"/>
  <c r="AD388" i="3"/>
  <c r="AE388" i="3"/>
  <c r="AF388" i="3"/>
  <c r="AG388" i="3"/>
  <c r="AI388" i="3"/>
  <c r="AJ388" i="3"/>
  <c r="AK388" i="3"/>
  <c r="AM388" i="3"/>
  <c r="AD389" i="3"/>
  <c r="AE389" i="3"/>
  <c r="AF389" i="3"/>
  <c r="AG389" i="3"/>
  <c r="AI389" i="3"/>
  <c r="AJ389" i="3"/>
  <c r="AK389" i="3"/>
  <c r="AM389" i="3"/>
  <c r="AD390" i="3"/>
  <c r="AE390" i="3"/>
  <c r="AF390" i="3"/>
  <c r="AG390" i="3"/>
  <c r="AI390" i="3"/>
  <c r="AJ390" i="3"/>
  <c r="AK390" i="3"/>
  <c r="AM390" i="3"/>
  <c r="AD391" i="3"/>
  <c r="AE391" i="3"/>
  <c r="AF391" i="3"/>
  <c r="AG391" i="3"/>
  <c r="AI391" i="3"/>
  <c r="AJ391" i="3"/>
  <c r="AK391" i="3"/>
  <c r="AM391" i="3"/>
  <c r="AD392" i="3"/>
  <c r="AE392" i="3"/>
  <c r="AF392" i="3"/>
  <c r="AG392" i="3"/>
  <c r="AI392" i="3"/>
  <c r="AJ392" i="3"/>
  <c r="AK392" i="3"/>
  <c r="AM392" i="3"/>
  <c r="AD393" i="3"/>
  <c r="AE393" i="3"/>
  <c r="AF393" i="3"/>
  <c r="AG393" i="3"/>
  <c r="AI393" i="3"/>
  <c r="AJ393" i="3"/>
  <c r="AK393" i="3"/>
  <c r="AM393" i="3"/>
  <c r="AD394" i="3"/>
  <c r="AE394" i="3"/>
  <c r="AF394" i="3"/>
  <c r="AG394" i="3"/>
  <c r="AI394" i="3"/>
  <c r="AJ394" i="3"/>
  <c r="AK394" i="3"/>
  <c r="AM394" i="3"/>
  <c r="AD395" i="3"/>
  <c r="AE395" i="3"/>
  <c r="AF395" i="3"/>
  <c r="AG395" i="3"/>
  <c r="AI395" i="3"/>
  <c r="AJ395" i="3"/>
  <c r="AK395" i="3"/>
  <c r="AM395" i="3"/>
  <c r="AD396" i="3"/>
  <c r="AE396" i="3"/>
  <c r="AF396" i="3"/>
  <c r="AG396" i="3"/>
  <c r="AI396" i="3"/>
  <c r="AJ396" i="3"/>
  <c r="AK396" i="3"/>
  <c r="AM396" i="3"/>
  <c r="AD397" i="3"/>
  <c r="AE397" i="3"/>
  <c r="AF397" i="3"/>
  <c r="AG397" i="3"/>
  <c r="AI397" i="3"/>
  <c r="AJ397" i="3"/>
  <c r="AK397" i="3"/>
  <c r="AM397" i="3"/>
  <c r="AD398" i="3"/>
  <c r="AE398" i="3"/>
  <c r="AF398" i="3"/>
  <c r="AG398" i="3"/>
  <c r="AI398" i="3"/>
  <c r="AJ398" i="3"/>
  <c r="AK398" i="3"/>
  <c r="AM398" i="3"/>
  <c r="AD399" i="3"/>
  <c r="AE399" i="3"/>
  <c r="AF399" i="3"/>
  <c r="AG399" i="3"/>
  <c r="AI399" i="3"/>
  <c r="AJ399" i="3"/>
  <c r="AK399" i="3"/>
  <c r="AM399" i="3"/>
  <c r="AD400" i="3"/>
  <c r="AE400" i="3"/>
  <c r="AF400" i="3"/>
  <c r="AG400" i="3"/>
  <c r="AI400" i="3"/>
  <c r="AJ400" i="3"/>
  <c r="AK400" i="3"/>
  <c r="AM400" i="3"/>
  <c r="AD401" i="3"/>
  <c r="AE401" i="3"/>
  <c r="AF401" i="3"/>
  <c r="AG401" i="3"/>
  <c r="AI401" i="3"/>
  <c r="AJ401" i="3"/>
  <c r="AK401" i="3"/>
  <c r="AM401" i="3"/>
  <c r="AD402" i="3"/>
  <c r="AE402" i="3"/>
  <c r="AF402" i="3"/>
  <c r="AG402" i="3"/>
  <c r="AI402" i="3"/>
  <c r="AJ402" i="3"/>
  <c r="AK402" i="3"/>
  <c r="AM402" i="3"/>
  <c r="AD403" i="3"/>
  <c r="AE403" i="3"/>
  <c r="AF403" i="3"/>
  <c r="AG403" i="3"/>
  <c r="AI403" i="3"/>
  <c r="AJ403" i="3"/>
  <c r="AK403" i="3"/>
  <c r="AM403" i="3"/>
  <c r="AD404" i="3"/>
  <c r="AE404" i="3"/>
  <c r="AF404" i="3"/>
  <c r="AG404" i="3"/>
  <c r="AI404" i="3"/>
  <c r="AJ404" i="3"/>
  <c r="AK404" i="3"/>
  <c r="AM404" i="3"/>
  <c r="AD405" i="3"/>
  <c r="AE405" i="3"/>
  <c r="AF405" i="3"/>
  <c r="AG405" i="3"/>
  <c r="AI405" i="3"/>
  <c r="AJ405" i="3"/>
  <c r="AK405" i="3"/>
  <c r="AM405" i="3"/>
  <c r="AD406" i="3"/>
  <c r="AE406" i="3"/>
  <c r="AF406" i="3"/>
  <c r="AG406" i="3"/>
  <c r="AI406" i="3"/>
  <c r="AJ406" i="3"/>
  <c r="AK406" i="3"/>
  <c r="AM406" i="3"/>
  <c r="AD407" i="3"/>
  <c r="AE407" i="3"/>
  <c r="AF407" i="3"/>
  <c r="AG407" i="3"/>
  <c r="AI407" i="3"/>
  <c r="AJ407" i="3"/>
  <c r="AK407" i="3"/>
  <c r="AM407" i="3"/>
  <c r="AD408" i="3"/>
  <c r="AE408" i="3"/>
  <c r="AF408" i="3"/>
  <c r="AG408" i="3"/>
  <c r="AI408" i="3"/>
  <c r="AJ408" i="3"/>
  <c r="AK408" i="3"/>
  <c r="AM408" i="3"/>
  <c r="AD409" i="3"/>
  <c r="AE409" i="3"/>
  <c r="AF409" i="3"/>
  <c r="AG409" i="3"/>
  <c r="AI409" i="3"/>
  <c r="AJ409" i="3"/>
  <c r="AK409" i="3"/>
  <c r="AM409" i="3"/>
  <c r="AD410" i="3"/>
  <c r="AE410" i="3"/>
  <c r="AF410" i="3"/>
  <c r="AG410" i="3"/>
  <c r="AI410" i="3"/>
  <c r="AJ410" i="3"/>
  <c r="AK410" i="3"/>
  <c r="AM410" i="3"/>
  <c r="AD411" i="3"/>
  <c r="AE411" i="3"/>
  <c r="AF411" i="3"/>
  <c r="AG411" i="3"/>
  <c r="AI411" i="3"/>
  <c r="AJ411" i="3"/>
  <c r="AK411" i="3"/>
  <c r="AM411" i="3"/>
  <c r="AD412" i="3"/>
  <c r="AE412" i="3"/>
  <c r="AF412" i="3"/>
  <c r="AG412" i="3"/>
  <c r="AI412" i="3"/>
  <c r="AJ412" i="3"/>
  <c r="AK412" i="3"/>
  <c r="AM412" i="3"/>
  <c r="AD413" i="3"/>
  <c r="AE413" i="3"/>
  <c r="AF413" i="3"/>
  <c r="AG413" i="3"/>
  <c r="AI413" i="3"/>
  <c r="AJ413" i="3"/>
  <c r="AK413" i="3"/>
  <c r="AM413" i="3"/>
  <c r="AD414" i="3"/>
  <c r="AE414" i="3"/>
  <c r="AF414" i="3"/>
  <c r="AG414" i="3"/>
  <c r="AI414" i="3"/>
  <c r="AJ414" i="3"/>
  <c r="AK414" i="3"/>
  <c r="AM414" i="3"/>
  <c r="AD415" i="3"/>
  <c r="AE415" i="3"/>
  <c r="AF415" i="3"/>
  <c r="AG415" i="3"/>
  <c r="AI415" i="3"/>
  <c r="AJ415" i="3"/>
  <c r="AK415" i="3"/>
  <c r="AM415" i="3"/>
  <c r="AD416" i="3"/>
  <c r="AE416" i="3"/>
  <c r="AF416" i="3"/>
  <c r="AG416" i="3"/>
  <c r="AI416" i="3"/>
  <c r="AJ416" i="3"/>
  <c r="AK416" i="3"/>
  <c r="AM416" i="3"/>
  <c r="AD417" i="3"/>
  <c r="AE417" i="3"/>
  <c r="AF417" i="3"/>
  <c r="AG417" i="3"/>
  <c r="AI417" i="3"/>
  <c r="AJ417" i="3"/>
  <c r="AK417" i="3"/>
  <c r="AM417" i="3"/>
  <c r="AD418" i="3"/>
  <c r="AE418" i="3"/>
  <c r="AF418" i="3"/>
  <c r="AG418" i="3"/>
  <c r="AI418" i="3"/>
  <c r="AJ418" i="3"/>
  <c r="AK418" i="3"/>
  <c r="AM418" i="3"/>
  <c r="AD419" i="3"/>
  <c r="AE419" i="3"/>
  <c r="AF419" i="3"/>
  <c r="AG419" i="3"/>
  <c r="AI419" i="3"/>
  <c r="AJ419" i="3"/>
  <c r="AK419" i="3"/>
  <c r="AM419" i="3"/>
  <c r="AD420" i="3"/>
  <c r="AE420" i="3"/>
  <c r="AF420" i="3"/>
  <c r="AG420" i="3"/>
  <c r="AI420" i="3"/>
  <c r="AJ420" i="3"/>
  <c r="AK420" i="3"/>
  <c r="AM420" i="3"/>
  <c r="AD421" i="3"/>
  <c r="AE421" i="3"/>
  <c r="AF421" i="3"/>
  <c r="AG421" i="3"/>
  <c r="AI421" i="3"/>
  <c r="AJ421" i="3"/>
  <c r="AK421" i="3"/>
  <c r="AM421" i="3"/>
  <c r="AD422" i="3"/>
  <c r="AE422" i="3"/>
  <c r="AF422" i="3"/>
  <c r="AG422" i="3"/>
  <c r="AI422" i="3"/>
  <c r="AJ422" i="3"/>
  <c r="AK422" i="3"/>
  <c r="AM422" i="3"/>
  <c r="AD423" i="3"/>
  <c r="AE423" i="3"/>
  <c r="AF423" i="3"/>
  <c r="AG423" i="3"/>
  <c r="AI423" i="3"/>
  <c r="AJ423" i="3"/>
  <c r="AK423" i="3"/>
  <c r="AM423" i="3"/>
  <c r="AD424" i="3"/>
  <c r="AE424" i="3"/>
  <c r="AF424" i="3"/>
  <c r="AG424" i="3"/>
  <c r="AI424" i="3"/>
  <c r="AJ424" i="3"/>
  <c r="AK424" i="3"/>
  <c r="AM424" i="3"/>
  <c r="AD425" i="3"/>
  <c r="AE425" i="3"/>
  <c r="AF425" i="3"/>
  <c r="AG425" i="3"/>
  <c r="AI425" i="3"/>
  <c r="AJ425" i="3"/>
  <c r="AK425" i="3"/>
  <c r="AM425" i="3"/>
  <c r="AD426" i="3"/>
  <c r="AE426" i="3"/>
  <c r="AF426" i="3"/>
  <c r="AG426" i="3"/>
  <c r="AI426" i="3"/>
  <c r="AJ426" i="3"/>
  <c r="AK426" i="3"/>
  <c r="AM426" i="3"/>
  <c r="AD427" i="3"/>
  <c r="AE427" i="3"/>
  <c r="AF427" i="3"/>
  <c r="AG427" i="3"/>
  <c r="AI427" i="3"/>
  <c r="AJ427" i="3"/>
  <c r="AK427" i="3"/>
  <c r="AM427" i="3"/>
  <c r="AD428" i="3"/>
  <c r="AE428" i="3"/>
  <c r="AF428" i="3"/>
  <c r="AG428" i="3"/>
  <c r="AI428" i="3"/>
  <c r="AJ428" i="3"/>
  <c r="AK428" i="3"/>
  <c r="AM428" i="3"/>
  <c r="AD429" i="3"/>
  <c r="AE429" i="3"/>
  <c r="AF429" i="3"/>
  <c r="AG429" i="3"/>
  <c r="AI429" i="3"/>
  <c r="AJ429" i="3"/>
  <c r="AK429" i="3"/>
  <c r="AM429" i="3"/>
  <c r="AD430" i="3"/>
  <c r="AE430" i="3"/>
  <c r="AF430" i="3"/>
  <c r="AG430" i="3"/>
  <c r="AI430" i="3"/>
  <c r="AJ430" i="3"/>
  <c r="AK430" i="3"/>
  <c r="AM430" i="3"/>
  <c r="AD431" i="3"/>
  <c r="AE431" i="3"/>
  <c r="AF431" i="3"/>
  <c r="AG431" i="3"/>
  <c r="AI431" i="3"/>
  <c r="AJ431" i="3"/>
  <c r="AK431" i="3"/>
  <c r="AM431" i="3"/>
  <c r="AD432" i="3"/>
  <c r="AE432" i="3"/>
  <c r="AF432" i="3"/>
  <c r="AG432" i="3"/>
  <c r="AI432" i="3"/>
  <c r="AJ432" i="3"/>
  <c r="AK432" i="3"/>
  <c r="AM432" i="3"/>
  <c r="AD433" i="3"/>
  <c r="AE433" i="3"/>
  <c r="AF433" i="3"/>
  <c r="AG433" i="3"/>
  <c r="AI433" i="3"/>
  <c r="AJ433" i="3"/>
  <c r="AK433" i="3"/>
  <c r="AM433" i="3"/>
  <c r="AD434" i="3"/>
  <c r="AE434" i="3"/>
  <c r="AF434" i="3"/>
  <c r="AG434" i="3"/>
  <c r="AI434" i="3"/>
  <c r="AJ434" i="3"/>
  <c r="AK434" i="3"/>
  <c r="AM434" i="3"/>
  <c r="AD435" i="3"/>
  <c r="AE435" i="3"/>
  <c r="AF435" i="3"/>
  <c r="AG435" i="3"/>
  <c r="AI435" i="3"/>
  <c r="AJ435" i="3"/>
  <c r="AK435" i="3"/>
  <c r="AM435" i="3"/>
  <c r="AD436" i="3"/>
  <c r="AE436" i="3"/>
  <c r="AF436" i="3"/>
  <c r="AG436" i="3"/>
  <c r="AI436" i="3"/>
  <c r="AJ436" i="3"/>
  <c r="AK436" i="3"/>
  <c r="AM436" i="3"/>
  <c r="AD437" i="3"/>
  <c r="AE437" i="3"/>
  <c r="AF437" i="3"/>
  <c r="AG437" i="3"/>
  <c r="AI437" i="3"/>
  <c r="AJ437" i="3"/>
  <c r="AK437" i="3"/>
  <c r="AM437" i="3"/>
  <c r="AD438" i="3"/>
  <c r="AE438" i="3"/>
  <c r="AF438" i="3"/>
  <c r="AG438" i="3"/>
  <c r="AI438" i="3"/>
  <c r="AJ438" i="3"/>
  <c r="AK438" i="3"/>
  <c r="AM438" i="3"/>
  <c r="AD439" i="3"/>
  <c r="AE439" i="3"/>
  <c r="AF439" i="3"/>
  <c r="AG439" i="3"/>
  <c r="AI439" i="3"/>
  <c r="AJ439" i="3"/>
  <c r="AK439" i="3"/>
  <c r="AM439" i="3"/>
  <c r="AD440" i="3"/>
  <c r="AE440" i="3"/>
  <c r="AF440" i="3"/>
  <c r="AG440" i="3"/>
  <c r="AI440" i="3"/>
  <c r="AJ440" i="3"/>
  <c r="AK440" i="3"/>
  <c r="AM440" i="3"/>
  <c r="AD441" i="3"/>
  <c r="AE441" i="3"/>
  <c r="AF441" i="3"/>
  <c r="AG441" i="3"/>
  <c r="AI441" i="3"/>
  <c r="AJ441" i="3"/>
  <c r="AK441" i="3"/>
  <c r="AM441" i="3"/>
  <c r="AD442" i="3"/>
  <c r="AE442" i="3"/>
  <c r="AF442" i="3"/>
  <c r="AG442" i="3"/>
  <c r="AI442" i="3"/>
  <c r="AJ442" i="3"/>
  <c r="AK442" i="3"/>
  <c r="AM442" i="3"/>
  <c r="AD443" i="3"/>
  <c r="AE443" i="3"/>
  <c r="AF443" i="3"/>
  <c r="AG443" i="3"/>
  <c r="AI443" i="3"/>
  <c r="AJ443" i="3"/>
  <c r="AK443" i="3"/>
  <c r="AM443" i="3"/>
  <c r="AD444" i="3"/>
  <c r="AE444" i="3"/>
  <c r="AF444" i="3"/>
  <c r="AG444" i="3"/>
  <c r="AI444" i="3"/>
  <c r="AJ444" i="3"/>
  <c r="AK444" i="3"/>
  <c r="AM444" i="3"/>
  <c r="AD445" i="3"/>
  <c r="AE445" i="3"/>
  <c r="AF445" i="3"/>
  <c r="AG445" i="3"/>
  <c r="AI445" i="3"/>
  <c r="AJ445" i="3"/>
  <c r="AK445" i="3"/>
  <c r="AM445" i="3"/>
  <c r="AD446" i="3"/>
  <c r="AE446" i="3"/>
  <c r="AF446" i="3"/>
  <c r="AG446" i="3"/>
  <c r="AI446" i="3"/>
  <c r="AJ446" i="3"/>
  <c r="AK446" i="3"/>
  <c r="AM446" i="3"/>
  <c r="AD447" i="3"/>
  <c r="AE447" i="3"/>
  <c r="AF447" i="3"/>
  <c r="AG447" i="3"/>
  <c r="AI447" i="3"/>
  <c r="AJ447" i="3"/>
  <c r="AK447" i="3"/>
  <c r="AM447" i="3"/>
  <c r="AD448" i="3"/>
  <c r="AE448" i="3"/>
  <c r="AF448" i="3"/>
  <c r="AG448" i="3"/>
  <c r="AI448" i="3"/>
  <c r="AJ448" i="3"/>
  <c r="AK448" i="3"/>
  <c r="AM448" i="3"/>
  <c r="AD449" i="3"/>
  <c r="AE449" i="3"/>
  <c r="AF449" i="3"/>
  <c r="AG449" i="3"/>
  <c r="AI449" i="3"/>
  <c r="AJ449" i="3"/>
  <c r="AK449" i="3"/>
  <c r="AM449" i="3"/>
  <c r="AD450" i="3"/>
  <c r="AE450" i="3"/>
  <c r="AF450" i="3"/>
  <c r="AG450" i="3"/>
  <c r="AI450" i="3"/>
  <c r="AJ450" i="3"/>
  <c r="AK450" i="3"/>
  <c r="AM450" i="3"/>
  <c r="AD451" i="3"/>
  <c r="AE451" i="3"/>
  <c r="AF451" i="3"/>
  <c r="AG451" i="3"/>
  <c r="AI451" i="3"/>
  <c r="AJ451" i="3"/>
  <c r="AK451" i="3"/>
  <c r="AM451" i="3"/>
  <c r="AD452" i="3"/>
  <c r="AE452" i="3"/>
  <c r="AF452" i="3"/>
  <c r="AG452" i="3"/>
  <c r="AI452" i="3"/>
  <c r="AJ452" i="3"/>
  <c r="AK452" i="3"/>
  <c r="AM452" i="3"/>
  <c r="AD453" i="3"/>
  <c r="AE453" i="3"/>
  <c r="AF453" i="3"/>
  <c r="AG453" i="3"/>
  <c r="AI453" i="3"/>
  <c r="AJ453" i="3"/>
  <c r="AK453" i="3"/>
  <c r="AM453" i="3"/>
  <c r="AD454" i="3"/>
  <c r="AE454" i="3"/>
  <c r="AF454" i="3"/>
  <c r="AG454" i="3"/>
  <c r="AI454" i="3"/>
  <c r="AJ454" i="3"/>
  <c r="AK454" i="3"/>
  <c r="AM454" i="3"/>
  <c r="AD455" i="3"/>
  <c r="AE455" i="3"/>
  <c r="AF455" i="3"/>
  <c r="AG455" i="3"/>
  <c r="AI455" i="3"/>
  <c r="AJ455" i="3"/>
  <c r="AK455" i="3"/>
  <c r="AM455" i="3"/>
  <c r="AD456" i="3"/>
  <c r="AE456" i="3"/>
  <c r="AF456" i="3"/>
  <c r="AG456" i="3"/>
  <c r="AI456" i="3"/>
  <c r="AJ456" i="3"/>
  <c r="AK456" i="3"/>
  <c r="AM456" i="3"/>
  <c r="AD457" i="3"/>
  <c r="AE457" i="3"/>
  <c r="AF457" i="3"/>
  <c r="AG457" i="3"/>
  <c r="AI457" i="3"/>
  <c r="AJ457" i="3"/>
  <c r="AK457" i="3"/>
  <c r="AM457" i="3"/>
  <c r="AD458" i="3"/>
  <c r="AE458" i="3"/>
  <c r="AF458" i="3"/>
  <c r="AG458" i="3"/>
  <c r="AI458" i="3"/>
  <c r="AJ458" i="3"/>
  <c r="AK458" i="3"/>
  <c r="AM458" i="3"/>
  <c r="AD459" i="3"/>
  <c r="AE459" i="3"/>
  <c r="AF459" i="3"/>
  <c r="AG459" i="3"/>
  <c r="AI459" i="3"/>
  <c r="AJ459" i="3"/>
  <c r="AK459" i="3"/>
  <c r="AM459" i="3"/>
  <c r="AD460" i="3"/>
  <c r="AE460" i="3"/>
  <c r="AF460" i="3"/>
  <c r="AG460" i="3"/>
  <c r="AI460" i="3"/>
  <c r="AJ460" i="3"/>
  <c r="AK460" i="3"/>
  <c r="AM460" i="3"/>
  <c r="AD461" i="3"/>
  <c r="AE461" i="3"/>
  <c r="AF461" i="3"/>
  <c r="AG461" i="3"/>
  <c r="AI461" i="3"/>
  <c r="AJ461" i="3"/>
  <c r="AK461" i="3"/>
  <c r="AM461" i="3"/>
  <c r="AD462" i="3"/>
  <c r="AE462" i="3"/>
  <c r="AF462" i="3"/>
  <c r="AG462" i="3"/>
  <c r="AI462" i="3"/>
  <c r="AJ462" i="3"/>
  <c r="AK462" i="3"/>
  <c r="AM462" i="3"/>
  <c r="AD463" i="3"/>
  <c r="AE463" i="3"/>
  <c r="AF463" i="3"/>
  <c r="AG463" i="3"/>
  <c r="AI463" i="3"/>
  <c r="AJ463" i="3"/>
  <c r="AK463" i="3"/>
  <c r="AM463" i="3"/>
  <c r="AD464" i="3"/>
  <c r="AE464" i="3"/>
  <c r="AF464" i="3"/>
  <c r="AG464" i="3"/>
  <c r="AI464" i="3"/>
  <c r="AJ464" i="3"/>
  <c r="AK464" i="3"/>
  <c r="AM464" i="3"/>
  <c r="AD465" i="3"/>
  <c r="AE465" i="3"/>
  <c r="AF465" i="3"/>
  <c r="AG465" i="3"/>
  <c r="AI465" i="3"/>
  <c r="AJ465" i="3"/>
  <c r="AK465" i="3"/>
  <c r="AM465" i="3"/>
  <c r="AD466" i="3"/>
  <c r="AE466" i="3"/>
  <c r="AF466" i="3"/>
  <c r="AG466" i="3"/>
  <c r="AI466" i="3"/>
  <c r="AJ466" i="3"/>
  <c r="AK466" i="3"/>
  <c r="AM466" i="3"/>
  <c r="AD467" i="3"/>
  <c r="AE467" i="3"/>
  <c r="AF467" i="3"/>
  <c r="AG467" i="3"/>
  <c r="AI467" i="3"/>
  <c r="AJ467" i="3"/>
  <c r="AK467" i="3"/>
  <c r="AM467" i="3"/>
  <c r="AD468" i="3"/>
  <c r="AE468" i="3"/>
  <c r="AF468" i="3"/>
  <c r="AG468" i="3"/>
  <c r="AI468" i="3"/>
  <c r="AJ468" i="3"/>
  <c r="AK468" i="3"/>
  <c r="AM468" i="3"/>
  <c r="AD469" i="3"/>
  <c r="AE469" i="3"/>
  <c r="AF469" i="3"/>
  <c r="AG469" i="3"/>
  <c r="AI469" i="3"/>
  <c r="AJ469" i="3"/>
  <c r="AK469" i="3"/>
  <c r="AM469" i="3"/>
  <c r="AD470" i="3"/>
  <c r="AE470" i="3"/>
  <c r="AF470" i="3"/>
  <c r="AG470" i="3"/>
  <c r="AI470" i="3"/>
  <c r="AJ470" i="3"/>
  <c r="AK470" i="3"/>
  <c r="AM470" i="3"/>
  <c r="AD471" i="3"/>
  <c r="AE471" i="3"/>
  <c r="AF471" i="3"/>
  <c r="AG471" i="3"/>
  <c r="AI471" i="3"/>
  <c r="AJ471" i="3"/>
  <c r="AK471" i="3"/>
  <c r="AM471" i="3"/>
  <c r="AD472" i="3"/>
  <c r="AE472" i="3"/>
  <c r="AF472" i="3"/>
  <c r="AG472" i="3"/>
  <c r="AI472" i="3"/>
  <c r="AJ472" i="3"/>
  <c r="AK472" i="3"/>
  <c r="AM472" i="3"/>
  <c r="AD473" i="3"/>
  <c r="AE473" i="3"/>
  <c r="AF473" i="3"/>
  <c r="AG473" i="3"/>
  <c r="AI473" i="3"/>
  <c r="AJ473" i="3"/>
  <c r="AK473" i="3"/>
  <c r="AM473" i="3"/>
  <c r="AD474" i="3"/>
  <c r="AE474" i="3"/>
  <c r="AF474" i="3"/>
  <c r="AG474" i="3"/>
  <c r="AI474" i="3"/>
  <c r="AJ474" i="3"/>
  <c r="AK474" i="3"/>
  <c r="AM474" i="3"/>
  <c r="AD475" i="3"/>
  <c r="AE475" i="3"/>
  <c r="AF475" i="3"/>
  <c r="AG475" i="3"/>
  <c r="AI475" i="3"/>
  <c r="AJ475" i="3"/>
  <c r="AK475" i="3"/>
  <c r="AM475" i="3"/>
  <c r="AD476" i="3"/>
  <c r="AE476" i="3"/>
  <c r="AF476" i="3"/>
  <c r="AG476" i="3"/>
  <c r="AI476" i="3"/>
  <c r="AJ476" i="3"/>
  <c r="AK476" i="3"/>
  <c r="AM476" i="3"/>
  <c r="AD477" i="3"/>
  <c r="AE477" i="3"/>
  <c r="AF477" i="3"/>
  <c r="AG477" i="3"/>
  <c r="AI477" i="3"/>
  <c r="AJ477" i="3"/>
  <c r="AK477" i="3"/>
  <c r="AM477" i="3"/>
  <c r="AD478" i="3"/>
  <c r="AE478" i="3"/>
  <c r="AF478" i="3"/>
  <c r="AG478" i="3"/>
  <c r="AI478" i="3"/>
  <c r="AJ478" i="3"/>
  <c r="AK478" i="3"/>
  <c r="AM478" i="3"/>
  <c r="AD479" i="3"/>
  <c r="AE479" i="3"/>
  <c r="AF479" i="3"/>
  <c r="AG479" i="3"/>
  <c r="AI479" i="3"/>
  <c r="AJ479" i="3"/>
  <c r="AK479" i="3"/>
  <c r="AM479" i="3"/>
  <c r="AD480" i="3"/>
  <c r="AE480" i="3"/>
  <c r="AF480" i="3"/>
  <c r="AG480" i="3"/>
  <c r="AI480" i="3"/>
  <c r="AJ480" i="3"/>
  <c r="AK480" i="3"/>
  <c r="AM480" i="3"/>
  <c r="AD481" i="3"/>
  <c r="AE481" i="3"/>
  <c r="AF481" i="3"/>
  <c r="AG481" i="3"/>
  <c r="AI481" i="3"/>
  <c r="AJ481" i="3"/>
  <c r="AK481" i="3"/>
  <c r="AM481" i="3"/>
  <c r="AD482" i="3"/>
  <c r="AE482" i="3"/>
  <c r="AF482" i="3"/>
  <c r="AG482" i="3"/>
  <c r="AI482" i="3"/>
  <c r="AJ482" i="3"/>
  <c r="AK482" i="3"/>
  <c r="AM482" i="3"/>
  <c r="AD483" i="3"/>
  <c r="AE483" i="3"/>
  <c r="AF483" i="3"/>
  <c r="AG483" i="3"/>
  <c r="AI483" i="3"/>
  <c r="AJ483" i="3"/>
  <c r="AK483" i="3"/>
  <c r="AM483" i="3"/>
  <c r="AD484" i="3"/>
  <c r="AE484" i="3"/>
  <c r="AF484" i="3"/>
  <c r="AG484" i="3"/>
  <c r="AI484" i="3"/>
  <c r="AJ484" i="3"/>
  <c r="AK484" i="3"/>
  <c r="AM484" i="3"/>
  <c r="AD485" i="3"/>
  <c r="AE485" i="3"/>
  <c r="AF485" i="3"/>
  <c r="AG485" i="3"/>
  <c r="AI485" i="3"/>
  <c r="AJ485" i="3"/>
  <c r="AK485" i="3"/>
  <c r="AM485" i="3"/>
  <c r="AD486" i="3"/>
  <c r="AE486" i="3"/>
  <c r="AF486" i="3"/>
  <c r="AG486" i="3"/>
  <c r="AI486" i="3"/>
  <c r="AJ486" i="3"/>
  <c r="AK486" i="3"/>
  <c r="AM486" i="3"/>
  <c r="AD487" i="3"/>
  <c r="AE487" i="3"/>
  <c r="AF487" i="3"/>
  <c r="AG487" i="3"/>
  <c r="AI487" i="3"/>
  <c r="AJ487" i="3"/>
  <c r="AK487" i="3"/>
  <c r="AM487" i="3"/>
  <c r="AD488" i="3"/>
  <c r="AE488" i="3"/>
  <c r="AF488" i="3"/>
  <c r="AG488" i="3"/>
  <c r="AI488" i="3"/>
  <c r="AJ488" i="3"/>
  <c r="AK488" i="3"/>
  <c r="AM488" i="3"/>
  <c r="AD489" i="3"/>
  <c r="AE489" i="3"/>
  <c r="AF489" i="3"/>
  <c r="AG489" i="3"/>
  <c r="AI489" i="3"/>
  <c r="AJ489" i="3"/>
  <c r="AK489" i="3"/>
  <c r="AM489" i="3"/>
  <c r="AD490" i="3"/>
  <c r="AE490" i="3"/>
  <c r="AF490" i="3"/>
  <c r="AG490" i="3"/>
  <c r="AI490" i="3"/>
  <c r="AJ490" i="3"/>
  <c r="AK490" i="3"/>
  <c r="AM490" i="3"/>
  <c r="AD491" i="3"/>
  <c r="AE491" i="3"/>
  <c r="AF491" i="3"/>
  <c r="AG491" i="3"/>
  <c r="AI491" i="3"/>
  <c r="AJ491" i="3"/>
  <c r="AK491" i="3"/>
  <c r="AM491" i="3"/>
  <c r="AD492" i="3"/>
  <c r="AE492" i="3"/>
  <c r="AF492" i="3"/>
  <c r="AG492" i="3"/>
  <c r="AI492" i="3"/>
  <c r="AJ492" i="3"/>
  <c r="AK492" i="3"/>
  <c r="AM492" i="3"/>
  <c r="AD493" i="3"/>
  <c r="AE493" i="3"/>
  <c r="AF493" i="3"/>
  <c r="AG493" i="3"/>
  <c r="AI493" i="3"/>
  <c r="AJ493" i="3"/>
  <c r="AK493" i="3"/>
  <c r="AM493" i="3"/>
  <c r="AD494" i="3"/>
  <c r="AE494" i="3"/>
  <c r="AF494" i="3"/>
  <c r="AG494" i="3"/>
  <c r="AI494" i="3"/>
  <c r="AJ494" i="3"/>
  <c r="AK494" i="3"/>
  <c r="AM494" i="3"/>
  <c r="AD495" i="3"/>
  <c r="AE495" i="3"/>
  <c r="AF495" i="3"/>
  <c r="AG495" i="3"/>
  <c r="AI495" i="3"/>
  <c r="AJ495" i="3"/>
  <c r="AK495" i="3"/>
  <c r="AM495" i="3"/>
  <c r="AD496" i="3"/>
  <c r="AE496" i="3"/>
  <c r="AF496" i="3"/>
  <c r="AG496" i="3"/>
  <c r="AI496" i="3"/>
  <c r="AJ496" i="3"/>
  <c r="AK496" i="3"/>
  <c r="AM496" i="3"/>
  <c r="AD497" i="3"/>
  <c r="AE497" i="3"/>
  <c r="AF497" i="3"/>
  <c r="AG497" i="3"/>
  <c r="AI497" i="3"/>
  <c r="AJ497" i="3"/>
  <c r="AK497" i="3"/>
  <c r="AM497" i="3"/>
  <c r="AD498" i="3"/>
  <c r="AE498" i="3"/>
  <c r="AF498" i="3"/>
  <c r="AG498" i="3"/>
  <c r="AI498" i="3"/>
  <c r="AJ498" i="3"/>
  <c r="AK498" i="3"/>
  <c r="AM498" i="3"/>
  <c r="AD499" i="3"/>
  <c r="AE499" i="3"/>
  <c r="AF499" i="3"/>
  <c r="AG499" i="3"/>
  <c r="AI499" i="3"/>
  <c r="AJ499" i="3"/>
  <c r="AK499" i="3"/>
  <c r="AM499" i="3"/>
  <c r="AD500" i="3"/>
  <c r="AE500" i="3"/>
  <c r="AF500" i="3"/>
  <c r="AG500" i="3"/>
  <c r="AI500" i="3"/>
  <c r="AJ500" i="3"/>
  <c r="AK500" i="3"/>
  <c r="AM500" i="3"/>
  <c r="AD501" i="3"/>
  <c r="AE501" i="3"/>
  <c r="AF501" i="3"/>
  <c r="AG501" i="3"/>
  <c r="AI501" i="3"/>
  <c r="AJ501" i="3"/>
  <c r="AK501" i="3"/>
  <c r="AM501" i="3"/>
  <c r="AD502" i="3"/>
  <c r="AE502" i="3"/>
  <c r="AF502" i="3"/>
  <c r="AG502" i="3"/>
  <c r="AI502" i="3"/>
  <c r="AJ502" i="3"/>
  <c r="AK502" i="3"/>
  <c r="AM502" i="3"/>
  <c r="AD503" i="3"/>
  <c r="AE503" i="3"/>
  <c r="AF503" i="3"/>
  <c r="AG503" i="3"/>
  <c r="AI503" i="3"/>
  <c r="AJ503" i="3"/>
  <c r="AK503" i="3"/>
  <c r="AM503" i="3"/>
  <c r="AD504" i="3"/>
  <c r="AE504" i="3"/>
  <c r="AF504" i="3"/>
  <c r="AG504" i="3"/>
  <c r="AI504" i="3"/>
  <c r="AJ504" i="3"/>
  <c r="AK504" i="3"/>
  <c r="AM504" i="3"/>
  <c r="AD505" i="3"/>
  <c r="AE505" i="3"/>
  <c r="AF505" i="3"/>
  <c r="AG505" i="3"/>
  <c r="AI505" i="3"/>
  <c r="AJ505" i="3"/>
  <c r="AK505" i="3"/>
  <c r="AM505" i="3"/>
  <c r="AD506" i="3"/>
  <c r="AE506" i="3"/>
  <c r="AF506" i="3"/>
  <c r="AG506" i="3"/>
  <c r="AI506" i="3"/>
  <c r="AJ506" i="3"/>
  <c r="AK506" i="3"/>
  <c r="AM506" i="3"/>
  <c r="AD507" i="3"/>
  <c r="AE507" i="3"/>
  <c r="AF507" i="3"/>
  <c r="AG507" i="3"/>
  <c r="AI507" i="3"/>
  <c r="AJ507" i="3"/>
  <c r="AK507" i="3"/>
  <c r="AM507" i="3"/>
  <c r="AD508" i="3"/>
  <c r="AE508" i="3"/>
  <c r="AF508" i="3"/>
  <c r="AG508" i="3"/>
  <c r="AI508" i="3"/>
  <c r="AJ508" i="3"/>
  <c r="AK508" i="3"/>
  <c r="AM508" i="3"/>
  <c r="AD509" i="3"/>
  <c r="AE509" i="3"/>
  <c r="AF509" i="3"/>
  <c r="AG509" i="3"/>
  <c r="AI509" i="3"/>
  <c r="AJ509" i="3"/>
  <c r="AK509" i="3"/>
  <c r="AM509" i="3"/>
  <c r="AD510" i="3"/>
  <c r="AE510" i="3"/>
  <c r="AF510" i="3"/>
  <c r="AG510" i="3"/>
  <c r="AI510" i="3"/>
  <c r="AJ510" i="3"/>
  <c r="AK510" i="3"/>
  <c r="AM510" i="3"/>
  <c r="AD511" i="3"/>
  <c r="AE511" i="3"/>
  <c r="AF511" i="3"/>
  <c r="AG511" i="3"/>
  <c r="AI511" i="3"/>
  <c r="AJ511" i="3"/>
  <c r="AK511" i="3"/>
  <c r="AM511" i="3"/>
  <c r="AD512" i="3"/>
  <c r="AE512" i="3"/>
  <c r="AF512" i="3"/>
  <c r="AG512" i="3"/>
  <c r="AI512" i="3"/>
  <c r="AJ512" i="3"/>
  <c r="AK512" i="3"/>
  <c r="AM512" i="3"/>
  <c r="AD513" i="3"/>
  <c r="AE513" i="3"/>
  <c r="AF513" i="3"/>
  <c r="AG513" i="3"/>
  <c r="AI513" i="3"/>
  <c r="AJ513" i="3"/>
  <c r="AK513" i="3"/>
  <c r="AM513" i="3"/>
  <c r="AD514" i="3"/>
  <c r="AE514" i="3"/>
  <c r="AF514" i="3"/>
  <c r="AG514" i="3"/>
  <c r="AI514" i="3"/>
  <c r="AJ514" i="3"/>
  <c r="AK514" i="3"/>
  <c r="AM514" i="3"/>
  <c r="AD515" i="3"/>
  <c r="AE515" i="3"/>
  <c r="AF515" i="3"/>
  <c r="AG515" i="3"/>
  <c r="AI515" i="3"/>
  <c r="AJ515" i="3"/>
  <c r="AK515" i="3"/>
  <c r="AM515" i="3"/>
  <c r="AD516" i="3"/>
  <c r="AE516" i="3"/>
  <c r="AF516" i="3"/>
  <c r="AG516" i="3"/>
  <c r="AI516" i="3"/>
  <c r="AJ516" i="3"/>
  <c r="AK516" i="3"/>
  <c r="AM516" i="3"/>
  <c r="AD517" i="3"/>
  <c r="AE517" i="3"/>
  <c r="AF517" i="3"/>
  <c r="AG517" i="3"/>
  <c r="AI517" i="3"/>
  <c r="AJ517" i="3"/>
  <c r="AK517" i="3"/>
  <c r="AM517" i="3"/>
  <c r="AD518" i="3"/>
  <c r="AE518" i="3"/>
  <c r="AF518" i="3"/>
  <c r="AG518" i="3"/>
  <c r="AI518" i="3"/>
  <c r="AJ518" i="3"/>
  <c r="AK518" i="3"/>
  <c r="AM518" i="3"/>
  <c r="AD519" i="3"/>
  <c r="AE519" i="3"/>
  <c r="AF519" i="3"/>
  <c r="AG519" i="3"/>
  <c r="AI519" i="3"/>
  <c r="AJ519" i="3"/>
  <c r="AK519" i="3"/>
  <c r="AM519" i="3"/>
  <c r="AD520" i="3"/>
  <c r="AE520" i="3"/>
  <c r="AF520" i="3"/>
  <c r="AG520" i="3"/>
  <c r="AI520" i="3"/>
  <c r="AJ520" i="3"/>
  <c r="AK520" i="3"/>
  <c r="AM520" i="3"/>
  <c r="AD521" i="3"/>
  <c r="AE521" i="3"/>
  <c r="AF521" i="3"/>
  <c r="AG521" i="3"/>
  <c r="AI521" i="3"/>
  <c r="AJ521" i="3"/>
  <c r="AK521" i="3"/>
  <c r="AM521" i="3"/>
  <c r="AD522" i="3"/>
  <c r="AE522" i="3"/>
  <c r="AF522" i="3"/>
  <c r="AG522" i="3"/>
  <c r="AI522" i="3"/>
  <c r="AJ522" i="3"/>
  <c r="AK522" i="3"/>
  <c r="AM522" i="3"/>
  <c r="AD523" i="3"/>
  <c r="AE523" i="3"/>
  <c r="AF523" i="3"/>
  <c r="AG523" i="3"/>
  <c r="AI523" i="3"/>
  <c r="AJ523" i="3"/>
  <c r="AK523" i="3"/>
  <c r="AM523" i="3"/>
  <c r="AD524" i="3"/>
  <c r="AE524" i="3"/>
  <c r="AF524" i="3"/>
  <c r="AG524" i="3"/>
  <c r="AI524" i="3"/>
  <c r="AJ524" i="3"/>
  <c r="AK524" i="3"/>
  <c r="AM524" i="3"/>
  <c r="AD525" i="3"/>
  <c r="AE525" i="3"/>
  <c r="AF525" i="3"/>
  <c r="AG525" i="3"/>
  <c r="AI525" i="3"/>
  <c r="AJ525" i="3"/>
  <c r="AK525" i="3"/>
  <c r="AM525" i="3"/>
  <c r="AD526" i="3"/>
  <c r="AE526" i="3"/>
  <c r="AF526" i="3"/>
  <c r="AG526" i="3"/>
  <c r="AI526" i="3"/>
  <c r="AJ526" i="3"/>
  <c r="AK526" i="3"/>
  <c r="AM526" i="3"/>
  <c r="AD527" i="3"/>
  <c r="AE527" i="3"/>
  <c r="AF527" i="3"/>
  <c r="AG527" i="3"/>
  <c r="AI527" i="3"/>
  <c r="AJ527" i="3"/>
  <c r="AK527" i="3"/>
  <c r="AM527" i="3"/>
  <c r="AD528" i="3"/>
  <c r="AE528" i="3"/>
  <c r="AF528" i="3"/>
  <c r="AG528" i="3"/>
  <c r="AI528" i="3"/>
  <c r="AJ528" i="3"/>
  <c r="AK528" i="3"/>
  <c r="AM528" i="3"/>
  <c r="AD529" i="3"/>
  <c r="AE529" i="3"/>
  <c r="AF529" i="3"/>
  <c r="AG529" i="3"/>
  <c r="AI529" i="3"/>
  <c r="AJ529" i="3"/>
  <c r="AK529" i="3"/>
  <c r="AM529" i="3"/>
  <c r="AD530" i="3"/>
  <c r="AE530" i="3"/>
  <c r="AF530" i="3"/>
  <c r="AG530" i="3"/>
  <c r="AI530" i="3"/>
  <c r="AJ530" i="3"/>
  <c r="AK530" i="3"/>
  <c r="AM530" i="3"/>
  <c r="AD531" i="3"/>
  <c r="AE531" i="3"/>
  <c r="AF531" i="3"/>
  <c r="AG531" i="3"/>
  <c r="AI531" i="3"/>
  <c r="AJ531" i="3"/>
  <c r="AK531" i="3"/>
  <c r="AM531" i="3"/>
  <c r="AD532" i="3"/>
  <c r="AE532" i="3"/>
  <c r="AF532" i="3"/>
  <c r="AG532" i="3"/>
  <c r="AI532" i="3"/>
  <c r="AJ532" i="3"/>
  <c r="AK532" i="3"/>
  <c r="AM532" i="3"/>
  <c r="AD533" i="3"/>
  <c r="AE533" i="3"/>
  <c r="AF533" i="3"/>
  <c r="AG533" i="3"/>
  <c r="AI533" i="3"/>
  <c r="AJ533" i="3"/>
  <c r="AK533" i="3"/>
  <c r="AM533" i="3"/>
  <c r="AD534" i="3"/>
  <c r="AE534" i="3"/>
  <c r="AF534" i="3"/>
  <c r="AG534" i="3"/>
  <c r="AI534" i="3"/>
  <c r="AJ534" i="3"/>
  <c r="AK534" i="3"/>
  <c r="AM534" i="3"/>
  <c r="AD535" i="3"/>
  <c r="AE535" i="3"/>
  <c r="AF535" i="3"/>
  <c r="AG535" i="3"/>
  <c r="AI535" i="3"/>
  <c r="AJ535" i="3"/>
  <c r="AK535" i="3"/>
  <c r="AM535" i="3"/>
  <c r="AD536" i="3"/>
  <c r="AE536" i="3"/>
  <c r="AF536" i="3"/>
  <c r="AG536" i="3"/>
  <c r="AI536" i="3"/>
  <c r="AJ536" i="3"/>
  <c r="AK536" i="3"/>
  <c r="AM536" i="3"/>
  <c r="AD537" i="3"/>
  <c r="AE537" i="3"/>
  <c r="AF537" i="3"/>
  <c r="AG537" i="3"/>
  <c r="AI537" i="3"/>
  <c r="AJ537" i="3"/>
  <c r="AK537" i="3"/>
  <c r="AM537" i="3"/>
  <c r="AD538" i="3"/>
  <c r="AE538" i="3"/>
  <c r="AF538" i="3"/>
  <c r="AG538" i="3"/>
  <c r="AI538" i="3"/>
  <c r="AJ538" i="3"/>
  <c r="AK538" i="3"/>
  <c r="AM538" i="3"/>
  <c r="AD539" i="3"/>
  <c r="AE539" i="3"/>
  <c r="AF539" i="3"/>
  <c r="AG539" i="3"/>
  <c r="AI539" i="3"/>
  <c r="AJ539" i="3"/>
  <c r="AK539" i="3"/>
  <c r="AM539" i="3"/>
  <c r="AD540" i="3"/>
  <c r="AE540" i="3"/>
  <c r="AF540" i="3"/>
  <c r="AG540" i="3"/>
  <c r="AI540" i="3"/>
  <c r="AJ540" i="3"/>
  <c r="AK540" i="3"/>
  <c r="AM540" i="3"/>
  <c r="AD541" i="3"/>
  <c r="AE541" i="3"/>
  <c r="AF541" i="3"/>
  <c r="AG541" i="3"/>
  <c r="AI541" i="3"/>
  <c r="AJ541" i="3"/>
  <c r="AK541" i="3"/>
  <c r="AM541" i="3"/>
  <c r="AD542" i="3"/>
  <c r="AE542" i="3"/>
  <c r="AF542" i="3"/>
  <c r="AG542" i="3"/>
  <c r="AI542" i="3"/>
  <c r="AJ542" i="3"/>
  <c r="AK542" i="3"/>
  <c r="AM542" i="3"/>
  <c r="AD543" i="3"/>
  <c r="AE543" i="3"/>
  <c r="AF543" i="3"/>
  <c r="AG543" i="3"/>
  <c r="AI543" i="3"/>
  <c r="AJ543" i="3"/>
  <c r="AK543" i="3"/>
  <c r="AM543" i="3"/>
  <c r="AD544" i="3"/>
  <c r="AE544" i="3"/>
  <c r="AF544" i="3"/>
  <c r="AG544" i="3"/>
  <c r="AI544" i="3"/>
  <c r="AJ544" i="3"/>
  <c r="AK544" i="3"/>
  <c r="AM544" i="3"/>
  <c r="AD545" i="3"/>
  <c r="AE545" i="3"/>
  <c r="AF545" i="3"/>
  <c r="AG545" i="3"/>
  <c r="AI545" i="3"/>
  <c r="AJ545" i="3"/>
  <c r="AK545" i="3"/>
  <c r="AM545" i="3"/>
  <c r="AD546" i="3"/>
  <c r="AE546" i="3"/>
  <c r="AF546" i="3"/>
  <c r="AG546" i="3"/>
  <c r="AI546" i="3"/>
  <c r="AJ546" i="3"/>
  <c r="AK546" i="3"/>
  <c r="AM546" i="3"/>
  <c r="AD547" i="3"/>
  <c r="AE547" i="3"/>
  <c r="AF547" i="3"/>
  <c r="AG547" i="3"/>
  <c r="AI547" i="3"/>
  <c r="AJ547" i="3"/>
  <c r="AK547" i="3"/>
  <c r="AM547" i="3"/>
  <c r="AD548" i="3"/>
  <c r="AE548" i="3"/>
  <c r="AF548" i="3"/>
  <c r="AG548" i="3"/>
  <c r="AI548" i="3"/>
  <c r="AJ548" i="3"/>
  <c r="AK548" i="3"/>
  <c r="AM548" i="3"/>
  <c r="AD549" i="3"/>
  <c r="AE549" i="3"/>
  <c r="AF549" i="3"/>
  <c r="AG549" i="3"/>
  <c r="AI549" i="3"/>
  <c r="AJ549" i="3"/>
  <c r="AK549" i="3"/>
  <c r="AM549" i="3"/>
  <c r="AD550" i="3"/>
  <c r="AE550" i="3"/>
  <c r="AF550" i="3"/>
  <c r="AG550" i="3"/>
  <c r="AI550" i="3"/>
  <c r="AJ550" i="3"/>
  <c r="AK550" i="3"/>
  <c r="AM550" i="3"/>
  <c r="AD551" i="3"/>
  <c r="AE551" i="3"/>
  <c r="AF551" i="3"/>
  <c r="AG551" i="3"/>
  <c r="AI551" i="3"/>
  <c r="AJ551" i="3"/>
  <c r="AK551" i="3"/>
  <c r="AM551" i="3"/>
  <c r="AD552" i="3"/>
  <c r="AE552" i="3"/>
  <c r="AF552" i="3"/>
  <c r="AG552" i="3"/>
  <c r="AI552" i="3"/>
  <c r="AJ552" i="3"/>
  <c r="AK552" i="3"/>
  <c r="AM552" i="3"/>
  <c r="AD553" i="3"/>
  <c r="AE553" i="3"/>
  <c r="AF553" i="3"/>
  <c r="AG553" i="3"/>
  <c r="AI553" i="3"/>
  <c r="AJ553" i="3"/>
  <c r="AK553" i="3"/>
  <c r="AM553" i="3"/>
  <c r="AD554" i="3"/>
  <c r="AE554" i="3"/>
  <c r="AF554" i="3"/>
  <c r="AG554" i="3"/>
  <c r="AI554" i="3"/>
  <c r="AJ554" i="3"/>
  <c r="AK554" i="3"/>
  <c r="AM554" i="3"/>
  <c r="AD555" i="3"/>
  <c r="AE555" i="3"/>
  <c r="AF555" i="3"/>
  <c r="AG555" i="3"/>
  <c r="AI555" i="3"/>
  <c r="AJ555" i="3"/>
  <c r="AK555" i="3"/>
  <c r="AM555" i="3"/>
  <c r="AD556" i="3"/>
  <c r="AE556" i="3"/>
  <c r="AF556" i="3"/>
  <c r="AG556" i="3"/>
  <c r="AI556" i="3"/>
  <c r="AJ556" i="3"/>
  <c r="AK556" i="3"/>
  <c r="AM556" i="3"/>
  <c r="AD557" i="3"/>
  <c r="AE557" i="3"/>
  <c r="AF557" i="3"/>
  <c r="AG557" i="3"/>
  <c r="AI557" i="3"/>
  <c r="AJ557" i="3"/>
  <c r="AK557" i="3"/>
  <c r="AM557" i="3"/>
  <c r="AD558" i="3"/>
  <c r="AE558" i="3"/>
  <c r="AF558" i="3"/>
  <c r="AG558" i="3"/>
  <c r="AI558" i="3"/>
  <c r="AJ558" i="3"/>
  <c r="AK558" i="3"/>
  <c r="AM558" i="3"/>
  <c r="AD559" i="3"/>
  <c r="AE559" i="3"/>
  <c r="AF559" i="3"/>
  <c r="AG559" i="3"/>
  <c r="AI559" i="3"/>
  <c r="AJ559" i="3"/>
  <c r="AK559" i="3"/>
  <c r="AM559" i="3"/>
  <c r="AD560" i="3"/>
  <c r="AE560" i="3"/>
  <c r="AF560" i="3"/>
  <c r="AG560" i="3"/>
  <c r="AI560" i="3"/>
  <c r="AJ560" i="3"/>
  <c r="AK560" i="3"/>
  <c r="AM560" i="3"/>
  <c r="AD561" i="3"/>
  <c r="AE561" i="3"/>
  <c r="AF561" i="3"/>
  <c r="AG561" i="3"/>
  <c r="AI561" i="3"/>
  <c r="AJ561" i="3"/>
  <c r="AK561" i="3"/>
  <c r="AM561" i="3"/>
  <c r="AD562" i="3"/>
  <c r="AE562" i="3"/>
  <c r="AF562" i="3"/>
  <c r="AG562" i="3"/>
  <c r="AI562" i="3"/>
  <c r="AJ562" i="3"/>
  <c r="AK562" i="3"/>
  <c r="AM562" i="3"/>
  <c r="AD563" i="3"/>
  <c r="AE563" i="3"/>
  <c r="AF563" i="3"/>
  <c r="AG563" i="3"/>
  <c r="AI563" i="3"/>
  <c r="AJ563" i="3"/>
  <c r="AK563" i="3"/>
  <c r="AM563" i="3"/>
  <c r="AD564" i="3"/>
  <c r="AE564" i="3"/>
  <c r="AF564" i="3"/>
  <c r="AG564" i="3"/>
  <c r="AI564" i="3"/>
  <c r="AJ564" i="3"/>
  <c r="AK564" i="3"/>
  <c r="AM564" i="3"/>
  <c r="AD565" i="3"/>
  <c r="AE565" i="3"/>
  <c r="AF565" i="3"/>
  <c r="AG565" i="3"/>
  <c r="AI565" i="3"/>
  <c r="AJ565" i="3"/>
  <c r="AK565" i="3"/>
  <c r="AM565" i="3"/>
  <c r="AD566" i="3"/>
  <c r="AE566" i="3"/>
  <c r="AF566" i="3"/>
  <c r="AG566" i="3"/>
  <c r="AI566" i="3"/>
  <c r="AJ566" i="3"/>
  <c r="AK566" i="3"/>
  <c r="AM566" i="3"/>
  <c r="AD567" i="3"/>
  <c r="AE567" i="3"/>
  <c r="AF567" i="3"/>
  <c r="AG567" i="3"/>
  <c r="AI567" i="3"/>
  <c r="AJ567" i="3"/>
  <c r="AK567" i="3"/>
  <c r="AM567" i="3"/>
  <c r="AD568" i="3"/>
  <c r="AE568" i="3"/>
  <c r="AF568" i="3"/>
  <c r="AG568" i="3"/>
  <c r="AI568" i="3"/>
  <c r="AJ568" i="3"/>
  <c r="AK568" i="3"/>
  <c r="AM568" i="3"/>
  <c r="AD569" i="3"/>
  <c r="AE569" i="3"/>
  <c r="AF569" i="3"/>
  <c r="AG569" i="3"/>
  <c r="AI569" i="3"/>
  <c r="AJ569" i="3"/>
  <c r="AK569" i="3"/>
  <c r="AM569" i="3"/>
  <c r="AD570" i="3"/>
  <c r="AE570" i="3"/>
  <c r="AF570" i="3"/>
  <c r="AG570" i="3"/>
  <c r="AI570" i="3"/>
  <c r="AJ570" i="3"/>
  <c r="AK570" i="3"/>
  <c r="AM570" i="3"/>
  <c r="AD571" i="3"/>
  <c r="AE571" i="3"/>
  <c r="AF571" i="3"/>
  <c r="AG571" i="3"/>
  <c r="AI571" i="3"/>
  <c r="AJ571" i="3"/>
  <c r="AK571" i="3"/>
  <c r="AM571" i="3"/>
  <c r="AD572" i="3"/>
  <c r="AE572" i="3"/>
  <c r="AF572" i="3"/>
  <c r="AG572" i="3"/>
  <c r="AI572" i="3"/>
  <c r="AJ572" i="3"/>
  <c r="AK572" i="3"/>
  <c r="AM572" i="3"/>
  <c r="AD573" i="3"/>
  <c r="AE573" i="3"/>
  <c r="AF573" i="3"/>
  <c r="AG573" i="3"/>
  <c r="AI573" i="3"/>
  <c r="AJ573" i="3"/>
  <c r="AK573" i="3"/>
  <c r="AM573" i="3"/>
  <c r="AD574" i="3"/>
  <c r="AE574" i="3"/>
  <c r="AF574" i="3"/>
  <c r="AG574" i="3"/>
  <c r="AI574" i="3"/>
  <c r="AJ574" i="3"/>
  <c r="AK574" i="3"/>
  <c r="AM574" i="3"/>
  <c r="AD575" i="3"/>
  <c r="AE575" i="3"/>
  <c r="AF575" i="3"/>
  <c r="AG575" i="3"/>
  <c r="AI575" i="3"/>
  <c r="AJ575" i="3"/>
  <c r="AK575" i="3"/>
  <c r="AM575" i="3"/>
  <c r="AD576" i="3"/>
  <c r="AE576" i="3"/>
  <c r="AF576" i="3"/>
  <c r="AG576" i="3"/>
  <c r="AI576" i="3"/>
  <c r="AJ576" i="3"/>
  <c r="AK576" i="3"/>
  <c r="AM576" i="3"/>
  <c r="AD577" i="3"/>
  <c r="AE577" i="3"/>
  <c r="AF577" i="3"/>
  <c r="AG577" i="3"/>
  <c r="AI577" i="3"/>
  <c r="AJ577" i="3"/>
  <c r="AK577" i="3"/>
  <c r="AM577" i="3"/>
  <c r="AD578" i="3"/>
  <c r="AE578" i="3"/>
  <c r="AF578" i="3"/>
  <c r="AG578" i="3"/>
  <c r="AI578" i="3"/>
  <c r="AJ578" i="3"/>
  <c r="AK578" i="3"/>
  <c r="AM578" i="3"/>
  <c r="AD579" i="3"/>
  <c r="AE579" i="3"/>
  <c r="AF579" i="3"/>
  <c r="AG579" i="3"/>
  <c r="AI579" i="3"/>
  <c r="AJ579" i="3"/>
  <c r="AK579" i="3"/>
  <c r="AM579" i="3"/>
  <c r="AD580" i="3"/>
  <c r="AE580" i="3"/>
  <c r="AF580" i="3"/>
  <c r="AG580" i="3"/>
  <c r="AI580" i="3"/>
  <c r="AJ580" i="3"/>
  <c r="AK580" i="3"/>
  <c r="AM580" i="3"/>
  <c r="AD581" i="3"/>
  <c r="AE581" i="3"/>
  <c r="AF581" i="3"/>
  <c r="AG581" i="3"/>
  <c r="AI581" i="3"/>
  <c r="AJ581" i="3"/>
  <c r="AK581" i="3"/>
  <c r="AM581" i="3"/>
  <c r="AD582" i="3"/>
  <c r="AE582" i="3"/>
  <c r="AF582" i="3"/>
  <c r="AG582" i="3"/>
  <c r="AI582" i="3"/>
  <c r="AJ582" i="3"/>
  <c r="AK582" i="3"/>
  <c r="AM582" i="3"/>
  <c r="AD583" i="3"/>
  <c r="AE583" i="3"/>
  <c r="AF583" i="3"/>
  <c r="AG583" i="3"/>
  <c r="AI583" i="3"/>
  <c r="AJ583" i="3"/>
  <c r="AK583" i="3"/>
  <c r="AM583" i="3"/>
  <c r="AD584" i="3"/>
  <c r="AE584" i="3"/>
  <c r="AF584" i="3"/>
  <c r="AG584" i="3"/>
  <c r="AI584" i="3"/>
  <c r="AJ584" i="3"/>
  <c r="AK584" i="3"/>
  <c r="AM584" i="3"/>
  <c r="AD585" i="3"/>
  <c r="AE585" i="3"/>
  <c r="AF585" i="3"/>
  <c r="AG585" i="3"/>
  <c r="AI585" i="3"/>
  <c r="AJ585" i="3"/>
  <c r="AK585" i="3"/>
  <c r="AM585" i="3"/>
  <c r="AD586" i="3"/>
  <c r="AE586" i="3"/>
  <c r="AF586" i="3"/>
  <c r="AG586" i="3"/>
  <c r="AI586" i="3"/>
  <c r="AJ586" i="3"/>
  <c r="AK586" i="3"/>
  <c r="AM586" i="3"/>
  <c r="AD587" i="3"/>
  <c r="AE587" i="3"/>
  <c r="AF587" i="3"/>
  <c r="AG587" i="3"/>
  <c r="AI587" i="3"/>
  <c r="AJ587" i="3"/>
  <c r="AK587" i="3"/>
  <c r="AM587" i="3"/>
  <c r="AD588" i="3"/>
  <c r="AE588" i="3"/>
  <c r="AF588" i="3"/>
  <c r="AG588" i="3"/>
  <c r="AI588" i="3"/>
  <c r="AJ588" i="3"/>
  <c r="AK588" i="3"/>
  <c r="AM588" i="3"/>
  <c r="AD589" i="3"/>
  <c r="AE589" i="3"/>
  <c r="AF589" i="3"/>
  <c r="AG589" i="3"/>
  <c r="AI589" i="3"/>
  <c r="AJ589" i="3"/>
  <c r="AK589" i="3"/>
  <c r="AM589" i="3"/>
  <c r="AD590" i="3"/>
  <c r="AE590" i="3"/>
  <c r="AF590" i="3"/>
  <c r="AG590" i="3"/>
  <c r="AI590" i="3"/>
  <c r="AJ590" i="3"/>
  <c r="AK590" i="3"/>
  <c r="AM590" i="3"/>
  <c r="AD591" i="3"/>
  <c r="AE591" i="3"/>
  <c r="AF591" i="3"/>
  <c r="AG591" i="3"/>
  <c r="AI591" i="3"/>
  <c r="AJ591" i="3"/>
  <c r="AK591" i="3"/>
  <c r="AM591" i="3"/>
  <c r="AD592" i="3"/>
  <c r="AE592" i="3"/>
  <c r="AF592" i="3"/>
  <c r="AG592" i="3"/>
  <c r="AI592" i="3"/>
  <c r="AJ592" i="3"/>
  <c r="AK592" i="3"/>
  <c r="AM592" i="3"/>
  <c r="AD593" i="3"/>
  <c r="AE593" i="3"/>
  <c r="AF593" i="3"/>
  <c r="AG593" i="3"/>
  <c r="AI593" i="3"/>
  <c r="AJ593" i="3"/>
  <c r="AK593" i="3"/>
  <c r="AM593" i="3"/>
  <c r="AD594" i="3"/>
  <c r="AE594" i="3"/>
  <c r="AF594" i="3"/>
  <c r="AG594" i="3"/>
  <c r="AI594" i="3"/>
  <c r="AJ594" i="3"/>
  <c r="AK594" i="3"/>
  <c r="AM594" i="3"/>
  <c r="AD595" i="3"/>
  <c r="AE595" i="3"/>
  <c r="AF595" i="3"/>
  <c r="AG595" i="3"/>
  <c r="AI595" i="3"/>
  <c r="AJ595" i="3"/>
  <c r="AK595" i="3"/>
  <c r="AM595" i="3"/>
  <c r="AD596" i="3"/>
  <c r="AE596" i="3"/>
  <c r="AF596" i="3"/>
  <c r="AG596" i="3"/>
  <c r="AI596" i="3"/>
  <c r="AJ596" i="3"/>
  <c r="AK596" i="3"/>
  <c r="AM596" i="3"/>
  <c r="AD597" i="3"/>
  <c r="AE597" i="3"/>
  <c r="AF597" i="3"/>
  <c r="AG597" i="3"/>
  <c r="AI597" i="3"/>
  <c r="AJ597" i="3"/>
  <c r="AK597" i="3"/>
  <c r="AM597" i="3"/>
  <c r="AD598" i="3"/>
  <c r="AE598" i="3"/>
  <c r="AF598" i="3"/>
  <c r="AG598" i="3"/>
  <c r="AI598" i="3"/>
  <c r="AJ598" i="3"/>
  <c r="AK598" i="3"/>
  <c r="AM598" i="3"/>
  <c r="AD599" i="3"/>
  <c r="AE599" i="3"/>
  <c r="AF599" i="3"/>
  <c r="AG599" i="3"/>
  <c r="AI599" i="3"/>
  <c r="AJ599" i="3"/>
  <c r="AK599" i="3"/>
  <c r="AM599" i="3"/>
  <c r="AD600" i="3"/>
  <c r="AE600" i="3"/>
  <c r="AF600" i="3"/>
  <c r="AG600" i="3"/>
  <c r="AI600" i="3"/>
  <c r="AJ600" i="3"/>
  <c r="AK600" i="3"/>
  <c r="AM600" i="3"/>
  <c r="AD601" i="3"/>
  <c r="AE601" i="3"/>
  <c r="AF601" i="3"/>
  <c r="AG601" i="3"/>
  <c r="AI601" i="3"/>
  <c r="AJ601" i="3"/>
  <c r="AK601" i="3"/>
  <c r="AM601" i="3"/>
  <c r="AD602" i="3"/>
  <c r="AE602" i="3"/>
  <c r="AF602" i="3"/>
  <c r="AG602" i="3"/>
  <c r="AI602" i="3"/>
  <c r="AJ602" i="3"/>
  <c r="AK602" i="3"/>
  <c r="AM602" i="3"/>
  <c r="AD603" i="3"/>
  <c r="AE603" i="3"/>
  <c r="AF603" i="3"/>
  <c r="AG603" i="3"/>
  <c r="AI603" i="3"/>
  <c r="AJ603" i="3"/>
  <c r="AK603" i="3"/>
  <c r="AM603" i="3"/>
  <c r="AD604" i="3"/>
  <c r="AE604" i="3"/>
  <c r="AF604" i="3"/>
  <c r="AG604" i="3"/>
  <c r="AI604" i="3"/>
  <c r="AJ604" i="3"/>
  <c r="AK604" i="3"/>
  <c r="AM604" i="3"/>
  <c r="AD605" i="3"/>
  <c r="AE605" i="3"/>
  <c r="AF605" i="3"/>
  <c r="AG605" i="3"/>
  <c r="AI605" i="3"/>
  <c r="AJ605" i="3"/>
  <c r="AK605" i="3"/>
  <c r="AM605" i="3"/>
  <c r="AD606" i="3"/>
  <c r="AE606" i="3"/>
  <c r="AF606" i="3"/>
  <c r="AG606" i="3"/>
  <c r="AI606" i="3"/>
  <c r="AJ606" i="3"/>
  <c r="AK606" i="3"/>
  <c r="AM606" i="3"/>
  <c r="AD607" i="3"/>
  <c r="AE607" i="3"/>
  <c r="AF607" i="3"/>
  <c r="AG607" i="3"/>
  <c r="AI607" i="3"/>
  <c r="AJ607" i="3"/>
  <c r="AK607" i="3"/>
  <c r="AM607" i="3"/>
  <c r="AD608" i="3"/>
  <c r="AE608" i="3"/>
  <c r="AF608" i="3"/>
  <c r="AG608" i="3"/>
  <c r="AI608" i="3"/>
  <c r="AJ608" i="3"/>
  <c r="AK608" i="3"/>
  <c r="AM608" i="3"/>
  <c r="AD609" i="3"/>
  <c r="AE609" i="3"/>
  <c r="AF609" i="3"/>
  <c r="AG609" i="3"/>
  <c r="AI609" i="3"/>
  <c r="AJ609" i="3"/>
  <c r="AK609" i="3"/>
  <c r="AM609" i="3"/>
  <c r="AD610" i="3"/>
  <c r="AE610" i="3"/>
  <c r="AF610" i="3"/>
  <c r="AG610" i="3"/>
  <c r="AI610" i="3"/>
  <c r="AJ610" i="3"/>
  <c r="AK610" i="3"/>
  <c r="AM610" i="3"/>
  <c r="AD611" i="3"/>
  <c r="AE611" i="3"/>
  <c r="AF611" i="3"/>
  <c r="AG611" i="3"/>
  <c r="AI611" i="3"/>
  <c r="AJ611" i="3"/>
  <c r="AK611" i="3"/>
  <c r="AM611" i="3"/>
  <c r="AD612" i="3"/>
  <c r="AE612" i="3"/>
  <c r="AF612" i="3"/>
  <c r="AG612" i="3"/>
  <c r="AI612" i="3"/>
  <c r="AJ612" i="3"/>
  <c r="AK612" i="3"/>
  <c r="AM612" i="3"/>
  <c r="AD613" i="3"/>
  <c r="AE613" i="3"/>
  <c r="AF613" i="3"/>
  <c r="AG613" i="3"/>
  <c r="AI613" i="3"/>
  <c r="AJ613" i="3"/>
  <c r="AK613" i="3"/>
  <c r="AM613" i="3"/>
  <c r="AD614" i="3"/>
  <c r="AE614" i="3"/>
  <c r="AF614" i="3"/>
  <c r="AG614" i="3"/>
  <c r="AI614" i="3"/>
  <c r="AJ614" i="3"/>
  <c r="AK614" i="3"/>
  <c r="AM614" i="3"/>
  <c r="AD615" i="3"/>
  <c r="AE615" i="3"/>
  <c r="AF615" i="3"/>
  <c r="AG615" i="3"/>
  <c r="AI615" i="3"/>
  <c r="AJ615" i="3"/>
  <c r="AK615" i="3"/>
  <c r="AM615" i="3"/>
  <c r="AD616" i="3"/>
  <c r="AE616" i="3"/>
  <c r="AF616" i="3"/>
  <c r="AG616" i="3"/>
  <c r="AI616" i="3"/>
  <c r="AJ616" i="3"/>
  <c r="AK616" i="3"/>
  <c r="AM616" i="3"/>
  <c r="AD617" i="3"/>
  <c r="AE617" i="3"/>
  <c r="AF617" i="3"/>
  <c r="AG617" i="3"/>
  <c r="AI617" i="3"/>
  <c r="AJ617" i="3"/>
  <c r="AK617" i="3"/>
  <c r="AM617" i="3"/>
  <c r="AD618" i="3"/>
  <c r="AE618" i="3"/>
  <c r="AF618" i="3"/>
  <c r="AG618" i="3"/>
  <c r="AI618" i="3"/>
  <c r="AJ618" i="3"/>
  <c r="AK618" i="3"/>
  <c r="AM618" i="3"/>
  <c r="AD619" i="3"/>
  <c r="AE619" i="3"/>
  <c r="AF619" i="3"/>
  <c r="AG619" i="3"/>
  <c r="AI619" i="3"/>
  <c r="AJ619" i="3"/>
  <c r="AK619" i="3"/>
  <c r="AM619" i="3"/>
  <c r="AD620" i="3"/>
  <c r="AE620" i="3"/>
  <c r="AF620" i="3"/>
  <c r="AG620" i="3"/>
  <c r="AI620" i="3"/>
  <c r="AJ620" i="3"/>
  <c r="AK620" i="3"/>
  <c r="AM620" i="3"/>
  <c r="AD621" i="3"/>
  <c r="AE621" i="3"/>
  <c r="AF621" i="3"/>
  <c r="AG621" i="3"/>
  <c r="AI621" i="3"/>
  <c r="AJ621" i="3"/>
  <c r="AK621" i="3"/>
  <c r="AM621" i="3"/>
  <c r="AD622" i="3"/>
  <c r="AE622" i="3"/>
  <c r="AF622" i="3"/>
  <c r="AG622" i="3"/>
  <c r="AI622" i="3"/>
  <c r="AJ622" i="3"/>
  <c r="AK622" i="3"/>
  <c r="AM622" i="3"/>
  <c r="AD623" i="3"/>
  <c r="AE623" i="3"/>
  <c r="AF623" i="3"/>
  <c r="AG623" i="3"/>
  <c r="AI623" i="3"/>
  <c r="AJ623" i="3"/>
  <c r="AK623" i="3"/>
  <c r="AM623" i="3"/>
  <c r="AD624" i="3"/>
  <c r="AE624" i="3"/>
  <c r="AF624" i="3"/>
  <c r="AG624" i="3"/>
  <c r="AI624" i="3"/>
  <c r="AJ624" i="3"/>
  <c r="AK624" i="3"/>
  <c r="AM624" i="3"/>
  <c r="AD625" i="3"/>
  <c r="AE625" i="3"/>
  <c r="AF625" i="3"/>
  <c r="AG625" i="3"/>
  <c r="AI625" i="3"/>
  <c r="AJ625" i="3"/>
  <c r="AK625" i="3"/>
  <c r="AM625" i="3"/>
  <c r="AD626" i="3"/>
  <c r="AE626" i="3"/>
  <c r="AF626" i="3"/>
  <c r="AG626" i="3"/>
  <c r="AI626" i="3"/>
  <c r="AJ626" i="3"/>
  <c r="AK626" i="3"/>
  <c r="AM626" i="3"/>
  <c r="AD627" i="3"/>
  <c r="AE627" i="3"/>
  <c r="AF627" i="3"/>
  <c r="AG627" i="3"/>
  <c r="AI627" i="3"/>
  <c r="AJ627" i="3"/>
  <c r="AK627" i="3"/>
  <c r="AM627" i="3"/>
  <c r="AD628" i="3"/>
  <c r="AE628" i="3"/>
  <c r="AF628" i="3"/>
  <c r="AG628" i="3"/>
  <c r="AI628" i="3"/>
  <c r="AJ628" i="3"/>
  <c r="AK628" i="3"/>
  <c r="AM628" i="3"/>
  <c r="AD629" i="3"/>
  <c r="AE629" i="3"/>
  <c r="AF629" i="3"/>
  <c r="AG629" i="3"/>
  <c r="AI629" i="3"/>
  <c r="AJ629" i="3"/>
  <c r="AK629" i="3"/>
  <c r="AM629" i="3"/>
  <c r="AD630" i="3"/>
  <c r="AE630" i="3"/>
  <c r="AF630" i="3"/>
  <c r="AG630" i="3"/>
  <c r="AI630" i="3"/>
  <c r="AJ630" i="3"/>
  <c r="AK630" i="3"/>
  <c r="AM630" i="3"/>
  <c r="AD631" i="3"/>
  <c r="AE631" i="3"/>
  <c r="AF631" i="3"/>
  <c r="AG631" i="3"/>
  <c r="AI631" i="3"/>
  <c r="AJ631" i="3"/>
  <c r="AK631" i="3"/>
  <c r="AM631" i="3"/>
  <c r="AD632" i="3"/>
  <c r="AE632" i="3"/>
  <c r="AF632" i="3"/>
  <c r="AG632" i="3"/>
  <c r="AI632" i="3"/>
  <c r="AJ632" i="3"/>
  <c r="AK632" i="3"/>
  <c r="AM632" i="3"/>
  <c r="AD633" i="3"/>
  <c r="AE633" i="3"/>
  <c r="AF633" i="3"/>
  <c r="AG633" i="3"/>
  <c r="AI633" i="3"/>
  <c r="AJ633" i="3"/>
  <c r="AK633" i="3"/>
  <c r="AM633" i="3"/>
  <c r="AD634" i="3"/>
  <c r="AE634" i="3"/>
  <c r="AF634" i="3"/>
  <c r="AG634" i="3"/>
  <c r="AI634" i="3"/>
  <c r="AJ634" i="3"/>
  <c r="AK634" i="3"/>
  <c r="AM634" i="3"/>
  <c r="AD635" i="3"/>
  <c r="AE635" i="3"/>
  <c r="AF635" i="3"/>
  <c r="AG635" i="3"/>
  <c r="AI635" i="3"/>
  <c r="AJ635" i="3"/>
  <c r="AK635" i="3"/>
  <c r="AM635" i="3"/>
  <c r="AD636" i="3"/>
  <c r="AE636" i="3"/>
  <c r="AF636" i="3"/>
  <c r="AG636" i="3"/>
  <c r="AI636" i="3"/>
  <c r="AJ636" i="3"/>
  <c r="AK636" i="3"/>
  <c r="AM636" i="3"/>
  <c r="AD637" i="3"/>
  <c r="AE637" i="3"/>
  <c r="AF637" i="3"/>
  <c r="AG637" i="3"/>
  <c r="AI637" i="3"/>
  <c r="AJ637" i="3"/>
  <c r="AK637" i="3"/>
  <c r="AM637" i="3"/>
  <c r="AD638" i="3"/>
  <c r="AE638" i="3"/>
  <c r="AF638" i="3"/>
  <c r="AG638" i="3"/>
  <c r="AI638" i="3"/>
  <c r="AJ638" i="3"/>
  <c r="AK638" i="3"/>
  <c r="AM638" i="3"/>
  <c r="AD639" i="3"/>
  <c r="AE639" i="3"/>
  <c r="AF639" i="3"/>
  <c r="AG639" i="3"/>
  <c r="AI639" i="3"/>
  <c r="AJ639" i="3"/>
  <c r="AK639" i="3"/>
  <c r="AM639" i="3"/>
  <c r="AD640" i="3"/>
  <c r="AE640" i="3"/>
  <c r="AF640" i="3"/>
  <c r="AG640" i="3"/>
  <c r="AI640" i="3"/>
  <c r="AJ640" i="3"/>
  <c r="AK640" i="3"/>
  <c r="AM640" i="3"/>
  <c r="AD641" i="3"/>
  <c r="AE641" i="3"/>
  <c r="AF641" i="3"/>
  <c r="AG641" i="3"/>
  <c r="AI641" i="3"/>
  <c r="AJ641" i="3"/>
  <c r="AK641" i="3"/>
  <c r="AM641" i="3"/>
  <c r="AD642" i="3"/>
  <c r="AE642" i="3"/>
  <c r="AF642" i="3"/>
  <c r="AG642" i="3"/>
  <c r="AI642" i="3"/>
  <c r="AJ642" i="3"/>
  <c r="AK642" i="3"/>
  <c r="AM642" i="3"/>
  <c r="AD643" i="3"/>
  <c r="AE643" i="3"/>
  <c r="AF643" i="3"/>
  <c r="AG643" i="3"/>
  <c r="AI643" i="3"/>
  <c r="AJ643" i="3"/>
  <c r="AK643" i="3"/>
  <c r="AM643" i="3"/>
  <c r="AD644" i="3"/>
  <c r="AE644" i="3"/>
  <c r="AF644" i="3"/>
  <c r="AG644" i="3"/>
  <c r="AI644" i="3"/>
  <c r="AJ644" i="3"/>
  <c r="AK644" i="3"/>
  <c r="AM644" i="3"/>
  <c r="AD645" i="3"/>
  <c r="AE645" i="3"/>
  <c r="AF645" i="3"/>
  <c r="AG645" i="3"/>
  <c r="AI645" i="3"/>
  <c r="AJ645" i="3"/>
  <c r="AK645" i="3"/>
  <c r="AM645" i="3"/>
  <c r="AD646" i="3"/>
  <c r="AE646" i="3"/>
  <c r="AF646" i="3"/>
  <c r="AG646" i="3"/>
  <c r="AI646" i="3"/>
  <c r="AJ646" i="3"/>
  <c r="AK646" i="3"/>
  <c r="AM646" i="3"/>
  <c r="AD647" i="3"/>
  <c r="AE647" i="3"/>
  <c r="AF647" i="3"/>
  <c r="AG647" i="3"/>
  <c r="AI647" i="3"/>
  <c r="AJ647" i="3"/>
  <c r="AK647" i="3"/>
  <c r="AM647" i="3"/>
  <c r="AD648" i="3"/>
  <c r="AE648" i="3"/>
  <c r="AF648" i="3"/>
  <c r="AG648" i="3"/>
  <c r="AI648" i="3"/>
  <c r="AJ648" i="3"/>
  <c r="AK648" i="3"/>
  <c r="AM648" i="3"/>
  <c r="AD649" i="3"/>
  <c r="AE649" i="3"/>
  <c r="AF649" i="3"/>
  <c r="AG649" i="3"/>
  <c r="AI649" i="3"/>
  <c r="AJ649" i="3"/>
  <c r="AK649" i="3"/>
  <c r="AM649" i="3"/>
  <c r="AD650" i="3"/>
  <c r="AE650" i="3"/>
  <c r="AF650" i="3"/>
  <c r="AG650" i="3"/>
  <c r="AI650" i="3"/>
  <c r="AJ650" i="3"/>
  <c r="AK650" i="3"/>
  <c r="AM650" i="3"/>
  <c r="AD651" i="3"/>
  <c r="AE651" i="3"/>
  <c r="AF651" i="3"/>
  <c r="AG651" i="3"/>
  <c r="AI651" i="3"/>
  <c r="AJ651" i="3"/>
  <c r="AK651" i="3"/>
  <c r="AM651" i="3"/>
  <c r="AD652" i="3"/>
  <c r="AE652" i="3"/>
  <c r="AF652" i="3"/>
  <c r="AG652" i="3"/>
  <c r="AI652" i="3"/>
  <c r="AJ652" i="3"/>
  <c r="AK652" i="3"/>
  <c r="AM652" i="3"/>
  <c r="AD653" i="3"/>
  <c r="AE653" i="3"/>
  <c r="AF653" i="3"/>
  <c r="AG653" i="3"/>
  <c r="AI653" i="3"/>
  <c r="AJ653" i="3"/>
  <c r="AK653" i="3"/>
  <c r="AM653" i="3"/>
  <c r="AD654" i="3"/>
  <c r="AE654" i="3"/>
  <c r="AF654" i="3"/>
  <c r="AG654" i="3"/>
  <c r="AI654" i="3"/>
  <c r="AJ654" i="3"/>
  <c r="AK654" i="3"/>
  <c r="AM654" i="3"/>
  <c r="AD655" i="3"/>
  <c r="AE655" i="3"/>
  <c r="AF655" i="3"/>
  <c r="AG655" i="3"/>
  <c r="AI655" i="3"/>
  <c r="AJ655" i="3"/>
  <c r="AK655" i="3"/>
  <c r="AM655" i="3"/>
  <c r="AD656" i="3"/>
  <c r="AE656" i="3"/>
  <c r="AF656" i="3"/>
  <c r="AG656" i="3"/>
  <c r="AI656" i="3"/>
  <c r="AJ656" i="3"/>
  <c r="AK656" i="3"/>
  <c r="AM656" i="3"/>
  <c r="AD657" i="3"/>
  <c r="AE657" i="3"/>
  <c r="AF657" i="3"/>
  <c r="AG657" i="3"/>
  <c r="AI657" i="3"/>
  <c r="AJ657" i="3"/>
  <c r="AK657" i="3"/>
  <c r="AM657" i="3"/>
  <c r="AD658" i="3"/>
  <c r="AE658" i="3"/>
  <c r="AF658" i="3"/>
  <c r="AG658" i="3"/>
  <c r="AI658" i="3"/>
  <c r="AJ658" i="3"/>
  <c r="AK658" i="3"/>
  <c r="AM658" i="3"/>
  <c r="AD659" i="3"/>
  <c r="AE659" i="3"/>
  <c r="AF659" i="3"/>
  <c r="AG659" i="3"/>
  <c r="AI659" i="3"/>
  <c r="AJ659" i="3"/>
  <c r="AK659" i="3"/>
  <c r="AM659" i="3"/>
  <c r="AD660" i="3"/>
  <c r="AE660" i="3"/>
  <c r="AF660" i="3"/>
  <c r="AG660" i="3"/>
  <c r="AI660" i="3"/>
  <c r="AJ660" i="3"/>
  <c r="AK660" i="3"/>
  <c r="AM660" i="3"/>
  <c r="AD661" i="3"/>
  <c r="AE661" i="3"/>
  <c r="AF661" i="3"/>
  <c r="AG661" i="3"/>
  <c r="AI661" i="3"/>
  <c r="AJ661" i="3"/>
  <c r="AK661" i="3"/>
  <c r="AM661" i="3"/>
  <c r="AD662" i="3"/>
  <c r="AE662" i="3"/>
  <c r="AF662" i="3"/>
  <c r="AG662" i="3"/>
  <c r="AI662" i="3"/>
  <c r="AJ662" i="3"/>
  <c r="AK662" i="3"/>
  <c r="AM662" i="3"/>
  <c r="AD663" i="3"/>
  <c r="AE663" i="3"/>
  <c r="AF663" i="3"/>
  <c r="AG663" i="3"/>
  <c r="AI663" i="3"/>
  <c r="AJ663" i="3"/>
  <c r="AK663" i="3"/>
  <c r="AM663" i="3"/>
  <c r="AD664" i="3"/>
  <c r="AE664" i="3"/>
  <c r="AF664" i="3"/>
  <c r="AG664" i="3"/>
  <c r="AI664" i="3"/>
  <c r="AJ664" i="3"/>
  <c r="AK664" i="3"/>
  <c r="AM664" i="3"/>
  <c r="AD665" i="3"/>
  <c r="AE665" i="3"/>
  <c r="AF665" i="3"/>
  <c r="AG665" i="3"/>
  <c r="AI665" i="3"/>
  <c r="AJ665" i="3"/>
  <c r="AK665" i="3"/>
  <c r="AM665" i="3"/>
  <c r="AD666" i="3"/>
  <c r="AE666" i="3"/>
  <c r="AF666" i="3"/>
  <c r="AG666" i="3"/>
  <c r="AI666" i="3"/>
  <c r="AJ666" i="3"/>
  <c r="AK666" i="3"/>
  <c r="AM666" i="3"/>
  <c r="AD667" i="3"/>
  <c r="AE667" i="3"/>
  <c r="AF667" i="3"/>
  <c r="AG667" i="3"/>
  <c r="AI667" i="3"/>
  <c r="AJ667" i="3"/>
  <c r="AK667" i="3"/>
  <c r="AM667" i="3"/>
  <c r="AD668" i="3"/>
  <c r="AE668" i="3"/>
  <c r="AF668" i="3"/>
  <c r="AG668" i="3"/>
  <c r="AI668" i="3"/>
  <c r="AJ668" i="3"/>
  <c r="AK668" i="3"/>
  <c r="AM668" i="3"/>
  <c r="AD669" i="3"/>
  <c r="AE669" i="3"/>
  <c r="AF669" i="3"/>
  <c r="AG669" i="3"/>
  <c r="AI669" i="3"/>
  <c r="AJ669" i="3"/>
  <c r="AK669" i="3"/>
  <c r="AM669" i="3"/>
  <c r="AD670" i="3"/>
  <c r="AE670" i="3"/>
  <c r="AF670" i="3"/>
  <c r="AG670" i="3"/>
  <c r="AI670" i="3"/>
  <c r="AJ670" i="3"/>
  <c r="AK670" i="3"/>
  <c r="AM670" i="3"/>
  <c r="AD671" i="3"/>
  <c r="AE671" i="3"/>
  <c r="AF671" i="3"/>
  <c r="AG671" i="3"/>
  <c r="AI671" i="3"/>
  <c r="AJ671" i="3"/>
  <c r="AK671" i="3"/>
  <c r="AM671" i="3"/>
  <c r="AD672" i="3"/>
  <c r="AE672" i="3"/>
  <c r="AF672" i="3"/>
  <c r="AG672" i="3"/>
  <c r="AI672" i="3"/>
  <c r="AJ672" i="3"/>
  <c r="AK672" i="3"/>
  <c r="AM672" i="3"/>
  <c r="AD673" i="3"/>
  <c r="AE673" i="3"/>
  <c r="AF673" i="3"/>
  <c r="AG673" i="3"/>
  <c r="AI673" i="3"/>
  <c r="AJ673" i="3"/>
  <c r="AK673" i="3"/>
  <c r="AM673" i="3"/>
  <c r="AD674" i="3"/>
  <c r="AE674" i="3"/>
  <c r="AF674" i="3"/>
  <c r="AG674" i="3"/>
  <c r="AI674" i="3"/>
  <c r="AJ674" i="3"/>
  <c r="AK674" i="3"/>
  <c r="AM674" i="3"/>
  <c r="AD675" i="3"/>
  <c r="AE675" i="3"/>
  <c r="AF675" i="3"/>
  <c r="AG675" i="3"/>
  <c r="AI675" i="3"/>
  <c r="AJ675" i="3"/>
  <c r="AK675" i="3"/>
  <c r="AM675" i="3"/>
  <c r="AD676" i="3"/>
  <c r="AE676" i="3"/>
  <c r="AF676" i="3"/>
  <c r="AG676" i="3"/>
  <c r="AI676" i="3"/>
  <c r="AJ676" i="3"/>
  <c r="AK676" i="3"/>
  <c r="AM676" i="3"/>
  <c r="AD677" i="3"/>
  <c r="AE677" i="3"/>
  <c r="AF677" i="3"/>
  <c r="AG677" i="3"/>
  <c r="AI677" i="3"/>
  <c r="AJ677" i="3"/>
  <c r="AK677" i="3"/>
  <c r="AM677" i="3"/>
  <c r="AD678" i="3"/>
  <c r="AE678" i="3"/>
  <c r="AF678" i="3"/>
  <c r="AG678" i="3"/>
  <c r="AI678" i="3"/>
  <c r="AJ678" i="3"/>
  <c r="AK678" i="3"/>
  <c r="AM678" i="3"/>
  <c r="AD679" i="3"/>
  <c r="AE679" i="3"/>
  <c r="AF679" i="3"/>
  <c r="AG679" i="3"/>
  <c r="AI679" i="3"/>
  <c r="AJ679" i="3"/>
  <c r="AK679" i="3"/>
  <c r="AM679" i="3"/>
  <c r="AD680" i="3"/>
  <c r="AE680" i="3"/>
  <c r="AF680" i="3"/>
  <c r="AG680" i="3"/>
  <c r="AI680" i="3"/>
  <c r="AJ680" i="3"/>
  <c r="AK680" i="3"/>
  <c r="AM680" i="3"/>
  <c r="AD681" i="3"/>
  <c r="AE681" i="3"/>
  <c r="AF681" i="3"/>
  <c r="AG681" i="3"/>
  <c r="AI681" i="3"/>
  <c r="AJ681" i="3"/>
  <c r="AK681" i="3"/>
  <c r="AM681" i="3"/>
  <c r="AD682" i="3"/>
  <c r="AE682" i="3"/>
  <c r="AF682" i="3"/>
  <c r="AG682" i="3"/>
  <c r="AI682" i="3"/>
  <c r="AJ682" i="3"/>
  <c r="AK682" i="3"/>
  <c r="AM682" i="3"/>
  <c r="AD683" i="3"/>
  <c r="AE683" i="3"/>
  <c r="AF683" i="3"/>
  <c r="AG683" i="3"/>
  <c r="AI683" i="3"/>
  <c r="AJ683" i="3"/>
  <c r="AK683" i="3"/>
  <c r="AM683" i="3"/>
  <c r="AD684" i="3"/>
  <c r="AE684" i="3"/>
  <c r="AF684" i="3"/>
  <c r="AG684" i="3"/>
  <c r="AI684" i="3"/>
  <c r="AJ684" i="3"/>
  <c r="AK684" i="3"/>
  <c r="AM684" i="3"/>
  <c r="AD685" i="3"/>
  <c r="AE685" i="3"/>
  <c r="AF685" i="3"/>
  <c r="AG685" i="3"/>
  <c r="AI685" i="3"/>
  <c r="AJ685" i="3"/>
  <c r="AK685" i="3"/>
  <c r="AM685" i="3"/>
  <c r="AD686" i="3"/>
  <c r="AE686" i="3"/>
  <c r="AF686" i="3"/>
  <c r="AG686" i="3"/>
  <c r="AI686" i="3"/>
  <c r="AJ686" i="3"/>
  <c r="AK686" i="3"/>
  <c r="AM686" i="3"/>
  <c r="AD687" i="3"/>
  <c r="AE687" i="3"/>
  <c r="AF687" i="3"/>
  <c r="AG687" i="3"/>
  <c r="AI687" i="3"/>
  <c r="AJ687" i="3"/>
  <c r="AK687" i="3"/>
  <c r="AM687" i="3"/>
  <c r="AD688" i="3"/>
  <c r="AE688" i="3"/>
  <c r="AF688" i="3"/>
  <c r="AG688" i="3"/>
  <c r="AI688" i="3"/>
  <c r="AJ688" i="3"/>
  <c r="AK688" i="3"/>
  <c r="AM688" i="3"/>
  <c r="AD689" i="3"/>
  <c r="AE689" i="3"/>
  <c r="AF689" i="3"/>
  <c r="AG689" i="3"/>
  <c r="AI689" i="3"/>
  <c r="AJ689" i="3"/>
  <c r="AK689" i="3"/>
  <c r="AM689" i="3"/>
  <c r="AD690" i="3"/>
  <c r="AE690" i="3"/>
  <c r="AF690" i="3"/>
  <c r="AG690" i="3"/>
  <c r="AI690" i="3"/>
  <c r="AJ690" i="3"/>
  <c r="AK690" i="3"/>
  <c r="AM690" i="3"/>
  <c r="AD691" i="3"/>
  <c r="AE691" i="3"/>
  <c r="AF691" i="3"/>
  <c r="AG691" i="3"/>
  <c r="AI691" i="3"/>
  <c r="AJ691" i="3"/>
  <c r="AK691" i="3"/>
  <c r="AM691" i="3"/>
  <c r="AD692" i="3"/>
  <c r="AE692" i="3"/>
  <c r="AF692" i="3"/>
  <c r="AG692" i="3"/>
  <c r="AI692" i="3"/>
  <c r="AJ692" i="3"/>
  <c r="AK692" i="3"/>
  <c r="AM692" i="3"/>
  <c r="AD693" i="3"/>
  <c r="AE693" i="3"/>
  <c r="AF693" i="3"/>
  <c r="AG693" i="3"/>
  <c r="AI693" i="3"/>
  <c r="AJ693" i="3"/>
  <c r="AK693" i="3"/>
  <c r="AM693" i="3"/>
  <c r="AD694" i="3"/>
  <c r="AE694" i="3"/>
  <c r="AF694" i="3"/>
  <c r="AG694" i="3"/>
  <c r="AI694" i="3"/>
  <c r="AJ694" i="3"/>
  <c r="AK694" i="3"/>
  <c r="AM694" i="3"/>
  <c r="AD695" i="3"/>
  <c r="AE695" i="3"/>
  <c r="AF695" i="3"/>
  <c r="AG695" i="3"/>
  <c r="AI695" i="3"/>
  <c r="AJ695" i="3"/>
  <c r="AK695" i="3"/>
  <c r="AM695" i="3"/>
  <c r="AD696" i="3"/>
  <c r="AE696" i="3"/>
  <c r="AF696" i="3"/>
  <c r="AG696" i="3"/>
  <c r="AI696" i="3"/>
  <c r="AJ696" i="3"/>
  <c r="AK696" i="3"/>
  <c r="AM696" i="3"/>
  <c r="AD697" i="3"/>
  <c r="AE697" i="3"/>
  <c r="AF697" i="3"/>
  <c r="AG697" i="3"/>
  <c r="AI697" i="3"/>
  <c r="AJ697" i="3"/>
  <c r="AK697" i="3"/>
  <c r="AM697" i="3"/>
  <c r="AD698" i="3"/>
  <c r="AE698" i="3"/>
  <c r="AF698" i="3"/>
  <c r="AG698" i="3"/>
  <c r="AI698" i="3"/>
  <c r="AJ698" i="3"/>
  <c r="AK698" i="3"/>
  <c r="AM698" i="3"/>
  <c r="AD699" i="3"/>
  <c r="AE699" i="3"/>
  <c r="AF699" i="3"/>
  <c r="AG699" i="3"/>
  <c r="AI699" i="3"/>
  <c r="AJ699" i="3"/>
  <c r="AK699" i="3"/>
  <c r="AM699" i="3"/>
  <c r="AD700" i="3"/>
  <c r="AE700" i="3"/>
  <c r="AF700" i="3"/>
  <c r="AG700" i="3"/>
  <c r="AI700" i="3"/>
  <c r="AJ700" i="3"/>
  <c r="AK700" i="3"/>
  <c r="AM700" i="3"/>
  <c r="AD701" i="3"/>
  <c r="AE701" i="3"/>
  <c r="AF701" i="3"/>
  <c r="AG701" i="3"/>
  <c r="AI701" i="3"/>
  <c r="AJ701" i="3"/>
  <c r="AK701" i="3"/>
  <c r="AM701" i="3"/>
  <c r="AD702" i="3"/>
  <c r="AE702" i="3"/>
  <c r="AF702" i="3"/>
  <c r="AG702" i="3"/>
  <c r="AI702" i="3"/>
  <c r="AJ702" i="3"/>
  <c r="AK702" i="3"/>
  <c r="AM702" i="3"/>
  <c r="AD703" i="3"/>
  <c r="AE703" i="3"/>
  <c r="AF703" i="3"/>
  <c r="AG703" i="3"/>
  <c r="AI703" i="3"/>
  <c r="AJ703" i="3"/>
  <c r="AK703" i="3"/>
  <c r="AM703" i="3"/>
  <c r="AD704" i="3"/>
  <c r="AE704" i="3"/>
  <c r="AF704" i="3"/>
  <c r="AG704" i="3"/>
  <c r="AI704" i="3"/>
  <c r="AJ704" i="3"/>
  <c r="AK704" i="3"/>
  <c r="AM704" i="3"/>
  <c r="AD705" i="3"/>
  <c r="AE705" i="3"/>
  <c r="AF705" i="3"/>
  <c r="AG705" i="3"/>
  <c r="AI705" i="3"/>
  <c r="AJ705" i="3"/>
  <c r="AK705" i="3"/>
  <c r="AM705" i="3"/>
  <c r="AD706" i="3"/>
  <c r="AE706" i="3"/>
  <c r="AF706" i="3"/>
  <c r="AG706" i="3"/>
  <c r="AI706" i="3"/>
  <c r="AJ706" i="3"/>
  <c r="AK706" i="3"/>
  <c r="AM706" i="3"/>
  <c r="AD707" i="3"/>
  <c r="AE707" i="3"/>
  <c r="AF707" i="3"/>
  <c r="AG707" i="3"/>
  <c r="AI707" i="3"/>
  <c r="AJ707" i="3"/>
  <c r="AK707" i="3"/>
  <c r="AM707" i="3"/>
  <c r="AD708" i="3"/>
  <c r="AE708" i="3"/>
  <c r="AF708" i="3"/>
  <c r="AG708" i="3"/>
  <c r="AI708" i="3"/>
  <c r="AJ708" i="3"/>
  <c r="AK708" i="3"/>
  <c r="AM708" i="3"/>
  <c r="AD709" i="3"/>
  <c r="AE709" i="3"/>
  <c r="AF709" i="3"/>
  <c r="AG709" i="3"/>
  <c r="AI709" i="3"/>
  <c r="AJ709" i="3"/>
  <c r="AK709" i="3"/>
  <c r="AM709" i="3"/>
  <c r="AD710" i="3"/>
  <c r="AE710" i="3"/>
  <c r="AF710" i="3"/>
  <c r="AG710" i="3"/>
  <c r="AI710" i="3"/>
  <c r="AJ710" i="3"/>
  <c r="AK710" i="3"/>
  <c r="AM710" i="3"/>
  <c r="AD711" i="3"/>
  <c r="AE711" i="3"/>
  <c r="AF711" i="3"/>
  <c r="AG711" i="3"/>
  <c r="AI711" i="3"/>
  <c r="AJ711" i="3"/>
  <c r="AK711" i="3"/>
  <c r="AM711" i="3"/>
  <c r="AD712" i="3"/>
  <c r="AE712" i="3"/>
  <c r="AF712" i="3"/>
  <c r="AG712" i="3"/>
  <c r="AI712" i="3"/>
  <c r="AJ712" i="3"/>
  <c r="AK712" i="3"/>
  <c r="AM712" i="3"/>
  <c r="AD713" i="3"/>
  <c r="AE713" i="3"/>
  <c r="AF713" i="3"/>
  <c r="AG713" i="3"/>
  <c r="AI713" i="3"/>
  <c r="AJ713" i="3"/>
  <c r="AK713" i="3"/>
  <c r="AM713" i="3"/>
  <c r="AD714" i="3"/>
  <c r="AE714" i="3"/>
  <c r="AF714" i="3"/>
  <c r="AG714" i="3"/>
  <c r="AI714" i="3"/>
  <c r="AJ714" i="3"/>
  <c r="AK714" i="3"/>
  <c r="AM714" i="3"/>
  <c r="AD715" i="3"/>
  <c r="AE715" i="3"/>
  <c r="AF715" i="3"/>
  <c r="AG715" i="3"/>
  <c r="AI715" i="3"/>
  <c r="AJ715" i="3"/>
  <c r="AK715" i="3"/>
  <c r="AM715" i="3"/>
  <c r="AD716" i="3"/>
  <c r="AE716" i="3"/>
  <c r="AF716" i="3"/>
  <c r="AG716" i="3"/>
  <c r="AI716" i="3"/>
  <c r="AJ716" i="3"/>
  <c r="AK716" i="3"/>
  <c r="AM716" i="3"/>
  <c r="AD717" i="3"/>
  <c r="AE717" i="3"/>
  <c r="AF717" i="3"/>
  <c r="AG717" i="3"/>
  <c r="AI717" i="3"/>
  <c r="AJ717" i="3"/>
  <c r="AK717" i="3"/>
  <c r="AM717" i="3"/>
  <c r="AD718" i="3"/>
  <c r="AE718" i="3"/>
  <c r="AF718" i="3"/>
  <c r="AG718" i="3"/>
  <c r="AI718" i="3"/>
  <c r="AJ718" i="3"/>
  <c r="AK718" i="3"/>
  <c r="AM718" i="3"/>
  <c r="AD719" i="3"/>
  <c r="AE719" i="3"/>
  <c r="AF719" i="3"/>
  <c r="AG719" i="3"/>
  <c r="AI719" i="3"/>
  <c r="AJ719" i="3"/>
  <c r="AK719" i="3"/>
  <c r="AM719" i="3"/>
  <c r="AD720" i="3"/>
  <c r="AE720" i="3"/>
  <c r="AF720" i="3"/>
  <c r="AG720" i="3"/>
  <c r="AI720" i="3"/>
  <c r="AJ720" i="3"/>
  <c r="AK720" i="3"/>
  <c r="AM720" i="3"/>
  <c r="AD721" i="3"/>
  <c r="AE721" i="3"/>
  <c r="AF721" i="3"/>
  <c r="AG721" i="3"/>
  <c r="AI721" i="3"/>
  <c r="AJ721" i="3"/>
  <c r="AK721" i="3"/>
  <c r="AM721" i="3"/>
  <c r="AD722" i="3"/>
  <c r="AE722" i="3"/>
  <c r="AF722" i="3"/>
  <c r="AG722" i="3"/>
  <c r="AI722" i="3"/>
  <c r="AJ722" i="3"/>
  <c r="AK722" i="3"/>
  <c r="AM722" i="3"/>
  <c r="AD723" i="3"/>
  <c r="AE723" i="3"/>
  <c r="AF723" i="3"/>
  <c r="AG723" i="3"/>
  <c r="AI723" i="3"/>
  <c r="AJ723" i="3"/>
  <c r="AK723" i="3"/>
  <c r="AM723" i="3"/>
  <c r="AD724" i="3"/>
  <c r="AE724" i="3"/>
  <c r="AF724" i="3"/>
  <c r="AG724" i="3"/>
  <c r="AI724" i="3"/>
  <c r="AJ724" i="3"/>
  <c r="AK724" i="3"/>
  <c r="AM724" i="3"/>
  <c r="AD725" i="3"/>
  <c r="AE725" i="3"/>
  <c r="AF725" i="3"/>
  <c r="AG725" i="3"/>
  <c r="AI725" i="3"/>
  <c r="AJ725" i="3"/>
  <c r="AK725" i="3"/>
  <c r="AM725" i="3"/>
  <c r="AD726" i="3"/>
  <c r="AE726" i="3"/>
  <c r="AF726" i="3"/>
  <c r="AG726" i="3"/>
  <c r="AI726" i="3"/>
  <c r="AJ726" i="3"/>
  <c r="AK726" i="3"/>
  <c r="AM726" i="3"/>
  <c r="AD727" i="3"/>
  <c r="AE727" i="3"/>
  <c r="AF727" i="3"/>
  <c r="AG727" i="3"/>
  <c r="AI727" i="3"/>
  <c r="AJ727" i="3"/>
  <c r="AK727" i="3"/>
  <c r="AM727" i="3"/>
  <c r="AD728" i="3"/>
  <c r="AE728" i="3"/>
  <c r="AF728" i="3"/>
  <c r="AG728" i="3"/>
  <c r="AI728" i="3"/>
  <c r="AJ728" i="3"/>
  <c r="AK728" i="3"/>
  <c r="AM728" i="3"/>
  <c r="AD729" i="3"/>
  <c r="AE729" i="3"/>
  <c r="AF729" i="3"/>
  <c r="AG729" i="3"/>
  <c r="AI729" i="3"/>
  <c r="AJ729" i="3"/>
  <c r="AK729" i="3"/>
  <c r="AM729" i="3"/>
  <c r="AD730" i="3"/>
  <c r="AE730" i="3"/>
  <c r="AF730" i="3"/>
  <c r="AG730" i="3"/>
  <c r="AI730" i="3"/>
  <c r="AJ730" i="3"/>
  <c r="AK730" i="3"/>
  <c r="AM730" i="3"/>
  <c r="AD731" i="3"/>
  <c r="AE731" i="3"/>
  <c r="AF731" i="3"/>
  <c r="AG731" i="3"/>
  <c r="AI731" i="3"/>
  <c r="AJ731" i="3"/>
  <c r="AK731" i="3"/>
  <c r="AM731" i="3"/>
  <c r="AD732" i="3"/>
  <c r="AE732" i="3"/>
  <c r="AF732" i="3"/>
  <c r="AG732" i="3"/>
  <c r="AI732" i="3"/>
  <c r="AJ732" i="3"/>
  <c r="AK732" i="3"/>
  <c r="AM732" i="3"/>
  <c r="AD733" i="3"/>
  <c r="AE733" i="3"/>
  <c r="AF733" i="3"/>
  <c r="AG733" i="3"/>
  <c r="AI733" i="3"/>
  <c r="AJ733" i="3"/>
  <c r="AK733" i="3"/>
  <c r="AM733" i="3"/>
  <c r="AD734" i="3"/>
  <c r="AE734" i="3"/>
  <c r="AF734" i="3"/>
  <c r="AG734" i="3"/>
  <c r="AI734" i="3"/>
  <c r="AJ734" i="3"/>
  <c r="AK734" i="3"/>
  <c r="AM734" i="3"/>
  <c r="AD735" i="3"/>
  <c r="AE735" i="3"/>
  <c r="AF735" i="3"/>
  <c r="AG735" i="3"/>
  <c r="AI735" i="3"/>
  <c r="AJ735" i="3"/>
  <c r="AK735" i="3"/>
  <c r="AM735" i="3"/>
  <c r="AD736" i="3"/>
  <c r="AE736" i="3"/>
  <c r="AF736" i="3"/>
  <c r="AG736" i="3"/>
  <c r="AI736" i="3"/>
  <c r="AJ736" i="3"/>
  <c r="AK736" i="3"/>
  <c r="AM736" i="3"/>
  <c r="AD737" i="3"/>
  <c r="AE737" i="3"/>
  <c r="AF737" i="3"/>
  <c r="AG737" i="3"/>
  <c r="AI737" i="3"/>
  <c r="AJ737" i="3"/>
  <c r="AK737" i="3"/>
  <c r="AM737" i="3"/>
  <c r="AD738" i="3"/>
  <c r="AE738" i="3"/>
  <c r="AF738" i="3"/>
  <c r="AG738" i="3"/>
  <c r="AI738" i="3"/>
  <c r="AJ738" i="3"/>
  <c r="AK738" i="3"/>
  <c r="AM738" i="3"/>
  <c r="AD739" i="3"/>
  <c r="AE739" i="3"/>
  <c r="AF739" i="3"/>
  <c r="AG739" i="3"/>
  <c r="AI739" i="3"/>
  <c r="AJ739" i="3"/>
  <c r="AK739" i="3"/>
  <c r="AM739" i="3"/>
  <c r="AD740" i="3"/>
  <c r="AE740" i="3"/>
  <c r="AF740" i="3"/>
  <c r="AG740" i="3"/>
  <c r="AI740" i="3"/>
  <c r="AJ740" i="3"/>
  <c r="AK740" i="3"/>
  <c r="AM740" i="3"/>
  <c r="AD741" i="3"/>
  <c r="AE741" i="3"/>
  <c r="AF741" i="3"/>
  <c r="AG741" i="3"/>
  <c r="AI741" i="3"/>
  <c r="AJ741" i="3"/>
  <c r="AK741" i="3"/>
  <c r="AM741" i="3"/>
  <c r="AD742" i="3"/>
  <c r="AE742" i="3"/>
  <c r="AF742" i="3"/>
  <c r="AG742" i="3"/>
  <c r="AI742" i="3"/>
  <c r="AJ742" i="3"/>
  <c r="AK742" i="3"/>
  <c r="AM742" i="3"/>
  <c r="AD743" i="3"/>
  <c r="AE743" i="3"/>
  <c r="AF743" i="3"/>
  <c r="AG743" i="3"/>
  <c r="AI743" i="3"/>
  <c r="AJ743" i="3"/>
  <c r="AK743" i="3"/>
  <c r="AM743" i="3"/>
  <c r="AD744" i="3"/>
  <c r="AE744" i="3"/>
  <c r="AF744" i="3"/>
  <c r="AG744" i="3"/>
  <c r="AI744" i="3"/>
  <c r="AJ744" i="3"/>
  <c r="AK744" i="3"/>
  <c r="AM744" i="3"/>
  <c r="AD745" i="3"/>
  <c r="AE745" i="3"/>
  <c r="AF745" i="3"/>
  <c r="AG745" i="3"/>
  <c r="AI745" i="3"/>
  <c r="AJ745" i="3"/>
  <c r="AK745" i="3"/>
  <c r="AM745" i="3"/>
  <c r="AD746" i="3"/>
  <c r="AE746" i="3"/>
  <c r="AF746" i="3"/>
  <c r="AG746" i="3"/>
  <c r="AI746" i="3"/>
  <c r="AJ746" i="3"/>
  <c r="AK746" i="3"/>
  <c r="AM746" i="3"/>
  <c r="AD747" i="3"/>
  <c r="AE747" i="3"/>
  <c r="AF747" i="3"/>
  <c r="AG747" i="3"/>
  <c r="AI747" i="3"/>
  <c r="AJ747" i="3"/>
  <c r="AK747" i="3"/>
  <c r="AM747" i="3"/>
  <c r="AD748" i="3"/>
  <c r="AE748" i="3"/>
  <c r="AF748" i="3"/>
  <c r="AG748" i="3"/>
  <c r="AI748" i="3"/>
  <c r="AJ748" i="3"/>
  <c r="AK748" i="3"/>
  <c r="AM748" i="3"/>
  <c r="AD749" i="3"/>
  <c r="AE749" i="3"/>
  <c r="AF749" i="3"/>
  <c r="AG749" i="3"/>
  <c r="AI749" i="3"/>
  <c r="AJ749" i="3"/>
  <c r="AK749" i="3"/>
  <c r="AM749" i="3"/>
  <c r="AD750" i="3"/>
  <c r="AE750" i="3"/>
  <c r="AF750" i="3"/>
  <c r="AG750" i="3"/>
  <c r="AI750" i="3"/>
  <c r="AJ750" i="3"/>
  <c r="AK750" i="3"/>
  <c r="AM750" i="3"/>
  <c r="AD751" i="3"/>
  <c r="AE751" i="3"/>
  <c r="AF751" i="3"/>
  <c r="AG751" i="3"/>
  <c r="AI751" i="3"/>
  <c r="AJ751" i="3"/>
  <c r="AK751" i="3"/>
  <c r="AM751" i="3"/>
  <c r="AD752" i="3"/>
  <c r="AE752" i="3"/>
  <c r="AF752" i="3"/>
  <c r="AG752" i="3"/>
  <c r="AI752" i="3"/>
  <c r="AJ752" i="3"/>
  <c r="AK752" i="3"/>
  <c r="AM752" i="3"/>
  <c r="AD753" i="3"/>
  <c r="AE753" i="3"/>
  <c r="AF753" i="3"/>
  <c r="AG753" i="3"/>
  <c r="AI753" i="3"/>
  <c r="AJ753" i="3"/>
  <c r="AK753" i="3"/>
  <c r="AM753" i="3"/>
  <c r="AD754" i="3"/>
  <c r="AE754" i="3"/>
  <c r="AF754" i="3"/>
  <c r="AG754" i="3"/>
  <c r="AI754" i="3"/>
  <c r="AJ754" i="3"/>
  <c r="AK754" i="3"/>
  <c r="AM754" i="3"/>
  <c r="AD755" i="3"/>
  <c r="AE755" i="3"/>
  <c r="AF755" i="3"/>
  <c r="AG755" i="3"/>
  <c r="AI755" i="3"/>
  <c r="AJ755" i="3"/>
  <c r="AK755" i="3"/>
  <c r="AM755" i="3"/>
  <c r="AD756" i="3"/>
  <c r="AE756" i="3"/>
  <c r="AF756" i="3"/>
  <c r="AG756" i="3"/>
  <c r="AI756" i="3"/>
  <c r="AJ756" i="3"/>
  <c r="AK756" i="3"/>
  <c r="AM756" i="3"/>
  <c r="AD757" i="3"/>
  <c r="AE757" i="3"/>
  <c r="AF757" i="3"/>
  <c r="AG757" i="3"/>
  <c r="AI757" i="3"/>
  <c r="AJ757" i="3"/>
  <c r="AK757" i="3"/>
  <c r="AM757" i="3"/>
  <c r="AD758" i="3"/>
  <c r="AE758" i="3"/>
  <c r="AF758" i="3"/>
  <c r="AG758" i="3"/>
  <c r="AI758" i="3"/>
  <c r="AJ758" i="3"/>
  <c r="AK758" i="3"/>
  <c r="AM758" i="3"/>
  <c r="AD759" i="3"/>
  <c r="AE759" i="3"/>
  <c r="AF759" i="3"/>
  <c r="AG759" i="3"/>
  <c r="AI759" i="3"/>
  <c r="AJ759" i="3"/>
  <c r="AK759" i="3"/>
  <c r="AM759" i="3"/>
  <c r="AD760" i="3"/>
  <c r="AE760" i="3"/>
  <c r="AF760" i="3"/>
  <c r="AG760" i="3"/>
  <c r="AI760" i="3"/>
  <c r="AJ760" i="3"/>
  <c r="AK760" i="3"/>
  <c r="AM760" i="3"/>
  <c r="AD761" i="3"/>
  <c r="AE761" i="3"/>
  <c r="AF761" i="3"/>
  <c r="AG761" i="3"/>
  <c r="AI761" i="3"/>
  <c r="AJ761" i="3"/>
  <c r="AK761" i="3"/>
  <c r="AM761" i="3"/>
  <c r="AD762" i="3"/>
  <c r="AE762" i="3"/>
  <c r="AF762" i="3"/>
  <c r="AG762" i="3"/>
  <c r="AI762" i="3"/>
  <c r="AJ762" i="3"/>
  <c r="AK762" i="3"/>
  <c r="AM762" i="3"/>
  <c r="AD763" i="3"/>
  <c r="AE763" i="3"/>
  <c r="AF763" i="3"/>
  <c r="AG763" i="3"/>
  <c r="AI763" i="3"/>
  <c r="AJ763" i="3"/>
  <c r="AK763" i="3"/>
  <c r="AM763" i="3"/>
  <c r="AD764" i="3"/>
  <c r="AE764" i="3"/>
  <c r="AF764" i="3"/>
  <c r="AG764" i="3"/>
  <c r="AI764" i="3"/>
  <c r="AJ764" i="3"/>
  <c r="AK764" i="3"/>
  <c r="AM764" i="3"/>
  <c r="AD765" i="3"/>
  <c r="AE765" i="3"/>
  <c r="AF765" i="3"/>
  <c r="AG765" i="3"/>
  <c r="AI765" i="3"/>
  <c r="AJ765" i="3"/>
  <c r="AK765" i="3"/>
  <c r="AM765" i="3"/>
  <c r="AD766" i="3"/>
  <c r="AE766" i="3"/>
  <c r="AF766" i="3"/>
  <c r="AG766" i="3"/>
  <c r="AI766" i="3"/>
  <c r="AJ766" i="3"/>
  <c r="AK766" i="3"/>
  <c r="AM766" i="3"/>
  <c r="AD767" i="3"/>
  <c r="AE767" i="3"/>
  <c r="AF767" i="3"/>
  <c r="AG767" i="3"/>
  <c r="AI767" i="3"/>
  <c r="AJ767" i="3"/>
  <c r="AK767" i="3"/>
  <c r="AM767" i="3"/>
  <c r="AD768" i="3"/>
  <c r="AE768" i="3"/>
  <c r="AF768" i="3"/>
  <c r="AG768" i="3"/>
  <c r="AI768" i="3"/>
  <c r="AJ768" i="3"/>
  <c r="AK768" i="3"/>
  <c r="AM768" i="3"/>
  <c r="AD769" i="3"/>
  <c r="AE769" i="3"/>
  <c r="AF769" i="3"/>
  <c r="AG769" i="3"/>
  <c r="AI769" i="3"/>
  <c r="AJ769" i="3"/>
  <c r="AK769" i="3"/>
  <c r="AM769" i="3"/>
  <c r="AD770" i="3"/>
  <c r="AE770" i="3"/>
  <c r="AF770" i="3"/>
  <c r="AG770" i="3"/>
  <c r="AI770" i="3"/>
  <c r="AJ770" i="3"/>
  <c r="AK770" i="3"/>
  <c r="AM770" i="3"/>
  <c r="AD771" i="3"/>
  <c r="AE771" i="3"/>
  <c r="AF771" i="3"/>
  <c r="AG771" i="3"/>
  <c r="AI771" i="3"/>
  <c r="AJ771" i="3"/>
  <c r="AK771" i="3"/>
  <c r="AM771" i="3"/>
  <c r="AD772" i="3"/>
  <c r="AE772" i="3"/>
  <c r="AF772" i="3"/>
  <c r="AG772" i="3"/>
  <c r="AI772" i="3"/>
  <c r="AJ772" i="3"/>
  <c r="AK772" i="3"/>
  <c r="AM772" i="3"/>
  <c r="AD773" i="3"/>
  <c r="AE773" i="3"/>
  <c r="AF773" i="3"/>
  <c r="AG773" i="3"/>
  <c r="AI773" i="3"/>
  <c r="AJ773" i="3"/>
  <c r="AK773" i="3"/>
  <c r="AM773" i="3"/>
  <c r="AD774" i="3"/>
  <c r="AE774" i="3"/>
  <c r="AF774" i="3"/>
  <c r="AG774" i="3"/>
  <c r="AI774" i="3"/>
  <c r="AJ774" i="3"/>
  <c r="AK774" i="3"/>
  <c r="AM774" i="3"/>
  <c r="AD775" i="3"/>
  <c r="AE775" i="3"/>
  <c r="AF775" i="3"/>
  <c r="AG775" i="3"/>
  <c r="AI775" i="3"/>
  <c r="AJ775" i="3"/>
  <c r="AK775" i="3"/>
  <c r="AM775" i="3"/>
  <c r="AD776" i="3"/>
  <c r="AE776" i="3"/>
  <c r="AF776" i="3"/>
  <c r="AG776" i="3"/>
  <c r="AI776" i="3"/>
  <c r="AJ776" i="3"/>
  <c r="AK776" i="3"/>
  <c r="AM776" i="3"/>
  <c r="AD777" i="3"/>
  <c r="AE777" i="3"/>
  <c r="AF777" i="3"/>
  <c r="AG777" i="3"/>
  <c r="AI777" i="3"/>
  <c r="AJ777" i="3"/>
  <c r="AK777" i="3"/>
  <c r="AM777" i="3"/>
  <c r="AD778" i="3"/>
  <c r="AE778" i="3"/>
  <c r="AF778" i="3"/>
  <c r="AG778" i="3"/>
  <c r="AI778" i="3"/>
  <c r="AJ778" i="3"/>
  <c r="AK778" i="3"/>
  <c r="AM778" i="3"/>
  <c r="AD779" i="3"/>
  <c r="AE779" i="3"/>
  <c r="AF779" i="3"/>
  <c r="AG779" i="3"/>
  <c r="AI779" i="3"/>
  <c r="AJ779" i="3"/>
  <c r="AK779" i="3"/>
  <c r="AM779" i="3"/>
  <c r="AD780" i="3"/>
  <c r="AE780" i="3"/>
  <c r="AF780" i="3"/>
  <c r="AG780" i="3"/>
  <c r="AI780" i="3"/>
  <c r="AJ780" i="3"/>
  <c r="AK780" i="3"/>
  <c r="AM780" i="3"/>
  <c r="AD781" i="3"/>
  <c r="AE781" i="3"/>
  <c r="AF781" i="3"/>
  <c r="AG781" i="3"/>
  <c r="AI781" i="3"/>
  <c r="AJ781" i="3"/>
  <c r="AK781" i="3"/>
  <c r="AM781" i="3"/>
  <c r="AD782" i="3"/>
  <c r="AE782" i="3"/>
  <c r="AF782" i="3"/>
  <c r="AG782" i="3"/>
  <c r="AI782" i="3"/>
  <c r="AJ782" i="3"/>
  <c r="AK782" i="3"/>
  <c r="AM782" i="3"/>
  <c r="AD783" i="3"/>
  <c r="AE783" i="3"/>
  <c r="AF783" i="3"/>
  <c r="AG783" i="3"/>
  <c r="AI783" i="3"/>
  <c r="AJ783" i="3"/>
  <c r="AK783" i="3"/>
  <c r="AM783" i="3"/>
  <c r="AD784" i="3"/>
  <c r="AE784" i="3"/>
  <c r="AF784" i="3"/>
  <c r="AG784" i="3"/>
  <c r="AI784" i="3"/>
  <c r="AJ784" i="3"/>
  <c r="AK784" i="3"/>
  <c r="AM784" i="3"/>
  <c r="AD785" i="3"/>
  <c r="AE785" i="3"/>
  <c r="AF785" i="3"/>
  <c r="AG785" i="3"/>
  <c r="AI785" i="3"/>
  <c r="AJ785" i="3"/>
  <c r="AK785" i="3"/>
  <c r="AM785" i="3"/>
  <c r="AD786" i="3"/>
  <c r="AE786" i="3"/>
  <c r="AF786" i="3"/>
  <c r="AG786" i="3"/>
  <c r="AI786" i="3"/>
  <c r="AJ786" i="3"/>
  <c r="AK786" i="3"/>
  <c r="AM786" i="3"/>
  <c r="AD787" i="3"/>
  <c r="AE787" i="3"/>
  <c r="AF787" i="3"/>
  <c r="AG787" i="3"/>
  <c r="AI787" i="3"/>
  <c r="AJ787" i="3"/>
  <c r="AK787" i="3"/>
  <c r="AM787" i="3"/>
  <c r="AD788" i="3"/>
  <c r="AE788" i="3"/>
  <c r="AF788" i="3"/>
  <c r="AG788" i="3"/>
  <c r="AI788" i="3"/>
  <c r="AJ788" i="3"/>
  <c r="AK788" i="3"/>
  <c r="AM788" i="3"/>
  <c r="AD789" i="3"/>
  <c r="AE789" i="3"/>
  <c r="AF789" i="3"/>
  <c r="AG789" i="3"/>
  <c r="AI789" i="3"/>
  <c r="AJ789" i="3"/>
  <c r="AK789" i="3"/>
  <c r="AM789" i="3"/>
  <c r="AD790" i="3"/>
  <c r="AE790" i="3"/>
  <c r="AF790" i="3"/>
  <c r="AG790" i="3"/>
  <c r="AI790" i="3"/>
  <c r="AJ790" i="3"/>
  <c r="AK790" i="3"/>
  <c r="AM790" i="3"/>
  <c r="AD791" i="3"/>
  <c r="AE791" i="3"/>
  <c r="AF791" i="3"/>
  <c r="AG791" i="3"/>
  <c r="AI791" i="3"/>
  <c r="AJ791" i="3"/>
  <c r="AK791" i="3"/>
  <c r="AM791" i="3"/>
  <c r="AD792" i="3"/>
  <c r="AE792" i="3"/>
  <c r="AF792" i="3"/>
  <c r="AG792" i="3"/>
  <c r="AI792" i="3"/>
  <c r="AJ792" i="3"/>
  <c r="AK792" i="3"/>
  <c r="AM792" i="3"/>
  <c r="AD793" i="3"/>
  <c r="AE793" i="3"/>
  <c r="AF793" i="3"/>
  <c r="AG793" i="3"/>
  <c r="AI793" i="3"/>
  <c r="AJ793" i="3"/>
  <c r="AK793" i="3"/>
  <c r="AM793" i="3"/>
  <c r="AD794" i="3"/>
  <c r="AE794" i="3"/>
  <c r="AF794" i="3"/>
  <c r="AG794" i="3"/>
  <c r="AI794" i="3"/>
  <c r="AJ794" i="3"/>
  <c r="AK794" i="3"/>
  <c r="AM794" i="3"/>
  <c r="AD795" i="3"/>
  <c r="AE795" i="3"/>
  <c r="AF795" i="3"/>
  <c r="AG795" i="3"/>
  <c r="AI795" i="3"/>
  <c r="AJ795" i="3"/>
  <c r="AK795" i="3"/>
  <c r="AM795" i="3"/>
  <c r="AD796" i="3"/>
  <c r="AE796" i="3"/>
  <c r="AF796" i="3"/>
  <c r="AG796" i="3"/>
  <c r="AI796" i="3"/>
  <c r="AJ796" i="3"/>
  <c r="AK796" i="3"/>
  <c r="AM796" i="3"/>
  <c r="AD797" i="3"/>
  <c r="AE797" i="3"/>
  <c r="AF797" i="3"/>
  <c r="AG797" i="3"/>
  <c r="AI797" i="3"/>
  <c r="AJ797" i="3"/>
  <c r="AK797" i="3"/>
  <c r="AM797" i="3"/>
  <c r="AD798" i="3"/>
  <c r="AE798" i="3"/>
  <c r="AF798" i="3"/>
  <c r="AG798" i="3"/>
  <c r="AI798" i="3"/>
  <c r="AJ798" i="3"/>
  <c r="AK798" i="3"/>
  <c r="AM798" i="3"/>
  <c r="AD799" i="3"/>
  <c r="AE799" i="3"/>
  <c r="AF799" i="3"/>
  <c r="AG799" i="3"/>
  <c r="AI799" i="3"/>
  <c r="AJ799" i="3"/>
  <c r="AK799" i="3"/>
  <c r="AM799" i="3"/>
  <c r="AD800" i="3"/>
  <c r="AE800" i="3"/>
  <c r="AF800" i="3"/>
  <c r="AG800" i="3"/>
  <c r="AI800" i="3"/>
  <c r="AJ800" i="3"/>
  <c r="AK800" i="3"/>
  <c r="AM800" i="3"/>
  <c r="AD801" i="3"/>
  <c r="AE801" i="3"/>
  <c r="AF801" i="3"/>
  <c r="AG801" i="3"/>
  <c r="AI801" i="3"/>
  <c r="AJ801" i="3"/>
  <c r="AK801" i="3"/>
  <c r="AM801" i="3"/>
  <c r="AD802" i="3"/>
  <c r="AE802" i="3"/>
  <c r="AF802" i="3"/>
  <c r="AG802" i="3"/>
  <c r="AI802" i="3"/>
  <c r="AJ802" i="3"/>
  <c r="AK802" i="3"/>
  <c r="AM802" i="3"/>
  <c r="AD803" i="3"/>
  <c r="AE803" i="3"/>
  <c r="AF803" i="3"/>
  <c r="AG803" i="3"/>
  <c r="AI803" i="3"/>
  <c r="AJ803" i="3"/>
  <c r="AK803" i="3"/>
  <c r="AM803" i="3"/>
  <c r="AD804" i="3"/>
  <c r="AE804" i="3"/>
  <c r="AF804" i="3"/>
  <c r="AG804" i="3"/>
  <c r="AI804" i="3"/>
  <c r="AJ804" i="3"/>
  <c r="AK804" i="3"/>
  <c r="AM804" i="3"/>
  <c r="AD805" i="3"/>
  <c r="AE805" i="3"/>
  <c r="AF805" i="3"/>
  <c r="AG805" i="3"/>
  <c r="AI805" i="3"/>
  <c r="AJ805" i="3"/>
  <c r="AK805" i="3"/>
  <c r="AM805" i="3"/>
  <c r="AD806" i="3"/>
  <c r="AE806" i="3"/>
  <c r="AF806" i="3"/>
  <c r="AG806" i="3"/>
  <c r="AI806" i="3"/>
  <c r="AJ806" i="3"/>
  <c r="AK806" i="3"/>
  <c r="AM806" i="3"/>
  <c r="AD807" i="3"/>
  <c r="AE807" i="3"/>
  <c r="AF807" i="3"/>
  <c r="AG807" i="3"/>
  <c r="AI807" i="3"/>
  <c r="AJ807" i="3"/>
  <c r="AK807" i="3"/>
  <c r="AM807" i="3"/>
  <c r="AD808" i="3"/>
  <c r="AE808" i="3"/>
  <c r="AF808" i="3"/>
  <c r="AG808" i="3"/>
  <c r="AI808" i="3"/>
  <c r="AJ808" i="3"/>
  <c r="AK808" i="3"/>
  <c r="AM808" i="3"/>
  <c r="AD809" i="3"/>
  <c r="AE809" i="3"/>
  <c r="AF809" i="3"/>
  <c r="AG809" i="3"/>
  <c r="AI809" i="3"/>
  <c r="AJ809" i="3"/>
  <c r="AK809" i="3"/>
  <c r="AM809" i="3"/>
  <c r="AD810" i="3"/>
  <c r="AE810" i="3"/>
  <c r="AF810" i="3"/>
  <c r="AG810" i="3"/>
  <c r="AI810" i="3"/>
  <c r="AJ810" i="3"/>
  <c r="AK810" i="3"/>
  <c r="AM810" i="3"/>
  <c r="AD811" i="3"/>
  <c r="AE811" i="3"/>
  <c r="AF811" i="3"/>
  <c r="AG811" i="3"/>
  <c r="AI811" i="3"/>
  <c r="AJ811" i="3"/>
  <c r="AK811" i="3"/>
  <c r="AM811" i="3"/>
  <c r="AD812" i="3"/>
  <c r="AE812" i="3"/>
  <c r="AF812" i="3"/>
  <c r="AG812" i="3"/>
  <c r="AI812" i="3"/>
  <c r="AJ812" i="3"/>
  <c r="AK812" i="3"/>
  <c r="AM812" i="3"/>
  <c r="AD813" i="3"/>
  <c r="AE813" i="3"/>
  <c r="AF813" i="3"/>
  <c r="AG813" i="3"/>
  <c r="AI813" i="3"/>
  <c r="AJ813" i="3"/>
  <c r="AK813" i="3"/>
  <c r="AM813" i="3"/>
  <c r="AD814" i="3"/>
  <c r="AE814" i="3"/>
  <c r="AF814" i="3"/>
  <c r="AG814" i="3"/>
  <c r="AI814" i="3"/>
  <c r="AJ814" i="3"/>
  <c r="AK814" i="3"/>
  <c r="AM814" i="3"/>
  <c r="AD815" i="3"/>
  <c r="AE815" i="3"/>
  <c r="AF815" i="3"/>
  <c r="AG815" i="3"/>
  <c r="AI815" i="3"/>
  <c r="AJ815" i="3"/>
  <c r="AK815" i="3"/>
  <c r="AM815" i="3"/>
  <c r="AD816" i="3"/>
  <c r="AE816" i="3"/>
  <c r="AF816" i="3"/>
  <c r="AG816" i="3"/>
  <c r="AI816" i="3"/>
  <c r="AJ816" i="3"/>
  <c r="AK816" i="3"/>
  <c r="AM816" i="3"/>
  <c r="AD817" i="3"/>
  <c r="AE817" i="3"/>
  <c r="AF817" i="3"/>
  <c r="AG817" i="3"/>
  <c r="AI817" i="3"/>
  <c r="AJ817" i="3"/>
  <c r="AK817" i="3"/>
  <c r="AM817" i="3"/>
  <c r="AD818" i="3"/>
  <c r="AE818" i="3"/>
  <c r="AF818" i="3"/>
  <c r="AG818" i="3"/>
  <c r="AI818" i="3"/>
  <c r="AJ818" i="3"/>
  <c r="AK818" i="3"/>
  <c r="AM818" i="3"/>
  <c r="AD819" i="3"/>
  <c r="AE819" i="3"/>
  <c r="AF819" i="3"/>
  <c r="AG819" i="3"/>
  <c r="AI819" i="3"/>
  <c r="AJ819" i="3"/>
  <c r="AK819" i="3"/>
  <c r="AM819" i="3"/>
  <c r="AD820" i="3"/>
  <c r="AE820" i="3"/>
  <c r="AF820" i="3"/>
  <c r="AG820" i="3"/>
  <c r="AI820" i="3"/>
  <c r="AJ820" i="3"/>
  <c r="AK820" i="3"/>
  <c r="AM820" i="3"/>
  <c r="AD821" i="3"/>
  <c r="AE821" i="3"/>
  <c r="AF821" i="3"/>
  <c r="AG821" i="3"/>
  <c r="AI821" i="3"/>
  <c r="AJ821" i="3"/>
  <c r="AK821" i="3"/>
  <c r="AM821" i="3"/>
  <c r="AD822" i="3"/>
  <c r="AE822" i="3"/>
  <c r="AF822" i="3"/>
  <c r="AG822" i="3"/>
  <c r="AI822" i="3"/>
  <c r="AJ822" i="3"/>
  <c r="AK822" i="3"/>
  <c r="AM822" i="3"/>
  <c r="AD823" i="3"/>
  <c r="AE823" i="3"/>
  <c r="AF823" i="3"/>
  <c r="AG823" i="3"/>
  <c r="AI823" i="3"/>
  <c r="AJ823" i="3"/>
  <c r="AK823" i="3"/>
  <c r="AM823" i="3"/>
  <c r="AD824" i="3"/>
  <c r="AE824" i="3"/>
  <c r="AF824" i="3"/>
  <c r="AG824" i="3"/>
  <c r="AI824" i="3"/>
  <c r="AJ824" i="3"/>
  <c r="AK824" i="3"/>
  <c r="AM824" i="3"/>
  <c r="AD825" i="3"/>
  <c r="AE825" i="3"/>
  <c r="AF825" i="3"/>
  <c r="AG825" i="3"/>
  <c r="AI825" i="3"/>
  <c r="AJ825" i="3"/>
  <c r="AK825" i="3"/>
  <c r="AM825" i="3"/>
  <c r="AD826" i="3"/>
  <c r="AE826" i="3"/>
  <c r="AF826" i="3"/>
  <c r="AG826" i="3"/>
  <c r="AI826" i="3"/>
  <c r="AJ826" i="3"/>
  <c r="AK826" i="3"/>
  <c r="AM826" i="3"/>
  <c r="AD827" i="3"/>
  <c r="AE827" i="3"/>
  <c r="AF827" i="3"/>
  <c r="AG827" i="3"/>
  <c r="AI827" i="3"/>
  <c r="AJ827" i="3"/>
  <c r="AK827" i="3"/>
  <c r="AM827" i="3"/>
  <c r="AD828" i="3"/>
  <c r="AE828" i="3"/>
  <c r="AF828" i="3"/>
  <c r="AG828" i="3"/>
  <c r="AI828" i="3"/>
  <c r="AJ828" i="3"/>
  <c r="AK828" i="3"/>
  <c r="AM828" i="3"/>
  <c r="AD829" i="3"/>
  <c r="AE829" i="3"/>
  <c r="AF829" i="3"/>
  <c r="AG829" i="3"/>
  <c r="AI829" i="3"/>
  <c r="AJ829" i="3"/>
  <c r="AK829" i="3"/>
  <c r="AM829" i="3"/>
  <c r="AD830" i="3"/>
  <c r="AE830" i="3"/>
  <c r="AF830" i="3"/>
  <c r="AG830" i="3"/>
  <c r="AI830" i="3"/>
  <c r="AJ830" i="3"/>
  <c r="AK830" i="3"/>
  <c r="AM830" i="3"/>
  <c r="AD831" i="3"/>
  <c r="AE831" i="3"/>
  <c r="AF831" i="3"/>
  <c r="AG831" i="3"/>
  <c r="AI831" i="3"/>
  <c r="AJ831" i="3"/>
  <c r="AK831" i="3"/>
  <c r="AM831" i="3"/>
  <c r="AD832" i="3"/>
  <c r="AE832" i="3"/>
  <c r="AF832" i="3"/>
  <c r="AG832" i="3"/>
  <c r="AI832" i="3"/>
  <c r="AJ832" i="3"/>
  <c r="AK832" i="3"/>
  <c r="AM832" i="3"/>
  <c r="AD833" i="3"/>
  <c r="AE833" i="3"/>
  <c r="AF833" i="3"/>
  <c r="AG833" i="3"/>
  <c r="AI833" i="3"/>
  <c r="AJ833" i="3"/>
  <c r="AK833" i="3"/>
  <c r="AM833" i="3"/>
  <c r="AD834" i="3"/>
  <c r="AE834" i="3"/>
  <c r="AF834" i="3"/>
  <c r="AG834" i="3"/>
  <c r="AI834" i="3"/>
  <c r="AJ834" i="3"/>
  <c r="AK834" i="3"/>
  <c r="AM834" i="3"/>
  <c r="AD835" i="3"/>
  <c r="AE835" i="3"/>
  <c r="AF835" i="3"/>
  <c r="AG835" i="3"/>
  <c r="AI835" i="3"/>
  <c r="AJ835" i="3"/>
  <c r="AK835" i="3"/>
  <c r="AM835" i="3"/>
  <c r="AD836" i="3"/>
  <c r="AE836" i="3"/>
  <c r="AF836" i="3"/>
  <c r="AG836" i="3"/>
  <c r="AI836" i="3"/>
  <c r="AJ836" i="3"/>
  <c r="AK836" i="3"/>
  <c r="AM836" i="3"/>
  <c r="AD837" i="3"/>
  <c r="AE837" i="3"/>
  <c r="AF837" i="3"/>
  <c r="AG837" i="3"/>
  <c r="AI837" i="3"/>
  <c r="AJ837" i="3"/>
  <c r="AK837" i="3"/>
  <c r="AM837" i="3"/>
  <c r="AD838" i="3"/>
  <c r="AE838" i="3"/>
  <c r="AF838" i="3"/>
  <c r="AG838" i="3"/>
  <c r="AI838" i="3"/>
  <c r="AJ838" i="3"/>
  <c r="AK838" i="3"/>
  <c r="AM838" i="3"/>
  <c r="AD839" i="3"/>
  <c r="AE839" i="3"/>
  <c r="AF839" i="3"/>
  <c r="AG839" i="3"/>
  <c r="AI839" i="3"/>
  <c r="AJ839" i="3"/>
  <c r="AK839" i="3"/>
  <c r="AM839" i="3"/>
  <c r="AD840" i="3"/>
  <c r="AE840" i="3"/>
  <c r="AF840" i="3"/>
  <c r="AG840" i="3"/>
  <c r="AI840" i="3"/>
  <c r="AJ840" i="3"/>
  <c r="AK840" i="3"/>
  <c r="AM840" i="3"/>
  <c r="AD841" i="3"/>
  <c r="AE841" i="3"/>
  <c r="AF841" i="3"/>
  <c r="AG841" i="3"/>
  <c r="AI841" i="3"/>
  <c r="AJ841" i="3"/>
  <c r="AK841" i="3"/>
  <c r="AM841" i="3"/>
  <c r="AD842" i="3"/>
  <c r="AE842" i="3"/>
  <c r="AF842" i="3"/>
  <c r="AG842" i="3"/>
  <c r="AI842" i="3"/>
  <c r="AJ842" i="3"/>
  <c r="AK842" i="3"/>
  <c r="AM842" i="3"/>
  <c r="AD843" i="3"/>
  <c r="AE843" i="3"/>
  <c r="AF843" i="3"/>
  <c r="AG843" i="3"/>
  <c r="AI843" i="3"/>
  <c r="AJ843" i="3"/>
  <c r="AK843" i="3"/>
  <c r="AM843" i="3"/>
  <c r="AD844" i="3"/>
  <c r="AE844" i="3"/>
  <c r="AF844" i="3"/>
  <c r="AG844" i="3"/>
  <c r="AI844" i="3"/>
  <c r="AJ844" i="3"/>
  <c r="AK844" i="3"/>
  <c r="AM844" i="3"/>
  <c r="AD845" i="3"/>
  <c r="AE845" i="3"/>
  <c r="AF845" i="3"/>
  <c r="AG845" i="3"/>
  <c r="AI845" i="3"/>
  <c r="AJ845" i="3"/>
  <c r="AK845" i="3"/>
  <c r="AM845" i="3"/>
  <c r="AD846" i="3"/>
  <c r="AE846" i="3"/>
  <c r="AF846" i="3"/>
  <c r="AG846" i="3"/>
  <c r="AI846" i="3"/>
  <c r="AJ846" i="3"/>
  <c r="AK846" i="3"/>
  <c r="AM846" i="3"/>
  <c r="AD847" i="3"/>
  <c r="AE847" i="3"/>
  <c r="AF847" i="3"/>
  <c r="AG847" i="3"/>
  <c r="AI847" i="3"/>
  <c r="AJ847" i="3"/>
  <c r="AK847" i="3"/>
  <c r="AM847" i="3"/>
  <c r="AD848" i="3"/>
  <c r="AE848" i="3"/>
  <c r="AF848" i="3"/>
  <c r="AG848" i="3"/>
  <c r="AI848" i="3"/>
  <c r="AJ848" i="3"/>
  <c r="AK848" i="3"/>
  <c r="AM848" i="3"/>
  <c r="AD849" i="3"/>
  <c r="AE849" i="3"/>
  <c r="AF849" i="3"/>
  <c r="AG849" i="3"/>
  <c r="AI849" i="3"/>
  <c r="AJ849" i="3"/>
  <c r="AK849" i="3"/>
  <c r="AM849" i="3"/>
  <c r="AD850" i="3"/>
  <c r="AE850" i="3"/>
  <c r="AF850" i="3"/>
  <c r="AG850" i="3"/>
  <c r="AI850" i="3"/>
  <c r="AJ850" i="3"/>
  <c r="AK850" i="3"/>
  <c r="AM850" i="3"/>
  <c r="AD851" i="3"/>
  <c r="AE851" i="3"/>
  <c r="AF851" i="3"/>
  <c r="AG851" i="3"/>
  <c r="AI851" i="3"/>
  <c r="AJ851" i="3"/>
  <c r="AK851" i="3"/>
  <c r="AM851" i="3"/>
  <c r="AD852" i="3"/>
  <c r="AE852" i="3"/>
  <c r="AF852" i="3"/>
  <c r="AG852" i="3"/>
  <c r="AI852" i="3"/>
  <c r="AJ852" i="3"/>
  <c r="AK852" i="3"/>
  <c r="AM852" i="3"/>
  <c r="AD853" i="3"/>
  <c r="AE853" i="3"/>
  <c r="AF853" i="3"/>
  <c r="AG853" i="3"/>
  <c r="AI853" i="3"/>
  <c r="AJ853" i="3"/>
  <c r="AK853" i="3"/>
  <c r="AM853" i="3"/>
  <c r="AD854" i="3"/>
  <c r="AE854" i="3"/>
  <c r="AF854" i="3"/>
  <c r="AG854" i="3"/>
  <c r="AI854" i="3"/>
  <c r="AJ854" i="3"/>
  <c r="AK854" i="3"/>
  <c r="AM854" i="3"/>
  <c r="AD855" i="3"/>
  <c r="AE855" i="3"/>
  <c r="AF855" i="3"/>
  <c r="AG855" i="3"/>
  <c r="AI855" i="3"/>
  <c r="AJ855" i="3"/>
  <c r="AK855" i="3"/>
  <c r="AM855" i="3"/>
  <c r="AD856" i="3"/>
  <c r="AE856" i="3"/>
  <c r="AF856" i="3"/>
  <c r="AG856" i="3"/>
  <c r="AI856" i="3"/>
  <c r="AJ856" i="3"/>
  <c r="AK856" i="3"/>
  <c r="AM856" i="3"/>
  <c r="AD857" i="3"/>
  <c r="AE857" i="3"/>
  <c r="AF857" i="3"/>
  <c r="AG857" i="3"/>
  <c r="AI857" i="3"/>
  <c r="AJ857" i="3"/>
  <c r="AK857" i="3"/>
  <c r="AM857" i="3"/>
  <c r="AD858" i="3"/>
  <c r="AE858" i="3"/>
  <c r="AF858" i="3"/>
  <c r="AG858" i="3"/>
  <c r="AI858" i="3"/>
  <c r="AJ858" i="3"/>
  <c r="AK858" i="3"/>
  <c r="AM858" i="3"/>
  <c r="AD859" i="3"/>
  <c r="AE859" i="3"/>
  <c r="AF859" i="3"/>
  <c r="AG859" i="3"/>
  <c r="AI859" i="3"/>
  <c r="AJ859" i="3"/>
  <c r="AK859" i="3"/>
  <c r="AM859" i="3"/>
  <c r="AD860" i="3"/>
  <c r="AE860" i="3"/>
  <c r="AF860" i="3"/>
  <c r="AG860" i="3"/>
  <c r="AI860" i="3"/>
  <c r="AJ860" i="3"/>
  <c r="AK860" i="3"/>
  <c r="AM860" i="3"/>
  <c r="AD861" i="3"/>
  <c r="AE861" i="3"/>
  <c r="AF861" i="3"/>
  <c r="AG861" i="3"/>
  <c r="AI861" i="3"/>
  <c r="AJ861" i="3"/>
  <c r="AK861" i="3"/>
  <c r="AM861" i="3"/>
  <c r="AD862" i="3"/>
  <c r="AE862" i="3"/>
  <c r="AF862" i="3"/>
  <c r="AG862" i="3"/>
  <c r="AI862" i="3"/>
  <c r="AJ862" i="3"/>
  <c r="AK862" i="3"/>
  <c r="AM862" i="3"/>
  <c r="AD863" i="3"/>
  <c r="AE863" i="3"/>
  <c r="AF863" i="3"/>
  <c r="AG863" i="3"/>
  <c r="AI863" i="3"/>
  <c r="AJ863" i="3"/>
  <c r="AK863" i="3"/>
  <c r="AM863" i="3"/>
  <c r="AD864" i="3"/>
  <c r="AE864" i="3"/>
  <c r="AF864" i="3"/>
  <c r="AG864" i="3"/>
  <c r="AI864" i="3"/>
  <c r="AJ864" i="3"/>
  <c r="AK864" i="3"/>
  <c r="AM864" i="3"/>
  <c r="AD865" i="3"/>
  <c r="AE865" i="3"/>
  <c r="AF865" i="3"/>
  <c r="AG865" i="3"/>
  <c r="AI865" i="3"/>
  <c r="AJ865" i="3"/>
  <c r="AK865" i="3"/>
  <c r="AM865" i="3"/>
  <c r="AD866" i="3"/>
  <c r="AE866" i="3"/>
  <c r="AF866" i="3"/>
  <c r="AG866" i="3"/>
  <c r="AI866" i="3"/>
  <c r="AJ866" i="3"/>
  <c r="AK866" i="3"/>
  <c r="AM866" i="3"/>
  <c r="AD867" i="3"/>
  <c r="AE867" i="3"/>
  <c r="AF867" i="3"/>
  <c r="AG867" i="3"/>
  <c r="AI867" i="3"/>
  <c r="AJ867" i="3"/>
  <c r="AK867" i="3"/>
  <c r="AM867" i="3"/>
  <c r="AD868" i="3"/>
  <c r="AE868" i="3"/>
  <c r="AF868" i="3"/>
  <c r="AG868" i="3"/>
  <c r="AI868" i="3"/>
  <c r="AJ868" i="3"/>
  <c r="AK868" i="3"/>
  <c r="AM868" i="3"/>
  <c r="AD869" i="3"/>
  <c r="AE869" i="3"/>
  <c r="AF869" i="3"/>
  <c r="AG869" i="3"/>
  <c r="AI869" i="3"/>
  <c r="AJ869" i="3"/>
  <c r="AK869" i="3"/>
  <c r="AM869" i="3"/>
  <c r="AD870" i="3"/>
  <c r="AE870" i="3"/>
  <c r="AF870" i="3"/>
  <c r="AG870" i="3"/>
  <c r="AI870" i="3"/>
  <c r="AJ870" i="3"/>
  <c r="AK870" i="3"/>
  <c r="AM870" i="3"/>
  <c r="AD871" i="3"/>
  <c r="AE871" i="3"/>
  <c r="AF871" i="3"/>
  <c r="AG871" i="3"/>
  <c r="AI871" i="3"/>
  <c r="AJ871" i="3"/>
  <c r="AK871" i="3"/>
  <c r="AM871" i="3"/>
  <c r="AD872" i="3"/>
  <c r="AE872" i="3"/>
  <c r="AF872" i="3"/>
  <c r="AG872" i="3"/>
  <c r="AI872" i="3"/>
  <c r="AJ872" i="3"/>
  <c r="AK872" i="3"/>
  <c r="AM872" i="3"/>
  <c r="AD873" i="3"/>
  <c r="AE873" i="3"/>
  <c r="AF873" i="3"/>
  <c r="AG873" i="3"/>
  <c r="AI873" i="3"/>
  <c r="AJ873" i="3"/>
  <c r="AK873" i="3"/>
  <c r="AM873" i="3"/>
  <c r="AD874" i="3"/>
  <c r="AE874" i="3"/>
  <c r="AF874" i="3"/>
  <c r="AG874" i="3"/>
  <c r="AI874" i="3"/>
  <c r="AJ874" i="3"/>
  <c r="AK874" i="3"/>
  <c r="AM874" i="3"/>
  <c r="AD875" i="3"/>
  <c r="AE875" i="3"/>
  <c r="AF875" i="3"/>
  <c r="AG875" i="3"/>
  <c r="AI875" i="3"/>
  <c r="AJ875" i="3"/>
  <c r="AK875" i="3"/>
  <c r="AM875" i="3"/>
  <c r="AD876" i="3"/>
  <c r="AE876" i="3"/>
  <c r="AF876" i="3"/>
  <c r="AG876" i="3"/>
  <c r="AI876" i="3"/>
  <c r="AJ876" i="3"/>
  <c r="AK876" i="3"/>
  <c r="AM876" i="3"/>
  <c r="AD877" i="3"/>
  <c r="AE877" i="3"/>
  <c r="AF877" i="3"/>
  <c r="AG877" i="3"/>
  <c r="AI877" i="3"/>
  <c r="AJ877" i="3"/>
  <c r="AK877" i="3"/>
  <c r="AM877" i="3"/>
  <c r="AD878" i="3"/>
  <c r="AE878" i="3"/>
  <c r="AF878" i="3"/>
  <c r="AG878" i="3"/>
  <c r="AI878" i="3"/>
  <c r="AJ878" i="3"/>
  <c r="AK878" i="3"/>
  <c r="AM878" i="3"/>
  <c r="AD879" i="3"/>
  <c r="AE879" i="3"/>
  <c r="AF879" i="3"/>
  <c r="AG879" i="3"/>
  <c r="AI879" i="3"/>
  <c r="AJ879" i="3"/>
  <c r="AK879" i="3"/>
  <c r="AM879" i="3"/>
  <c r="AD880" i="3"/>
  <c r="AE880" i="3"/>
  <c r="AF880" i="3"/>
  <c r="AG880" i="3"/>
  <c r="AI880" i="3"/>
  <c r="AJ880" i="3"/>
  <c r="AK880" i="3"/>
  <c r="AM880" i="3"/>
  <c r="AD881" i="3"/>
  <c r="AE881" i="3"/>
  <c r="AF881" i="3"/>
  <c r="AG881" i="3"/>
  <c r="AI881" i="3"/>
  <c r="AJ881" i="3"/>
  <c r="AK881" i="3"/>
  <c r="AM881" i="3"/>
  <c r="AD882" i="3"/>
  <c r="AE882" i="3"/>
  <c r="AF882" i="3"/>
  <c r="AG882" i="3"/>
  <c r="AI882" i="3"/>
  <c r="AJ882" i="3"/>
  <c r="AK882" i="3"/>
  <c r="AM882" i="3"/>
  <c r="AD883" i="3"/>
  <c r="AE883" i="3"/>
  <c r="AF883" i="3"/>
  <c r="AG883" i="3"/>
  <c r="AI883" i="3"/>
  <c r="AJ883" i="3"/>
  <c r="AK883" i="3"/>
  <c r="AM883" i="3"/>
  <c r="AD884" i="3"/>
  <c r="AE884" i="3"/>
  <c r="AF884" i="3"/>
  <c r="AG884" i="3"/>
  <c r="AI884" i="3"/>
  <c r="AJ884" i="3"/>
  <c r="AK884" i="3"/>
  <c r="AM884" i="3"/>
  <c r="AD885" i="3"/>
  <c r="AE885" i="3"/>
  <c r="AF885" i="3"/>
  <c r="AG885" i="3"/>
  <c r="AI885" i="3"/>
  <c r="AJ885" i="3"/>
  <c r="AK885" i="3"/>
  <c r="AM885" i="3"/>
  <c r="AD886" i="3"/>
  <c r="AE886" i="3"/>
  <c r="AF886" i="3"/>
  <c r="AG886" i="3"/>
  <c r="AI886" i="3"/>
  <c r="AJ886" i="3"/>
  <c r="AK886" i="3"/>
  <c r="AM886" i="3"/>
  <c r="AD887" i="3"/>
  <c r="AE887" i="3"/>
  <c r="AF887" i="3"/>
  <c r="AG887" i="3"/>
  <c r="AI887" i="3"/>
  <c r="AJ887" i="3"/>
  <c r="AK887" i="3"/>
  <c r="AM887" i="3"/>
  <c r="AD888" i="3"/>
  <c r="AE888" i="3"/>
  <c r="AF888" i="3"/>
  <c r="AG888" i="3"/>
  <c r="AI888" i="3"/>
  <c r="AJ888" i="3"/>
  <c r="AK888" i="3"/>
  <c r="AM888" i="3"/>
  <c r="AD889" i="3"/>
  <c r="AE889" i="3"/>
  <c r="AF889" i="3"/>
  <c r="AG889" i="3"/>
  <c r="AI889" i="3"/>
  <c r="AJ889" i="3"/>
  <c r="AK889" i="3"/>
  <c r="AM889" i="3"/>
  <c r="AD890" i="3"/>
  <c r="AE890" i="3"/>
  <c r="AF890" i="3"/>
  <c r="AG890" i="3"/>
  <c r="AI890" i="3"/>
  <c r="AJ890" i="3"/>
  <c r="AK890" i="3"/>
  <c r="AM890" i="3"/>
  <c r="AD891" i="3"/>
  <c r="AE891" i="3"/>
  <c r="AF891" i="3"/>
  <c r="AG891" i="3"/>
  <c r="AI891" i="3"/>
  <c r="AJ891" i="3"/>
  <c r="AK891" i="3"/>
  <c r="AM891" i="3"/>
  <c r="AD892" i="3"/>
  <c r="AE892" i="3"/>
  <c r="AF892" i="3"/>
  <c r="AG892" i="3"/>
  <c r="AI892" i="3"/>
  <c r="AJ892" i="3"/>
  <c r="AK892" i="3"/>
  <c r="AM892" i="3"/>
  <c r="AD893" i="3"/>
  <c r="AE893" i="3"/>
  <c r="AF893" i="3"/>
  <c r="AG893" i="3"/>
  <c r="AI893" i="3"/>
  <c r="AJ893" i="3"/>
  <c r="AK893" i="3"/>
  <c r="AM893" i="3"/>
  <c r="AD894" i="3"/>
  <c r="AE894" i="3"/>
  <c r="AF894" i="3"/>
  <c r="AG894" i="3"/>
  <c r="AI894" i="3"/>
  <c r="AJ894" i="3"/>
  <c r="AK894" i="3"/>
  <c r="AM894" i="3"/>
  <c r="AD895" i="3"/>
  <c r="AE895" i="3"/>
  <c r="AF895" i="3"/>
  <c r="AG895" i="3"/>
  <c r="AI895" i="3"/>
  <c r="AJ895" i="3"/>
  <c r="AK895" i="3"/>
  <c r="AM895" i="3"/>
  <c r="AD896" i="3"/>
  <c r="AE896" i="3"/>
  <c r="AF896" i="3"/>
  <c r="AG896" i="3"/>
  <c r="AI896" i="3"/>
  <c r="AJ896" i="3"/>
  <c r="AK896" i="3"/>
  <c r="AM896" i="3"/>
  <c r="AD897" i="3"/>
  <c r="AE897" i="3"/>
  <c r="AF897" i="3"/>
  <c r="AG897" i="3"/>
  <c r="AI897" i="3"/>
  <c r="AJ897" i="3"/>
  <c r="AK897" i="3"/>
  <c r="AM897" i="3"/>
  <c r="AD898" i="3"/>
  <c r="AE898" i="3"/>
  <c r="AF898" i="3"/>
  <c r="AG898" i="3"/>
  <c r="AI898" i="3"/>
  <c r="AJ898" i="3"/>
  <c r="AK898" i="3"/>
  <c r="AM898" i="3"/>
  <c r="AD899" i="3"/>
  <c r="AE899" i="3"/>
  <c r="AF899" i="3"/>
  <c r="AG899" i="3"/>
  <c r="AI899" i="3"/>
  <c r="AJ899" i="3"/>
  <c r="AK899" i="3"/>
  <c r="AM899" i="3"/>
  <c r="AD900" i="3"/>
  <c r="AE900" i="3"/>
  <c r="AF900" i="3"/>
  <c r="AG900" i="3"/>
  <c r="AI900" i="3"/>
  <c r="AJ900" i="3"/>
  <c r="AK900" i="3"/>
  <c r="AM900" i="3"/>
  <c r="AD901" i="3"/>
  <c r="AE901" i="3"/>
  <c r="AF901" i="3"/>
  <c r="AG901" i="3"/>
  <c r="AI901" i="3"/>
  <c r="AJ901" i="3"/>
  <c r="AK901" i="3"/>
  <c r="AM901" i="3"/>
  <c r="AD902" i="3"/>
  <c r="AE902" i="3"/>
  <c r="AF902" i="3"/>
  <c r="AG902" i="3"/>
  <c r="AI902" i="3"/>
  <c r="AJ902" i="3"/>
  <c r="AK902" i="3"/>
  <c r="AM902" i="3"/>
  <c r="AD903" i="3"/>
  <c r="AE903" i="3"/>
  <c r="AF903" i="3"/>
  <c r="AG903" i="3"/>
  <c r="AI903" i="3"/>
  <c r="AJ903" i="3"/>
  <c r="AK903" i="3"/>
  <c r="AM903" i="3"/>
  <c r="AD904" i="3"/>
  <c r="AE904" i="3"/>
  <c r="AF904" i="3"/>
  <c r="AG904" i="3"/>
  <c r="AI904" i="3"/>
  <c r="AJ904" i="3"/>
  <c r="AK904" i="3"/>
  <c r="AM904" i="3"/>
  <c r="AD905" i="3"/>
  <c r="AE905" i="3"/>
  <c r="AF905" i="3"/>
  <c r="AG905" i="3"/>
  <c r="AI905" i="3"/>
  <c r="AJ905" i="3"/>
  <c r="AK905" i="3"/>
  <c r="AM905" i="3"/>
  <c r="AD906" i="3"/>
  <c r="AE906" i="3"/>
  <c r="AF906" i="3"/>
  <c r="AG906" i="3"/>
  <c r="AI906" i="3"/>
  <c r="AJ906" i="3"/>
  <c r="AK906" i="3"/>
  <c r="AM906" i="3"/>
  <c r="AD907" i="3"/>
  <c r="AE907" i="3"/>
  <c r="AF907" i="3"/>
  <c r="AG907" i="3"/>
  <c r="AI907" i="3"/>
  <c r="AJ907" i="3"/>
  <c r="AK907" i="3"/>
  <c r="AM907" i="3"/>
  <c r="AD908" i="3"/>
  <c r="AE908" i="3"/>
  <c r="AF908" i="3"/>
  <c r="AG908" i="3"/>
  <c r="AI908" i="3"/>
  <c r="AJ908" i="3"/>
  <c r="AK908" i="3"/>
  <c r="AM908" i="3"/>
  <c r="AD909" i="3"/>
  <c r="AE909" i="3"/>
  <c r="AF909" i="3"/>
  <c r="AG909" i="3"/>
  <c r="AI909" i="3"/>
  <c r="AJ909" i="3"/>
  <c r="AK909" i="3"/>
  <c r="AM909" i="3"/>
  <c r="AD910" i="3"/>
  <c r="AE910" i="3"/>
  <c r="AF910" i="3"/>
  <c r="AG910" i="3"/>
  <c r="AI910" i="3"/>
  <c r="AJ910" i="3"/>
  <c r="AK910" i="3"/>
  <c r="AM910" i="3"/>
  <c r="AD911" i="3"/>
  <c r="AE911" i="3"/>
  <c r="AF911" i="3"/>
  <c r="AG911" i="3"/>
  <c r="AI911" i="3"/>
  <c r="AJ911" i="3"/>
  <c r="AK911" i="3"/>
  <c r="AM911" i="3"/>
  <c r="AD912" i="3"/>
  <c r="AE912" i="3"/>
  <c r="AF912" i="3"/>
  <c r="AG912" i="3"/>
  <c r="AI912" i="3"/>
  <c r="AJ912" i="3"/>
  <c r="AK912" i="3"/>
  <c r="AM912" i="3"/>
  <c r="AD913" i="3"/>
  <c r="AE913" i="3"/>
  <c r="AF913" i="3"/>
  <c r="AG913" i="3"/>
  <c r="AI913" i="3"/>
  <c r="AJ913" i="3"/>
  <c r="AK913" i="3"/>
  <c r="AM913" i="3"/>
  <c r="AD914" i="3"/>
  <c r="AE914" i="3"/>
  <c r="AF914" i="3"/>
  <c r="AG914" i="3"/>
  <c r="AI914" i="3"/>
  <c r="AJ914" i="3"/>
  <c r="AK914" i="3"/>
  <c r="AM914" i="3"/>
  <c r="AD915" i="3"/>
  <c r="AE915" i="3"/>
  <c r="AF915" i="3"/>
  <c r="AG915" i="3"/>
  <c r="AI915" i="3"/>
  <c r="AJ915" i="3"/>
  <c r="AK915" i="3"/>
  <c r="AM915" i="3"/>
  <c r="AD916" i="3"/>
  <c r="AE916" i="3"/>
  <c r="AF916" i="3"/>
  <c r="AG916" i="3"/>
  <c r="AI916" i="3"/>
  <c r="AJ916" i="3"/>
  <c r="AK916" i="3"/>
  <c r="AM916" i="3"/>
  <c r="AD917" i="3"/>
  <c r="AE917" i="3"/>
  <c r="AF917" i="3"/>
  <c r="AG917" i="3"/>
  <c r="AI917" i="3"/>
  <c r="AJ917" i="3"/>
  <c r="AK917" i="3"/>
  <c r="AM917" i="3"/>
  <c r="AD918" i="3"/>
  <c r="AE918" i="3"/>
  <c r="AF918" i="3"/>
  <c r="AG918" i="3"/>
  <c r="AI918" i="3"/>
  <c r="AJ918" i="3"/>
  <c r="AK918" i="3"/>
  <c r="AM918" i="3"/>
  <c r="AD919" i="3"/>
  <c r="AE919" i="3"/>
  <c r="AF919" i="3"/>
  <c r="AG919" i="3"/>
  <c r="AI919" i="3"/>
  <c r="AJ919" i="3"/>
  <c r="AK919" i="3"/>
  <c r="AM919" i="3"/>
  <c r="AD920" i="3"/>
  <c r="AE920" i="3"/>
  <c r="AF920" i="3"/>
  <c r="AG920" i="3"/>
  <c r="AI920" i="3"/>
  <c r="AJ920" i="3"/>
  <c r="AK920" i="3"/>
  <c r="AM920" i="3"/>
  <c r="AD921" i="3"/>
  <c r="AE921" i="3"/>
  <c r="AF921" i="3"/>
  <c r="AG921" i="3"/>
  <c r="AI921" i="3"/>
  <c r="AJ921" i="3"/>
  <c r="AK921" i="3"/>
  <c r="AM921" i="3"/>
  <c r="AD922" i="3"/>
  <c r="AE922" i="3"/>
  <c r="AF922" i="3"/>
  <c r="AG922" i="3"/>
  <c r="AI922" i="3"/>
  <c r="AJ922" i="3"/>
  <c r="AK922" i="3"/>
  <c r="AM922" i="3"/>
  <c r="AD923" i="3"/>
  <c r="AE923" i="3"/>
  <c r="AF923" i="3"/>
  <c r="AG923" i="3"/>
  <c r="AI923" i="3"/>
  <c r="AJ923" i="3"/>
  <c r="AK923" i="3"/>
  <c r="AM923" i="3"/>
  <c r="AD924" i="3"/>
  <c r="AE924" i="3"/>
  <c r="AF924" i="3"/>
  <c r="AG924" i="3"/>
  <c r="AI924" i="3"/>
  <c r="AJ924" i="3"/>
  <c r="AK924" i="3"/>
  <c r="AM924" i="3"/>
  <c r="AD925" i="3"/>
  <c r="AE925" i="3"/>
  <c r="AF925" i="3"/>
  <c r="AG925" i="3"/>
  <c r="AI925" i="3"/>
  <c r="AJ925" i="3"/>
  <c r="AK925" i="3"/>
  <c r="AM925" i="3"/>
  <c r="AD926" i="3"/>
  <c r="AE926" i="3"/>
  <c r="AF926" i="3"/>
  <c r="AG926" i="3"/>
  <c r="AI926" i="3"/>
  <c r="AJ926" i="3"/>
  <c r="AK926" i="3"/>
  <c r="AM926" i="3"/>
  <c r="AD927" i="3"/>
  <c r="AE927" i="3"/>
  <c r="AF927" i="3"/>
  <c r="AG927" i="3"/>
  <c r="AI927" i="3"/>
  <c r="AJ927" i="3"/>
  <c r="AK927" i="3"/>
  <c r="AM927" i="3"/>
  <c r="AD928" i="3"/>
  <c r="AE928" i="3"/>
  <c r="AF928" i="3"/>
  <c r="AG928" i="3"/>
  <c r="AI928" i="3"/>
  <c r="AJ928" i="3"/>
  <c r="AK928" i="3"/>
  <c r="AM928" i="3"/>
  <c r="AD929" i="3"/>
  <c r="AE929" i="3"/>
  <c r="AF929" i="3"/>
  <c r="AG929" i="3"/>
  <c r="AI929" i="3"/>
  <c r="AJ929" i="3"/>
  <c r="AK929" i="3"/>
  <c r="AM929" i="3"/>
  <c r="AD930" i="3"/>
  <c r="AE930" i="3"/>
  <c r="AF930" i="3"/>
  <c r="AG930" i="3"/>
  <c r="AI930" i="3"/>
  <c r="AJ930" i="3"/>
  <c r="AK930" i="3"/>
  <c r="AM930" i="3"/>
  <c r="AD931" i="3"/>
  <c r="AE931" i="3"/>
  <c r="AF931" i="3"/>
  <c r="AG931" i="3"/>
  <c r="AI931" i="3"/>
  <c r="AJ931" i="3"/>
  <c r="AK931" i="3"/>
  <c r="AM931" i="3"/>
  <c r="AD932" i="3"/>
  <c r="AE932" i="3"/>
  <c r="AF932" i="3"/>
  <c r="AG932" i="3"/>
  <c r="AI932" i="3"/>
  <c r="AJ932" i="3"/>
  <c r="AK932" i="3"/>
  <c r="AM932" i="3"/>
  <c r="AD933" i="3"/>
  <c r="AE933" i="3"/>
  <c r="AF933" i="3"/>
  <c r="AG933" i="3"/>
  <c r="AI933" i="3"/>
  <c r="AJ933" i="3"/>
  <c r="AK933" i="3"/>
  <c r="AM933" i="3"/>
  <c r="AD934" i="3"/>
  <c r="AE934" i="3"/>
  <c r="AF934" i="3"/>
  <c r="AG934" i="3"/>
  <c r="AI934" i="3"/>
  <c r="AJ934" i="3"/>
  <c r="AK934" i="3"/>
  <c r="AM934" i="3"/>
  <c r="AD935" i="3"/>
  <c r="AE935" i="3"/>
  <c r="AF935" i="3"/>
  <c r="AG935" i="3"/>
  <c r="AI935" i="3"/>
  <c r="AJ935" i="3"/>
  <c r="AK935" i="3"/>
  <c r="AM935" i="3"/>
  <c r="AD936" i="3"/>
  <c r="AE936" i="3"/>
  <c r="AF936" i="3"/>
  <c r="AG936" i="3"/>
  <c r="AI936" i="3"/>
  <c r="AJ936" i="3"/>
  <c r="AK936" i="3"/>
  <c r="AM936" i="3"/>
  <c r="AD937" i="3"/>
  <c r="AE937" i="3"/>
  <c r="AF937" i="3"/>
  <c r="AG937" i="3"/>
  <c r="AI937" i="3"/>
  <c r="AJ937" i="3"/>
  <c r="AK937" i="3"/>
  <c r="AM937" i="3"/>
  <c r="AD938" i="3"/>
  <c r="AE938" i="3"/>
  <c r="AF938" i="3"/>
  <c r="AG938" i="3"/>
  <c r="AI938" i="3"/>
  <c r="AJ938" i="3"/>
  <c r="AK938" i="3"/>
  <c r="AM938" i="3"/>
  <c r="AD939" i="3"/>
  <c r="AE939" i="3"/>
  <c r="AF939" i="3"/>
  <c r="AG939" i="3"/>
  <c r="AI939" i="3"/>
  <c r="AJ939" i="3"/>
  <c r="AK939" i="3"/>
  <c r="AM939" i="3"/>
  <c r="AD940" i="3"/>
  <c r="AE940" i="3"/>
  <c r="AF940" i="3"/>
  <c r="AG940" i="3"/>
  <c r="AI940" i="3"/>
  <c r="AJ940" i="3"/>
  <c r="AK940" i="3"/>
  <c r="AM940" i="3"/>
  <c r="AD941" i="3"/>
  <c r="AE941" i="3"/>
  <c r="AF941" i="3"/>
  <c r="AG941" i="3"/>
  <c r="AI941" i="3"/>
  <c r="AJ941" i="3"/>
  <c r="AK941" i="3"/>
  <c r="AM941" i="3"/>
  <c r="AD942" i="3"/>
  <c r="AE942" i="3"/>
  <c r="AF942" i="3"/>
  <c r="AG942" i="3"/>
  <c r="AI942" i="3"/>
  <c r="AJ942" i="3"/>
  <c r="AK942" i="3"/>
  <c r="AM942" i="3"/>
  <c r="AD943" i="3"/>
  <c r="AE943" i="3"/>
  <c r="AF943" i="3"/>
  <c r="AG943" i="3"/>
  <c r="AI943" i="3"/>
  <c r="AJ943" i="3"/>
  <c r="AK943" i="3"/>
  <c r="AM943" i="3"/>
  <c r="AD944" i="3"/>
  <c r="AE944" i="3"/>
  <c r="AF944" i="3"/>
  <c r="AG944" i="3"/>
  <c r="AI944" i="3"/>
  <c r="AJ944" i="3"/>
  <c r="AK944" i="3"/>
  <c r="AM944" i="3"/>
  <c r="AD945" i="3"/>
  <c r="AE945" i="3"/>
  <c r="AF945" i="3"/>
  <c r="AG945" i="3"/>
  <c r="AI945" i="3"/>
  <c r="AJ945" i="3"/>
  <c r="AK945" i="3"/>
  <c r="AM945" i="3"/>
  <c r="AD946" i="3"/>
  <c r="AE946" i="3"/>
  <c r="AF946" i="3"/>
  <c r="AG946" i="3"/>
  <c r="AI946" i="3"/>
  <c r="AJ946" i="3"/>
  <c r="AK946" i="3"/>
  <c r="AM946" i="3"/>
  <c r="AD947" i="3"/>
  <c r="AE947" i="3"/>
  <c r="AF947" i="3"/>
  <c r="AG947" i="3"/>
  <c r="AI947" i="3"/>
  <c r="AJ947" i="3"/>
  <c r="AK947" i="3"/>
  <c r="AM947" i="3"/>
  <c r="AD948" i="3"/>
  <c r="AE948" i="3"/>
  <c r="AF948" i="3"/>
  <c r="AG948" i="3"/>
  <c r="AI948" i="3"/>
  <c r="AJ948" i="3"/>
  <c r="AK948" i="3"/>
  <c r="AM948" i="3"/>
  <c r="AD949" i="3"/>
  <c r="AE949" i="3"/>
  <c r="AF949" i="3"/>
  <c r="AG949" i="3"/>
  <c r="AI949" i="3"/>
  <c r="AJ949" i="3"/>
  <c r="AK949" i="3"/>
  <c r="AM949" i="3"/>
  <c r="AD950" i="3"/>
  <c r="AE950" i="3"/>
  <c r="AF950" i="3"/>
  <c r="AG950" i="3"/>
  <c r="AI950" i="3"/>
  <c r="AJ950" i="3"/>
  <c r="AK950" i="3"/>
  <c r="AM950" i="3"/>
  <c r="AD951" i="3"/>
  <c r="AE951" i="3"/>
  <c r="AF951" i="3"/>
  <c r="AG951" i="3"/>
  <c r="AI951" i="3"/>
  <c r="AJ951" i="3"/>
  <c r="AK951" i="3"/>
  <c r="AM951" i="3"/>
  <c r="AD952" i="3"/>
  <c r="AE952" i="3"/>
  <c r="AF952" i="3"/>
  <c r="AG952" i="3"/>
  <c r="AI952" i="3"/>
  <c r="AJ952" i="3"/>
  <c r="AK952" i="3"/>
  <c r="AM952" i="3"/>
  <c r="AD953" i="3"/>
  <c r="AE953" i="3"/>
  <c r="AF953" i="3"/>
  <c r="AG953" i="3"/>
  <c r="AI953" i="3"/>
  <c r="AJ953" i="3"/>
  <c r="AK953" i="3"/>
  <c r="AM953" i="3"/>
  <c r="AD954" i="3"/>
  <c r="AE954" i="3"/>
  <c r="AF954" i="3"/>
  <c r="AG954" i="3"/>
  <c r="AI954" i="3"/>
  <c r="AJ954" i="3"/>
  <c r="AK954" i="3"/>
  <c r="AM954" i="3"/>
  <c r="AD955" i="3"/>
  <c r="AE955" i="3"/>
  <c r="AF955" i="3"/>
  <c r="AG955" i="3"/>
  <c r="AI955" i="3"/>
  <c r="AJ955" i="3"/>
  <c r="AK955" i="3"/>
  <c r="AM955" i="3"/>
  <c r="AD956" i="3"/>
  <c r="AE956" i="3"/>
  <c r="AF956" i="3"/>
  <c r="AG956" i="3"/>
  <c r="AI956" i="3"/>
  <c r="AJ956" i="3"/>
  <c r="AK956" i="3"/>
  <c r="AM956" i="3"/>
  <c r="AD957" i="3"/>
  <c r="AE957" i="3"/>
  <c r="AF957" i="3"/>
  <c r="AG957" i="3"/>
  <c r="AI957" i="3"/>
  <c r="AJ957" i="3"/>
  <c r="AK957" i="3"/>
  <c r="AM957" i="3"/>
  <c r="AD958" i="3"/>
  <c r="AE958" i="3"/>
  <c r="AF958" i="3"/>
  <c r="AG958" i="3"/>
  <c r="AI958" i="3"/>
  <c r="AJ958" i="3"/>
  <c r="AK958" i="3"/>
  <c r="AM958" i="3"/>
  <c r="AD959" i="3"/>
  <c r="AE959" i="3"/>
  <c r="AF959" i="3"/>
  <c r="AG959" i="3"/>
  <c r="AI959" i="3"/>
  <c r="AJ959" i="3"/>
  <c r="AK959" i="3"/>
  <c r="AM959" i="3"/>
  <c r="AD960" i="3"/>
  <c r="AE960" i="3"/>
  <c r="AF960" i="3"/>
  <c r="AG960" i="3"/>
  <c r="AI960" i="3"/>
  <c r="AJ960" i="3"/>
  <c r="AK960" i="3"/>
  <c r="AM960" i="3"/>
  <c r="AD961" i="3"/>
  <c r="AE961" i="3"/>
  <c r="AF961" i="3"/>
  <c r="AG961" i="3"/>
  <c r="AI961" i="3"/>
  <c r="AJ961" i="3"/>
  <c r="AK961" i="3"/>
  <c r="AM961" i="3"/>
  <c r="AD962" i="3"/>
  <c r="AE962" i="3"/>
  <c r="AF962" i="3"/>
  <c r="AG962" i="3"/>
  <c r="AI962" i="3"/>
  <c r="AJ962" i="3"/>
  <c r="AK962" i="3"/>
  <c r="AM962" i="3"/>
  <c r="AD963" i="3"/>
  <c r="AE963" i="3"/>
  <c r="AF963" i="3"/>
  <c r="AG963" i="3"/>
  <c r="AI963" i="3"/>
  <c r="AJ963" i="3"/>
  <c r="AK963" i="3"/>
  <c r="AM963" i="3"/>
  <c r="AD964" i="3"/>
  <c r="AE964" i="3"/>
  <c r="AF964" i="3"/>
  <c r="AG964" i="3"/>
  <c r="AI964" i="3"/>
  <c r="AJ964" i="3"/>
  <c r="AK964" i="3"/>
  <c r="AM964" i="3"/>
  <c r="AD965" i="3"/>
  <c r="AE965" i="3"/>
  <c r="AF965" i="3"/>
  <c r="AG965" i="3"/>
  <c r="AI965" i="3"/>
  <c r="AJ965" i="3"/>
  <c r="AK965" i="3"/>
  <c r="AM965" i="3"/>
  <c r="AD966" i="3"/>
  <c r="AE966" i="3"/>
  <c r="AF966" i="3"/>
  <c r="AG966" i="3"/>
  <c r="AI966" i="3"/>
  <c r="AJ966" i="3"/>
  <c r="AK966" i="3"/>
  <c r="AM966" i="3"/>
  <c r="AD967" i="3"/>
  <c r="AE967" i="3"/>
  <c r="AF967" i="3"/>
  <c r="AG967" i="3"/>
  <c r="AI967" i="3"/>
  <c r="AJ967" i="3"/>
  <c r="AK967" i="3"/>
  <c r="AM967" i="3"/>
  <c r="AD968" i="3"/>
  <c r="AE968" i="3"/>
  <c r="AF968" i="3"/>
  <c r="AG968" i="3"/>
  <c r="AI968" i="3"/>
  <c r="AJ968" i="3"/>
  <c r="AK968" i="3"/>
  <c r="AM968" i="3"/>
  <c r="AD969" i="3"/>
  <c r="AE969" i="3"/>
  <c r="AF969" i="3"/>
  <c r="AG969" i="3"/>
  <c r="AI969" i="3"/>
  <c r="AJ969" i="3"/>
  <c r="AK969" i="3"/>
  <c r="AM969" i="3"/>
  <c r="AD970" i="3"/>
  <c r="AE970" i="3"/>
  <c r="AF970" i="3"/>
  <c r="AG970" i="3"/>
  <c r="AI970" i="3"/>
  <c r="AJ970" i="3"/>
  <c r="AK970" i="3"/>
  <c r="AM970" i="3"/>
  <c r="AD971" i="3"/>
  <c r="AE971" i="3"/>
  <c r="AF971" i="3"/>
  <c r="AG971" i="3"/>
  <c r="AI971" i="3"/>
  <c r="AJ971" i="3"/>
  <c r="AK971" i="3"/>
  <c r="AM971" i="3"/>
  <c r="AD972" i="3"/>
  <c r="AE972" i="3"/>
  <c r="AF972" i="3"/>
  <c r="AG972" i="3"/>
  <c r="AI972" i="3"/>
  <c r="AJ972" i="3"/>
  <c r="AK972" i="3"/>
  <c r="AM972" i="3"/>
  <c r="AD973" i="3"/>
  <c r="AE973" i="3"/>
  <c r="AF973" i="3"/>
  <c r="AG973" i="3"/>
  <c r="AI973" i="3"/>
  <c r="AJ973" i="3"/>
  <c r="AK973" i="3"/>
  <c r="AM973" i="3"/>
  <c r="AD974" i="3"/>
  <c r="AE974" i="3"/>
  <c r="AF974" i="3"/>
  <c r="AG974" i="3"/>
  <c r="AI974" i="3"/>
  <c r="AJ974" i="3"/>
  <c r="AK974" i="3"/>
  <c r="AM974" i="3"/>
  <c r="AD975" i="3"/>
  <c r="AE975" i="3"/>
  <c r="AF975" i="3"/>
  <c r="AG975" i="3"/>
  <c r="AI975" i="3"/>
  <c r="AJ975" i="3"/>
  <c r="AK975" i="3"/>
  <c r="AM975" i="3"/>
  <c r="AD976" i="3"/>
  <c r="AE976" i="3"/>
  <c r="AF976" i="3"/>
  <c r="AG976" i="3"/>
  <c r="AI976" i="3"/>
  <c r="AJ976" i="3"/>
  <c r="AK976" i="3"/>
  <c r="AM976" i="3"/>
  <c r="AD977" i="3"/>
  <c r="AE977" i="3"/>
  <c r="AF977" i="3"/>
  <c r="AG977" i="3"/>
  <c r="AI977" i="3"/>
  <c r="AJ977" i="3"/>
  <c r="AK977" i="3"/>
  <c r="AM977" i="3"/>
  <c r="AD978" i="3"/>
  <c r="AE978" i="3"/>
  <c r="AF978" i="3"/>
  <c r="AG978" i="3"/>
  <c r="AI978" i="3"/>
  <c r="AJ978" i="3"/>
  <c r="AK978" i="3"/>
  <c r="AM978" i="3"/>
  <c r="AD979" i="3"/>
  <c r="AE979" i="3"/>
  <c r="AF979" i="3"/>
  <c r="AG979" i="3"/>
  <c r="AI979" i="3"/>
  <c r="AJ979" i="3"/>
  <c r="AK979" i="3"/>
  <c r="AM979" i="3"/>
  <c r="AD980" i="3"/>
  <c r="AE980" i="3"/>
  <c r="AF980" i="3"/>
  <c r="AG980" i="3"/>
  <c r="AI980" i="3"/>
  <c r="AJ980" i="3"/>
  <c r="AK980" i="3"/>
  <c r="AM980" i="3"/>
  <c r="AD981" i="3"/>
  <c r="AE981" i="3"/>
  <c r="AF981" i="3"/>
  <c r="AG981" i="3"/>
  <c r="AI981" i="3"/>
  <c r="AJ981" i="3"/>
  <c r="AK981" i="3"/>
  <c r="AM981" i="3"/>
  <c r="AD982" i="3"/>
  <c r="AE982" i="3"/>
  <c r="AF982" i="3"/>
  <c r="AG982" i="3"/>
  <c r="AI982" i="3"/>
  <c r="AJ982" i="3"/>
  <c r="AK982" i="3"/>
  <c r="AM982" i="3"/>
  <c r="AD983" i="3"/>
  <c r="AE983" i="3"/>
  <c r="AF983" i="3"/>
  <c r="AG983" i="3"/>
  <c r="AI983" i="3"/>
  <c r="AJ983" i="3"/>
  <c r="AK983" i="3"/>
  <c r="AM983" i="3"/>
  <c r="AD984" i="3"/>
  <c r="AE984" i="3"/>
  <c r="AF984" i="3"/>
  <c r="AG984" i="3"/>
  <c r="AI984" i="3"/>
  <c r="AJ984" i="3"/>
  <c r="AK984" i="3"/>
  <c r="AM984" i="3"/>
  <c r="AD985" i="3"/>
  <c r="AE985" i="3"/>
  <c r="AF985" i="3"/>
  <c r="AG985" i="3"/>
  <c r="AI985" i="3"/>
  <c r="AJ985" i="3"/>
  <c r="AK985" i="3"/>
  <c r="AM985" i="3"/>
  <c r="AD986" i="3"/>
  <c r="AE986" i="3"/>
  <c r="AF986" i="3"/>
  <c r="AG986" i="3"/>
  <c r="AI986" i="3"/>
  <c r="AJ986" i="3"/>
  <c r="AK986" i="3"/>
  <c r="AM986" i="3"/>
  <c r="AD987" i="3"/>
  <c r="AE987" i="3"/>
  <c r="AF987" i="3"/>
  <c r="AG987" i="3"/>
  <c r="AI987" i="3"/>
  <c r="AJ987" i="3"/>
  <c r="AK987" i="3"/>
  <c r="AM987" i="3"/>
  <c r="AD988" i="3"/>
  <c r="AE988" i="3"/>
  <c r="AF988" i="3"/>
  <c r="AG988" i="3"/>
  <c r="AI988" i="3"/>
  <c r="AJ988" i="3"/>
  <c r="AK988" i="3"/>
  <c r="AM988" i="3"/>
  <c r="AD989" i="3"/>
  <c r="AE989" i="3"/>
  <c r="AF989" i="3"/>
  <c r="AG989" i="3"/>
  <c r="AI989" i="3"/>
  <c r="AJ989" i="3"/>
  <c r="AK989" i="3"/>
  <c r="AM989" i="3"/>
  <c r="AD990" i="3"/>
  <c r="AE990" i="3"/>
  <c r="AF990" i="3"/>
  <c r="AG990" i="3"/>
  <c r="AI990" i="3"/>
  <c r="AJ990" i="3"/>
  <c r="AK990" i="3"/>
  <c r="AM990" i="3"/>
  <c r="AD991" i="3"/>
  <c r="AE991" i="3"/>
  <c r="AF991" i="3"/>
  <c r="AG991" i="3"/>
  <c r="AI991" i="3"/>
  <c r="AJ991" i="3"/>
  <c r="AK991" i="3"/>
  <c r="AM991" i="3"/>
  <c r="AD992" i="3"/>
  <c r="AE992" i="3"/>
  <c r="AF992" i="3"/>
  <c r="AG992" i="3"/>
  <c r="AI992" i="3"/>
  <c r="AJ992" i="3"/>
  <c r="AK992" i="3"/>
  <c r="AM992" i="3"/>
  <c r="AD993" i="3"/>
  <c r="AE993" i="3"/>
  <c r="AF993" i="3"/>
  <c r="AG993" i="3"/>
  <c r="AI993" i="3"/>
  <c r="AJ993" i="3"/>
  <c r="AK993" i="3"/>
  <c r="AM993" i="3"/>
  <c r="AD994" i="3"/>
  <c r="AE994" i="3"/>
  <c r="AF994" i="3"/>
  <c r="AG994" i="3"/>
  <c r="AI994" i="3"/>
  <c r="AJ994" i="3"/>
  <c r="AK994" i="3"/>
  <c r="AM994" i="3"/>
  <c r="AD995" i="3"/>
  <c r="AE995" i="3"/>
  <c r="AF995" i="3"/>
  <c r="AG995" i="3"/>
  <c r="AI995" i="3"/>
  <c r="AJ995" i="3"/>
  <c r="AK995" i="3"/>
  <c r="AM995" i="3"/>
  <c r="AD996" i="3"/>
  <c r="AE996" i="3"/>
  <c r="AF996" i="3"/>
  <c r="AG996" i="3"/>
  <c r="AI996" i="3"/>
  <c r="AJ996" i="3"/>
  <c r="AK996" i="3"/>
  <c r="AM996" i="3"/>
  <c r="AD997" i="3"/>
  <c r="AE997" i="3"/>
  <c r="AF997" i="3"/>
  <c r="AG997" i="3"/>
  <c r="AI997" i="3"/>
  <c r="AJ997" i="3"/>
  <c r="AK997" i="3"/>
  <c r="AM997" i="3"/>
  <c r="AD998" i="3"/>
  <c r="AE998" i="3"/>
  <c r="AF998" i="3"/>
  <c r="AG998" i="3"/>
  <c r="AI998" i="3"/>
  <c r="AJ998" i="3"/>
  <c r="AK998" i="3"/>
  <c r="AM998" i="3"/>
  <c r="AD999" i="3"/>
  <c r="AE999" i="3"/>
  <c r="AF999" i="3"/>
  <c r="AG999" i="3"/>
  <c r="AI999" i="3"/>
  <c r="AJ999" i="3"/>
  <c r="AK999" i="3"/>
  <c r="AM999" i="3"/>
  <c r="AD1000" i="3"/>
  <c r="AE1000" i="3"/>
  <c r="AF1000" i="3"/>
  <c r="AG1000" i="3"/>
  <c r="AI1000" i="3"/>
  <c r="AJ1000" i="3"/>
  <c r="AK1000" i="3"/>
  <c r="AM1000" i="3"/>
  <c r="AD1001" i="3"/>
  <c r="AE1001" i="3"/>
  <c r="AF1001" i="3"/>
  <c r="AG1001" i="3"/>
  <c r="AI1001" i="3"/>
  <c r="AJ1001" i="3"/>
  <c r="AK1001" i="3"/>
  <c r="AM1001" i="3"/>
  <c r="AD1002" i="3"/>
  <c r="AE1002" i="3"/>
  <c r="AF1002" i="3"/>
  <c r="AG1002" i="3"/>
  <c r="AI1002" i="3"/>
  <c r="AJ1002" i="3"/>
  <c r="AK1002" i="3"/>
  <c r="AM1002" i="3"/>
  <c r="AD1003" i="3"/>
  <c r="AE1003" i="3"/>
  <c r="AF1003" i="3"/>
  <c r="AG1003" i="3"/>
  <c r="AI1003" i="3"/>
  <c r="AJ1003" i="3"/>
  <c r="AK1003" i="3"/>
  <c r="AM1003" i="3"/>
  <c r="AD1004" i="3"/>
  <c r="AE1004" i="3"/>
  <c r="AF1004" i="3"/>
  <c r="AG1004" i="3"/>
  <c r="AI1004" i="3"/>
  <c r="AJ1004" i="3"/>
  <c r="AK1004" i="3"/>
  <c r="AM1004" i="3"/>
  <c r="AD1005" i="3"/>
  <c r="AE1005" i="3"/>
  <c r="AF1005" i="3"/>
  <c r="AG1005" i="3"/>
  <c r="AI1005" i="3"/>
  <c r="AJ1005" i="3"/>
  <c r="AK1005" i="3"/>
  <c r="AM1005" i="3"/>
  <c r="AD1006" i="3"/>
  <c r="AE1006" i="3"/>
  <c r="AF1006" i="3"/>
  <c r="AG1006" i="3"/>
  <c r="AI1006" i="3"/>
  <c r="AJ1006" i="3"/>
  <c r="AK1006" i="3"/>
  <c r="AM1006" i="3"/>
  <c r="AD1007" i="3"/>
  <c r="AE1007" i="3"/>
  <c r="AF1007" i="3"/>
  <c r="AG1007" i="3"/>
  <c r="AI1007" i="3"/>
  <c r="AJ1007" i="3"/>
  <c r="AK1007" i="3"/>
  <c r="AM1007" i="3"/>
  <c r="AD1008" i="3"/>
  <c r="AE1008" i="3"/>
  <c r="AF1008" i="3"/>
  <c r="AG1008" i="3"/>
  <c r="AI1008" i="3"/>
  <c r="AJ1008" i="3"/>
  <c r="AK1008" i="3"/>
  <c r="AM1008" i="3"/>
  <c r="AD1009" i="3"/>
  <c r="AE1009" i="3"/>
  <c r="AF1009" i="3"/>
  <c r="AG1009" i="3"/>
  <c r="AI1009" i="3"/>
  <c r="AJ1009" i="3"/>
  <c r="AK1009" i="3"/>
  <c r="AM1009" i="3"/>
  <c r="AD1010" i="3"/>
  <c r="AE1010" i="3"/>
  <c r="AF1010" i="3"/>
  <c r="AG1010" i="3"/>
  <c r="AI1010" i="3"/>
  <c r="AJ1010" i="3"/>
  <c r="AK1010" i="3"/>
  <c r="AM1010" i="3"/>
  <c r="AD1011" i="3"/>
  <c r="AE1011" i="3"/>
  <c r="AF1011" i="3"/>
  <c r="AG1011" i="3"/>
  <c r="AI1011" i="3"/>
  <c r="AJ1011" i="3"/>
  <c r="AK1011" i="3"/>
  <c r="AM1011" i="3"/>
  <c r="AD1012" i="3"/>
  <c r="AE1012" i="3"/>
  <c r="AF1012" i="3"/>
  <c r="AG1012" i="3"/>
  <c r="AI1012" i="3"/>
  <c r="AJ1012" i="3"/>
  <c r="AK1012" i="3"/>
  <c r="AM1012" i="3"/>
  <c r="AD1013" i="3"/>
  <c r="AE1013" i="3"/>
  <c r="AF1013" i="3"/>
  <c r="AG1013" i="3"/>
  <c r="AI1013" i="3"/>
  <c r="AJ1013" i="3"/>
  <c r="AK1013" i="3"/>
  <c r="AM1013" i="3"/>
  <c r="AD1014" i="3"/>
  <c r="AE1014" i="3"/>
  <c r="AF1014" i="3"/>
  <c r="AG1014" i="3"/>
  <c r="AI1014" i="3"/>
  <c r="AJ1014" i="3"/>
  <c r="AK1014" i="3"/>
  <c r="AM1014" i="3"/>
  <c r="AD1015" i="3"/>
  <c r="AE1015" i="3"/>
  <c r="AF1015" i="3"/>
  <c r="AG1015" i="3"/>
  <c r="AI1015" i="3"/>
  <c r="AJ1015" i="3"/>
  <c r="AK1015" i="3"/>
  <c r="AM1015" i="3"/>
  <c r="AD1016" i="3"/>
  <c r="AE1016" i="3"/>
  <c r="AF1016" i="3"/>
  <c r="AG1016" i="3"/>
  <c r="AI1016" i="3"/>
  <c r="AJ1016" i="3"/>
  <c r="AK1016" i="3"/>
  <c r="AM1016" i="3"/>
  <c r="AD1017" i="3"/>
  <c r="AE1017" i="3"/>
  <c r="AF1017" i="3"/>
  <c r="AG1017" i="3"/>
  <c r="AI1017" i="3"/>
  <c r="AJ1017" i="3"/>
  <c r="AK1017" i="3"/>
  <c r="AM1017" i="3"/>
  <c r="AD1018" i="3"/>
  <c r="AE1018" i="3"/>
  <c r="AF1018" i="3"/>
  <c r="AG1018" i="3"/>
  <c r="AI1018" i="3"/>
  <c r="AJ1018" i="3"/>
  <c r="AK1018" i="3"/>
  <c r="AM1018" i="3"/>
  <c r="AD1019" i="3"/>
  <c r="AE1019" i="3"/>
  <c r="AF1019" i="3"/>
  <c r="AG1019" i="3"/>
  <c r="AI1019" i="3"/>
  <c r="AJ1019" i="3"/>
  <c r="AK1019" i="3"/>
  <c r="AM1019" i="3"/>
  <c r="AD1020" i="3"/>
  <c r="AE1020" i="3"/>
  <c r="AF1020" i="3"/>
  <c r="AG1020" i="3"/>
  <c r="AI1020" i="3"/>
  <c r="AJ1020" i="3"/>
  <c r="AK1020" i="3"/>
  <c r="AM1020" i="3"/>
  <c r="AD1021" i="3"/>
  <c r="AE1021" i="3"/>
  <c r="AF1021" i="3"/>
  <c r="AG1021" i="3"/>
  <c r="AI1021" i="3"/>
  <c r="AJ1021" i="3"/>
  <c r="AK1021" i="3"/>
  <c r="AM1021" i="3"/>
  <c r="AD1022" i="3"/>
  <c r="AE1022" i="3"/>
  <c r="AF1022" i="3"/>
  <c r="AG1022" i="3"/>
  <c r="AI1022" i="3"/>
  <c r="AJ1022" i="3"/>
  <c r="AK1022" i="3"/>
  <c r="AM1022" i="3"/>
  <c r="AD1023" i="3"/>
  <c r="AE1023" i="3"/>
  <c r="AF1023" i="3"/>
  <c r="AG1023" i="3"/>
  <c r="AI1023" i="3"/>
  <c r="AJ1023" i="3"/>
  <c r="AK1023" i="3"/>
  <c r="AM1023" i="3"/>
  <c r="AD1024" i="3"/>
  <c r="AE1024" i="3"/>
  <c r="AF1024" i="3"/>
  <c r="AG1024" i="3"/>
  <c r="AI1024" i="3"/>
  <c r="AJ1024" i="3"/>
  <c r="AK1024" i="3"/>
  <c r="AM1024" i="3"/>
  <c r="AD1025" i="3"/>
  <c r="AE1025" i="3"/>
  <c r="AF1025" i="3"/>
  <c r="AG1025" i="3"/>
  <c r="AI1025" i="3"/>
  <c r="AJ1025" i="3"/>
  <c r="AK1025" i="3"/>
  <c r="AM1025" i="3"/>
  <c r="AD1026" i="3"/>
  <c r="AE1026" i="3"/>
  <c r="AF1026" i="3"/>
  <c r="AG1026" i="3"/>
  <c r="AI1026" i="3"/>
  <c r="AJ1026" i="3"/>
  <c r="AK1026" i="3"/>
  <c r="AM1026" i="3"/>
  <c r="AD1027" i="3"/>
  <c r="AE1027" i="3"/>
  <c r="AF1027" i="3"/>
  <c r="AG1027" i="3"/>
  <c r="AI1027" i="3"/>
  <c r="AJ1027" i="3"/>
  <c r="AK1027" i="3"/>
  <c r="AM1027" i="3"/>
  <c r="AD1028" i="3"/>
  <c r="AE1028" i="3"/>
  <c r="AF1028" i="3"/>
  <c r="AG1028" i="3"/>
  <c r="AI1028" i="3"/>
  <c r="AJ1028" i="3"/>
  <c r="AK1028" i="3"/>
  <c r="AM1028" i="3"/>
  <c r="AD1029" i="3"/>
  <c r="AE1029" i="3"/>
  <c r="AF1029" i="3"/>
  <c r="AG1029" i="3"/>
  <c r="AI1029" i="3"/>
  <c r="AJ1029" i="3"/>
  <c r="AK1029" i="3"/>
  <c r="AM1029" i="3"/>
  <c r="AD1030" i="3"/>
  <c r="AE1030" i="3"/>
  <c r="AF1030" i="3"/>
  <c r="AG1030" i="3"/>
  <c r="AI1030" i="3"/>
  <c r="AJ1030" i="3"/>
  <c r="AK1030" i="3"/>
  <c r="AM1030" i="3"/>
  <c r="AD1031" i="3"/>
  <c r="AE1031" i="3"/>
  <c r="AF1031" i="3"/>
  <c r="AG1031" i="3"/>
  <c r="AI1031" i="3"/>
  <c r="AJ1031" i="3"/>
  <c r="AK1031" i="3"/>
  <c r="AM1031" i="3"/>
  <c r="AD1032" i="3"/>
  <c r="AE1032" i="3"/>
  <c r="AF1032" i="3"/>
  <c r="AG1032" i="3"/>
  <c r="AI1032" i="3"/>
  <c r="AJ1032" i="3"/>
  <c r="AK1032" i="3"/>
  <c r="AM1032" i="3"/>
  <c r="AD1033" i="3"/>
  <c r="AE1033" i="3"/>
  <c r="AF1033" i="3"/>
  <c r="AG1033" i="3"/>
  <c r="AI1033" i="3"/>
  <c r="AJ1033" i="3"/>
  <c r="AK1033" i="3"/>
  <c r="AM1033" i="3"/>
  <c r="AD1034" i="3"/>
  <c r="AE1034" i="3"/>
  <c r="AF1034" i="3"/>
  <c r="AG1034" i="3"/>
  <c r="AI1034" i="3"/>
  <c r="AJ1034" i="3"/>
  <c r="AK1034" i="3"/>
  <c r="AM1034" i="3"/>
  <c r="AD1035" i="3"/>
  <c r="AE1035" i="3"/>
  <c r="AF1035" i="3"/>
  <c r="AG1035" i="3"/>
  <c r="AI1035" i="3"/>
  <c r="AJ1035" i="3"/>
  <c r="AK1035" i="3"/>
  <c r="AM1035" i="3"/>
  <c r="AD1036" i="3"/>
  <c r="AE1036" i="3"/>
  <c r="AF1036" i="3"/>
  <c r="AG1036" i="3"/>
  <c r="AI1036" i="3"/>
  <c r="AJ1036" i="3"/>
  <c r="AK1036" i="3"/>
  <c r="AM1036" i="3"/>
  <c r="AD1037" i="3"/>
  <c r="AE1037" i="3"/>
  <c r="AF1037" i="3"/>
  <c r="AG1037" i="3"/>
  <c r="AI1037" i="3"/>
  <c r="AJ1037" i="3"/>
  <c r="AK1037" i="3"/>
  <c r="AM1037" i="3"/>
  <c r="AD1038" i="3"/>
  <c r="AE1038" i="3"/>
  <c r="AF1038" i="3"/>
  <c r="AG1038" i="3"/>
  <c r="AI1038" i="3"/>
  <c r="AJ1038" i="3"/>
  <c r="AK1038" i="3"/>
  <c r="AM1038" i="3"/>
  <c r="AD1039" i="3"/>
  <c r="AE1039" i="3"/>
  <c r="AF1039" i="3"/>
  <c r="AG1039" i="3"/>
  <c r="AI1039" i="3"/>
  <c r="AJ1039" i="3"/>
  <c r="AK1039" i="3"/>
  <c r="AM1039" i="3"/>
  <c r="AD1040" i="3"/>
  <c r="AE1040" i="3"/>
  <c r="AF1040" i="3"/>
  <c r="AG1040" i="3"/>
  <c r="AI1040" i="3"/>
  <c r="AJ1040" i="3"/>
  <c r="AK1040" i="3"/>
  <c r="AM1040" i="3"/>
  <c r="AD1041" i="3"/>
  <c r="AE1041" i="3"/>
  <c r="AF1041" i="3"/>
  <c r="AG1041" i="3"/>
  <c r="AI1041" i="3"/>
  <c r="AJ1041" i="3"/>
  <c r="AK1041" i="3"/>
  <c r="AM1041" i="3"/>
  <c r="AD1042" i="3"/>
  <c r="AE1042" i="3"/>
  <c r="AF1042" i="3"/>
  <c r="AG1042" i="3"/>
  <c r="AI1042" i="3"/>
  <c r="AJ1042" i="3"/>
  <c r="AK1042" i="3"/>
  <c r="AM1042" i="3"/>
  <c r="AD1043" i="3"/>
  <c r="AE1043" i="3"/>
  <c r="AF1043" i="3"/>
  <c r="AG1043" i="3"/>
  <c r="AI1043" i="3"/>
  <c r="AJ1043" i="3"/>
  <c r="AK1043" i="3"/>
  <c r="AM1043" i="3"/>
  <c r="AD1044" i="3"/>
  <c r="AE1044" i="3"/>
  <c r="AF1044" i="3"/>
  <c r="AG1044" i="3"/>
  <c r="AI1044" i="3"/>
  <c r="AJ1044" i="3"/>
  <c r="AK1044" i="3"/>
  <c r="AM1044" i="3"/>
  <c r="AD1045" i="3"/>
  <c r="AE1045" i="3"/>
  <c r="AF1045" i="3"/>
  <c r="AG1045" i="3"/>
  <c r="AI1045" i="3"/>
  <c r="AJ1045" i="3"/>
  <c r="AK1045" i="3"/>
  <c r="AM1045" i="3"/>
  <c r="AD1046" i="3"/>
  <c r="AE1046" i="3"/>
  <c r="AF1046" i="3"/>
  <c r="AG1046" i="3"/>
  <c r="AI1046" i="3"/>
  <c r="AJ1046" i="3"/>
  <c r="AK1046" i="3"/>
  <c r="AM1046" i="3"/>
  <c r="AD1047" i="3"/>
  <c r="AE1047" i="3"/>
  <c r="AF1047" i="3"/>
  <c r="AG1047" i="3"/>
  <c r="AI1047" i="3"/>
  <c r="AJ1047" i="3"/>
  <c r="AK1047" i="3"/>
  <c r="AM1047" i="3"/>
  <c r="AD1048" i="3"/>
  <c r="AE1048" i="3"/>
  <c r="AF1048" i="3"/>
  <c r="AG1048" i="3"/>
  <c r="AI1048" i="3"/>
  <c r="AJ1048" i="3"/>
  <c r="AK1048" i="3"/>
  <c r="AM1048" i="3"/>
  <c r="AD1049" i="3"/>
  <c r="AE1049" i="3"/>
  <c r="AF1049" i="3"/>
  <c r="AG1049" i="3"/>
  <c r="AI1049" i="3"/>
  <c r="AJ1049" i="3"/>
  <c r="AK1049" i="3"/>
  <c r="AM1049" i="3"/>
  <c r="AD1050" i="3"/>
  <c r="AE1050" i="3"/>
  <c r="AF1050" i="3"/>
  <c r="AG1050" i="3"/>
  <c r="AI1050" i="3"/>
  <c r="AJ1050" i="3"/>
  <c r="AK1050" i="3"/>
  <c r="AM1050" i="3"/>
  <c r="AD1051" i="3"/>
  <c r="AE1051" i="3"/>
  <c r="AF1051" i="3"/>
  <c r="AG1051" i="3"/>
  <c r="AI1051" i="3"/>
  <c r="AJ1051" i="3"/>
  <c r="AK1051" i="3"/>
  <c r="AM1051" i="3"/>
  <c r="AD1052" i="3"/>
  <c r="AE1052" i="3"/>
  <c r="AF1052" i="3"/>
  <c r="AG1052" i="3"/>
  <c r="AI1052" i="3"/>
  <c r="AJ1052" i="3"/>
  <c r="AK1052" i="3"/>
  <c r="AM1052" i="3"/>
  <c r="AD1053" i="3"/>
  <c r="AE1053" i="3"/>
  <c r="AF1053" i="3"/>
  <c r="AG1053" i="3"/>
  <c r="AI1053" i="3"/>
  <c r="AJ1053" i="3"/>
  <c r="AK1053" i="3"/>
  <c r="AM1053" i="3"/>
  <c r="AD1054" i="3"/>
  <c r="AE1054" i="3"/>
  <c r="AF1054" i="3"/>
  <c r="AG1054" i="3"/>
  <c r="AI1054" i="3"/>
  <c r="AJ1054" i="3"/>
  <c r="AK1054" i="3"/>
  <c r="AM1054" i="3"/>
  <c r="AD1055" i="3"/>
  <c r="AE1055" i="3"/>
  <c r="AF1055" i="3"/>
  <c r="AG1055" i="3"/>
  <c r="AI1055" i="3"/>
  <c r="AJ1055" i="3"/>
  <c r="AK1055" i="3"/>
  <c r="AM1055" i="3"/>
  <c r="AD1056" i="3"/>
  <c r="AE1056" i="3"/>
  <c r="AF1056" i="3"/>
  <c r="AG1056" i="3"/>
  <c r="AI1056" i="3"/>
  <c r="AJ1056" i="3"/>
  <c r="AK1056" i="3"/>
  <c r="AM1056" i="3"/>
  <c r="AD1057" i="3"/>
  <c r="AE1057" i="3"/>
  <c r="AF1057" i="3"/>
  <c r="AG1057" i="3"/>
  <c r="AI1057" i="3"/>
  <c r="AJ1057" i="3"/>
  <c r="AK1057" i="3"/>
  <c r="AM1057" i="3"/>
  <c r="AD1058" i="3"/>
  <c r="AE1058" i="3"/>
  <c r="AF1058" i="3"/>
  <c r="AG1058" i="3"/>
  <c r="AI1058" i="3"/>
  <c r="AJ1058" i="3"/>
  <c r="AK1058" i="3"/>
  <c r="AM1058" i="3"/>
  <c r="AD1059" i="3"/>
  <c r="AE1059" i="3"/>
  <c r="AF1059" i="3"/>
  <c r="AG1059" i="3"/>
  <c r="AI1059" i="3"/>
  <c r="AJ1059" i="3"/>
  <c r="AK1059" i="3"/>
  <c r="AM1059" i="3"/>
  <c r="AD1060" i="3"/>
  <c r="AE1060" i="3"/>
  <c r="AF1060" i="3"/>
  <c r="AG1060" i="3"/>
  <c r="AI1060" i="3"/>
  <c r="AJ1060" i="3"/>
  <c r="AK1060" i="3"/>
  <c r="AM1060" i="3"/>
  <c r="AD1061" i="3"/>
  <c r="AE1061" i="3"/>
  <c r="AF1061" i="3"/>
  <c r="AG1061" i="3"/>
  <c r="AI1061" i="3"/>
  <c r="AJ1061" i="3"/>
  <c r="AK1061" i="3"/>
  <c r="AM1061" i="3"/>
  <c r="AD1062" i="3"/>
  <c r="AE1062" i="3"/>
  <c r="AF1062" i="3"/>
  <c r="AG1062" i="3"/>
  <c r="AI1062" i="3"/>
  <c r="AJ1062" i="3"/>
  <c r="AK1062" i="3"/>
  <c r="AM1062" i="3"/>
  <c r="AD1063" i="3"/>
  <c r="AE1063" i="3"/>
  <c r="AF1063" i="3"/>
  <c r="AG1063" i="3"/>
  <c r="AI1063" i="3"/>
  <c r="AJ1063" i="3"/>
  <c r="AK1063" i="3"/>
  <c r="AM1063" i="3"/>
  <c r="AD1064" i="3"/>
  <c r="AE1064" i="3"/>
  <c r="AF1064" i="3"/>
  <c r="AG1064" i="3"/>
  <c r="AI1064" i="3"/>
  <c r="AJ1064" i="3"/>
  <c r="AK1064" i="3"/>
  <c r="AM1064" i="3"/>
  <c r="AD1065" i="3"/>
  <c r="AE1065" i="3"/>
  <c r="AF1065" i="3"/>
  <c r="AG1065" i="3"/>
  <c r="AI1065" i="3"/>
  <c r="AJ1065" i="3"/>
  <c r="AK1065" i="3"/>
  <c r="AM1065" i="3"/>
  <c r="AD1066" i="3"/>
  <c r="AE1066" i="3"/>
  <c r="AF1066" i="3"/>
  <c r="AG1066" i="3"/>
  <c r="AI1066" i="3"/>
  <c r="AJ1066" i="3"/>
  <c r="AK1066" i="3"/>
  <c r="AM1066" i="3"/>
  <c r="AD1067" i="3"/>
  <c r="AE1067" i="3"/>
  <c r="AF1067" i="3"/>
  <c r="AG1067" i="3"/>
  <c r="AI1067" i="3"/>
  <c r="AJ1067" i="3"/>
  <c r="AK1067" i="3"/>
  <c r="AM1067" i="3"/>
  <c r="AD1068" i="3"/>
  <c r="AE1068" i="3"/>
  <c r="AF1068" i="3"/>
  <c r="AG1068" i="3"/>
  <c r="AI1068" i="3"/>
  <c r="AJ1068" i="3"/>
  <c r="AK1068" i="3"/>
  <c r="AM1068" i="3"/>
  <c r="AD1069" i="3"/>
  <c r="AE1069" i="3"/>
  <c r="AF1069" i="3"/>
  <c r="AG1069" i="3"/>
  <c r="AI1069" i="3"/>
  <c r="AJ1069" i="3"/>
  <c r="AK1069" i="3"/>
  <c r="AM1069" i="3"/>
  <c r="AD1070" i="3"/>
  <c r="AE1070" i="3"/>
  <c r="AF1070" i="3"/>
  <c r="AG1070" i="3"/>
  <c r="AI1070" i="3"/>
  <c r="AJ1070" i="3"/>
  <c r="AK1070" i="3"/>
  <c r="AM1070" i="3"/>
  <c r="AD1071" i="3"/>
  <c r="AE1071" i="3"/>
  <c r="AF1071" i="3"/>
  <c r="AG1071" i="3"/>
  <c r="AI1071" i="3"/>
  <c r="AJ1071" i="3"/>
  <c r="AK1071" i="3"/>
  <c r="AM1071" i="3"/>
  <c r="AD1072" i="3"/>
  <c r="AE1072" i="3"/>
  <c r="AF1072" i="3"/>
  <c r="AG1072" i="3"/>
  <c r="AI1072" i="3"/>
  <c r="AJ1072" i="3"/>
  <c r="AK1072" i="3"/>
  <c r="AM1072" i="3"/>
  <c r="AD1073" i="3"/>
  <c r="AE1073" i="3"/>
  <c r="AF1073" i="3"/>
  <c r="AG1073" i="3"/>
  <c r="AI1073" i="3"/>
  <c r="AJ1073" i="3"/>
  <c r="AK1073" i="3"/>
  <c r="AM1073" i="3"/>
  <c r="AD1074" i="3"/>
  <c r="AE1074" i="3"/>
  <c r="AF1074" i="3"/>
  <c r="AG1074" i="3"/>
  <c r="AI1074" i="3"/>
  <c r="AJ1074" i="3"/>
  <c r="AK1074" i="3"/>
  <c r="AM1074" i="3"/>
  <c r="AD1075" i="3"/>
  <c r="AE1075" i="3"/>
  <c r="AF1075" i="3"/>
  <c r="AG1075" i="3"/>
  <c r="AI1075" i="3"/>
  <c r="AJ1075" i="3"/>
  <c r="AK1075" i="3"/>
  <c r="AM1075" i="3"/>
  <c r="AD1076" i="3"/>
  <c r="AE1076" i="3"/>
  <c r="AF1076" i="3"/>
  <c r="AG1076" i="3"/>
  <c r="AI1076" i="3"/>
  <c r="AJ1076" i="3"/>
  <c r="AK1076" i="3"/>
  <c r="AM1076" i="3"/>
  <c r="AD1077" i="3"/>
  <c r="AE1077" i="3"/>
  <c r="AF1077" i="3"/>
  <c r="AG1077" i="3"/>
  <c r="AI1077" i="3"/>
  <c r="AJ1077" i="3"/>
  <c r="AK1077" i="3"/>
  <c r="AM1077" i="3"/>
  <c r="AD1078" i="3"/>
  <c r="AE1078" i="3"/>
  <c r="AF1078" i="3"/>
  <c r="AG1078" i="3"/>
  <c r="AI1078" i="3"/>
  <c r="AJ1078" i="3"/>
  <c r="AK1078" i="3"/>
  <c r="AM1078" i="3"/>
  <c r="AD1079" i="3"/>
  <c r="AE1079" i="3"/>
  <c r="AF1079" i="3"/>
  <c r="AG1079" i="3"/>
  <c r="AI1079" i="3"/>
  <c r="AJ1079" i="3"/>
  <c r="AK1079" i="3"/>
  <c r="AM1079" i="3"/>
  <c r="AD1080" i="3"/>
  <c r="AE1080" i="3"/>
  <c r="AF1080" i="3"/>
  <c r="AG1080" i="3"/>
  <c r="AI1080" i="3"/>
  <c r="AJ1080" i="3"/>
  <c r="AK1080" i="3"/>
  <c r="AM1080" i="3"/>
  <c r="AD1081" i="3"/>
  <c r="AE1081" i="3"/>
  <c r="AF1081" i="3"/>
  <c r="AG1081" i="3"/>
  <c r="AI1081" i="3"/>
  <c r="AJ1081" i="3"/>
  <c r="AK1081" i="3"/>
  <c r="AM1081" i="3"/>
  <c r="AD1082" i="3"/>
  <c r="AE1082" i="3"/>
  <c r="AF1082" i="3"/>
  <c r="AG1082" i="3"/>
  <c r="AI1082" i="3"/>
  <c r="AJ1082" i="3"/>
  <c r="AK1082" i="3"/>
  <c r="AM1082" i="3"/>
  <c r="AD1083" i="3"/>
  <c r="AE1083" i="3"/>
  <c r="AF1083" i="3"/>
  <c r="AG1083" i="3"/>
  <c r="AI1083" i="3"/>
  <c r="AJ1083" i="3"/>
  <c r="AK1083" i="3"/>
  <c r="AM1083" i="3"/>
  <c r="AD1084" i="3"/>
  <c r="AE1084" i="3"/>
  <c r="AF1084" i="3"/>
  <c r="AG1084" i="3"/>
  <c r="AI1084" i="3"/>
  <c r="AJ1084" i="3"/>
  <c r="AK1084" i="3"/>
  <c r="AM1084" i="3"/>
  <c r="AD1085" i="3"/>
  <c r="AE1085" i="3"/>
  <c r="AF1085" i="3"/>
  <c r="AG1085" i="3"/>
  <c r="AI1085" i="3"/>
  <c r="AJ1085" i="3"/>
  <c r="AK1085" i="3"/>
  <c r="AM1085" i="3"/>
  <c r="AD1086" i="3"/>
  <c r="AE1086" i="3"/>
  <c r="AF1086" i="3"/>
  <c r="AG1086" i="3"/>
  <c r="AI1086" i="3"/>
  <c r="AJ1086" i="3"/>
  <c r="AK1086" i="3"/>
  <c r="AM1086" i="3"/>
  <c r="AD1087" i="3"/>
  <c r="AE1087" i="3"/>
  <c r="AF1087" i="3"/>
  <c r="AG1087" i="3"/>
  <c r="AI1087" i="3"/>
  <c r="AJ1087" i="3"/>
  <c r="AK1087" i="3"/>
  <c r="AM1087" i="3"/>
  <c r="AD1088" i="3"/>
  <c r="AE1088" i="3"/>
  <c r="AF1088" i="3"/>
  <c r="AG1088" i="3"/>
  <c r="AI1088" i="3"/>
  <c r="AJ1088" i="3"/>
  <c r="AK1088" i="3"/>
  <c r="AM1088" i="3"/>
  <c r="AD1089" i="3"/>
  <c r="AE1089" i="3"/>
  <c r="AF1089" i="3"/>
  <c r="AG1089" i="3"/>
  <c r="AI1089" i="3"/>
  <c r="AJ1089" i="3"/>
  <c r="AK1089" i="3"/>
  <c r="AM1089" i="3"/>
  <c r="AD1090" i="3"/>
  <c r="AE1090" i="3"/>
  <c r="AF1090" i="3"/>
  <c r="AG1090" i="3"/>
  <c r="AI1090" i="3"/>
  <c r="AJ1090" i="3"/>
  <c r="AK1090" i="3"/>
  <c r="AM1090" i="3"/>
  <c r="AD1091" i="3"/>
  <c r="AE1091" i="3"/>
  <c r="AF1091" i="3"/>
  <c r="AG1091" i="3"/>
  <c r="AI1091" i="3"/>
  <c r="AJ1091" i="3"/>
  <c r="AK1091" i="3"/>
  <c r="AM1091" i="3"/>
  <c r="AD1092" i="3"/>
  <c r="AE1092" i="3"/>
  <c r="AF1092" i="3"/>
  <c r="AG1092" i="3"/>
  <c r="AI1092" i="3"/>
  <c r="AJ1092" i="3"/>
  <c r="AK1092" i="3"/>
  <c r="AM1092" i="3"/>
  <c r="AD1093" i="3"/>
  <c r="AE1093" i="3"/>
  <c r="AF1093" i="3"/>
  <c r="AG1093" i="3"/>
  <c r="AI1093" i="3"/>
  <c r="AJ1093" i="3"/>
  <c r="AK1093" i="3"/>
  <c r="AM1093" i="3"/>
  <c r="AD1094" i="3"/>
  <c r="AE1094" i="3"/>
  <c r="AF1094" i="3"/>
  <c r="AG1094" i="3"/>
  <c r="AI1094" i="3"/>
  <c r="AJ1094" i="3"/>
  <c r="AK1094" i="3"/>
  <c r="AM1094" i="3"/>
  <c r="AD1095" i="3"/>
  <c r="AE1095" i="3"/>
  <c r="AF1095" i="3"/>
  <c r="AG1095" i="3"/>
  <c r="AI1095" i="3"/>
  <c r="AJ1095" i="3"/>
  <c r="AK1095" i="3"/>
  <c r="AM1095" i="3"/>
  <c r="AD1096" i="3"/>
  <c r="AE1096" i="3"/>
  <c r="AF1096" i="3"/>
  <c r="AG1096" i="3"/>
  <c r="AI1096" i="3"/>
  <c r="AJ1096" i="3"/>
  <c r="AK1096" i="3"/>
  <c r="AM1096" i="3"/>
  <c r="AD1097" i="3"/>
  <c r="AE1097" i="3"/>
  <c r="AF1097" i="3"/>
  <c r="AG1097" i="3"/>
  <c r="AI1097" i="3"/>
  <c r="AJ1097" i="3"/>
  <c r="AK1097" i="3"/>
  <c r="AM1097" i="3"/>
  <c r="AD1098" i="3"/>
  <c r="AE1098" i="3"/>
  <c r="AF1098" i="3"/>
  <c r="AG1098" i="3"/>
  <c r="AI1098" i="3"/>
  <c r="AJ1098" i="3"/>
  <c r="AK1098" i="3"/>
  <c r="AM1098" i="3"/>
  <c r="AD1099" i="3"/>
  <c r="AE1099" i="3"/>
  <c r="AF1099" i="3"/>
  <c r="AG1099" i="3"/>
  <c r="AI1099" i="3"/>
  <c r="AJ1099" i="3"/>
  <c r="AK1099" i="3"/>
  <c r="AM1099" i="3"/>
  <c r="AD1100" i="3"/>
  <c r="AE1100" i="3"/>
  <c r="AF1100" i="3"/>
  <c r="AG1100" i="3"/>
  <c r="AI1100" i="3"/>
  <c r="AJ1100" i="3"/>
  <c r="AK1100" i="3"/>
  <c r="AM1100" i="3"/>
  <c r="AD1101" i="3"/>
  <c r="AE1101" i="3"/>
  <c r="AF1101" i="3"/>
  <c r="AG1101" i="3"/>
  <c r="AI1101" i="3"/>
  <c r="AJ1101" i="3"/>
  <c r="AK1101" i="3"/>
  <c r="AM1101" i="3"/>
  <c r="AD1102" i="3"/>
  <c r="AE1102" i="3"/>
  <c r="AF1102" i="3"/>
  <c r="AG1102" i="3"/>
  <c r="AI1102" i="3"/>
  <c r="AJ1102" i="3"/>
  <c r="AK1102" i="3"/>
  <c r="AM1102" i="3"/>
  <c r="AD1103" i="3"/>
  <c r="AE1103" i="3"/>
  <c r="AF1103" i="3"/>
  <c r="AG1103" i="3"/>
  <c r="AI1103" i="3"/>
  <c r="AJ1103" i="3"/>
  <c r="AK1103" i="3"/>
  <c r="AM1103" i="3"/>
  <c r="AD1104" i="3"/>
  <c r="AE1104" i="3"/>
  <c r="AF1104" i="3"/>
  <c r="AG1104" i="3"/>
  <c r="AI1104" i="3"/>
  <c r="AJ1104" i="3"/>
  <c r="AK1104" i="3"/>
  <c r="AM1104" i="3"/>
  <c r="AD1105" i="3"/>
  <c r="AE1105" i="3"/>
  <c r="AF1105" i="3"/>
  <c r="AG1105" i="3"/>
  <c r="AI1105" i="3"/>
  <c r="AJ1105" i="3"/>
  <c r="AK1105" i="3"/>
  <c r="AM1105" i="3"/>
  <c r="AD1106" i="3"/>
  <c r="AE1106" i="3"/>
  <c r="AF1106" i="3"/>
  <c r="AG1106" i="3"/>
  <c r="AI1106" i="3"/>
  <c r="AJ1106" i="3"/>
  <c r="AK1106" i="3"/>
  <c r="AM1106" i="3"/>
  <c r="AD1107" i="3"/>
  <c r="AE1107" i="3"/>
  <c r="AF1107" i="3"/>
  <c r="AG1107" i="3"/>
  <c r="AI1107" i="3"/>
  <c r="AJ1107" i="3"/>
  <c r="AK1107" i="3"/>
  <c r="AM1107" i="3"/>
  <c r="AD1108" i="3"/>
  <c r="AE1108" i="3"/>
  <c r="AF1108" i="3"/>
  <c r="AG1108" i="3"/>
  <c r="AI1108" i="3"/>
  <c r="AJ1108" i="3"/>
  <c r="AK1108" i="3"/>
  <c r="AM1108" i="3"/>
  <c r="AD1109" i="3"/>
  <c r="AE1109" i="3"/>
  <c r="AF1109" i="3"/>
  <c r="AG1109" i="3"/>
  <c r="AI1109" i="3"/>
  <c r="AJ1109" i="3"/>
  <c r="AK1109" i="3"/>
  <c r="AM1109" i="3"/>
  <c r="AD1110" i="3"/>
  <c r="AE1110" i="3"/>
  <c r="AF1110" i="3"/>
  <c r="AG1110" i="3"/>
  <c r="AI1110" i="3"/>
  <c r="AJ1110" i="3"/>
  <c r="AK1110" i="3"/>
  <c r="AM1110" i="3"/>
  <c r="AD1111" i="3"/>
  <c r="AE1111" i="3"/>
  <c r="AF1111" i="3"/>
  <c r="AG1111" i="3"/>
  <c r="AI1111" i="3"/>
  <c r="AJ1111" i="3"/>
  <c r="AK1111" i="3"/>
  <c r="AM1111" i="3"/>
  <c r="AD1112" i="3"/>
  <c r="AE1112" i="3"/>
  <c r="AF1112" i="3"/>
  <c r="AG1112" i="3"/>
  <c r="AI1112" i="3"/>
  <c r="AJ1112" i="3"/>
  <c r="AK1112" i="3"/>
  <c r="AM1112" i="3"/>
  <c r="AD1113" i="3"/>
  <c r="AE1113" i="3"/>
  <c r="AF1113" i="3"/>
  <c r="AG1113" i="3"/>
  <c r="AI1113" i="3"/>
  <c r="AJ1113" i="3"/>
  <c r="AK1113" i="3"/>
  <c r="AM1113" i="3"/>
  <c r="AD1114" i="3"/>
  <c r="AE1114" i="3"/>
  <c r="AF1114" i="3"/>
  <c r="AG1114" i="3"/>
  <c r="AI1114" i="3"/>
  <c r="AJ1114" i="3"/>
  <c r="AK1114" i="3"/>
  <c r="AM1114" i="3"/>
  <c r="AD1115" i="3"/>
  <c r="AE1115" i="3"/>
  <c r="AF1115" i="3"/>
  <c r="AG1115" i="3"/>
  <c r="AI1115" i="3"/>
  <c r="AJ1115" i="3"/>
  <c r="AK1115" i="3"/>
  <c r="AM1115" i="3"/>
  <c r="AD1116" i="3"/>
  <c r="AE1116" i="3"/>
  <c r="AF1116" i="3"/>
  <c r="AG1116" i="3"/>
  <c r="AI1116" i="3"/>
  <c r="AJ1116" i="3"/>
  <c r="AK1116" i="3"/>
  <c r="AM1116" i="3"/>
  <c r="AD1117" i="3"/>
  <c r="AE1117" i="3"/>
  <c r="AF1117" i="3"/>
  <c r="AG1117" i="3"/>
  <c r="AI1117" i="3"/>
  <c r="AJ1117" i="3"/>
  <c r="AK1117" i="3"/>
  <c r="AM1117" i="3"/>
  <c r="AD1118" i="3"/>
  <c r="AE1118" i="3"/>
  <c r="AF1118" i="3"/>
  <c r="AG1118" i="3"/>
  <c r="AI1118" i="3"/>
  <c r="AJ1118" i="3"/>
  <c r="AK1118" i="3"/>
  <c r="AM1118" i="3"/>
  <c r="AD1119" i="3"/>
  <c r="AE1119" i="3"/>
  <c r="AF1119" i="3"/>
  <c r="AG1119" i="3"/>
  <c r="AI1119" i="3"/>
  <c r="AJ1119" i="3"/>
  <c r="AK1119" i="3"/>
  <c r="AM1119" i="3"/>
  <c r="AD1120" i="3"/>
  <c r="AE1120" i="3"/>
  <c r="AF1120" i="3"/>
  <c r="AG1120" i="3"/>
  <c r="AI1120" i="3"/>
  <c r="AJ1120" i="3"/>
  <c r="AK1120" i="3"/>
  <c r="AM1120" i="3"/>
  <c r="AD1121" i="3"/>
  <c r="AE1121" i="3"/>
  <c r="AF1121" i="3"/>
  <c r="AG1121" i="3"/>
  <c r="AI1121" i="3"/>
  <c r="AJ1121" i="3"/>
  <c r="AK1121" i="3"/>
  <c r="AM1121" i="3"/>
  <c r="AD1122" i="3"/>
  <c r="AE1122" i="3"/>
  <c r="AF1122" i="3"/>
  <c r="AG1122" i="3"/>
  <c r="AI1122" i="3"/>
  <c r="AJ1122" i="3"/>
  <c r="AK1122" i="3"/>
  <c r="AM1122" i="3"/>
  <c r="AD1123" i="3"/>
  <c r="AE1123" i="3"/>
  <c r="AF1123" i="3"/>
  <c r="AG1123" i="3"/>
  <c r="AI1123" i="3"/>
  <c r="AJ1123" i="3"/>
  <c r="AK1123" i="3"/>
  <c r="AM1123" i="3"/>
  <c r="AD1124" i="3"/>
  <c r="AE1124" i="3"/>
  <c r="AF1124" i="3"/>
  <c r="AG1124" i="3"/>
  <c r="AI1124" i="3"/>
  <c r="AJ1124" i="3"/>
  <c r="AK1124" i="3"/>
  <c r="AM1124" i="3"/>
  <c r="AD1125" i="3"/>
  <c r="AE1125" i="3"/>
  <c r="AF1125" i="3"/>
  <c r="AG1125" i="3"/>
  <c r="AI1125" i="3"/>
  <c r="AJ1125" i="3"/>
  <c r="AK1125" i="3"/>
  <c r="AM1125" i="3"/>
  <c r="AD1126" i="3"/>
  <c r="AE1126" i="3"/>
  <c r="AF1126" i="3"/>
  <c r="AG1126" i="3"/>
  <c r="AI1126" i="3"/>
  <c r="AJ1126" i="3"/>
  <c r="AK1126" i="3"/>
  <c r="AM1126" i="3"/>
  <c r="AD1127" i="3"/>
  <c r="AE1127" i="3"/>
  <c r="AF1127" i="3"/>
  <c r="AG1127" i="3"/>
  <c r="AI1127" i="3"/>
  <c r="AJ1127" i="3"/>
  <c r="AK1127" i="3"/>
  <c r="AM1127" i="3"/>
  <c r="AD1128" i="3"/>
  <c r="AE1128" i="3"/>
  <c r="AF1128" i="3"/>
  <c r="AG1128" i="3"/>
  <c r="AI1128" i="3"/>
  <c r="AJ1128" i="3"/>
  <c r="AK1128" i="3"/>
  <c r="AM1128" i="3"/>
  <c r="AD1129" i="3"/>
  <c r="AE1129" i="3"/>
  <c r="AF1129" i="3"/>
  <c r="AG1129" i="3"/>
  <c r="AI1129" i="3"/>
  <c r="AJ1129" i="3"/>
  <c r="AK1129" i="3"/>
  <c r="AM1129" i="3"/>
  <c r="AD1130" i="3"/>
  <c r="AE1130" i="3"/>
  <c r="AF1130" i="3"/>
  <c r="AG1130" i="3"/>
  <c r="AI1130" i="3"/>
  <c r="AJ1130" i="3"/>
  <c r="AK1130" i="3"/>
  <c r="AM1130" i="3"/>
  <c r="AD1131" i="3"/>
  <c r="AE1131" i="3"/>
  <c r="AF1131" i="3"/>
  <c r="AG1131" i="3"/>
  <c r="AI1131" i="3"/>
  <c r="AJ1131" i="3"/>
  <c r="AK1131" i="3"/>
  <c r="AM1131" i="3"/>
  <c r="AD1132" i="3"/>
  <c r="AE1132" i="3"/>
  <c r="AF1132" i="3"/>
  <c r="AG1132" i="3"/>
  <c r="AI1132" i="3"/>
  <c r="AJ1132" i="3"/>
  <c r="AK1132" i="3"/>
  <c r="AM1132" i="3"/>
  <c r="AD1133" i="3"/>
  <c r="AE1133" i="3"/>
  <c r="AF1133" i="3"/>
  <c r="AG1133" i="3"/>
  <c r="AI1133" i="3"/>
  <c r="AJ1133" i="3"/>
  <c r="AK1133" i="3"/>
  <c r="AM1133" i="3"/>
  <c r="AD1134" i="3"/>
  <c r="AE1134" i="3"/>
  <c r="AF1134" i="3"/>
  <c r="AG1134" i="3"/>
  <c r="AI1134" i="3"/>
  <c r="AJ1134" i="3"/>
  <c r="AK1134" i="3"/>
  <c r="AM1134" i="3"/>
  <c r="AD1135" i="3"/>
  <c r="AE1135" i="3"/>
  <c r="AF1135" i="3"/>
  <c r="AG1135" i="3"/>
  <c r="AI1135" i="3"/>
  <c r="AJ1135" i="3"/>
  <c r="AK1135" i="3"/>
  <c r="AM1135" i="3"/>
  <c r="AD1136" i="3"/>
  <c r="AE1136" i="3"/>
  <c r="AF1136" i="3"/>
  <c r="AG1136" i="3"/>
  <c r="AI1136" i="3"/>
  <c r="AJ1136" i="3"/>
  <c r="AK1136" i="3"/>
  <c r="AM1136" i="3"/>
  <c r="AD1137" i="3"/>
  <c r="AE1137" i="3"/>
  <c r="AF1137" i="3"/>
  <c r="AG1137" i="3"/>
  <c r="AI1137" i="3"/>
  <c r="AJ1137" i="3"/>
  <c r="AK1137" i="3"/>
  <c r="AM1137" i="3"/>
  <c r="AD1138" i="3"/>
  <c r="AE1138" i="3"/>
  <c r="AF1138" i="3"/>
  <c r="AG1138" i="3"/>
  <c r="AI1138" i="3"/>
  <c r="AJ1138" i="3"/>
  <c r="AK1138" i="3"/>
  <c r="AM1138" i="3"/>
  <c r="AD1139" i="3"/>
  <c r="AE1139" i="3"/>
  <c r="AF1139" i="3"/>
  <c r="AG1139" i="3"/>
  <c r="AI1139" i="3"/>
  <c r="AJ1139" i="3"/>
  <c r="AK1139" i="3"/>
  <c r="AM1139" i="3"/>
  <c r="AD1140" i="3"/>
  <c r="AE1140" i="3"/>
  <c r="AF1140" i="3"/>
  <c r="AG1140" i="3"/>
  <c r="AI1140" i="3"/>
  <c r="AJ1140" i="3"/>
  <c r="AK1140" i="3"/>
  <c r="AM1140" i="3"/>
  <c r="AD1141" i="3"/>
  <c r="AE1141" i="3"/>
  <c r="AF1141" i="3"/>
  <c r="AG1141" i="3"/>
  <c r="AI1141" i="3"/>
  <c r="AJ1141" i="3"/>
  <c r="AK1141" i="3"/>
  <c r="AM1141" i="3"/>
  <c r="AD1142" i="3"/>
  <c r="AE1142" i="3"/>
  <c r="AF1142" i="3"/>
  <c r="AG1142" i="3"/>
  <c r="AI1142" i="3"/>
  <c r="AJ1142" i="3"/>
  <c r="AK1142" i="3"/>
  <c r="AM1142" i="3"/>
  <c r="AD1143" i="3"/>
  <c r="AE1143" i="3"/>
  <c r="AF1143" i="3"/>
  <c r="AG1143" i="3"/>
  <c r="AI1143" i="3"/>
  <c r="AJ1143" i="3"/>
  <c r="AK1143" i="3"/>
  <c r="AM1143" i="3"/>
  <c r="AD1144" i="3"/>
  <c r="AE1144" i="3"/>
  <c r="AF1144" i="3"/>
  <c r="AG1144" i="3"/>
  <c r="AI1144" i="3"/>
  <c r="AJ1144" i="3"/>
  <c r="AK1144" i="3"/>
  <c r="AM1144" i="3"/>
  <c r="AD1145" i="3"/>
  <c r="AE1145" i="3"/>
  <c r="AF1145" i="3"/>
  <c r="AG1145" i="3"/>
  <c r="AI1145" i="3"/>
  <c r="AJ1145" i="3"/>
  <c r="AK1145" i="3"/>
  <c r="AM1145" i="3"/>
  <c r="AD1146" i="3"/>
  <c r="AE1146" i="3"/>
  <c r="AF1146" i="3"/>
  <c r="AG1146" i="3"/>
  <c r="AI1146" i="3"/>
  <c r="AJ1146" i="3"/>
  <c r="AK1146" i="3"/>
  <c r="AM1146" i="3"/>
  <c r="AD1147" i="3"/>
  <c r="AE1147" i="3"/>
  <c r="AF1147" i="3"/>
  <c r="AG1147" i="3"/>
  <c r="AI1147" i="3"/>
  <c r="AJ1147" i="3"/>
  <c r="AK1147" i="3"/>
  <c r="AM1147" i="3"/>
  <c r="AD1148" i="3"/>
  <c r="AE1148" i="3"/>
  <c r="AF1148" i="3"/>
  <c r="AG1148" i="3"/>
  <c r="AI1148" i="3"/>
  <c r="AJ1148" i="3"/>
  <c r="AK1148" i="3"/>
  <c r="AM1148" i="3"/>
  <c r="AD1149" i="3"/>
  <c r="AE1149" i="3"/>
  <c r="AF1149" i="3"/>
  <c r="AG1149" i="3"/>
  <c r="AI1149" i="3"/>
  <c r="AJ1149" i="3"/>
  <c r="AK1149" i="3"/>
  <c r="AM1149" i="3"/>
  <c r="AD1150" i="3"/>
  <c r="AE1150" i="3"/>
  <c r="AF1150" i="3"/>
  <c r="AG1150" i="3"/>
  <c r="AI1150" i="3"/>
  <c r="AJ1150" i="3"/>
  <c r="AK1150" i="3"/>
  <c r="AM1150" i="3"/>
  <c r="AE1151" i="3"/>
  <c r="AF1151" i="3"/>
  <c r="AG1151" i="3"/>
  <c r="AI1151" i="3"/>
  <c r="AJ1151" i="3"/>
  <c r="AK1151" i="3"/>
  <c r="AM1151" i="3"/>
  <c r="AD1152" i="3"/>
  <c r="AE1152" i="3"/>
  <c r="AF1152" i="3"/>
  <c r="AG1152" i="3"/>
  <c r="AI1152" i="3"/>
  <c r="AJ1152" i="3"/>
  <c r="AK1152" i="3"/>
  <c r="AM1152" i="3"/>
  <c r="AD1153" i="3"/>
  <c r="AE1153" i="3"/>
  <c r="AF1153" i="3"/>
  <c r="AG1153" i="3"/>
  <c r="AI1153" i="3"/>
  <c r="AJ1153" i="3"/>
  <c r="AK1153" i="3"/>
  <c r="AM1153" i="3"/>
  <c r="H29" i="5" l="1"/>
  <c r="H138" i="5" s="1"/>
  <c r="U32" i="12"/>
  <c r="H31" i="5"/>
  <c r="H140" i="5" s="1"/>
  <c r="AX33" i="12"/>
  <c r="M31" i="5"/>
  <c r="AX32" i="12"/>
  <c r="AJ33" i="12"/>
  <c r="AO27" i="3"/>
  <c r="N32" i="8"/>
  <c r="M35" i="8"/>
  <c r="R31" i="8"/>
  <c r="R30" i="8"/>
  <c r="R29" i="8"/>
  <c r="R28" i="8"/>
  <c r="R21" i="8"/>
  <c r="AC1047" i="3"/>
  <c r="AC1023" i="3"/>
  <c r="AC995" i="3"/>
  <c r="AC979" i="3"/>
  <c r="AC963" i="3"/>
  <c r="AC955" i="3"/>
  <c r="AC951" i="3"/>
  <c r="AC947" i="3"/>
  <c r="AC943" i="3"/>
  <c r="AC935" i="3"/>
  <c r="AC927" i="3"/>
  <c r="AC923" i="3"/>
  <c r="AC911" i="3"/>
  <c r="AC907" i="3"/>
  <c r="AC903" i="3"/>
  <c r="AC891" i="3"/>
  <c r="AC887" i="3"/>
  <c r="AC879" i="3"/>
  <c r="AC875" i="3"/>
  <c r="AC867" i="3"/>
  <c r="AC863" i="3"/>
  <c r="AC859" i="3"/>
  <c r="AC855" i="3"/>
  <c r="AC851" i="3"/>
  <c r="AC847" i="3"/>
  <c r="AC843" i="3"/>
  <c r="AC839" i="3"/>
  <c r="AC831" i="3"/>
  <c r="AC827" i="3"/>
  <c r="AC823" i="3"/>
  <c r="AC815" i="3"/>
  <c r="AC811" i="3"/>
  <c r="AC807" i="3"/>
  <c r="AC803" i="3"/>
  <c r="AC799" i="3"/>
  <c r="AC795" i="3"/>
  <c r="AC791" i="3"/>
  <c r="AC787" i="3"/>
  <c r="AC771" i="3"/>
  <c r="AC767" i="3"/>
  <c r="AC763" i="3"/>
  <c r="AC759" i="3"/>
  <c r="AC755" i="3"/>
  <c r="AC95" i="3"/>
  <c r="AC1147" i="3"/>
  <c r="AC975" i="3"/>
  <c r="AC959" i="3"/>
  <c r="AC939" i="3"/>
  <c r="AC1015" i="3"/>
  <c r="AC999" i="3"/>
  <c r="AC1019" i="3"/>
  <c r="AC1043" i="3"/>
  <c r="AC1011" i="3"/>
  <c r="AC987" i="3"/>
  <c r="AC731" i="3"/>
  <c r="AC711" i="3"/>
  <c r="AC687" i="3"/>
  <c r="AC647" i="3"/>
  <c r="AC623" i="3"/>
  <c r="AC595" i="3"/>
  <c r="AC587" i="3"/>
  <c r="AC583" i="3"/>
  <c r="AC579" i="3"/>
  <c r="AC575" i="3"/>
  <c r="AC571" i="3"/>
  <c r="AC567" i="3"/>
  <c r="AC563" i="3"/>
  <c r="AC559" i="3"/>
  <c r="AC555" i="3"/>
  <c r="AC551" i="3"/>
  <c r="AC543" i="3"/>
  <c r="AC539" i="3"/>
  <c r="AC535" i="3"/>
  <c r="AC527" i="3"/>
  <c r="AC523" i="3"/>
  <c r="AC519" i="3"/>
  <c r="AC511" i="3"/>
  <c r="AC507" i="3"/>
  <c r="AC503" i="3"/>
  <c r="AC495" i="3"/>
  <c r="AC491" i="3"/>
  <c r="AC487" i="3"/>
  <c r="AC483" i="3"/>
  <c r="AC479" i="3"/>
  <c r="AC475" i="3"/>
  <c r="AC471" i="3"/>
  <c r="AC467" i="3"/>
  <c r="AC463" i="3"/>
  <c r="AC459" i="3"/>
  <c r="AC455" i="3"/>
  <c r="AC451" i="3"/>
  <c r="AC447" i="3"/>
  <c r="AC443" i="3"/>
  <c r="AC439" i="3"/>
  <c r="AC435" i="3"/>
  <c r="AC431" i="3"/>
  <c r="AC427" i="3"/>
  <c r="AC423" i="3"/>
  <c r="AC419" i="3"/>
  <c r="AC415" i="3"/>
  <c r="AC411" i="3"/>
  <c r="AC407" i="3"/>
  <c r="AC403" i="3"/>
  <c r="AC735" i="3"/>
  <c r="AC715" i="3"/>
  <c r="AC691" i="3"/>
  <c r="AC663" i="3"/>
  <c r="AC631" i="3"/>
  <c r="AC603" i="3"/>
  <c r="AC739" i="3"/>
  <c r="AC675" i="3"/>
  <c r="AC651" i="3"/>
  <c r="AC627" i="3"/>
  <c r="AC591" i="3"/>
  <c r="AC719" i="3"/>
  <c r="AC655" i="3"/>
  <c r="AC619" i="3"/>
  <c r="AC747" i="3"/>
  <c r="AC707" i="3"/>
  <c r="AC683" i="3"/>
  <c r="AC659" i="3"/>
  <c r="AC639" i="3"/>
  <c r="AC607" i="3"/>
  <c r="AC751" i="3"/>
  <c r="AC727" i="3"/>
  <c r="AC695" i="3"/>
  <c r="AC667" i="3"/>
  <c r="AC643" i="3"/>
  <c r="AC615" i="3"/>
  <c r="AC743" i="3"/>
  <c r="AC703" i="3"/>
  <c r="AC671" i="3"/>
  <c r="AC635" i="3"/>
  <c r="AC611" i="3"/>
  <c r="AC94" i="3"/>
  <c r="AC399" i="3"/>
  <c r="AC395" i="3"/>
  <c r="AC391" i="3"/>
  <c r="AC387" i="3"/>
  <c r="AC383" i="3"/>
  <c r="AC379" i="3"/>
  <c r="AC371" i="3"/>
  <c r="AC367" i="3"/>
  <c r="AC359" i="3"/>
  <c r="AC355" i="3"/>
  <c r="AC351" i="3"/>
  <c r="AC347" i="3"/>
  <c r="AC343" i="3"/>
  <c r="AC339" i="3"/>
  <c r="AC335" i="3"/>
  <c r="AC331" i="3"/>
  <c r="AC327" i="3"/>
  <c r="AC323" i="3"/>
  <c r="AC319" i="3"/>
  <c r="AC315" i="3"/>
  <c r="AC311" i="3"/>
  <c r="AC303" i="3"/>
  <c r="AC299" i="3"/>
  <c r="AC291" i="3"/>
  <c r="AC287" i="3"/>
  <c r="AC283" i="3"/>
  <c r="AC279" i="3"/>
  <c r="AC131" i="3"/>
  <c r="AC127" i="3"/>
  <c r="AC123" i="3"/>
  <c r="AC119" i="3"/>
  <c r="AC115" i="3"/>
  <c r="AC111" i="3"/>
  <c r="AC107" i="3"/>
  <c r="AC103" i="3"/>
  <c r="D92" i="5" a="1"/>
  <c r="D92" i="5" s="1"/>
  <c r="D84" i="5" a="1"/>
  <c r="D84" i="5" s="1"/>
  <c r="D76" i="5" a="1"/>
  <c r="D76" i="5" s="1"/>
  <c r="D74" i="5" a="1"/>
  <c r="D74" i="5" s="1"/>
  <c r="D91" i="5" a="1"/>
  <c r="D91" i="5" s="1"/>
  <c r="D83" i="5" a="1"/>
  <c r="D83" i="5" s="1"/>
  <c r="D75" i="5" a="1"/>
  <c r="D75" i="5" s="1"/>
  <c r="D90" i="5" a="1"/>
  <c r="D90" i="5" s="1"/>
  <c r="D82" i="5" a="1"/>
  <c r="D82" i="5" s="1"/>
  <c r="D89" i="5" a="1"/>
  <c r="D89" i="5" s="1"/>
  <c r="D81" i="5" a="1"/>
  <c r="D81" i="5" s="1"/>
  <c r="D73" i="5" a="1"/>
  <c r="D73" i="5" s="1"/>
  <c r="D80" i="5" a="1"/>
  <c r="D80" i="5" s="1"/>
  <c r="D88" i="5" a="1"/>
  <c r="D88" i="5" s="1"/>
  <c r="D87" i="5" a="1"/>
  <c r="D87" i="5" s="1"/>
  <c r="D79" i="5" a="1"/>
  <c r="D79" i="5" s="1"/>
  <c r="D71" i="5" a="1"/>
  <c r="D71" i="5" s="1"/>
  <c r="D86" i="5" a="1"/>
  <c r="D86" i="5" s="1"/>
  <c r="D78" i="5" a="1"/>
  <c r="D78" i="5" s="1"/>
  <c r="D70" i="5" a="1"/>
  <c r="D70" i="5" s="1"/>
  <c r="D85" i="5" a="1"/>
  <c r="D85" i="5" s="1"/>
  <c r="D77" i="5" a="1"/>
  <c r="D77" i="5" s="1"/>
  <c r="D72" i="5" a="1"/>
  <c r="D72" i="5" s="1"/>
  <c r="AC275" i="3"/>
  <c r="AC271" i="3"/>
  <c r="AC267" i="3"/>
  <c r="AC263" i="3"/>
  <c r="AC259" i="3"/>
  <c r="AC255" i="3"/>
  <c r="AC251" i="3"/>
  <c r="AC247" i="3"/>
  <c r="AC243" i="3"/>
  <c r="AC239" i="3"/>
  <c r="AC235" i="3"/>
  <c r="AC231" i="3"/>
  <c r="AC223" i="3"/>
  <c r="AC211" i="3"/>
  <c r="AC207" i="3"/>
  <c r="AC195" i="3"/>
  <c r="AC191" i="3"/>
  <c r="AC183" i="3"/>
  <c r="AC175" i="3"/>
  <c r="AC171" i="3"/>
  <c r="AC167" i="3"/>
  <c r="AC163" i="3"/>
  <c r="AC159" i="3"/>
  <c r="AC155" i="3"/>
  <c r="AC151" i="3"/>
  <c r="AC147" i="3"/>
  <c r="AC143" i="3"/>
  <c r="AC99" i="3"/>
  <c r="AC1120" i="3"/>
  <c r="AC1084" i="3"/>
  <c r="AC1040" i="3"/>
  <c r="AC1008" i="3"/>
  <c r="AC980" i="3"/>
  <c r="AC972" i="3"/>
  <c r="AC968" i="3"/>
  <c r="AC948" i="3"/>
  <c r="AC940" i="3"/>
  <c r="AC932" i="3"/>
  <c r="AC924" i="3"/>
  <c r="AC908" i="3"/>
  <c r="AC900" i="3"/>
  <c r="AC880" i="3"/>
  <c r="AC872" i="3"/>
  <c r="AC860" i="3"/>
  <c r="AC852" i="3"/>
  <c r="AC844" i="3"/>
  <c r="AC836" i="3"/>
  <c r="AC828" i="3"/>
  <c r="AC820" i="3"/>
  <c r="AC812" i="3"/>
  <c r="AC796" i="3"/>
  <c r="AC784" i="3"/>
  <c r="AC776" i="3"/>
  <c r="AC768" i="3"/>
  <c r="AC752" i="3"/>
  <c r="AC740" i="3"/>
  <c r="AC732" i="3"/>
  <c r="AC720" i="3"/>
  <c r="AC1150" i="3"/>
  <c r="AC1038" i="3"/>
  <c r="AC1026" i="3"/>
  <c r="AC994" i="3"/>
  <c r="AC982" i="3"/>
  <c r="AC958" i="3"/>
  <c r="AC950" i="3"/>
  <c r="AC942" i="3"/>
  <c r="AC934" i="3"/>
  <c r="AC926" i="3"/>
  <c r="AC914" i="3"/>
  <c r="AC906" i="3"/>
  <c r="AC898" i="3"/>
  <c r="AC890" i="3"/>
  <c r="AC878" i="3"/>
  <c r="AC866" i="3"/>
  <c r="AC858" i="3"/>
  <c r="AC850" i="3"/>
  <c r="AC842" i="3"/>
  <c r="AC834" i="3"/>
  <c r="AC826" i="3"/>
  <c r="AC818" i="3"/>
  <c r="AC810" i="3"/>
  <c r="AC802" i="3"/>
  <c r="AC794" i="3"/>
  <c r="AC786" i="3"/>
  <c r="AC778" i="3"/>
  <c r="AC770" i="3"/>
  <c r="AC762" i="3"/>
  <c r="AC754" i="3"/>
  <c r="AC746" i="3"/>
  <c r="AC738" i="3"/>
  <c r="AC726" i="3"/>
  <c r="AC718" i="3"/>
  <c r="AC710" i="3"/>
  <c r="AC698" i="3"/>
  <c r="AC690" i="3"/>
  <c r="AC682" i="3"/>
  <c r="AC674" i="3"/>
  <c r="AC666" i="3"/>
  <c r="AC658" i="3"/>
  <c r="AC650" i="3"/>
  <c r="AC642" i="3"/>
  <c r="AC634" i="3"/>
  <c r="AC626" i="3"/>
  <c r="AC618" i="3"/>
  <c r="AC610" i="3"/>
  <c r="AC602" i="3"/>
  <c r="AC594" i="3"/>
  <c r="AC586" i="3"/>
  <c r="AC578" i="3"/>
  <c r="AC566" i="3"/>
  <c r="AC558" i="3"/>
  <c r="AC550" i="3"/>
  <c r="AC1142" i="3"/>
  <c r="AC1054" i="3"/>
  <c r="AC1046" i="3"/>
  <c r="AC1014" i="3"/>
  <c r="AC990" i="3"/>
  <c r="AC978" i="3"/>
  <c r="AC954" i="3"/>
  <c r="AC930" i="3"/>
  <c r="AC918" i="3"/>
  <c r="AC910" i="3"/>
  <c r="AC902" i="3"/>
  <c r="AC894" i="3"/>
  <c r="AC882" i="3"/>
  <c r="AC870" i="3"/>
  <c r="AC862" i="3"/>
  <c r="AC854" i="3"/>
  <c r="AC846" i="3"/>
  <c r="AC838" i="3"/>
  <c r="AC830" i="3"/>
  <c r="AC822" i="3"/>
  <c r="AC814" i="3"/>
  <c r="AC806" i="3"/>
  <c r="AC798" i="3"/>
  <c r="AC790" i="3"/>
  <c r="AC782" i="3"/>
  <c r="AC774" i="3"/>
  <c r="AC766" i="3"/>
  <c r="AC758" i="3"/>
  <c r="AC750" i="3"/>
  <c r="AC742" i="3"/>
  <c r="AC730" i="3"/>
  <c r="AC722" i="3"/>
  <c r="AC714" i="3"/>
  <c r="AC702" i="3"/>
  <c r="AC694" i="3"/>
  <c r="AC686" i="3"/>
  <c r="AC678" i="3"/>
  <c r="AC670" i="3"/>
  <c r="AC662" i="3"/>
  <c r="AC654" i="3"/>
  <c r="AC646" i="3"/>
  <c r="AC638" i="3"/>
  <c r="AC630" i="3"/>
  <c r="AC622" i="3"/>
  <c r="AC614" i="3"/>
  <c r="AC606" i="3"/>
  <c r="AC598" i="3"/>
  <c r="AC590" i="3"/>
  <c r="AC582" i="3"/>
  <c r="AC570" i="3"/>
  <c r="AC562" i="3"/>
  <c r="AC554" i="3"/>
  <c r="AC1062" i="3"/>
  <c r="AC1097" i="3"/>
  <c r="AC1089" i="3"/>
  <c r="AC1049" i="3"/>
  <c r="AC1041" i="3"/>
  <c r="AC1029" i="3"/>
  <c r="AC989" i="3"/>
  <c r="AC961" i="3"/>
  <c r="AC953" i="3"/>
  <c r="AC937" i="3"/>
  <c r="AC929" i="3"/>
  <c r="AC921" i="3"/>
  <c r="AC905" i="3"/>
  <c r="AC897" i="3"/>
  <c r="AC889" i="3"/>
  <c r="AC873" i="3"/>
  <c r="AC865" i="3"/>
  <c r="AC857" i="3"/>
  <c r="AC849" i="3"/>
  <c r="AC841" i="3"/>
  <c r="AC833" i="3"/>
  <c r="AC825" i="3"/>
  <c r="AC817" i="3"/>
  <c r="AC809" i="3"/>
  <c r="AC793" i="3"/>
  <c r="AC777" i="3"/>
  <c r="AC769" i="3"/>
  <c r="AC761" i="3"/>
  <c r="AC741" i="3"/>
  <c r="AC729" i="3"/>
  <c r="AC721" i="3"/>
  <c r="AC713" i="3"/>
  <c r="AC705" i="3"/>
  <c r="AC697" i="3"/>
  <c r="AC689" i="3"/>
  <c r="AC681" i="3"/>
  <c r="AC673" i="3"/>
  <c r="AC657" i="3"/>
  <c r="AC649" i="3"/>
  <c r="AC641" i="3"/>
  <c r="AC629" i="3"/>
  <c r="AC625" i="3"/>
  <c r="AC617" i="3"/>
  <c r="AC609" i="3"/>
  <c r="AC601" i="3"/>
  <c r="AC593" i="3"/>
  <c r="AC585" i="3"/>
  <c r="AC577" i="3"/>
  <c r="AC569" i="3"/>
  <c r="AC1114" i="3"/>
  <c r="AC1145" i="3"/>
  <c r="AC1117" i="3"/>
  <c r="AC1077" i="3"/>
  <c r="AC1065" i="3"/>
  <c r="AC1057" i="3"/>
  <c r="AC1045" i="3"/>
  <c r="AC1037" i="3"/>
  <c r="AC1009" i="3"/>
  <c r="AC973" i="3"/>
  <c r="AC945" i="3"/>
  <c r="AC933" i="3"/>
  <c r="AC925" i="3"/>
  <c r="AC917" i="3"/>
  <c r="AC901" i="3"/>
  <c r="AC893" i="3"/>
  <c r="AC885" i="3"/>
  <c r="AC877" i="3"/>
  <c r="AC869" i="3"/>
  <c r="AC853" i="3"/>
  <c r="AC845" i="3"/>
  <c r="AC837" i="3"/>
  <c r="AC829" i="3"/>
  <c r="AC821" i="3"/>
  <c r="AC813" i="3"/>
  <c r="AC797" i="3"/>
  <c r="AC781" i="3"/>
  <c r="AC773" i="3"/>
  <c r="AC765" i="3"/>
  <c r="AC757" i="3"/>
  <c r="AC749" i="3"/>
  <c r="AC725" i="3"/>
  <c r="AC717" i="3"/>
  <c r="AC709" i="3"/>
  <c r="AC701" i="3"/>
  <c r="AC693" i="3"/>
  <c r="AC685" i="3"/>
  <c r="AC677" i="3"/>
  <c r="AC665" i="3"/>
  <c r="AC653" i="3"/>
  <c r="AC645" i="3"/>
  <c r="AC637" i="3"/>
  <c r="AC621" i="3"/>
  <c r="AC613" i="3"/>
  <c r="AC605" i="3"/>
  <c r="AC597" i="3"/>
  <c r="AC589" i="3"/>
  <c r="AC581" i="3"/>
  <c r="AC573" i="3"/>
  <c r="AC561" i="3"/>
  <c r="AC1080" i="3"/>
  <c r="AC1060" i="3"/>
  <c r="AC1044" i="3"/>
  <c r="AC1012" i="3"/>
  <c r="AC992" i="3"/>
  <c r="AC976" i="3"/>
  <c r="AC964" i="3"/>
  <c r="AC956" i="3"/>
  <c r="AC944" i="3"/>
  <c r="AC936" i="3"/>
  <c r="AC920" i="3"/>
  <c r="AC904" i="3"/>
  <c r="AC888" i="3"/>
  <c r="AC876" i="3"/>
  <c r="AC868" i="3"/>
  <c r="AC856" i="3"/>
  <c r="AC848" i="3"/>
  <c r="AC840" i="3"/>
  <c r="AC824" i="3"/>
  <c r="AC800" i="3"/>
  <c r="AC788" i="3"/>
  <c r="AC780" i="3"/>
  <c r="AC772" i="3"/>
  <c r="AC756" i="3"/>
  <c r="AC748" i="3"/>
  <c r="AC736" i="3"/>
  <c r="AC728" i="3"/>
  <c r="AC716" i="3"/>
  <c r="AC708" i="3"/>
  <c r="AC704" i="3"/>
  <c r="AC700" i="3"/>
  <c r="AC696" i="3"/>
  <c r="AC692" i="3"/>
  <c r="AC688" i="3"/>
  <c r="AC684" i="3"/>
  <c r="AC680" i="3"/>
  <c r="AC676" i="3"/>
  <c r="AC672" i="3"/>
  <c r="AC668" i="3"/>
  <c r="AC664" i="3"/>
  <c r="AC660" i="3"/>
  <c r="AC652" i="3"/>
  <c r="AC644" i="3"/>
  <c r="AC640" i="3"/>
  <c r="AC636" i="3"/>
  <c r="AC632" i="3"/>
  <c r="AC628" i="3"/>
  <c r="AC620" i="3"/>
  <c r="AC616" i="3"/>
  <c r="AC612" i="3"/>
  <c r="AC604" i="3"/>
  <c r="AC600" i="3"/>
  <c r="AC596" i="3"/>
  <c r="AC592" i="3"/>
  <c r="AC588" i="3"/>
  <c r="AC584" i="3"/>
  <c r="AC580" i="3"/>
  <c r="AC576" i="3"/>
  <c r="AC572" i="3"/>
  <c r="AC568" i="3"/>
  <c r="AC564" i="3"/>
  <c r="AC560" i="3"/>
  <c r="AC552" i="3"/>
  <c r="AC540" i="3"/>
  <c r="AC532" i="3"/>
  <c r="AC524" i="3"/>
  <c r="AC516" i="3"/>
  <c r="AC508" i="3"/>
  <c r="AC500" i="3"/>
  <c r="AC492" i="3"/>
  <c r="AC484" i="3"/>
  <c r="AC480" i="3"/>
  <c r="AC472" i="3"/>
  <c r="AC464" i="3"/>
  <c r="AC456" i="3"/>
  <c r="AC448" i="3"/>
  <c r="AC440" i="3"/>
  <c r="AC432" i="3"/>
  <c r="AC424" i="3"/>
  <c r="AC416" i="3"/>
  <c r="AC408" i="3"/>
  <c r="AC400" i="3"/>
  <c r="AC392" i="3"/>
  <c r="AC388" i="3"/>
  <c r="AC380" i="3"/>
  <c r="AC372" i="3"/>
  <c r="D67" i="5" a="1"/>
  <c r="D67" i="5" s="1"/>
  <c r="D66" i="5" a="1"/>
  <c r="D66" i="5" s="1"/>
  <c r="D65" i="5" a="1"/>
  <c r="D65" i="5" s="1"/>
  <c r="D64" i="5" a="1"/>
  <c r="D64" i="5" s="1"/>
  <c r="D63" i="5" a="1"/>
  <c r="D63" i="5" s="1"/>
  <c r="D62" i="5" a="1"/>
  <c r="D62" i="5" s="1"/>
  <c r="D68" i="5" a="1"/>
  <c r="D68" i="5" s="1"/>
  <c r="D49" i="5" a="1"/>
  <c r="D69" i="5" a="1"/>
  <c r="D69" i="5" s="1"/>
  <c r="D60" i="5" a="1"/>
  <c r="D60" i="5" s="1"/>
  <c r="D61" i="5" a="1"/>
  <c r="D61" i="5" s="1"/>
  <c r="AC136" i="3"/>
  <c r="AC542" i="3"/>
  <c r="AC534" i="3"/>
  <c r="AC526" i="3"/>
  <c r="AC518" i="3"/>
  <c r="AC514" i="3"/>
  <c r="AC502" i="3"/>
  <c r="AC498" i="3"/>
  <c r="AC490" i="3"/>
  <c r="AC478" i="3"/>
  <c r="AC470" i="3"/>
  <c r="AC466" i="3"/>
  <c r="AC454" i="3"/>
  <c r="AC446" i="3"/>
  <c r="AC442" i="3"/>
  <c r="AC430" i="3"/>
  <c r="AC422" i="3"/>
  <c r="AC414" i="3"/>
  <c r="AC410" i="3"/>
  <c r="AC398" i="3"/>
  <c r="AC394" i="3"/>
  <c r="AC386" i="3"/>
  <c r="AC378" i="3"/>
  <c r="AC366" i="3"/>
  <c r="AC358" i="3"/>
  <c r="AC350" i="3"/>
  <c r="AC346" i="3"/>
  <c r="AC342" i="3"/>
  <c r="AC338" i="3"/>
  <c r="AC334" i="3"/>
  <c r="AC330" i="3"/>
  <c r="AC326" i="3"/>
  <c r="AC322" i="3"/>
  <c r="AC314" i="3"/>
  <c r="AC310" i="3"/>
  <c r="AC306" i="3"/>
  <c r="AC302" i="3"/>
  <c r="AC298" i="3"/>
  <c r="AC294" i="3"/>
  <c r="AC290" i="3"/>
  <c r="AC286" i="3"/>
  <c r="AC282" i="3"/>
  <c r="AC278" i="3"/>
  <c r="AC270" i="3"/>
  <c r="AC266" i="3"/>
  <c r="AC262" i="3"/>
  <c r="AC254" i="3"/>
  <c r="AC246" i="3"/>
  <c r="AC242" i="3"/>
  <c r="AC238" i="3"/>
  <c r="AC234" i="3"/>
  <c r="AC230" i="3"/>
  <c r="AC226" i="3"/>
  <c r="AC222" i="3"/>
  <c r="AC218" i="3"/>
  <c r="AC214" i="3"/>
  <c r="AC210" i="3"/>
  <c r="AC206" i="3"/>
  <c r="AC202" i="3"/>
  <c r="AC198" i="3"/>
  <c r="AC194" i="3"/>
  <c r="AC190" i="3"/>
  <c r="AC186" i="3"/>
  <c r="AC178" i="3"/>
  <c r="AC174" i="3"/>
  <c r="AC166" i="3"/>
  <c r="AC162" i="3"/>
  <c r="AC154" i="3"/>
  <c r="AC150" i="3"/>
  <c r="AC146" i="3"/>
  <c r="AC142" i="3"/>
  <c r="AC126" i="3"/>
  <c r="AC122" i="3"/>
  <c r="AC118" i="3"/>
  <c r="AC114" i="3"/>
  <c r="AC110" i="3"/>
  <c r="AC106" i="3"/>
  <c r="AC98" i="3"/>
  <c r="AC546" i="3"/>
  <c r="AC538" i="3"/>
  <c r="AC530" i="3"/>
  <c r="AC522" i="3"/>
  <c r="AC510" i="3"/>
  <c r="AC506" i="3"/>
  <c r="AC494" i="3"/>
  <c r="AC486" i="3"/>
  <c r="AC482" i="3"/>
  <c r="AC474" i="3"/>
  <c r="AC462" i="3"/>
  <c r="AC458" i="3"/>
  <c r="AC450" i="3"/>
  <c r="AC438" i="3"/>
  <c r="AC426" i="3"/>
  <c r="AC418" i="3"/>
  <c r="AC406" i="3"/>
  <c r="AC402" i="3"/>
  <c r="AC390" i="3"/>
  <c r="AC382" i="3"/>
  <c r="AC374" i="3"/>
  <c r="AC370" i="3"/>
  <c r="AC362" i="3"/>
  <c r="AC553" i="3"/>
  <c r="AC545" i="3"/>
  <c r="AC537" i="3"/>
  <c r="AC529" i="3"/>
  <c r="AC521" i="3"/>
  <c r="AC513" i="3"/>
  <c r="AC505" i="3"/>
  <c r="AC497" i="3"/>
  <c r="AC489" i="3"/>
  <c r="AC481" i="3"/>
  <c r="AC469" i="3"/>
  <c r="AC461" i="3"/>
  <c r="AC449" i="3"/>
  <c r="AC441" i="3"/>
  <c r="AC433" i="3"/>
  <c r="AC421" i="3"/>
  <c r="AC409" i="3"/>
  <c r="AC401" i="3"/>
  <c r="AC393" i="3"/>
  <c r="AC389" i="3"/>
  <c r="AC377" i="3"/>
  <c r="AC369" i="3"/>
  <c r="AC365" i="3"/>
  <c r="AC361" i="3"/>
  <c r="AC357" i="3"/>
  <c r="AC353" i="3"/>
  <c r="AC349" i="3"/>
  <c r="AC345" i="3"/>
  <c r="AC341" i="3"/>
  <c r="AC337" i="3"/>
  <c r="AC333" i="3"/>
  <c r="AC329" i="3"/>
  <c r="AC325" i="3"/>
  <c r="AC321" i="3"/>
  <c r="AC317" i="3"/>
  <c r="AC309" i="3"/>
  <c r="AC305" i="3"/>
  <c r="AC301" i="3"/>
  <c r="AC297" i="3"/>
  <c r="AC293" i="3"/>
  <c r="AC289" i="3"/>
  <c r="AC285" i="3"/>
  <c r="AC281" i="3"/>
  <c r="AC277" i="3"/>
  <c r="AC273" i="3"/>
  <c r="AC269" i="3"/>
  <c r="AC265" i="3"/>
  <c r="AC261" i="3"/>
  <c r="AC257" i="3"/>
  <c r="AC253" i="3"/>
  <c r="AC249" i="3"/>
  <c r="AC245" i="3"/>
  <c r="AC241" i="3"/>
  <c r="AC237" i="3"/>
  <c r="AC233" i="3"/>
  <c r="AC229" i="3"/>
  <c r="AC225" i="3"/>
  <c r="AC221" i="3"/>
  <c r="AC217" i="3"/>
  <c r="AC213" i="3"/>
  <c r="AC209" i="3"/>
  <c r="AC205" i="3"/>
  <c r="AC197" i="3"/>
  <c r="AC193" i="3"/>
  <c r="AC189" i="3"/>
  <c r="AC185" i="3"/>
  <c r="AC181" i="3"/>
  <c r="AC177" i="3"/>
  <c r="AC173" i="3"/>
  <c r="AC169" i="3"/>
  <c r="AC165" i="3"/>
  <c r="AC161" i="3"/>
  <c r="AC157" i="3"/>
  <c r="AC153" i="3"/>
  <c r="AC149" i="3"/>
  <c r="AC129" i="3"/>
  <c r="AC125" i="3"/>
  <c r="AC121" i="3"/>
  <c r="AC117" i="3"/>
  <c r="AC113" i="3"/>
  <c r="AC109" i="3"/>
  <c r="AC105" i="3"/>
  <c r="AC101" i="3"/>
  <c r="AC557" i="3"/>
  <c r="AC549" i="3"/>
  <c r="AC541" i="3"/>
  <c r="AC533" i="3"/>
  <c r="AC525" i="3"/>
  <c r="AC517" i="3"/>
  <c r="AC509" i="3"/>
  <c r="AC501" i="3"/>
  <c r="AC493" i="3"/>
  <c r="AC485" i="3"/>
  <c r="AC477" i="3"/>
  <c r="AC473" i="3"/>
  <c r="AC457" i="3"/>
  <c r="AC453" i="3"/>
  <c r="AC445" i="3"/>
  <c r="AC437" i="3"/>
  <c r="AC429" i="3"/>
  <c r="AC425" i="3"/>
  <c r="AC413" i="3"/>
  <c r="AC405" i="3"/>
  <c r="AC397" i="3"/>
  <c r="AC385" i="3"/>
  <c r="AC373" i="3"/>
  <c r="AC140" i="3"/>
  <c r="AC556" i="3"/>
  <c r="AC544" i="3"/>
  <c r="AC536" i="3"/>
  <c r="AC528" i="3"/>
  <c r="AC520" i="3"/>
  <c r="AC512" i="3"/>
  <c r="AC504" i="3"/>
  <c r="AC496" i="3"/>
  <c r="AC488" i="3"/>
  <c r="AC476" i="3"/>
  <c r="AC468" i="3"/>
  <c r="AC460" i="3"/>
  <c r="AC452" i="3"/>
  <c r="AC444" i="3"/>
  <c r="AC436" i="3"/>
  <c r="AC428" i="3"/>
  <c r="AC420" i="3"/>
  <c r="AC412" i="3"/>
  <c r="AC404" i="3"/>
  <c r="AC396" i="3"/>
  <c r="AC384" i="3"/>
  <c r="AC376" i="3"/>
  <c r="AC368" i="3"/>
  <c r="AC364" i="3"/>
  <c r="AC360" i="3"/>
  <c r="AC356" i="3"/>
  <c r="AC352" i="3"/>
  <c r="AC348" i="3"/>
  <c r="AC336" i="3"/>
  <c r="AC328" i="3"/>
  <c r="AC320" i="3"/>
  <c r="AC316" i="3"/>
  <c r="AC312" i="3"/>
  <c r="AC308" i="3"/>
  <c r="AC300" i="3"/>
  <c r="AC296" i="3"/>
  <c r="AC292" i="3"/>
  <c r="AC288" i="3"/>
  <c r="AC280" i="3"/>
  <c r="AC276" i="3"/>
  <c r="AC272" i="3"/>
  <c r="AC268" i="3"/>
  <c r="AC264" i="3"/>
  <c r="AC260" i="3"/>
  <c r="AC256" i="3"/>
  <c r="AC252" i="3"/>
  <c r="AC248" i="3"/>
  <c r="AC244" i="3"/>
  <c r="AC240" i="3"/>
  <c r="AC236" i="3"/>
  <c r="AC232" i="3"/>
  <c r="AC224" i="3"/>
  <c r="AC220" i="3"/>
  <c r="AC216" i="3"/>
  <c r="AC212" i="3"/>
  <c r="AC208" i="3"/>
  <c r="AC204" i="3"/>
  <c r="AC200" i="3"/>
  <c r="AC196" i="3"/>
  <c r="AC188" i="3"/>
  <c r="AC184" i="3"/>
  <c r="AC180" i="3"/>
  <c r="AC176" i="3"/>
  <c r="AC172" i="3"/>
  <c r="AC168" i="3"/>
  <c r="AC164" i="3"/>
  <c r="AC160" i="3"/>
  <c r="AC156" i="3"/>
  <c r="AC152" i="3"/>
  <c r="AC148" i="3"/>
  <c r="AC144" i="3"/>
  <c r="AC139" i="3"/>
  <c r="AC132" i="3"/>
  <c r="AC128" i="3"/>
  <c r="AC116" i="3"/>
  <c r="AC112" i="3"/>
  <c r="AC108" i="3"/>
  <c r="AC104" i="3"/>
  <c r="AC100" i="3"/>
  <c r="AC96" i="3"/>
  <c r="H30" i="5" l="1"/>
  <c r="H139" i="5" s="1"/>
  <c r="AC97" i="3"/>
  <c r="D50" i="5"/>
  <c r="D54" i="5"/>
  <c r="D53" i="5"/>
  <c r="D56" i="5"/>
  <c r="D52" i="5"/>
  <c r="D59" i="5"/>
  <c r="D51" i="5"/>
  <c r="D55" i="5"/>
  <c r="D57" i="5"/>
  <c r="D49" i="5"/>
  <c r="D58" i="5"/>
  <c r="C49" i="5" l="1"/>
  <c r="C81" i="5" a="1"/>
  <c r="C81" i="5" s="1"/>
  <c r="C82" i="5" a="1"/>
  <c r="C82" i="5" s="1"/>
  <c r="C78" i="5" a="1"/>
  <c r="C78" i="5" s="1"/>
  <c r="C91" i="5" a="1"/>
  <c r="C91" i="5" s="1"/>
  <c r="C84" i="5" a="1"/>
  <c r="C84" i="5" s="1"/>
  <c r="C90" i="5" a="1"/>
  <c r="C90" i="5" s="1"/>
  <c r="C75" i="5" a="1"/>
  <c r="C75" i="5" s="1"/>
  <c r="C89" i="5" a="1"/>
  <c r="C89" i="5" s="1"/>
  <c r="C85" i="5" a="1"/>
  <c r="C85" i="5" s="1"/>
  <c r="C87" i="5" a="1"/>
  <c r="C87" i="5" s="1"/>
  <c r="C50" i="5" a="1"/>
  <c r="C50" i="5" s="1"/>
  <c r="C86" i="5" a="1"/>
  <c r="C86" i="5" s="1"/>
  <c r="C74" i="5" a="1"/>
  <c r="C74" i="5" s="1"/>
  <c r="C83" i="5" a="1"/>
  <c r="C83" i="5" s="1"/>
  <c r="C79" i="5" a="1"/>
  <c r="C79" i="5" s="1"/>
  <c r="C92" i="5" a="1"/>
  <c r="C92" i="5" s="1"/>
  <c r="B92" i="5" s="1"/>
  <c r="C76" i="5" a="1"/>
  <c r="C76" i="5" s="1"/>
  <c r="C88" i="5" a="1"/>
  <c r="C88" i="5" s="1"/>
  <c r="AC102" i="3"/>
  <c r="C42" i="2"/>
  <c r="H36" i="2"/>
  <c r="H35" i="2"/>
  <c r="H34" i="2"/>
  <c r="H33" i="2"/>
  <c r="H26" i="2"/>
  <c r="H25" i="2"/>
  <c r="H24" i="2"/>
  <c r="H23" i="2"/>
  <c r="H22" i="2"/>
  <c r="H21" i="2"/>
  <c r="B91" i="5" l="1"/>
  <c r="C51" i="5" a="1"/>
  <c r="C51" i="5" s="1"/>
  <c r="B81" i="5"/>
  <c r="B82" i="5"/>
  <c r="B87" i="5"/>
  <c r="B88" i="5"/>
  <c r="B85" i="5"/>
  <c r="B90" i="5"/>
  <c r="B83" i="5"/>
  <c r="B84" i="5"/>
  <c r="B86" i="5"/>
  <c r="B89" i="5"/>
  <c r="AC120" i="3"/>
  <c r="C52" i="5" l="1" a="1"/>
  <c r="C52" i="5" s="1"/>
  <c r="C53" i="5" s="1" a="1"/>
  <c r="C53" i="5" s="1"/>
  <c r="AC124" i="3"/>
  <c r="C54" i="5" l="1" a="1"/>
  <c r="C54" i="5" s="1"/>
  <c r="AC130" i="3"/>
  <c r="C151" i="5"/>
  <c r="C55" i="5" l="1" a="1"/>
  <c r="C55" i="5" s="1"/>
  <c r="AC133" i="3"/>
  <c r="C56" i="5" l="1" a="1"/>
  <c r="C56" i="5" s="1"/>
  <c r="AC134" i="3"/>
  <c r="C57" i="5" l="1" a="1"/>
  <c r="C57" i="5" s="1"/>
  <c r="C58" i="5" s="1" a="1"/>
  <c r="C58" i="5" s="1"/>
  <c r="C59" i="5" s="1" a="1"/>
  <c r="C59" i="5" s="1"/>
  <c r="C60" i="5" s="1" a="1"/>
  <c r="C60" i="5" s="1"/>
  <c r="AC135" i="3"/>
  <c r="C61" i="5" l="1" a="1"/>
  <c r="C61" i="5" s="1"/>
  <c r="C62" i="5" s="1" a="1"/>
  <c r="C62" i="5" s="1"/>
  <c r="AC137" i="3"/>
  <c r="C63" i="5" l="1" a="1"/>
  <c r="C63" i="5" s="1"/>
  <c r="C64" i="5" s="1" a="1"/>
  <c r="C64" i="5" s="1"/>
  <c r="C65" i="5" s="1" a="1"/>
  <c r="C65" i="5" s="1"/>
  <c r="AC138" i="3"/>
  <c r="AC141" i="3"/>
  <c r="B49" i="1"/>
  <c r="C66" i="5" l="1" a="1"/>
  <c r="C66" i="5" s="1"/>
  <c r="C67" i="5" s="1" a="1"/>
  <c r="C67" i="5" s="1"/>
  <c r="C68" i="5" s="1" a="1"/>
  <c r="C68" i="5" s="1"/>
  <c r="C69" i="5" s="1" a="1"/>
  <c r="C69" i="5" s="1"/>
  <c r="AC145" i="3"/>
  <c r="AC201" i="3" s="1"/>
  <c r="B53" i="2"/>
  <c r="C70" i="5" l="1" a="1"/>
  <c r="C70" i="5" s="1"/>
  <c r="C71" i="5" s="1" a="1"/>
  <c r="C71" i="5" s="1"/>
  <c r="AC158" i="3"/>
  <c r="C72" i="5" l="1" a="1"/>
  <c r="C72" i="5" s="1"/>
  <c r="C73" i="5" s="1" a="1"/>
  <c r="C73" i="5" s="1"/>
  <c r="AC170" i="3"/>
  <c r="E38" i="4"/>
  <c r="C77" i="5" l="1" a="1"/>
  <c r="C77" i="5" s="1"/>
  <c r="AC179" i="3"/>
  <c r="D113" i="3"/>
  <c r="C80" i="5" l="1" a="1"/>
  <c r="C80" i="5" s="1"/>
  <c r="B62" i="5" s="1"/>
  <c r="AC182" i="3"/>
  <c r="D98" i="3"/>
  <c r="W31" i="1"/>
  <c r="T28" i="1"/>
  <c r="I29" i="1"/>
  <c r="B67" i="5" l="1"/>
  <c r="B53" i="5"/>
  <c r="B65" i="5"/>
  <c r="B71" i="5"/>
  <c r="B77" i="5"/>
  <c r="B69" i="5"/>
  <c r="B76" i="5"/>
  <c r="B72" i="5"/>
  <c r="B75" i="5"/>
  <c r="B70" i="5"/>
  <c r="B51" i="5"/>
  <c r="B74" i="5"/>
  <c r="B73" i="5"/>
  <c r="B50" i="5"/>
  <c r="B80" i="5"/>
  <c r="B78" i="5"/>
  <c r="B79" i="5"/>
  <c r="B61" i="5"/>
  <c r="B49" i="5"/>
  <c r="B56" i="5"/>
  <c r="B64" i="5"/>
  <c r="B58" i="5"/>
  <c r="B68" i="5"/>
  <c r="B66" i="5"/>
  <c r="B55" i="5"/>
  <c r="B60" i="5"/>
  <c r="B63" i="5"/>
  <c r="B57" i="5"/>
  <c r="B54" i="5"/>
  <c r="B59" i="5"/>
  <c r="B52" i="5"/>
  <c r="O15" i="2"/>
  <c r="D32" i="8"/>
  <c r="C35" i="8"/>
  <c r="H30" i="8"/>
  <c r="H16" i="8"/>
  <c r="H29" i="8"/>
  <c r="H28" i="8"/>
  <c r="H20" i="8"/>
  <c r="H18" i="8"/>
  <c r="H21" i="8"/>
  <c r="H19" i="8"/>
  <c r="H17" i="8"/>
  <c r="H31" i="8"/>
  <c r="AC187" i="3"/>
  <c r="BZ29" i="8"/>
  <c r="BZ22" i="8"/>
  <c r="BZ21" i="8"/>
  <c r="BZ19" i="8"/>
  <c r="BZ32" i="8"/>
  <c r="BZ18" i="8"/>
  <c r="BZ31" i="8"/>
  <c r="BZ30" i="8"/>
  <c r="BZ20" i="8"/>
  <c r="BZ17" i="8"/>
  <c r="BU36" i="8"/>
  <c r="BV33" i="8"/>
  <c r="R133" i="3"/>
  <c r="R134" i="3"/>
  <c r="M14" i="2"/>
  <c r="M26" i="2"/>
  <c r="F9" i="2" s="1"/>
  <c r="M8" i="2"/>
  <c r="M140" i="3" s="1"/>
  <c r="B129" i="3"/>
  <c r="D116" i="3"/>
  <c r="F116" i="3"/>
  <c r="B111" i="3"/>
  <c r="M4" i="2"/>
  <c r="M5" i="2"/>
  <c r="M11" i="2" s="1"/>
  <c r="M7" i="2"/>
  <c r="M13" i="2" s="1"/>
  <c r="M35" i="2"/>
  <c r="M6" i="2"/>
  <c r="I22" i="2" s="1"/>
  <c r="M12" i="2"/>
  <c r="E40" i="3" l="1"/>
  <c r="C38" i="3" s="1"/>
  <c r="F46" i="2" s="1"/>
  <c r="M19" i="2"/>
  <c r="F10" i="2" s="1"/>
  <c r="M138" i="3"/>
  <c r="M139" i="3"/>
  <c r="M136" i="3"/>
  <c r="M137" i="3"/>
  <c r="M134" i="3"/>
  <c r="M135" i="3"/>
  <c r="AC192" i="3"/>
  <c r="E29" i="2"/>
  <c r="I33" i="2"/>
  <c r="I5" i="2"/>
  <c r="X5" i="2" s="1"/>
  <c r="B40" i="3"/>
  <c r="E39" i="3" s="1"/>
  <c r="E38" i="3" s="1"/>
  <c r="F19" i="2" s="1"/>
  <c r="R135" i="3" l="1"/>
  <c r="AC199" i="3"/>
  <c r="F11" i="2"/>
  <c r="J8" i="2" s="1"/>
  <c r="M8" i="4" l="1"/>
  <c r="B301" i="3" s="1"/>
  <c r="L137" i="3"/>
  <c r="L135" i="3" s="1"/>
  <c r="M15" i="2" s="1"/>
  <c r="M20" i="2" s="1"/>
  <c r="F12" i="2" s="1"/>
  <c r="F14" i="2" s="1"/>
  <c r="AC203" i="3"/>
  <c r="B268" i="3" l="1"/>
  <c r="B283" i="3"/>
  <c r="D273" i="3"/>
  <c r="F273" i="3"/>
  <c r="M12" i="4"/>
  <c r="F10" i="4" s="1"/>
  <c r="E39" i="4" s="1"/>
  <c r="M13" i="4"/>
  <c r="F11" i="4" s="1"/>
  <c r="M22" i="4"/>
  <c r="F9" i="4" s="1"/>
  <c r="C29" i="2"/>
  <c r="I58" i="2" s="1"/>
  <c r="AC215" i="3"/>
  <c r="F288" i="3" l="1"/>
  <c r="D288" i="3"/>
  <c r="F15" i="2"/>
  <c r="J9" i="2" s="1"/>
  <c r="F13" i="2"/>
  <c r="AC219" i="3"/>
  <c r="AC227" i="3" l="1"/>
  <c r="AC228" i="3" l="1"/>
  <c r="AC250" i="3" l="1"/>
  <c r="AC258" i="3" l="1"/>
  <c r="AC274" i="3" l="1"/>
  <c r="E33" i="6"/>
  <c r="H33" i="6" s="1"/>
  <c r="X33" i="6" s="1"/>
  <c r="AC284" i="3" l="1"/>
  <c r="AC295" i="3" l="1"/>
  <c r="AC304" i="3" l="1"/>
  <c r="AC307" i="3" l="1"/>
  <c r="AC313" i="3" l="1"/>
  <c r="AC318" i="3" l="1"/>
  <c r="AC324" i="3" l="1"/>
  <c r="AC332" i="3" l="1"/>
  <c r="AC340" i="3" l="1"/>
  <c r="AC344" i="3" l="1"/>
  <c r="AC354" i="3" l="1"/>
  <c r="AC363" i="3" l="1"/>
  <c r="AC375" i="3" l="1"/>
  <c r="AC381" i="3" l="1"/>
  <c r="AC417" i="3" l="1"/>
  <c r="AC434" i="3" l="1"/>
  <c r="AC465" i="3" l="1"/>
  <c r="AC499" i="3" l="1"/>
  <c r="AC515" i="3" l="1"/>
  <c r="AC531" i="3" l="1"/>
  <c r="AC547" i="3" l="1"/>
  <c r="AC548" i="3" l="1"/>
  <c r="AC565" i="3" l="1"/>
  <c r="AC574" i="3" l="1"/>
  <c r="AC599" i="3" l="1"/>
  <c r="AC608" i="3" l="1"/>
  <c r="AC624" i="3" l="1"/>
  <c r="AC633" i="3" l="1"/>
  <c r="AC648" i="3" l="1"/>
  <c r="AC656" i="3" l="1"/>
  <c r="AC661" i="3" l="1"/>
  <c r="AC669" i="3" l="1"/>
  <c r="AC679" i="3" l="1"/>
  <c r="AC699" i="3" l="1"/>
  <c r="AC706" i="3" l="1"/>
  <c r="AC712" i="3" l="1"/>
  <c r="AC723" i="3" l="1"/>
  <c r="AC724" i="3" l="1"/>
  <c r="AC733" i="3" l="1"/>
  <c r="AC734" i="3" l="1"/>
  <c r="AC737" i="3" s="1"/>
  <c r="AC744" i="3" l="1"/>
  <c r="AC745" i="3" l="1"/>
  <c r="AC753" i="3" s="1"/>
  <c r="AC760" i="3" l="1"/>
  <c r="AC764" i="3" s="1"/>
  <c r="AC775" i="3" l="1"/>
  <c r="AC779" i="3" l="1"/>
  <c r="AC783" i="3" l="1"/>
  <c r="AC785" i="3" l="1"/>
  <c r="AC789" i="3" l="1"/>
  <c r="AC792" i="3" l="1"/>
  <c r="AC801" i="3" s="1"/>
  <c r="AC804" i="3" l="1"/>
  <c r="AC805" i="3" s="1"/>
  <c r="AC808" i="3" l="1"/>
  <c r="AC816" i="3" s="1"/>
  <c r="AC819" i="3" l="1"/>
  <c r="AC832" i="3" s="1"/>
  <c r="AC835" i="3" l="1"/>
  <c r="AC861" i="3" s="1"/>
  <c r="AC864" i="3" l="1"/>
  <c r="AC871" i="3" s="1"/>
  <c r="AC874" i="3" l="1"/>
  <c r="AC881" i="3" s="1"/>
  <c r="AC883" i="3" s="1"/>
  <c r="AC884" i="3" l="1"/>
  <c r="AC886" i="3" l="1"/>
  <c r="AC892" i="3" s="1"/>
  <c r="AC895" i="3" l="1"/>
  <c r="AC896" i="3" s="1"/>
  <c r="AC899" i="3" l="1"/>
  <c r="AC909" i="3" s="1"/>
  <c r="AC912" i="3" l="1"/>
  <c r="AC913" i="3" s="1"/>
  <c r="AC915" i="3" l="1"/>
  <c r="AC916" i="3" l="1"/>
  <c r="AC919" i="3" s="1"/>
  <c r="AC922" i="3" l="1"/>
  <c r="AC928" i="3" s="1"/>
  <c r="AC931" i="3" l="1"/>
  <c r="AC938" i="3" s="1"/>
  <c r="AC941" i="3" l="1"/>
  <c r="AC946" i="3" s="1"/>
  <c r="AC949" i="3" l="1"/>
  <c r="AC952" i="3" l="1"/>
  <c r="AC957" i="3" s="1"/>
  <c r="AC960" i="3" l="1"/>
  <c r="AC962" i="3" s="1"/>
  <c r="AC965" i="3" l="1"/>
  <c r="AC966" i="3" s="1"/>
  <c r="AC967" i="3" s="1"/>
  <c r="AC969" i="3" l="1"/>
  <c r="AC970" i="3" l="1"/>
  <c r="AC971" i="3" s="1"/>
  <c r="AC974" i="3" l="1"/>
  <c r="AC977" i="3" l="1"/>
  <c r="AC981" i="3" s="1"/>
  <c r="AC983" i="3" s="1"/>
  <c r="AC984" i="3" l="1"/>
  <c r="AC985" i="3" s="1"/>
  <c r="AC986" i="3" l="1"/>
  <c r="AC988" i="3" l="1"/>
  <c r="AC991" i="3" l="1"/>
  <c r="AC993" i="3" s="1"/>
  <c r="AC996" i="3" l="1"/>
  <c r="AC997" i="3" s="1"/>
  <c r="AC998" i="3" s="1"/>
  <c r="AC1000" i="3" l="1"/>
  <c r="AC1001" i="3" l="1"/>
  <c r="AC1002" i="3" s="1"/>
  <c r="AC1003" i="3" s="1"/>
  <c r="AC1004" i="3" s="1"/>
  <c r="AC1005" i="3" l="1"/>
  <c r="AC1006" i="3" l="1"/>
  <c r="AC1007" i="3" l="1"/>
  <c r="AC1010" i="3" l="1"/>
  <c r="AC1013" i="3" s="1"/>
  <c r="AC1016" i="3" l="1"/>
  <c r="AC1017" i="3" s="1"/>
  <c r="AC1018" i="3" s="1"/>
  <c r="AC1020" i="3" l="1"/>
  <c r="AC1021" i="3" l="1"/>
  <c r="AC1022" i="3" s="1"/>
  <c r="AC1024" i="3" s="1"/>
  <c r="AC1025" i="3" l="1"/>
  <c r="AC1027" i="3" l="1"/>
  <c r="AC1028" i="3" s="1"/>
  <c r="AC1030" i="3" s="1"/>
  <c r="AC1031" i="3" l="1"/>
  <c r="AC1032" i="3" s="1"/>
  <c r="AC1033" i="3" l="1"/>
  <c r="AC1034" i="3" l="1"/>
  <c r="AC1035" i="3" l="1"/>
  <c r="AC1036" i="3" l="1"/>
  <c r="AC1039" i="3" l="1"/>
  <c r="AC1042" i="3" l="1"/>
  <c r="AC1048" i="3" s="1"/>
  <c r="AC1050" i="3" s="1"/>
  <c r="AC1051" i="3" l="1"/>
  <c r="AC1052" i="3" s="1"/>
  <c r="AC1053" i="3" l="1"/>
  <c r="AC1055" i="3" l="1"/>
  <c r="AC1056" i="3" s="1"/>
  <c r="AC1058" i="3" l="1"/>
  <c r="AC1059" i="3" l="1"/>
  <c r="AC1061" i="3" s="1"/>
  <c r="AC1063" i="3" s="1"/>
  <c r="AC1064" i="3" l="1"/>
  <c r="AC1066" i="3" l="1"/>
  <c r="AC1067" i="3" s="1"/>
  <c r="AC1068" i="3" s="1"/>
  <c r="AC1069" i="3" s="1"/>
  <c r="AC1070" i="3" l="1"/>
  <c r="AC1071" i="3" l="1"/>
  <c r="AC1072" i="3" l="1"/>
  <c r="AC1073" i="3" l="1"/>
  <c r="AC1074" i="3" l="1"/>
  <c r="AC1075" i="3" s="1"/>
  <c r="AC1076" i="3" l="1"/>
  <c r="AC1078" i="3" l="1"/>
  <c r="AC1079" i="3" l="1"/>
  <c r="AC1081" i="3" l="1"/>
  <c r="AC1082" i="3" s="1"/>
  <c r="AC1083" i="3" s="1"/>
  <c r="AC1085" i="3" l="1"/>
  <c r="AC1086" i="3" l="1"/>
  <c r="AC1087" i="3" s="1"/>
  <c r="AC1088" i="3" l="1"/>
  <c r="AC1090" i="3" l="1"/>
  <c r="AC1091" i="3" s="1"/>
  <c r="AC1092" i="3" s="1"/>
  <c r="AC1093" i="3" s="1"/>
  <c r="AC1094" i="3" l="1"/>
  <c r="AC1095" i="3" l="1"/>
  <c r="AC1096" i="3" l="1"/>
  <c r="AC1098" i="3" s="1"/>
  <c r="AC1099" i="3" l="1"/>
  <c r="AC1100" i="3" s="1"/>
  <c r="AC1101" i="3" l="1"/>
  <c r="AC1102" i="3" s="1"/>
  <c r="AC1103" i="3" l="1"/>
  <c r="AC1104" i="3" s="1"/>
  <c r="AC1105" i="3" l="1"/>
  <c r="AC1106" i="3" s="1"/>
  <c r="AC1107" i="3" l="1"/>
  <c r="AC1108" i="3" l="1"/>
  <c r="AC1109" i="3" l="1"/>
  <c r="AC1110" i="3" l="1"/>
  <c r="AC1111" i="3" l="1"/>
  <c r="AC1112" i="3" l="1"/>
  <c r="AC1113" i="3" s="1"/>
  <c r="AC1115" i="3" l="1"/>
  <c r="AC1116" i="3" l="1"/>
  <c r="AC1118" i="3" l="1"/>
  <c r="AC1119" i="3" l="1"/>
  <c r="AC1121" i="3" l="1"/>
  <c r="AC1122" i="3" l="1"/>
  <c r="AC1123" i="3" s="1"/>
  <c r="AC1124" i="3" l="1"/>
  <c r="AC1125" i="3" l="1"/>
  <c r="AC1126" i="3" l="1"/>
  <c r="AC1127" i="3" l="1"/>
  <c r="AC1128" i="3" l="1"/>
  <c r="AC1129" i="3" l="1"/>
  <c r="AC1130" i="3" s="1"/>
  <c r="AC1131" i="3" l="1"/>
  <c r="AC1132" i="3" l="1"/>
  <c r="AC1133" i="3" l="1"/>
  <c r="AC1134" i="3" l="1"/>
  <c r="AC1135" i="3" l="1"/>
  <c r="AC1136" i="3" l="1"/>
  <c r="AC1137" i="3" s="1"/>
  <c r="AC1138" i="3" l="1"/>
  <c r="AC1139" i="3" l="1"/>
  <c r="AC1140" i="3" l="1"/>
  <c r="AC1141" i="3" s="1"/>
  <c r="AC1143" i="3" s="1"/>
  <c r="AC1144" i="3" l="1"/>
  <c r="AC1146" i="3" l="1"/>
  <c r="AC1148" i="3" s="1"/>
  <c r="AC1149" i="3" s="1"/>
  <c r="AC1151" i="3" l="1"/>
  <c r="AC1152" i="3" l="1"/>
  <c r="AC1153" i="3" s="1"/>
  <c r="AB201" i="3" l="1"/>
  <c r="AB216" i="3"/>
  <c r="AB208" i="3"/>
  <c r="AB209" i="3"/>
  <c r="AB207" i="3"/>
  <c r="AB214" i="3"/>
  <c r="AB212" i="3"/>
  <c r="AB205" i="3"/>
  <c r="AB206" i="3"/>
  <c r="AB210" i="3"/>
  <c r="AB213" i="3"/>
  <c r="AB211" i="3"/>
  <c r="AB217" i="3"/>
  <c r="AB215" i="3"/>
  <c r="AB79" i="3"/>
  <c r="AB1152" i="3"/>
  <c r="AB1153" i="3"/>
  <c r="AB1151" i="3"/>
  <c r="AB82" i="3"/>
  <c r="AB81" i="3"/>
  <c r="AB80" i="3"/>
  <c r="AB83" i="3"/>
  <c r="AB86" i="3"/>
  <c r="AB85" i="3"/>
  <c r="AB87" i="3"/>
  <c r="AB88" i="3"/>
  <c r="AB91" i="3"/>
  <c r="AB89" i="3"/>
  <c r="AB84" i="3"/>
  <c r="AB92" i="3"/>
  <c r="AB90" i="3"/>
  <c r="AB93" i="3"/>
  <c r="AB95" i="3"/>
  <c r="AB99" i="3"/>
  <c r="AB94" i="3"/>
  <c r="AB110" i="3"/>
  <c r="AB98" i="3"/>
  <c r="AB96" i="3"/>
  <c r="AB103" i="3"/>
  <c r="AB101" i="3"/>
  <c r="AB111" i="3"/>
  <c r="AB107" i="3"/>
  <c r="AB115" i="3"/>
  <c r="AB122" i="3"/>
  <c r="AB97" i="3"/>
  <c r="AB105" i="3"/>
  <c r="AB117" i="3"/>
  <c r="AB106" i="3"/>
  <c r="AB100" i="3"/>
  <c r="AB114" i="3"/>
  <c r="AB109" i="3"/>
  <c r="AB127" i="3"/>
  <c r="AB119" i="3"/>
  <c r="AB118" i="3"/>
  <c r="AB113" i="3"/>
  <c r="AB104" i="3"/>
  <c r="AB112" i="3"/>
  <c r="AB102" i="3"/>
  <c r="AB121" i="3"/>
  <c r="AB128" i="3"/>
  <c r="AB108" i="3"/>
  <c r="AB123" i="3"/>
  <c r="AB131" i="3"/>
  <c r="AB116" i="3"/>
  <c r="AB120" i="3"/>
  <c r="AB132" i="3"/>
  <c r="AB126" i="3"/>
  <c r="AB130" i="3"/>
  <c r="AB125" i="3"/>
  <c r="AB129" i="3"/>
  <c r="AB124" i="3"/>
  <c r="AB136" i="3"/>
  <c r="AB133" i="3"/>
  <c r="AB134" i="3"/>
  <c r="AB143" i="3"/>
  <c r="AB139" i="3"/>
  <c r="AB138" i="3"/>
  <c r="AB140" i="3"/>
  <c r="AB135" i="3"/>
  <c r="AB137" i="3"/>
  <c r="AB155" i="3"/>
  <c r="AB142" i="3"/>
  <c r="AB141" i="3"/>
  <c r="AB147" i="3"/>
  <c r="AB151" i="3"/>
  <c r="AB149" i="3"/>
  <c r="AB150" i="3"/>
  <c r="AB163" i="3"/>
  <c r="AB154" i="3"/>
  <c r="AB159" i="3"/>
  <c r="AB157" i="3"/>
  <c r="AB146" i="3"/>
  <c r="AB153" i="3"/>
  <c r="AB167" i="3"/>
  <c r="AB144" i="3"/>
  <c r="AB152" i="3"/>
  <c r="AB158" i="3"/>
  <c r="AB175" i="3"/>
  <c r="AB165" i="3"/>
  <c r="AB162" i="3"/>
  <c r="AB166" i="3"/>
  <c r="AB145" i="3"/>
  <c r="AB156" i="3"/>
  <c r="AB161" i="3"/>
  <c r="AB178" i="3"/>
  <c r="AB169" i="3"/>
  <c r="AB177" i="3"/>
  <c r="AB173" i="3"/>
  <c r="AB164" i="3"/>
  <c r="AB148" i="3"/>
  <c r="AB168" i="3"/>
  <c r="AB171" i="3"/>
  <c r="AB174" i="3"/>
  <c r="AB160" i="3"/>
  <c r="AB180" i="3"/>
  <c r="AB170" i="3"/>
  <c r="AB181" i="3"/>
  <c r="AB172" i="3"/>
  <c r="AB183" i="3"/>
  <c r="AB182" i="3"/>
  <c r="AB176" i="3"/>
  <c r="AB179" i="3"/>
  <c r="AB185" i="3"/>
  <c r="AB186" i="3"/>
  <c r="AB189" i="3"/>
  <c r="AB195" i="3"/>
  <c r="AB188" i="3"/>
  <c r="AB184" i="3"/>
  <c r="AB191" i="3"/>
  <c r="AB187" i="3"/>
  <c r="AB190" i="3"/>
  <c r="AB192" i="3"/>
  <c r="AB193" i="3"/>
  <c r="AB194" i="3"/>
  <c r="AB198" i="3"/>
  <c r="AB197" i="3"/>
  <c r="AB196" i="3"/>
  <c r="AB202" i="3"/>
  <c r="AB200" i="3"/>
  <c r="AB204" i="3"/>
  <c r="AB199" i="3"/>
  <c r="AB221" i="3"/>
  <c r="AB218" i="3"/>
  <c r="AB203" i="3"/>
  <c r="AB223" i="3"/>
  <c r="AB226" i="3"/>
  <c r="AB220" i="3"/>
  <c r="AB222" i="3"/>
  <c r="AB225" i="3"/>
  <c r="AB224" i="3"/>
  <c r="AB235" i="3"/>
  <c r="AB247" i="3"/>
  <c r="AB243" i="3"/>
  <c r="AB231" i="3"/>
  <c r="AB219" i="3"/>
  <c r="AB239" i="3"/>
  <c r="AB240" i="3"/>
  <c r="AB241" i="3"/>
  <c r="AB251" i="3"/>
  <c r="AB246" i="3"/>
  <c r="AB230" i="3"/>
  <c r="AB249" i="3"/>
  <c r="AB227" i="3"/>
  <c r="AB242" i="3"/>
  <c r="AB229" i="3"/>
  <c r="AB234" i="3"/>
  <c r="AB245" i="3"/>
  <c r="AB238" i="3"/>
  <c r="AB255" i="3"/>
  <c r="AB237" i="3"/>
  <c r="AB233" i="3"/>
  <c r="AB228" i="3"/>
  <c r="AB267" i="3"/>
  <c r="AB263" i="3"/>
  <c r="AB254" i="3"/>
  <c r="AB250" i="3"/>
  <c r="AB244" i="3"/>
  <c r="AB271" i="3"/>
  <c r="AB253" i="3"/>
  <c r="AB236" i="3"/>
  <c r="AB232" i="3"/>
  <c r="AB257" i="3"/>
  <c r="AB259" i="3"/>
  <c r="AB248" i="3"/>
  <c r="AB273" i="3"/>
  <c r="AB262" i="3"/>
  <c r="AB261" i="3"/>
  <c r="AB256" i="3"/>
  <c r="AB275" i="3"/>
  <c r="AB279" i="3"/>
  <c r="AB252" i="3"/>
  <c r="AB270" i="3"/>
  <c r="AB269" i="3"/>
  <c r="AB265" i="3"/>
  <c r="AB266" i="3"/>
  <c r="AB287" i="3"/>
  <c r="AB258" i="3"/>
  <c r="AB272" i="3"/>
  <c r="AB277" i="3"/>
  <c r="AB291" i="3"/>
  <c r="AB281" i="3"/>
  <c r="AB274" i="3"/>
  <c r="AB260" i="3"/>
  <c r="AB282" i="3"/>
  <c r="AB278" i="3"/>
  <c r="AB264" i="3"/>
  <c r="AB283" i="3"/>
  <c r="AB268" i="3"/>
  <c r="AB280" i="3"/>
  <c r="AB293" i="3"/>
  <c r="AB276" i="3"/>
  <c r="AB290" i="3"/>
  <c r="AB299" i="3"/>
  <c r="AB285" i="3"/>
  <c r="AB286" i="3"/>
  <c r="AB289" i="3"/>
  <c r="AB294" i="3"/>
  <c r="AB302" i="3"/>
  <c r="AB288" i="3"/>
  <c r="AB297" i="3"/>
  <c r="AB295" i="3"/>
  <c r="AB301" i="3"/>
  <c r="AB303" i="3"/>
  <c r="AB284" i="3"/>
  <c r="AB298" i="3"/>
  <c r="AB292" i="3"/>
  <c r="AB296" i="3"/>
  <c r="AB300" i="3"/>
  <c r="AB311" i="3"/>
  <c r="AB305" i="3"/>
  <c r="AB306" i="3"/>
  <c r="AB317" i="3"/>
  <c r="AB315" i="3"/>
  <c r="AB310" i="3"/>
  <c r="AB308" i="3"/>
  <c r="AB304" i="3"/>
  <c r="AB309" i="3"/>
  <c r="AB313" i="3"/>
  <c r="AB319" i="3"/>
  <c r="AB307" i="3"/>
  <c r="AB312" i="3"/>
  <c r="AB314" i="3"/>
  <c r="AB327" i="3"/>
  <c r="AB321" i="3"/>
  <c r="AB322" i="3"/>
  <c r="AB323" i="3"/>
  <c r="AB316" i="3"/>
  <c r="AB325" i="3"/>
  <c r="AB326" i="3"/>
  <c r="AB329" i="3"/>
  <c r="AB330" i="3"/>
  <c r="AB318" i="3"/>
  <c r="AB320" i="3"/>
  <c r="AB331" i="3"/>
  <c r="AB324" i="3"/>
  <c r="AB335" i="3"/>
  <c r="AB328" i="3"/>
  <c r="AB333" i="3"/>
  <c r="AB337" i="3"/>
  <c r="AB338" i="3"/>
  <c r="AB334" i="3"/>
  <c r="AB339" i="3"/>
  <c r="AB336" i="3"/>
  <c r="AB332" i="3"/>
  <c r="AB347" i="3"/>
  <c r="AB341" i="3"/>
  <c r="AB340" i="3"/>
  <c r="AB343" i="3"/>
  <c r="AB351" i="3"/>
  <c r="AB342" i="3"/>
  <c r="AB359" i="3"/>
  <c r="AB349" i="3"/>
  <c r="AB350" i="3"/>
  <c r="AB353" i="3"/>
  <c r="AB344" i="3"/>
  <c r="AB346" i="3"/>
  <c r="AB345" i="3"/>
  <c r="AB355" i="3"/>
  <c r="AB348" i="3"/>
  <c r="AB362" i="3"/>
  <c r="AB357" i="3"/>
  <c r="AB361" i="3"/>
  <c r="AB371" i="3"/>
  <c r="AB352" i="3"/>
  <c r="AB358" i="3"/>
  <c r="AB379" i="3"/>
  <c r="AB367" i="3"/>
  <c r="AB376" i="3"/>
  <c r="AB366" i="3"/>
  <c r="AB364" i="3"/>
  <c r="AB360" i="3"/>
  <c r="AB374" i="3"/>
  <c r="AB373" i="3"/>
  <c r="AB365" i="3"/>
  <c r="AB387" i="3"/>
  <c r="AB369" i="3"/>
  <c r="AB354" i="3"/>
  <c r="AB415" i="3"/>
  <c r="AB370" i="3"/>
  <c r="AB372" i="3"/>
  <c r="AB363" i="3"/>
  <c r="AB356" i="3"/>
  <c r="AB377" i="3"/>
  <c r="AB395" i="3"/>
  <c r="AB407" i="3"/>
  <c r="AB411" i="3"/>
  <c r="AB399" i="3"/>
  <c r="AB423" i="3"/>
  <c r="AB403" i="3"/>
  <c r="AB380" i="3"/>
  <c r="AB383" i="3"/>
  <c r="AB375" i="3"/>
  <c r="AB368" i="3"/>
  <c r="AB378" i="3"/>
  <c r="AB391" i="3"/>
  <c r="AB394" i="3"/>
  <c r="AB419" i="3"/>
  <c r="AB416" i="3"/>
  <c r="AB393" i="3"/>
  <c r="AB389" i="3"/>
  <c r="AB402" i="3"/>
  <c r="AB405" i="3"/>
  <c r="AB413" i="3"/>
  <c r="AB398" i="3"/>
  <c r="AB431" i="3"/>
  <c r="AB385" i="3"/>
  <c r="AB414" i="3"/>
  <c r="AB392" i="3"/>
  <c r="AB401" i="3"/>
  <c r="AB409" i="3"/>
  <c r="AB388" i="3"/>
  <c r="AB400" i="3"/>
  <c r="AB386" i="3"/>
  <c r="AB390" i="3"/>
  <c r="AB427" i="3"/>
  <c r="AB406" i="3"/>
  <c r="AB408" i="3"/>
  <c r="AB410" i="3"/>
  <c r="AB397" i="3"/>
  <c r="AB382" i="3"/>
  <c r="AB422" i="3"/>
  <c r="AB421" i="3"/>
  <c r="AB384" i="3"/>
  <c r="AB439" i="3"/>
  <c r="AB451" i="3"/>
  <c r="AB425" i="3"/>
  <c r="AB459" i="3"/>
  <c r="AB430" i="3"/>
  <c r="AB424" i="3"/>
  <c r="AB479" i="3"/>
  <c r="AB443" i="3"/>
  <c r="AB432" i="3"/>
  <c r="AB447" i="3"/>
  <c r="AB381" i="3"/>
  <c r="AB483" i="3"/>
  <c r="AB418" i="3"/>
  <c r="AB463" i="3"/>
  <c r="AB404" i="3"/>
  <c r="AB396" i="3"/>
  <c r="AB429" i="3"/>
  <c r="AB433" i="3"/>
  <c r="AB426" i="3"/>
  <c r="AB435" i="3"/>
  <c r="AB412" i="3"/>
  <c r="AB455" i="3"/>
  <c r="AB440" i="3"/>
  <c r="AB450" i="3"/>
  <c r="AB471" i="3"/>
  <c r="AB456" i="3"/>
  <c r="AB457" i="3"/>
  <c r="AB434" i="3"/>
  <c r="AB438" i="3"/>
  <c r="AB420" i="3"/>
  <c r="AB441" i="3"/>
  <c r="AB458" i="3"/>
  <c r="AB453" i="3"/>
  <c r="AB467" i="3"/>
  <c r="AB491" i="3"/>
  <c r="AB462" i="3"/>
  <c r="AB449" i="3"/>
  <c r="AB464" i="3"/>
  <c r="AB448" i="3"/>
  <c r="AB442" i="3"/>
  <c r="AB461" i="3"/>
  <c r="AB417" i="3"/>
  <c r="AB437" i="3"/>
  <c r="AB446" i="3"/>
  <c r="AB475" i="3"/>
  <c r="AB445" i="3"/>
  <c r="AB454" i="3"/>
  <c r="AB487" i="3"/>
  <c r="AB428" i="3"/>
  <c r="AB495" i="3"/>
  <c r="AB465" i="3"/>
  <c r="AB490" i="3"/>
  <c r="AB481" i="3"/>
  <c r="AB466" i="3"/>
  <c r="AB503" i="3"/>
  <c r="AB469" i="3"/>
  <c r="AB472" i="3"/>
  <c r="AB436" i="3"/>
  <c r="AB523" i="3"/>
  <c r="AB473" i="3"/>
  <c r="AB493" i="3"/>
  <c r="AB470" i="3"/>
  <c r="AB482" i="3"/>
  <c r="AB452" i="3"/>
  <c r="AB507" i="3"/>
  <c r="AB489" i="3"/>
  <c r="AB480" i="3"/>
  <c r="AB485" i="3"/>
  <c r="AB497" i="3"/>
  <c r="AB494" i="3"/>
  <c r="AB492" i="3"/>
  <c r="AB477" i="3"/>
  <c r="AB444" i="3"/>
  <c r="AB498" i="3"/>
  <c r="AB478" i="3"/>
  <c r="AB511" i="3"/>
  <c r="AB486" i="3"/>
  <c r="AB474" i="3"/>
  <c r="AB484" i="3"/>
  <c r="AB460" i="3"/>
  <c r="AB506" i="3"/>
  <c r="AB501" i="3"/>
  <c r="AB509" i="3"/>
  <c r="AB488" i="3"/>
  <c r="AB514" i="3"/>
  <c r="AB500" i="3"/>
  <c r="AB496" i="3"/>
  <c r="AB510" i="3"/>
  <c r="AB476" i="3"/>
  <c r="AB513" i="3"/>
  <c r="AB505" i="3"/>
  <c r="AB502" i="3"/>
  <c r="AB527" i="3"/>
  <c r="AB508" i="3"/>
  <c r="AB519" i="3"/>
  <c r="AB468" i="3"/>
  <c r="AB522" i="3"/>
  <c r="AB529" i="3"/>
  <c r="AB535" i="3"/>
  <c r="AB524" i="3"/>
  <c r="AB504" i="3"/>
  <c r="AB512" i="3"/>
  <c r="AB525" i="3"/>
  <c r="AB539" i="3"/>
  <c r="AB518" i="3"/>
  <c r="AB543" i="3"/>
  <c r="AB517" i="3"/>
  <c r="AB521" i="3"/>
  <c r="AB526" i="3"/>
  <c r="AB530" i="3"/>
  <c r="AB499" i="3"/>
  <c r="AB516" i="3"/>
  <c r="AB537" i="3"/>
  <c r="AB515" i="3"/>
  <c r="AB532" i="3"/>
  <c r="AB546" i="3"/>
  <c r="AB533" i="3"/>
  <c r="AB538" i="3"/>
  <c r="AB541" i="3"/>
  <c r="AB542" i="3"/>
  <c r="AB528" i="3"/>
  <c r="AB520" i="3"/>
  <c r="AB545" i="3"/>
  <c r="AB534" i="3"/>
  <c r="AB540" i="3"/>
  <c r="AB559" i="3"/>
  <c r="AB544" i="3"/>
  <c r="AB555" i="3"/>
  <c r="AB531" i="3"/>
  <c r="AB536" i="3"/>
  <c r="AB551" i="3"/>
  <c r="AB567" i="3"/>
  <c r="AB563" i="3"/>
  <c r="AB553" i="3"/>
  <c r="AB571" i="3"/>
  <c r="AB587" i="3"/>
  <c r="AB560" i="3"/>
  <c r="AB562" i="3"/>
  <c r="AB575" i="3"/>
  <c r="AB583" i="3"/>
  <c r="AB558" i="3"/>
  <c r="AB547" i="3"/>
  <c r="AB550" i="3"/>
  <c r="AB564" i="3"/>
  <c r="AB552" i="3"/>
  <c r="AB561" i="3"/>
  <c r="AB549" i="3"/>
  <c r="AB557" i="3"/>
  <c r="AB554" i="3"/>
  <c r="AB548" i="3"/>
  <c r="AB595" i="3"/>
  <c r="AB570" i="3"/>
  <c r="AB556" i="3"/>
  <c r="AB565" i="3"/>
  <c r="AB579" i="3"/>
  <c r="AB569" i="3"/>
  <c r="AB568" i="3"/>
  <c r="AB591" i="3"/>
  <c r="AB566" i="3"/>
  <c r="AB572" i="3"/>
  <c r="AB573" i="3"/>
  <c r="AB588" i="3"/>
  <c r="AB586" i="3"/>
  <c r="AB576" i="3"/>
  <c r="AB585" i="3"/>
  <c r="AB584" i="3"/>
  <c r="AB603" i="3"/>
  <c r="AB590" i="3"/>
  <c r="AB597" i="3"/>
  <c r="AB594" i="3"/>
  <c r="AB580" i="3"/>
  <c r="AB582" i="3"/>
  <c r="AB592" i="3"/>
  <c r="AB615" i="3"/>
  <c r="AB596" i="3"/>
  <c r="AB589" i="3"/>
  <c r="AB581" i="3"/>
  <c r="AB578" i="3"/>
  <c r="AB598" i="3"/>
  <c r="AB593" i="3"/>
  <c r="AB574" i="3"/>
  <c r="AB577" i="3"/>
  <c r="AB607" i="3"/>
  <c r="AB600" i="3"/>
  <c r="AB599" i="3"/>
  <c r="AB611" i="3"/>
  <c r="AB619" i="3"/>
  <c r="AB627" i="3"/>
  <c r="AB604" i="3"/>
  <c r="AB606" i="3"/>
  <c r="AB601" i="3"/>
  <c r="AB602" i="3"/>
  <c r="AB605" i="3"/>
  <c r="AB618" i="3"/>
  <c r="AB613" i="3"/>
  <c r="AB620" i="3"/>
  <c r="AB631" i="3"/>
  <c r="AB609" i="3"/>
  <c r="AB610" i="3"/>
  <c r="AB614" i="3"/>
  <c r="AB612" i="3"/>
  <c r="AB622" i="3"/>
  <c r="AB616" i="3"/>
  <c r="AB621" i="3"/>
  <c r="AB617" i="3"/>
  <c r="AB623" i="3"/>
  <c r="AB624" i="3"/>
  <c r="AB629" i="3"/>
  <c r="AB635" i="3"/>
  <c r="AB632" i="3"/>
  <c r="AB643" i="3"/>
  <c r="AB625" i="3"/>
  <c r="AB626" i="3"/>
  <c r="AB630" i="3"/>
  <c r="AB628" i="3"/>
  <c r="AB608" i="3"/>
  <c r="AB639" i="3"/>
  <c r="AB646" i="3"/>
  <c r="AB645" i="3"/>
  <c r="AB644" i="3"/>
  <c r="AB637" i="3"/>
  <c r="AB634" i="3"/>
  <c r="AB659" i="3"/>
  <c r="AB638" i="3"/>
  <c r="AB636" i="3"/>
  <c r="AB641" i="3"/>
  <c r="AB651" i="3"/>
  <c r="AB642" i="3"/>
  <c r="AB647" i="3"/>
  <c r="AB640" i="3"/>
  <c r="AB654" i="3"/>
  <c r="AB667" i="3"/>
  <c r="AB653" i="3"/>
  <c r="AB649" i="3"/>
  <c r="AB652" i="3"/>
  <c r="AB633" i="3"/>
  <c r="AB650" i="3"/>
  <c r="AB655" i="3"/>
  <c r="AB657" i="3"/>
  <c r="AB658" i="3"/>
  <c r="AB660" i="3"/>
  <c r="AB675" i="3"/>
  <c r="AB648" i="3"/>
  <c r="AB663" i="3"/>
  <c r="AB668" i="3"/>
  <c r="AB691" i="3"/>
  <c r="AB665" i="3"/>
  <c r="AB656" i="3"/>
  <c r="AB661" i="3"/>
  <c r="AB662" i="3"/>
  <c r="AB666" i="3"/>
  <c r="AB664" i="3"/>
  <c r="AB683" i="3"/>
  <c r="AB687" i="3"/>
  <c r="AB671" i="3"/>
  <c r="AB695" i="3"/>
  <c r="AB681" i="3"/>
  <c r="AB678" i="3"/>
  <c r="AB670" i="3"/>
  <c r="AB673" i="3"/>
  <c r="AB669" i="3"/>
  <c r="AB676" i="3"/>
  <c r="AB674" i="3"/>
  <c r="AB677" i="3"/>
  <c r="AB672" i="3"/>
  <c r="AB690" i="3"/>
  <c r="AB694" i="3"/>
  <c r="AB680" i="3"/>
  <c r="AB684" i="3"/>
  <c r="AB685" i="3"/>
  <c r="AB693" i="3"/>
  <c r="AB689" i="3"/>
  <c r="AB692" i="3"/>
  <c r="AB703" i="3"/>
  <c r="AB697" i="3"/>
  <c r="AB679" i="3"/>
  <c r="AB682" i="3"/>
  <c r="AB686" i="3"/>
  <c r="AB698" i="3"/>
  <c r="AB696" i="3"/>
  <c r="AB688" i="3"/>
  <c r="AB701" i="3"/>
  <c r="AB707" i="3"/>
  <c r="AB705" i="3"/>
  <c r="AB700" i="3"/>
  <c r="AB702" i="3"/>
  <c r="AB719" i="3"/>
  <c r="AB704" i="3"/>
  <c r="AB708" i="3"/>
  <c r="AB699" i="3"/>
  <c r="AB711" i="3"/>
  <c r="AB715" i="3"/>
  <c r="AB709" i="3"/>
  <c r="AB710" i="3"/>
  <c r="AB706" i="3"/>
  <c r="AB717" i="3"/>
  <c r="AB722" i="3"/>
  <c r="AB716" i="3"/>
  <c r="AB721" i="3"/>
  <c r="AB720" i="3"/>
  <c r="AB718" i="3"/>
  <c r="AB713" i="3"/>
  <c r="AB714" i="3"/>
  <c r="AB712" i="3"/>
  <c r="AB727" i="3"/>
  <c r="AB735" i="3"/>
  <c r="AB732" i="3"/>
  <c r="AB728" i="3"/>
  <c r="AB726" i="3"/>
  <c r="AB731" i="3"/>
  <c r="AB729" i="3"/>
  <c r="AB723" i="3"/>
  <c r="AB725" i="3"/>
  <c r="AB730" i="3"/>
  <c r="AB739" i="3"/>
  <c r="AB724" i="3"/>
  <c r="AB736" i="3"/>
  <c r="AB743" i="3"/>
  <c r="AB741" i="3"/>
  <c r="AB742" i="3"/>
  <c r="AB747" i="3"/>
  <c r="AB733" i="3"/>
  <c r="AB751" i="3"/>
  <c r="AB740" i="3"/>
  <c r="AB737" i="3"/>
  <c r="AB738" i="3"/>
  <c r="AB734" i="3"/>
  <c r="AB750" i="3"/>
  <c r="AB763" i="3"/>
  <c r="AB771" i="3"/>
  <c r="AB755" i="3"/>
  <c r="AB748" i="3"/>
  <c r="AB744" i="3"/>
  <c r="AB754" i="3"/>
  <c r="AB752" i="3"/>
  <c r="AB758" i="3"/>
  <c r="AB759" i="3"/>
  <c r="AB746" i="3"/>
  <c r="AB767" i="3"/>
  <c r="AB756" i="3"/>
  <c r="AB757" i="3"/>
  <c r="AB745" i="3"/>
  <c r="AB749" i="3"/>
  <c r="AB753" i="3"/>
  <c r="AB761" i="3"/>
  <c r="AB766" i="3"/>
  <c r="AB760" i="3"/>
  <c r="AB770" i="3"/>
  <c r="AB768" i="3"/>
  <c r="AB769" i="3"/>
  <c r="AB774" i="3"/>
  <c r="AB765" i="3"/>
  <c r="AB764" i="3"/>
  <c r="AB762" i="3"/>
  <c r="AB773" i="3"/>
  <c r="AB772" i="3"/>
  <c r="AB778" i="3"/>
  <c r="AB776" i="3"/>
  <c r="AB777" i="3"/>
  <c r="AB775" i="3"/>
  <c r="AB780" i="3"/>
  <c r="AB782" i="3"/>
  <c r="AB781" i="3"/>
  <c r="AB784" i="3"/>
  <c r="AB787" i="3"/>
  <c r="AB779" i="3"/>
  <c r="AB785" i="3"/>
  <c r="AB783" i="3"/>
  <c r="AB788" i="3"/>
  <c r="AB786" i="3"/>
  <c r="AB795" i="3"/>
  <c r="AB799" i="3"/>
  <c r="AB790" i="3"/>
  <c r="AB791" i="3"/>
  <c r="AB794" i="3"/>
  <c r="AB815" i="3"/>
  <c r="AB798" i="3"/>
  <c r="AB801" i="3"/>
  <c r="AB802" i="3"/>
  <c r="AB793" i="3"/>
  <c r="AB792" i="3"/>
  <c r="AB811" i="3"/>
  <c r="AB796" i="3"/>
  <c r="AB800" i="3"/>
  <c r="AB797" i="3"/>
  <c r="AB803" i="3"/>
  <c r="AB789" i="3"/>
  <c r="AB805" i="3"/>
  <c r="AB807" i="3"/>
  <c r="AB806" i="3"/>
  <c r="AB804" i="3"/>
  <c r="AB818" i="3"/>
  <c r="AB843" i="3"/>
  <c r="AB816" i="3"/>
  <c r="AB813" i="3"/>
  <c r="AB823" i="3"/>
  <c r="AB810" i="3"/>
  <c r="AB839" i="3"/>
  <c r="AB831" i="3"/>
  <c r="AB814" i="3"/>
  <c r="AB817" i="3"/>
  <c r="AB809" i="3"/>
  <c r="AB847" i="3"/>
  <c r="AB812" i="3"/>
  <c r="AB827" i="3"/>
  <c r="AB830" i="3"/>
  <c r="AB824" i="3"/>
  <c r="AB808" i="3"/>
  <c r="AB832" i="3"/>
  <c r="AB833" i="3"/>
  <c r="AB851" i="3"/>
  <c r="AB819" i="3"/>
  <c r="AB820" i="3"/>
  <c r="AB821" i="3"/>
  <c r="AB828" i="3"/>
  <c r="AB825" i="3"/>
  <c r="AB826" i="3"/>
  <c r="AB834" i="3"/>
  <c r="AB855" i="3"/>
  <c r="AB829" i="3"/>
  <c r="AB822" i="3"/>
  <c r="AB859" i="3"/>
  <c r="AB838" i="3"/>
  <c r="AB848" i="3"/>
  <c r="AB860" i="3"/>
  <c r="AB845" i="3"/>
  <c r="AB875" i="3"/>
  <c r="AB846" i="3"/>
  <c r="AB840" i="3"/>
  <c r="AB844" i="3"/>
  <c r="AB863" i="3"/>
  <c r="AB858" i="3"/>
  <c r="AB837" i="3"/>
  <c r="AB852" i="3"/>
  <c r="AB854" i="3"/>
  <c r="AB836" i="3"/>
  <c r="AB849" i="3"/>
  <c r="AB842" i="3"/>
  <c r="AB856" i="3"/>
  <c r="AB857" i="3"/>
  <c r="AB861" i="3"/>
  <c r="AB853" i="3"/>
  <c r="AB862" i="3"/>
  <c r="AB867" i="3"/>
  <c r="AB841" i="3"/>
  <c r="AB871" i="3"/>
  <c r="AB850" i="3"/>
  <c r="AB869" i="3"/>
  <c r="AB866" i="3"/>
  <c r="AB873" i="3"/>
  <c r="AB865" i="3"/>
  <c r="AB835" i="3"/>
  <c r="AB870" i="3"/>
  <c r="AB879" i="3"/>
  <c r="AB864" i="3"/>
  <c r="AB872" i="3"/>
  <c r="AB868" i="3"/>
  <c r="AB880" i="3"/>
  <c r="AB882" i="3"/>
  <c r="AB891" i="3"/>
  <c r="AB878" i="3"/>
  <c r="AB876" i="3"/>
  <c r="AB881" i="3"/>
  <c r="AB883" i="3"/>
  <c r="AB877" i="3"/>
  <c r="AB874" i="3"/>
  <c r="AB887" i="3"/>
  <c r="AB885" i="3"/>
  <c r="AB893" i="3"/>
  <c r="AB884" i="3"/>
  <c r="AB890" i="3"/>
  <c r="AB907" i="3"/>
  <c r="AB889" i="3"/>
  <c r="AB888" i="3"/>
  <c r="AB892" i="3"/>
  <c r="AB894" i="3"/>
  <c r="AB897" i="3"/>
  <c r="AB898" i="3"/>
  <c r="AB886" i="3"/>
  <c r="AB896" i="3"/>
  <c r="AB903" i="3"/>
  <c r="AB899" i="3"/>
  <c r="AB908" i="3"/>
  <c r="AB900" i="3"/>
  <c r="AB906" i="3"/>
  <c r="AB905" i="3"/>
  <c r="AB911" i="3"/>
  <c r="AB909" i="3"/>
  <c r="AB910" i="3"/>
  <c r="AB904" i="3"/>
  <c r="AB895" i="3"/>
  <c r="AB902" i="3"/>
  <c r="AB901" i="3"/>
  <c r="AB912" i="3"/>
  <c r="AB914" i="3"/>
  <c r="AB913" i="3"/>
  <c r="AB919" i="3"/>
  <c r="AB927" i="3"/>
  <c r="AB923" i="3"/>
  <c r="AB924" i="3"/>
  <c r="AB920" i="3"/>
  <c r="AB917" i="3"/>
  <c r="AB918" i="3"/>
  <c r="AB915" i="3"/>
  <c r="AB921" i="3"/>
  <c r="AB939" i="3"/>
  <c r="AB926" i="3"/>
  <c r="AB935" i="3"/>
  <c r="AB922" i="3"/>
  <c r="AB928" i="3"/>
  <c r="AB916" i="3"/>
  <c r="AB929" i="3"/>
  <c r="AB930" i="3"/>
  <c r="AB925" i="3"/>
  <c r="AB940" i="3"/>
  <c r="AB934" i="3"/>
  <c r="AB932" i="3"/>
  <c r="AB938" i="3"/>
  <c r="AB933" i="3"/>
  <c r="AB943" i="3"/>
  <c r="AB936" i="3"/>
  <c r="AB937" i="3"/>
  <c r="AB941" i="3"/>
  <c r="AB931" i="3"/>
  <c r="AB947" i="3"/>
  <c r="AB944" i="3"/>
  <c r="AB942" i="3"/>
  <c r="AB945" i="3"/>
  <c r="AB948" i="3"/>
  <c r="AB946" i="3"/>
  <c r="AB949" i="3"/>
  <c r="AB955" i="3"/>
  <c r="AB951" i="3"/>
  <c r="AB950" i="3"/>
  <c r="AB958" i="3"/>
  <c r="AB956" i="3"/>
  <c r="AB959" i="3"/>
  <c r="AB952" i="3"/>
  <c r="AB963" i="3"/>
  <c r="AB953" i="3"/>
  <c r="AB957" i="3"/>
  <c r="AB954" i="3"/>
  <c r="AB964" i="3"/>
  <c r="AB961" i="3"/>
  <c r="AB960" i="3"/>
  <c r="AB962" i="3"/>
  <c r="AB971" i="3"/>
  <c r="AB968" i="3"/>
  <c r="AB967" i="3"/>
  <c r="AB966" i="3"/>
  <c r="AB975" i="3"/>
  <c r="AB965" i="3"/>
  <c r="AB973" i="3"/>
  <c r="AB972" i="3"/>
  <c r="AB969" i="3"/>
  <c r="AB976" i="3"/>
  <c r="AB974" i="3"/>
  <c r="AB979" i="3"/>
  <c r="AB970" i="3"/>
  <c r="AB981" i="3"/>
  <c r="AB980" i="3"/>
  <c r="AB983" i="3"/>
  <c r="AB978" i="3"/>
  <c r="AB982" i="3"/>
  <c r="AB985" i="3"/>
  <c r="AB977" i="3"/>
  <c r="AB990" i="3"/>
  <c r="AB984" i="3"/>
  <c r="AB987" i="3"/>
  <c r="AB988" i="3"/>
  <c r="AB989" i="3"/>
  <c r="AB986" i="3"/>
  <c r="AB992" i="3"/>
  <c r="AB995" i="3"/>
  <c r="AB994" i="3"/>
  <c r="AB993" i="3"/>
  <c r="AB999" i="3"/>
  <c r="AB996" i="3"/>
  <c r="AB1003" i="3"/>
  <c r="AB997" i="3"/>
  <c r="AB991" i="3"/>
  <c r="AB998" i="3"/>
  <c r="AB1000" i="3"/>
  <c r="AB1002" i="3"/>
  <c r="AB1001" i="3"/>
  <c r="AB1004" i="3"/>
  <c r="AB1005" i="3"/>
  <c r="AB1006" i="3"/>
  <c r="AB1011" i="3"/>
  <c r="AB1008" i="3"/>
  <c r="AB1009" i="3"/>
  <c r="AB1015" i="3"/>
  <c r="AB1012" i="3"/>
  <c r="AB1007" i="3"/>
  <c r="AB1014" i="3"/>
  <c r="AB1010" i="3"/>
  <c r="AB1013" i="3"/>
  <c r="AB1019" i="3"/>
  <c r="AB1017" i="3"/>
  <c r="AB1018" i="3"/>
  <c r="AB1016" i="3"/>
  <c r="AB1020" i="3"/>
  <c r="AB1023" i="3"/>
  <c r="AB1024" i="3"/>
  <c r="AB1022" i="3"/>
  <c r="AB1021" i="3"/>
  <c r="AB1026" i="3"/>
  <c r="AB1025" i="3"/>
  <c r="AB1030" i="3"/>
  <c r="AB1027" i="3"/>
  <c r="AB1029" i="3"/>
  <c r="AB1028" i="3"/>
  <c r="AB1032" i="3"/>
  <c r="AB1031" i="3"/>
  <c r="AB1034" i="3"/>
  <c r="AB1033" i="3"/>
  <c r="AB1038" i="3"/>
  <c r="AB1035" i="3"/>
  <c r="AB1037" i="3"/>
  <c r="AB1047" i="3"/>
  <c r="AB1036" i="3"/>
  <c r="AB1040" i="3"/>
  <c r="AB1041" i="3"/>
  <c r="AB1043" i="3"/>
  <c r="AB1045" i="3"/>
  <c r="AB1044" i="3"/>
  <c r="AB1049" i="3"/>
  <c r="AB1050" i="3"/>
  <c r="AB1042" i="3"/>
  <c r="AB1046" i="3"/>
  <c r="AB1048" i="3"/>
  <c r="AB1039" i="3"/>
  <c r="AB1052" i="3"/>
  <c r="AB1051" i="3"/>
  <c r="AB1054" i="3"/>
  <c r="AB1053" i="3"/>
  <c r="AB1055" i="3"/>
  <c r="AB1056" i="3"/>
  <c r="AB1057" i="3"/>
  <c r="AB1058" i="3"/>
  <c r="AB1063" i="3"/>
  <c r="AB1062" i="3"/>
  <c r="AB1060" i="3"/>
  <c r="AB1061" i="3"/>
  <c r="AB1059" i="3"/>
  <c r="AB1065" i="3"/>
  <c r="AB1067" i="3"/>
  <c r="AB1064" i="3"/>
  <c r="AB1068" i="3"/>
  <c r="AB1066" i="3"/>
  <c r="AB1069" i="3"/>
  <c r="AB1070" i="3"/>
  <c r="AB1072" i="3"/>
  <c r="AB1071" i="3"/>
  <c r="AB1073" i="3"/>
  <c r="AB1075" i="3"/>
  <c r="AB1074" i="3"/>
  <c r="AB1077" i="3"/>
  <c r="AB1078" i="3"/>
  <c r="AB1076" i="3"/>
  <c r="AB1082" i="3"/>
  <c r="AB1079" i="3"/>
  <c r="AB1080" i="3"/>
  <c r="AB1084" i="3"/>
  <c r="AB1083" i="3"/>
  <c r="AB1081" i="3"/>
  <c r="AB1085" i="3"/>
  <c r="AB1087" i="3"/>
  <c r="AB1089" i="3"/>
  <c r="AB1091" i="3"/>
  <c r="AB1086" i="3"/>
  <c r="AB1088" i="3"/>
  <c r="AB1093" i="3"/>
  <c r="AB1092" i="3"/>
  <c r="AB1090" i="3"/>
  <c r="AB1094" i="3"/>
  <c r="AB1095" i="3"/>
  <c r="AB1096" i="3"/>
  <c r="AB1097" i="3"/>
  <c r="AB1098" i="3"/>
  <c r="AB1100" i="3"/>
  <c r="AB1099" i="3"/>
  <c r="AB1102" i="3"/>
  <c r="AB1103" i="3"/>
  <c r="AB1104" i="3"/>
  <c r="AB1101" i="3"/>
  <c r="AB1105" i="3"/>
  <c r="AB1106" i="3"/>
  <c r="AB1107" i="3"/>
  <c r="AB1109" i="3"/>
  <c r="AB1108" i="3"/>
  <c r="AB1110" i="3"/>
  <c r="AB1114" i="3"/>
  <c r="AB1111" i="3"/>
  <c r="AB1112" i="3"/>
  <c r="AB1113" i="3"/>
  <c r="AB1117" i="3"/>
  <c r="AB1115" i="3"/>
  <c r="AB1116" i="3"/>
  <c r="AB1120" i="3"/>
  <c r="AB1118" i="3"/>
  <c r="AB1119" i="3"/>
  <c r="AB1121" i="3"/>
  <c r="AB1122" i="3"/>
  <c r="AB1123" i="3"/>
  <c r="AB1124" i="3"/>
  <c r="AB1125" i="3"/>
  <c r="AB1126" i="3"/>
  <c r="AB1128" i="3"/>
  <c r="AB1127" i="3"/>
  <c r="AB1130" i="3"/>
  <c r="AB1129" i="3"/>
  <c r="AB1131" i="3"/>
  <c r="AB1132" i="3"/>
  <c r="AB1134" i="3"/>
  <c r="AB1133" i="3"/>
  <c r="AB1135" i="3"/>
  <c r="AB1137" i="3"/>
  <c r="AB1136" i="3"/>
  <c r="AB1138" i="3"/>
  <c r="AB1143" i="3"/>
  <c r="AB1142" i="3"/>
  <c r="AB1140" i="3"/>
  <c r="AB1139" i="3"/>
  <c r="AB1141" i="3"/>
  <c r="AB1144" i="3"/>
  <c r="AB1145" i="3"/>
  <c r="AB1150" i="3"/>
  <c r="AB1149" i="3"/>
  <c r="AB1146" i="3"/>
  <c r="AB1147" i="3"/>
  <c r="AB1148" i="3"/>
  <c r="M9" i="10" l="1"/>
  <c r="I20" i="10" s="1"/>
  <c r="J20" i="10" s="1"/>
  <c r="K161" i="3" l="1"/>
  <c r="L161" i="3"/>
  <c r="M161" i="3"/>
  <c r="N161" i="3"/>
  <c r="O161" i="3"/>
  <c r="P161" i="3"/>
  <c r="Q161" i="3"/>
  <c r="R161" i="3"/>
  <c r="S161" i="3"/>
  <c r="M181" i="3"/>
  <c r="N181" i="3"/>
  <c r="O181" i="3"/>
  <c r="P181" i="3"/>
  <c r="O179" i="3" s="1"/>
  <c r="M179" i="3" s="1"/>
  <c r="N16" i="5" s="1"/>
  <c r="Q181" i="3"/>
  <c r="L159" i="3" l="1"/>
  <c r="L167" i="3" l="1"/>
  <c r="A231" i="3"/>
  <c r="B231" i="3"/>
  <c r="C231" i="3"/>
  <c r="D231" i="3"/>
  <c r="E231" i="3"/>
  <c r="F231" i="3"/>
  <c r="G231" i="3"/>
  <c r="H231" i="3"/>
  <c r="I231" i="3"/>
  <c r="J231" i="3"/>
  <c r="A234" i="3"/>
  <c r="B234" i="3"/>
  <c r="C234" i="3"/>
  <c r="D234" i="3"/>
  <c r="E234" i="3"/>
  <c r="F234" i="3"/>
  <c r="G234" i="3"/>
  <c r="H234" i="3"/>
  <c r="I234" i="3"/>
  <c r="J234" i="3"/>
  <c r="G203" i="3" l="1"/>
  <c r="I203" i="3"/>
  <c r="D204" i="3" l="1"/>
  <c r="E205" i="3" s="1"/>
  <c r="N22" i="1" s="1"/>
  <c r="N3" i="1" s="1"/>
  <c r="J28" i="1" l="1"/>
  <c r="F206" i="3"/>
  <c r="G205" i="3" s="1"/>
  <c r="F35" i="1"/>
  <c r="F205" i="3" l="1"/>
  <c r="N23" i="1" s="1"/>
  <c r="E98" i="3"/>
  <c r="B130" i="3"/>
  <c r="E128" i="3" s="1"/>
  <c r="E113" i="3"/>
  <c r="N24" i="1"/>
  <c r="I28" i="1" s="1"/>
  <c r="N4" i="1" s="1"/>
  <c r="K5" i="1" s="1"/>
  <c r="B238" i="3" l="1"/>
  <c r="C240" i="3" l="1"/>
  <c r="G240" i="3"/>
  <c r="F240" i="3"/>
  <c r="D240" i="3"/>
  <c r="E240" i="3"/>
  <c r="H240" i="3"/>
  <c r="H33" i="3"/>
  <c r="H34" i="3" s="1"/>
  <c r="F40" i="1" s="1"/>
  <c r="F238" i="3" l="1"/>
  <c r="D238" i="3" s="1"/>
  <c r="N25" i="1" s="1"/>
  <c r="N5" i="1" l="1"/>
  <c r="F22" i="1" s="1"/>
  <c r="G22" i="1" s="1"/>
  <c r="B32" i="3" l="1"/>
  <c r="D32" i="3" s="1"/>
  <c r="F32" i="3" s="1"/>
  <c r="N7" i="1" l="1"/>
  <c r="E20" i="4"/>
  <c r="F20" i="1"/>
  <c r="B33" i="3"/>
  <c r="N8" i="1"/>
  <c r="K6" i="1" s="1"/>
  <c r="C33" i="3"/>
  <c r="B34" i="3" s="1"/>
  <c r="N10" i="1" l="1"/>
  <c r="I31" i="3"/>
  <c r="A128" i="3"/>
  <c r="B128" i="3" s="1"/>
  <c r="E126" i="3" s="1"/>
  <c r="D22" i="1"/>
  <c r="D35" i="3"/>
  <c r="I36" i="3" s="1"/>
  <c r="B36" i="3" s="1"/>
  <c r="G37" i="3" s="1"/>
  <c r="A110" i="3"/>
  <c r="B110" i="3" s="1"/>
  <c r="J38" i="1"/>
  <c r="A95" i="3"/>
  <c r="B95" i="3" s="1"/>
  <c r="N11" i="1"/>
  <c r="G10" i="1" s="1"/>
  <c r="I37" i="3" l="1"/>
  <c r="B35" i="3"/>
  <c r="N12" i="1" s="1"/>
  <c r="G11" i="1" s="1"/>
  <c r="H5" i="3"/>
  <c r="H10" i="3"/>
  <c r="H11" i="3"/>
  <c r="D30" i="3" l="1"/>
  <c r="G44" i="1" s="1"/>
  <c r="C257" i="3"/>
  <c r="E30" i="3" l="1"/>
  <c r="F30" i="3"/>
  <c r="A125" i="3" s="1"/>
  <c r="B125" i="3" s="1"/>
  <c r="H30" i="3"/>
  <c r="C115" i="3" s="1"/>
  <c r="D115" i="3" s="1"/>
  <c r="G30" i="3"/>
  <c r="E257" i="3"/>
  <c r="F257" i="3"/>
  <c r="D257" i="3"/>
  <c r="B30" i="3" l="1"/>
  <c r="F44" i="1" s="1"/>
  <c r="C107" i="3"/>
  <c r="C109" i="3"/>
  <c r="C111" i="3"/>
  <c r="D111" i="3" s="1"/>
  <c r="E107" i="3"/>
  <c r="H107" i="3"/>
  <c r="E111" i="3"/>
  <c r="F111" i="3" s="1"/>
  <c r="H109" i="3"/>
  <c r="E109" i="3"/>
  <c r="E122" i="3"/>
  <c r="A122" i="3"/>
  <c r="B122" i="3" s="1"/>
  <c r="B131" i="3" s="1"/>
  <c r="C126" i="3"/>
  <c r="D126" i="3" s="1"/>
  <c r="E124" i="3"/>
  <c r="F128" i="3" s="1"/>
  <c r="C124" i="3"/>
  <c r="C122" i="3"/>
  <c r="B257" i="3"/>
  <c r="C96" i="3"/>
  <c r="D96" i="3" s="1"/>
  <c r="C94" i="3"/>
  <c r="A107" i="3"/>
  <c r="B107" i="3" s="1"/>
  <c r="B112" i="3" s="1"/>
  <c r="E94" i="3" l="1"/>
  <c r="C100" i="3"/>
  <c r="D100" i="3" s="1"/>
  <c r="D109" i="3"/>
  <c r="D117" i="3" s="1"/>
  <c r="E96" i="3"/>
  <c r="E92" i="3"/>
  <c r="F94" i="3" s="1"/>
  <c r="C92" i="3"/>
  <c r="A92" i="3"/>
  <c r="B92" i="3" s="1"/>
  <c r="B97" i="3" s="1"/>
  <c r="F109" i="3"/>
  <c r="E116" i="3"/>
  <c r="F113" i="3" s="1"/>
  <c r="H111" i="3"/>
  <c r="C131" i="3"/>
  <c r="D128" i="3" s="1"/>
  <c r="D130" i="3" s="1"/>
  <c r="D124" i="3"/>
  <c r="C298" i="3"/>
  <c r="D298" i="3" s="1"/>
  <c r="E44" i="4"/>
  <c r="C296" i="3"/>
  <c r="C294" i="3"/>
  <c r="A294" i="3"/>
  <c r="B294" i="3" s="1"/>
  <c r="A297" i="3"/>
  <c r="B297" i="3" s="1"/>
  <c r="E296" i="3"/>
  <c r="E294" i="3"/>
  <c r="E279" i="3"/>
  <c r="C287" i="3"/>
  <c r="D287" i="3" s="1"/>
  <c r="H281" i="3"/>
  <c r="H279" i="3"/>
  <c r="C283" i="3"/>
  <c r="D283" i="3" s="1"/>
  <c r="C281" i="3"/>
  <c r="E283" i="3"/>
  <c r="E281" i="3"/>
  <c r="C279" i="3"/>
  <c r="A279" i="3"/>
  <c r="B279" i="3" s="1"/>
  <c r="B284" i="3" s="1"/>
  <c r="E264" i="3"/>
  <c r="A264" i="3"/>
  <c r="B264" i="3" s="1"/>
  <c r="B269" i="3" s="1"/>
  <c r="C272" i="3"/>
  <c r="D272" i="3" s="1"/>
  <c r="C266" i="3"/>
  <c r="E268" i="3"/>
  <c r="C268" i="3"/>
  <c r="D268" i="3" s="1"/>
  <c r="C264" i="3"/>
  <c r="E266" i="3"/>
  <c r="D94" i="3"/>
  <c r="D102" i="3" s="1"/>
  <c r="F96" i="3"/>
  <c r="E101" i="3"/>
  <c r="F98" i="3" s="1"/>
  <c r="F117" i="3" l="1"/>
  <c r="G117" i="3" s="1"/>
  <c r="I117" i="3" s="1"/>
  <c r="H31" i="3" s="1"/>
  <c r="D131" i="3"/>
  <c r="G131" i="3" s="1"/>
  <c r="F31" i="3" s="1"/>
  <c r="H283" i="3"/>
  <c r="D296" i="3"/>
  <c r="D303" i="3" s="1"/>
  <c r="C303" i="3"/>
  <c r="D300" i="3" s="1"/>
  <c r="B303" i="3"/>
  <c r="F300" i="3"/>
  <c r="F281" i="3"/>
  <c r="E288" i="3"/>
  <c r="F285" i="3" s="1"/>
  <c r="F283" i="3"/>
  <c r="D266" i="3"/>
  <c r="D274" i="3" s="1"/>
  <c r="D281" i="3"/>
  <c r="D289" i="3" s="1"/>
  <c r="F268" i="3"/>
  <c r="E273" i="3"/>
  <c r="F270" i="3" s="1"/>
  <c r="F266" i="3"/>
  <c r="F102" i="3"/>
  <c r="G102" i="3" s="1"/>
  <c r="H102" i="3" s="1"/>
  <c r="G31" i="3" s="1"/>
  <c r="B31" i="3" s="1"/>
  <c r="K147" i="3"/>
  <c r="L147" i="3"/>
  <c r="M147" i="3"/>
  <c r="N147" i="3"/>
  <c r="O147" i="3"/>
  <c r="P147" i="3"/>
  <c r="Q147" i="3"/>
  <c r="R147" i="3"/>
  <c r="S147" i="3"/>
  <c r="G303" i="3" l="1"/>
  <c r="D258" i="3" s="1"/>
  <c r="F289" i="3"/>
  <c r="G289" i="3" s="1"/>
  <c r="I289" i="3" s="1"/>
  <c r="F258" i="3" s="1"/>
  <c r="F274" i="3"/>
  <c r="G274" i="3" s="1"/>
  <c r="H274" i="3" s="1"/>
  <c r="E258" i="3" s="1"/>
  <c r="B258" i="3" s="1"/>
  <c r="M14" i="4" s="1"/>
  <c r="F12" i="4" s="1"/>
  <c r="F13" i="4" s="1"/>
  <c r="N142" i="3"/>
  <c r="S144" i="3" s="1"/>
  <c r="Y142" i="3" s="1"/>
  <c r="N13" i="1"/>
  <c r="G12" i="1" s="1"/>
  <c r="G13" i="1" s="1"/>
  <c r="G15" i="1" s="1"/>
  <c r="K146" i="3"/>
  <c r="L146" i="3"/>
  <c r="M146" i="3"/>
  <c r="N146" i="3"/>
  <c r="O146" i="3"/>
  <c r="P146" i="3"/>
  <c r="Q146" i="3"/>
  <c r="R146" i="3"/>
  <c r="S146" i="3"/>
  <c r="O142" i="3" l="1"/>
  <c r="S143" i="3" s="1"/>
  <c r="Y143" i="3" s="1"/>
  <c r="P10" i="6" s="1"/>
  <c r="E45" i="4"/>
  <c r="F14" i="4"/>
  <c r="I55" i="4" s="1"/>
  <c r="F15" i="4"/>
  <c r="F16" i="4" s="1"/>
  <c r="J10" i="4" s="1"/>
  <c r="F39" i="1"/>
  <c r="G16" i="1"/>
  <c r="K10" i="1" s="1"/>
  <c r="G14" i="1"/>
  <c r="J55" i="1" s="1"/>
  <c r="I56" i="4" l="1"/>
  <c r="J8" i="4"/>
  <c r="K8" i="1"/>
  <c r="P12" i="6"/>
  <c r="F10" i="6" s="1"/>
  <c r="E32" i="6" l="1"/>
  <c r="E21" i="6" s="1"/>
  <c r="F11" i="6"/>
  <c r="F12" i="6"/>
  <c r="K8" i="6"/>
  <c r="F13" i="6" l="1"/>
  <c r="K9" i="6"/>
  <c r="S20" i="5" l="1"/>
  <c r="S21" i="5"/>
  <c r="S6" i="5" l="1"/>
  <c r="T6" i="5"/>
  <c r="X6" i="5" s="1"/>
  <c r="U6" i="5"/>
  <c r="Y6" i="5" s="1"/>
  <c r="S7" i="5"/>
  <c r="T7" i="5"/>
  <c r="X7" i="5" s="1"/>
  <c r="U7" i="5"/>
  <c r="Y7" i="5"/>
  <c r="S8" i="5"/>
  <c r="T8" i="5"/>
  <c r="X8" i="5" s="1"/>
  <c r="U8" i="5"/>
  <c r="Y8" i="5" s="1"/>
  <c r="Q156" i="3" l="1"/>
  <c r="S158" i="3"/>
  <c r="L160" i="3"/>
  <c r="Q160" i="3"/>
  <c r="M167" i="3"/>
  <c r="K169" i="3"/>
  <c r="M169" i="3"/>
  <c r="J171" i="3"/>
  <c r="K171" i="3"/>
  <c r="L171" i="3"/>
  <c r="M171" i="3"/>
  <c r="N171" i="3"/>
  <c r="O171" i="3"/>
  <c r="J7" i="10"/>
  <c r="J8" i="10"/>
  <c r="F9" i="10"/>
  <c r="F10" i="10"/>
  <c r="F11" i="10"/>
  <c r="F12" i="10"/>
  <c r="I50" i="10"/>
  <c r="K8" i="5"/>
  <c r="K9" i="5"/>
  <c r="F10" i="5"/>
  <c r="F11" i="5"/>
  <c r="F12" i="5"/>
  <c r="F13" i="5"/>
  <c r="N13" i="5"/>
  <c r="N14" i="5"/>
  <c r="N15" i="5"/>
  <c r="N17" i="5"/>
  <c r="N18" i="5"/>
  <c r="H19" i="5"/>
  <c r="N19" i="5"/>
  <c r="N20" i="5"/>
  <c r="E24" i="5"/>
  <c r="N24" i="5"/>
  <c r="N29" i="5"/>
  <c r="E30" i="5"/>
  <c r="F32" i="5"/>
  <c r="F33" i="5"/>
  <c r="J96" i="5"/>
  <c r="J97" i="5"/>
  <c r="J100" i="5"/>
</calcChain>
</file>

<file path=xl/sharedStrings.xml><?xml version="1.0" encoding="utf-8"?>
<sst xmlns="http://schemas.openxmlformats.org/spreadsheetml/2006/main" count="4277" uniqueCount="1302">
  <si>
    <t>Технологическая карта</t>
  </si>
  <si>
    <t>Размеры модели</t>
  </si>
  <si>
    <t>Заказ</t>
  </si>
  <si>
    <t>Наружний диаметр</t>
  </si>
  <si>
    <t>Чертеж</t>
  </si>
  <si>
    <t>Внутренний диаметр</t>
  </si>
  <si>
    <t>Наименование</t>
  </si>
  <si>
    <t>Втулка</t>
  </si>
  <si>
    <t>Высота</t>
  </si>
  <si>
    <t>БрО8С12</t>
  </si>
  <si>
    <t>Количество деталей на заказ</t>
  </si>
  <si>
    <t>1</t>
  </si>
  <si>
    <t>Плотность</t>
  </si>
  <si>
    <t>БрО10С10</t>
  </si>
  <si>
    <t>Высота прибыли</t>
  </si>
  <si>
    <t>БрО5Ц5С5</t>
  </si>
  <si>
    <t>Материал</t>
  </si>
  <si>
    <t>К.В.Т</t>
  </si>
  <si>
    <t>БрО4Ц4С17</t>
  </si>
  <si>
    <t>Масса детали</t>
  </si>
  <si>
    <t>Масса детали (отливка)</t>
  </si>
  <si>
    <t>БрО10Ф1</t>
  </si>
  <si>
    <t>Масса отливки</t>
  </si>
  <si>
    <t>К.И.М.</t>
  </si>
  <si>
    <t>Масса прибыли</t>
  </si>
  <si>
    <t>БрО8С21</t>
  </si>
  <si>
    <t>Масса литника</t>
  </si>
  <si>
    <t>Норма расхода</t>
  </si>
  <si>
    <t>БрА9Ж3Л</t>
  </si>
  <si>
    <t>Норма расхода на 1 дет.</t>
  </si>
  <si>
    <t>Размеры детали</t>
  </si>
  <si>
    <t>БрА10Ж4Н4Л</t>
  </si>
  <si>
    <t>Металлозавалка</t>
  </si>
  <si>
    <t>БрА11Ж6Н6</t>
  </si>
  <si>
    <t>Металлозавалка на 1 дет.</t>
  </si>
  <si>
    <t>БрА9Мц2Л</t>
  </si>
  <si>
    <t>Количество деталей в отливке</t>
  </si>
  <si>
    <t>БрА10Ж3Мц2</t>
  </si>
  <si>
    <t>Количество деталей по длине</t>
  </si>
  <si>
    <t>БрА9Ж4Н4Мц1</t>
  </si>
  <si>
    <t>Количество деталей по ширине</t>
  </si>
  <si>
    <t>Радиус скугления прибыли 75</t>
  </si>
  <si>
    <t>СЧ15</t>
  </si>
  <si>
    <t>СЧ20</t>
  </si>
  <si>
    <t>СЧ25</t>
  </si>
  <si>
    <t>СЧ30</t>
  </si>
  <si>
    <t>СЧ35</t>
  </si>
  <si>
    <t>Припуск на разрезку</t>
  </si>
  <si>
    <t>Технические указания</t>
  </si>
  <si>
    <t>Стержень</t>
  </si>
  <si>
    <t>Плавка по инструкции</t>
  </si>
  <si>
    <t>Вес стержня</t>
  </si>
  <si>
    <t>Заливка по инструкции</t>
  </si>
  <si>
    <t>Смесь</t>
  </si>
  <si>
    <t>СКЛ</t>
  </si>
  <si>
    <t>Краска</t>
  </si>
  <si>
    <t>ГБ</t>
  </si>
  <si>
    <t xml:space="preserve">Уход за прибылью </t>
  </si>
  <si>
    <t>25010.00168</t>
  </si>
  <si>
    <t>В стержне сделать ослабление</t>
  </si>
  <si>
    <t>Усадка</t>
  </si>
  <si>
    <t>Показания влагомера на глубине 60мм=  0</t>
  </si>
  <si>
    <t>Зазор между стержнем и формой   1,5-2мм</t>
  </si>
  <si>
    <t>Тип литниковой системы</t>
  </si>
  <si>
    <t>Усадка 0,6%</t>
  </si>
  <si>
    <t>Разряд          4</t>
  </si>
  <si>
    <t>Транспортировка по инструкции</t>
  </si>
  <si>
    <t>102.41.795 Альбом № 9</t>
  </si>
  <si>
    <t>Дата</t>
  </si>
  <si>
    <t>Проверил</t>
  </si>
  <si>
    <t>Руководитель</t>
  </si>
  <si>
    <t>Подпись</t>
  </si>
  <si>
    <t>Размер планки:</t>
  </si>
  <si>
    <t>(автоматически)</t>
  </si>
  <si>
    <t>планка №</t>
  </si>
  <si>
    <t>Толщина             L4</t>
  </si>
  <si>
    <t>Толщина             L5</t>
  </si>
  <si>
    <t>Ширина               L1</t>
  </si>
  <si>
    <t>Ширина               L2</t>
  </si>
  <si>
    <t>Длина                   h2</t>
  </si>
  <si>
    <t>Размеры прибыли:</t>
  </si>
  <si>
    <t>Масса отливки на 1 дет.</t>
  </si>
  <si>
    <t>Толщина             L6</t>
  </si>
  <si>
    <t>Ширина               L3</t>
  </si>
  <si>
    <t>Высота                 h1</t>
  </si>
  <si>
    <t>Размеры детали:</t>
  </si>
  <si>
    <t>(Вручную)</t>
  </si>
  <si>
    <t>Толщина</t>
  </si>
  <si>
    <t>Ширина</t>
  </si>
  <si>
    <t>Длина</t>
  </si>
  <si>
    <t>Примечания:</t>
  </si>
  <si>
    <t>1,5 %</t>
  </si>
  <si>
    <t>° С</t>
  </si>
  <si>
    <t>25011.00007</t>
  </si>
  <si>
    <t>Уход за прибылью</t>
  </si>
  <si>
    <t>Заливка в Песчаные формы</t>
  </si>
  <si>
    <t>Температура</t>
  </si>
  <si>
    <t>Плавка инструкция</t>
  </si>
  <si>
    <t>Заливка инструкция</t>
  </si>
  <si>
    <t>тип литниковой системы</t>
  </si>
  <si>
    <t>Планки деревянные обычные (размеры в скобках - это размеры основы, на которую набили утолщение)</t>
  </si>
  <si>
    <t>0-15</t>
  </si>
  <si>
    <t>16-40</t>
  </si>
  <si>
    <t>Более 40</t>
  </si>
  <si>
    <t>Более 50</t>
  </si>
  <si>
    <t>До 1,9т.</t>
  </si>
  <si>
    <t>Номер планки</t>
  </si>
  <si>
    <t>Высота, Н</t>
  </si>
  <si>
    <t>Высота прибыли, h1</t>
  </si>
  <si>
    <t>Высота модели, h2</t>
  </si>
  <si>
    <t>Ширина, L1</t>
  </si>
  <si>
    <t>Ширина, L2</t>
  </si>
  <si>
    <t>Ширина, L3</t>
  </si>
  <si>
    <t>Толщина, L4</t>
  </si>
  <si>
    <t>Толщина, L5</t>
  </si>
  <si>
    <t>Толщина, L6</t>
  </si>
  <si>
    <t>Примечание</t>
  </si>
  <si>
    <t>1050-1090</t>
  </si>
  <si>
    <t>25010.00173</t>
  </si>
  <si>
    <t>242.04.462</t>
  </si>
  <si>
    <t>1060-1080</t>
  </si>
  <si>
    <t>25011.00008</t>
  </si>
  <si>
    <t>25010.00172</t>
  </si>
  <si>
    <t>242.04.463</t>
  </si>
  <si>
    <t>БрО10Ц2С2</t>
  </si>
  <si>
    <t>1060-1090</t>
  </si>
  <si>
    <t>25010.00175</t>
  </si>
  <si>
    <t>25010.00174</t>
  </si>
  <si>
    <t>БрАЖМц10-3-1,5</t>
  </si>
  <si>
    <t>1100-1150</t>
  </si>
  <si>
    <t>1080-1100</t>
  </si>
  <si>
    <t>1070-1100</t>
  </si>
  <si>
    <t>25010.00176</t>
  </si>
  <si>
    <t>242.04.464</t>
  </si>
  <si>
    <t>ЛЦ23А6Ж3Мц2</t>
  </si>
  <si>
    <t>1020-1060</t>
  </si>
  <si>
    <t>25010.00177</t>
  </si>
  <si>
    <t>ЛЦ38Мц2С2</t>
  </si>
  <si>
    <t>1000-1020</t>
  </si>
  <si>
    <t>980-1000</t>
  </si>
  <si>
    <t>940-980</t>
  </si>
  <si>
    <t>25010.00178</t>
  </si>
  <si>
    <t>ЛЦ40Мц3А</t>
  </si>
  <si>
    <t>25010.00181</t>
  </si>
  <si>
    <t>1320-1340</t>
  </si>
  <si>
    <t>250010.00001</t>
  </si>
  <si>
    <t>1 Стояк</t>
  </si>
  <si>
    <t>242.04.461</t>
  </si>
  <si>
    <t>тип литника</t>
  </si>
  <si>
    <t>2 щели</t>
  </si>
  <si>
    <t>Шлаковик</t>
  </si>
  <si>
    <t>a</t>
  </si>
  <si>
    <t>b</t>
  </si>
  <si>
    <t>h</t>
  </si>
  <si>
    <t>Стояк 1</t>
  </si>
  <si>
    <t>Стояк 2</t>
  </si>
  <si>
    <t>щель</t>
  </si>
  <si>
    <t>600--1500</t>
  </si>
  <si>
    <t>242.04.462-1</t>
  </si>
  <si>
    <t>1500--2000</t>
  </si>
  <si>
    <t>242.04.462-2</t>
  </si>
  <si>
    <t>2000--2500</t>
  </si>
  <si>
    <t>242.04.462-3</t>
  </si>
  <si>
    <t>2500--3000</t>
  </si>
  <si>
    <t>242.04.462-4</t>
  </si>
  <si>
    <t>3000--3500</t>
  </si>
  <si>
    <t>242.04.462-5</t>
  </si>
  <si>
    <t>3500--4000</t>
  </si>
  <si>
    <t>242.04.462-6</t>
  </si>
  <si>
    <t>4000--4500</t>
  </si>
  <si>
    <t>242.04.462-7</t>
  </si>
  <si>
    <t>4500--5500</t>
  </si>
  <si>
    <t>242.04.462-8</t>
  </si>
  <si>
    <t>5500--7000</t>
  </si>
  <si>
    <t>242.04.462-9</t>
  </si>
  <si>
    <t>Количество</t>
  </si>
  <si>
    <t>питатель</t>
  </si>
  <si>
    <t>питателей</t>
  </si>
  <si>
    <t>стояк</t>
  </si>
  <si>
    <t>c</t>
  </si>
  <si>
    <t>d</t>
  </si>
  <si>
    <t>e</t>
  </si>
  <si>
    <t>242.04.463-1</t>
  </si>
  <si>
    <t>242.04.463-2</t>
  </si>
  <si>
    <t>242.04.463-3</t>
  </si>
  <si>
    <t>242.04.463-4</t>
  </si>
  <si>
    <t>242.04.463-5</t>
  </si>
  <si>
    <t>Бобышки</t>
  </si>
  <si>
    <t>D1</t>
  </si>
  <si>
    <t>h2</t>
  </si>
  <si>
    <t>242.04.464-1</t>
  </si>
  <si>
    <t>242.04.464-2</t>
  </si>
  <si>
    <t>242.04.464-3</t>
  </si>
  <si>
    <t>242.04.464-4</t>
  </si>
  <si>
    <t>242.04.464-5</t>
  </si>
  <si>
    <t>242.04.461-1</t>
  </si>
  <si>
    <t>242.04.461-2</t>
  </si>
  <si>
    <t>242.04.461-3</t>
  </si>
  <si>
    <t>242.04.461-4</t>
  </si>
  <si>
    <t>242.04.461-5</t>
  </si>
  <si>
    <t>Литниковая 242.04.463</t>
  </si>
  <si>
    <t xml:space="preserve">Стояк </t>
  </si>
  <si>
    <t>Питатель</t>
  </si>
  <si>
    <t>Всего</t>
  </si>
  <si>
    <t>Диаметр</t>
  </si>
  <si>
    <t>l</t>
  </si>
  <si>
    <t>Диаметр отл.</t>
  </si>
  <si>
    <t xml:space="preserve">Середина </t>
  </si>
  <si>
    <t>На длине</t>
  </si>
  <si>
    <t>шлаковика</t>
  </si>
  <si>
    <t>град.</t>
  </si>
  <si>
    <t>Литниковая 242.04.264</t>
  </si>
  <si>
    <t>242.04.463-6</t>
  </si>
  <si>
    <t>242.04.463-7</t>
  </si>
  <si>
    <t>Литниковая 242.04.262</t>
  </si>
  <si>
    <t>Стояк</t>
  </si>
  <si>
    <t>Щель</t>
  </si>
  <si>
    <t>Диаметр 1 стояка</t>
  </si>
  <si>
    <t>Диаметр 2-3 стояка</t>
  </si>
  <si>
    <t>Ш. щели</t>
  </si>
  <si>
    <t>2 штуки</t>
  </si>
  <si>
    <t>Размеры в скобках чистовые</t>
  </si>
  <si>
    <t>Формовочные уклоны</t>
  </si>
  <si>
    <t>Металлическая модель</t>
  </si>
  <si>
    <t>Деревянная модель</t>
  </si>
  <si>
    <t>мм.</t>
  </si>
  <si>
    <t>h, мм.</t>
  </si>
  <si>
    <t>&lt;20</t>
  </si>
  <si>
    <t>20-50</t>
  </si>
  <si>
    <t>60-100</t>
  </si>
  <si>
    <t>100-200</t>
  </si>
  <si>
    <t>200-300</t>
  </si>
  <si>
    <t>300-400</t>
  </si>
  <si>
    <t>400-500</t>
  </si>
  <si>
    <t>500-650</t>
  </si>
  <si>
    <t>650-800</t>
  </si>
  <si>
    <t>800-1000</t>
  </si>
  <si>
    <t>1000-1200</t>
  </si>
  <si>
    <t>1200-1400</t>
  </si>
  <si>
    <t>1400-1600</t>
  </si>
  <si>
    <t>1600-1800</t>
  </si>
  <si>
    <t>1800-2000</t>
  </si>
  <si>
    <t>2000-2250</t>
  </si>
  <si>
    <t>2250-2500</t>
  </si>
  <si>
    <t>&gt;2500</t>
  </si>
  <si>
    <t>β, °</t>
  </si>
  <si>
    <t>1 30</t>
  </si>
  <si>
    <t>1 00</t>
  </si>
  <si>
    <t>0 45</t>
  </si>
  <si>
    <t>0 30</t>
  </si>
  <si>
    <t>0 20</t>
  </si>
  <si>
    <t>0 15</t>
  </si>
  <si>
    <t>3 0</t>
  </si>
  <si>
    <t>Длина отливки</t>
  </si>
  <si>
    <t>Ф. уклон</t>
  </si>
  <si>
    <t>d2</t>
  </si>
  <si>
    <t>масса отливки</t>
  </si>
  <si>
    <t>масса прибыли</t>
  </si>
  <si>
    <t>Диаметр бурта</t>
  </si>
  <si>
    <t>Диаметр бочки</t>
  </si>
  <si>
    <t>Диаметр внутренний</t>
  </si>
  <si>
    <t>Длина бурта</t>
  </si>
  <si>
    <t>Длина общая</t>
  </si>
  <si>
    <t>Диаметр прибыли</t>
  </si>
  <si>
    <t>Формовочная смесь</t>
  </si>
  <si>
    <t>Ковалев</t>
  </si>
  <si>
    <t>Котов</t>
  </si>
  <si>
    <t>темп.</t>
  </si>
  <si>
    <t>толщ. стенки</t>
  </si>
  <si>
    <t>Холодильники</t>
  </si>
  <si>
    <t>темп. Заливки</t>
  </si>
  <si>
    <t>Установить массу вручную</t>
  </si>
  <si>
    <t>модель:</t>
  </si>
  <si>
    <t>масса втулки</t>
  </si>
  <si>
    <t>холод планки</t>
  </si>
  <si>
    <t>Холод втулки</t>
  </si>
  <si>
    <t>Холодильник</t>
  </si>
  <si>
    <t>Протянуть модель до размера</t>
  </si>
  <si>
    <t>Протяжка втул</t>
  </si>
  <si>
    <t>Ø</t>
  </si>
  <si>
    <t xml:space="preserve">                        Технологические указания</t>
  </si>
  <si>
    <t>Оснастка</t>
  </si>
  <si>
    <t>Заявка</t>
  </si>
  <si>
    <t>Кокиль</t>
  </si>
  <si>
    <t>Залив.кольцо</t>
  </si>
  <si>
    <t>Толкатель</t>
  </si>
  <si>
    <t>Прокл.кольца</t>
  </si>
  <si>
    <t>Рабочая длина кокиля</t>
  </si>
  <si>
    <t>Заливка по инструкции 25012.00013</t>
  </si>
  <si>
    <t>Транспортировка, чалка и кантовка</t>
  </si>
  <si>
    <t>Отливка весом до 50 кг в коробках согласно альбому 9, с.1</t>
  </si>
  <si>
    <t>Отливка весом более 50 кг по схеме № 10241798 альбома 9</t>
  </si>
  <si>
    <t>эвм (дата)</t>
  </si>
  <si>
    <t>проверил     дата</t>
  </si>
  <si>
    <t>рук. группы</t>
  </si>
  <si>
    <t>дата</t>
  </si>
  <si>
    <t>нормировщик</t>
  </si>
  <si>
    <t>Тарифная</t>
  </si>
  <si>
    <t>Вид</t>
  </si>
  <si>
    <t>Разряд</t>
  </si>
  <si>
    <t>Норма времени</t>
  </si>
  <si>
    <t>операции</t>
  </si>
  <si>
    <t>сетка</t>
  </si>
  <si>
    <t>нормы</t>
  </si>
  <si>
    <t>работ</t>
  </si>
  <si>
    <t>на 1 деталь (н/ч)</t>
  </si>
  <si>
    <t>Плавка</t>
  </si>
  <si>
    <t>Сборка</t>
  </si>
  <si>
    <t>Заливка</t>
  </si>
  <si>
    <t>Выбивка</t>
  </si>
  <si>
    <t>Обрубка</t>
  </si>
  <si>
    <t>Масса вручную</t>
  </si>
  <si>
    <t>масса планки</t>
  </si>
  <si>
    <t>п.п  таблицы</t>
  </si>
  <si>
    <t>п.п таблицы</t>
  </si>
  <si>
    <t>длина планки</t>
  </si>
  <si>
    <t>Подпятник сферический</t>
  </si>
  <si>
    <t>Масса отливки на 1 деталь</t>
  </si>
  <si>
    <t>Металлозавалка на 1 деталь</t>
  </si>
  <si>
    <t>L</t>
  </si>
  <si>
    <t>Размеры отливки</t>
  </si>
  <si>
    <t>Центобежка</t>
  </si>
  <si>
    <t>прямые втулки</t>
  </si>
  <si>
    <t>Размеры вручную</t>
  </si>
  <si>
    <t>размеры</t>
  </si>
  <si>
    <t>вручную</t>
  </si>
  <si>
    <t>холод2 планки</t>
  </si>
  <si>
    <t>Чист.р-ры</t>
  </si>
  <si>
    <t>Отливка</t>
  </si>
  <si>
    <t>Размеры кокиля</t>
  </si>
  <si>
    <t>Диаметр с уклоном</t>
  </si>
  <si>
    <t>Заливочное кольцо</t>
  </si>
  <si>
    <t>Длина заготовки</t>
  </si>
  <si>
    <t>Центробежка. Прямые втулки.</t>
  </si>
  <si>
    <t>таблица припусков Алюминиевые бронзы</t>
  </si>
  <si>
    <t>масса детали (авт)</t>
  </si>
  <si>
    <t>масса вручную</t>
  </si>
  <si>
    <t>Подпятник</t>
  </si>
  <si>
    <t>15.00194</t>
  </si>
  <si>
    <t>3431315-010</t>
  </si>
  <si>
    <t>1-137597</t>
  </si>
  <si>
    <t>модель</t>
  </si>
  <si>
    <t>Масса литниковой системы</t>
  </si>
  <si>
    <t>Учтен вес припуска на захват из прибыли.</t>
  </si>
  <si>
    <t>Расчет массы отливки по размерам модели. Без учета усадки</t>
  </si>
  <si>
    <t>длина отливки</t>
  </si>
  <si>
    <t>высота приб, коэф.</t>
  </si>
  <si>
    <t>высота прибыли</t>
  </si>
  <si>
    <t>H2</t>
  </si>
  <si>
    <t>L5</t>
  </si>
  <si>
    <t>припуск на сторону</t>
  </si>
  <si>
    <t>Утвердил Котов 25.10.23 (чтобы не переписывать расчетный файл.)</t>
  </si>
  <si>
    <t>Высота прибыли расчетная.</t>
  </si>
  <si>
    <t xml:space="preserve">Длина общая </t>
  </si>
  <si>
    <t>Радиус скругления прибыли 16</t>
  </si>
  <si>
    <t>Высота прибыли= толщина под прибылью*коэф.</t>
  </si>
  <si>
    <t>Масса литниковой сист.</t>
  </si>
  <si>
    <t>d3. приб.</t>
  </si>
  <si>
    <t>Диаметр прибыли (ср.)</t>
  </si>
  <si>
    <t>1:</t>
  </si>
  <si>
    <t>Кольцо среднее</t>
  </si>
  <si>
    <t>* Использовать холодильники</t>
  </si>
  <si>
    <t>Бобышки по внутреннему Ø</t>
  </si>
  <si>
    <t>1269.01.03</t>
  </si>
  <si>
    <t>3431394-011</t>
  </si>
  <si>
    <t>2102.4-01.01-002</t>
  </si>
  <si>
    <t>1277.04.307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</si>
  <si>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Внутр.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</si>
  <si>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Бурт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</si>
  <si>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Бочка</t>
    </r>
  </si>
  <si>
    <t>Дл. Бурта</t>
  </si>
  <si>
    <t>Дл. Общая</t>
  </si>
  <si>
    <t>Масса</t>
  </si>
  <si>
    <t>Диаметр бочки кокиля</t>
  </si>
  <si>
    <t>Длина общая кокиля</t>
  </si>
  <si>
    <t>Диаметр бурта кокиля</t>
  </si>
  <si>
    <t>Длина бурта кокиля</t>
  </si>
  <si>
    <t>Длина бурта (заготовка)</t>
  </si>
  <si>
    <t>Длина общая (заготовка)</t>
  </si>
  <si>
    <t>1275.03.308</t>
  </si>
  <si>
    <t>Радиус скругления прибыли 25</t>
  </si>
  <si>
    <t>литн. Сист.</t>
  </si>
  <si>
    <t>прибыль</t>
  </si>
  <si>
    <t>Расчет припусков</t>
  </si>
  <si>
    <t>ряд стенки детали</t>
  </si>
  <si>
    <t>Ø наружный</t>
  </si>
  <si>
    <t>Ø внутренний</t>
  </si>
  <si>
    <t>Припуск на захват</t>
  </si>
  <si>
    <r>
      <t>Припуск по нар.</t>
    </r>
    <r>
      <rPr>
        <b/>
        <sz val="11"/>
        <color theme="1"/>
        <rFont val="Calibri"/>
        <family val="2"/>
        <charset val="204"/>
      </rPr>
      <t>Ø</t>
    </r>
  </si>
  <si>
    <r>
      <t>Припуск по внутр.</t>
    </r>
    <r>
      <rPr>
        <b/>
        <sz val="11"/>
        <color theme="1"/>
        <rFont val="Calibri"/>
        <family val="2"/>
        <charset val="204"/>
      </rPr>
      <t>Ø</t>
    </r>
  </si>
  <si>
    <t>коэффициент</t>
  </si>
  <si>
    <t>ряд диаметра</t>
  </si>
  <si>
    <t>таблица припусков Латуни</t>
  </si>
  <si>
    <t>Припуск по нар.диам</t>
  </si>
  <si>
    <t>припуск по вн.диам.</t>
  </si>
  <si>
    <t>таблица Оловянистые бронзы</t>
  </si>
  <si>
    <t>табл=</t>
  </si>
  <si>
    <t>Минимальный Ø</t>
  </si>
  <si>
    <t>Минимальная длина</t>
  </si>
  <si>
    <t>припуск на разрезку</t>
  </si>
  <si>
    <t>размер с коэффициентом</t>
  </si>
  <si>
    <t>толщ.ст.дет.</t>
  </si>
  <si>
    <t>толщ.ст.отл.</t>
  </si>
  <si>
    <t>столбец</t>
  </si>
  <si>
    <t>Подбор длины кокиля</t>
  </si>
  <si>
    <t>Формовка, сборка</t>
  </si>
  <si>
    <t>кг.</t>
  </si>
  <si>
    <t>плотность земли</t>
  </si>
  <si>
    <t>Ф 277-001</t>
  </si>
  <si>
    <t>Нормирование.  (коэффициент)</t>
  </si>
  <si>
    <t>Ф 277-004</t>
  </si>
  <si>
    <t>1275.04.712-1</t>
  </si>
  <si>
    <t>на тонну</t>
  </si>
  <si>
    <t>Согласовано с Колбун Н.Н.  17.11.2023</t>
  </si>
  <si>
    <t>d2(под приб)</t>
  </si>
  <si>
    <t>&lt;&lt; ср.диам.</t>
  </si>
  <si>
    <t>2,5-3,5</t>
  </si>
  <si>
    <t>Норму времени указывать только для формовки.</t>
  </si>
  <si>
    <t>3431475-011</t>
  </si>
  <si>
    <t>Клапан конический</t>
  </si>
  <si>
    <t>1.</t>
  </si>
  <si>
    <t>В конусе формы сделать</t>
  </si>
  <si>
    <t>изнутри наколы на 3/4 высоты</t>
  </si>
  <si>
    <t>2.</t>
  </si>
  <si>
    <t>конуса;</t>
  </si>
  <si>
    <t>3.</t>
  </si>
  <si>
    <t>88-12628</t>
  </si>
  <si>
    <t>Заливать форму через литниковую</t>
  </si>
  <si>
    <t>систему до середины прибыли,</t>
  </si>
  <si>
    <t>Никель и цинк в металле держать</t>
  </si>
  <si>
    <t xml:space="preserve"> на верхнем пределе;</t>
  </si>
  <si>
    <t>затем остатки металла залить  в</t>
  </si>
  <si>
    <t>прибыль до полного её заполнения.</t>
  </si>
  <si>
    <t>Кокиль:</t>
  </si>
  <si>
    <t>Модель:</t>
  </si>
  <si>
    <t>1:5</t>
  </si>
  <si>
    <t>1:10</t>
  </si>
  <si>
    <t xml:space="preserve">Сушка форм по инструкции </t>
  </si>
  <si>
    <t>25015.00013</t>
  </si>
  <si>
    <t>№ чертежа</t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</si>
  <si>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Arial"/>
        <family val="2"/>
        <charset val="204"/>
      </rPr>
      <t xml:space="preserve"> посадки</t>
    </r>
  </si>
  <si>
    <t>72.11876</t>
  </si>
  <si>
    <t>72.11877</t>
  </si>
  <si>
    <t>72.11878</t>
  </si>
  <si>
    <t>72.10092</t>
  </si>
  <si>
    <t>72.11879</t>
  </si>
  <si>
    <t>72.44782</t>
  </si>
  <si>
    <t>72.47359</t>
  </si>
  <si>
    <t>72.47360</t>
  </si>
  <si>
    <t>72.47369</t>
  </si>
  <si>
    <t>72.47379</t>
  </si>
  <si>
    <t>72.47389</t>
  </si>
  <si>
    <t>72.47399</t>
  </si>
  <si>
    <t>72.47408</t>
  </si>
  <si>
    <t>72.47418</t>
  </si>
  <si>
    <t>72.47427</t>
  </si>
  <si>
    <t>72.47435</t>
  </si>
  <si>
    <t>72.47464</t>
  </si>
  <si>
    <t>72.47452</t>
  </si>
  <si>
    <t>72.10072</t>
  </si>
  <si>
    <t xml:space="preserve">Коэффициент высоты </t>
  </si>
  <si>
    <t>планки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</si>
  <si>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Arial"/>
        <family val="2"/>
        <charset val="204"/>
      </rPr>
      <t xml:space="preserve"> стояка для стали</t>
    </r>
  </si>
  <si>
    <t xml:space="preserve"> прямого</t>
  </si>
  <si>
    <t>с буртом</t>
  </si>
  <si>
    <t>Изложницы с буртом</t>
  </si>
  <si>
    <t>D (внутренний)</t>
  </si>
  <si>
    <t>L (длина)</t>
  </si>
  <si>
    <t>L1</t>
  </si>
  <si>
    <t>Dпос (посадочный)</t>
  </si>
  <si>
    <t>Dц (посадка на ц/б машину)</t>
  </si>
  <si>
    <t>Номер чертежа</t>
  </si>
  <si>
    <t>375(средн.часть)</t>
  </si>
  <si>
    <t>285 - 250/220</t>
  </si>
  <si>
    <t>85 -75</t>
  </si>
  <si>
    <t>БрО8С12: Больше длина - больше брак.</t>
  </si>
  <si>
    <t>Чертеж  -  деталь</t>
  </si>
  <si>
    <t>7221712 - 7</t>
  </si>
  <si>
    <t>7249554 - 7</t>
  </si>
  <si>
    <t>10256072 - 1</t>
  </si>
  <si>
    <t>10255226 - 1</t>
  </si>
  <si>
    <t>7248613 - 7</t>
  </si>
  <si>
    <t>10256070 - 1</t>
  </si>
  <si>
    <t>7221712 - 12</t>
  </si>
  <si>
    <t>10248728 - 2</t>
  </si>
  <si>
    <t>7221712 - 10</t>
  </si>
  <si>
    <t>7248484 - 2</t>
  </si>
  <si>
    <t>7248484 - 3</t>
  </si>
  <si>
    <t>10252602 - 3</t>
  </si>
  <si>
    <t>10249335 - 3</t>
  </si>
  <si>
    <t>10249335 - 5</t>
  </si>
  <si>
    <t>7248636 - 2</t>
  </si>
  <si>
    <t>7245980 - 01</t>
  </si>
  <si>
    <t>7226529 - 3</t>
  </si>
  <si>
    <t>7249651 - 5</t>
  </si>
  <si>
    <t>7226529 - 5</t>
  </si>
  <si>
    <t>7226529 - 8</t>
  </si>
  <si>
    <t>7241961 - 3</t>
  </si>
  <si>
    <t>10244201 - 5</t>
  </si>
  <si>
    <t>10256072 - 3</t>
  </si>
  <si>
    <t>7245980 - 1</t>
  </si>
  <si>
    <t>7245980 - 2</t>
  </si>
  <si>
    <t>10251751 - 5</t>
  </si>
  <si>
    <t>10255226 - 4</t>
  </si>
  <si>
    <t>7245980 - 3</t>
  </si>
  <si>
    <t>10255226 - 7</t>
  </si>
  <si>
    <t>10248852 - 2</t>
  </si>
  <si>
    <t>10248852 - 4</t>
  </si>
  <si>
    <t>7248613 - 1</t>
  </si>
  <si>
    <t>7248613 - 4</t>
  </si>
  <si>
    <t>7248613 - 5</t>
  </si>
  <si>
    <t>7248613 - 6</t>
  </si>
  <si>
    <t>7247250 - 01</t>
  </si>
  <si>
    <t>РЧЗ 34.032018 - 001</t>
  </si>
  <si>
    <t>10248852 - 14</t>
  </si>
  <si>
    <t>10248852 - 15</t>
  </si>
  <si>
    <t>10249696 - 01</t>
  </si>
  <si>
    <t>10251784 - 2</t>
  </si>
  <si>
    <t>10256070 - 01</t>
  </si>
  <si>
    <t>34.032018 - 001</t>
  </si>
  <si>
    <t>10256070 - 5</t>
  </si>
  <si>
    <t>7247250 - 02</t>
  </si>
  <si>
    <t>10248852 - 16</t>
  </si>
  <si>
    <t>7247353 - 1</t>
  </si>
  <si>
    <t>7247353 - 2</t>
  </si>
  <si>
    <t>7247353 - 3</t>
  </si>
  <si>
    <t>7247090 - 1</t>
  </si>
  <si>
    <t>7247089 - 1</t>
  </si>
  <si>
    <t>7247089 - 4</t>
  </si>
  <si>
    <t>7247089 - 6</t>
  </si>
  <si>
    <t>7247089 - 10</t>
  </si>
  <si>
    <t>7247087 - 1</t>
  </si>
  <si>
    <t>24271231 - 1</t>
  </si>
  <si>
    <t>10256072 - 2</t>
  </si>
  <si>
    <t>10255226 - 3</t>
  </si>
  <si>
    <t>7249591 - 3</t>
  </si>
  <si>
    <t>7245893 - 2</t>
  </si>
  <si>
    <t>7248613 - 2</t>
  </si>
  <si>
    <t>7233150 - 3</t>
  </si>
  <si>
    <t>10247608 - 3</t>
  </si>
  <si>
    <t>7242060 - 3</t>
  </si>
  <si>
    <t>7249282 - 3</t>
  </si>
  <si>
    <t>10249696 - 3</t>
  </si>
  <si>
    <t>10255800 - 4</t>
  </si>
  <si>
    <t>10241656 - 3</t>
  </si>
  <si>
    <t>7242409 - 3</t>
  </si>
  <si>
    <t>7232648 - 4</t>
  </si>
  <si>
    <t>10246084 - 3</t>
  </si>
  <si>
    <t>10256088 - 4</t>
  </si>
  <si>
    <t>7248194 - 4</t>
  </si>
  <si>
    <t>7249284 - 3</t>
  </si>
  <si>
    <t>7249284 - 4</t>
  </si>
  <si>
    <t>10240959 - 4</t>
  </si>
  <si>
    <t>7225773 - 3</t>
  </si>
  <si>
    <t>7248722 - 4</t>
  </si>
  <si>
    <t>10241602 - 4</t>
  </si>
  <si>
    <t>7247249 - 4</t>
  </si>
  <si>
    <t>7245907 - 4</t>
  </si>
  <si>
    <t>7247900 - 4</t>
  </si>
  <si>
    <t>7247250 - 4</t>
  </si>
  <si>
    <t>10252762 - 5</t>
  </si>
  <si>
    <t>7247349 - 5</t>
  </si>
  <si>
    <t>7247085 - 5</t>
  </si>
  <si>
    <t>7247090 - 5</t>
  </si>
  <si>
    <t>7247251 - 5</t>
  </si>
  <si>
    <t>7247087 - 5</t>
  </si>
  <si>
    <t>10241569 - 5</t>
  </si>
  <si>
    <t>10243107 - 6</t>
  </si>
  <si>
    <t>Б/черт.</t>
  </si>
  <si>
    <t>72.47210 - 164</t>
  </si>
  <si>
    <t>72.47210 - 180</t>
  </si>
  <si>
    <t>72.47210 - 196</t>
  </si>
  <si>
    <t>72.47210 - 212</t>
  </si>
  <si>
    <t>72.47210 - 228</t>
  </si>
  <si>
    <t>72.47211 - 2</t>
  </si>
  <si>
    <t>72.47211 - 16</t>
  </si>
  <si>
    <t>72.47211 - 30</t>
  </si>
  <si>
    <t>72.47530 - 208</t>
  </si>
  <si>
    <t>72.47530 - 172</t>
  </si>
  <si>
    <t>72.47530 - 190</t>
  </si>
  <si>
    <t>72.47530 - 199</t>
  </si>
  <si>
    <t>72.47211 - 44</t>
  </si>
  <si>
    <t>72.47211 - 58</t>
  </si>
  <si>
    <t>72.47211 - 72</t>
  </si>
  <si>
    <t>72.47211 - 86</t>
  </si>
  <si>
    <t>72.47211 - 100</t>
  </si>
  <si>
    <t>72.47211 - 114</t>
  </si>
  <si>
    <t>72.47211 - 128</t>
  </si>
  <si>
    <t>72.47211 - 142</t>
  </si>
  <si>
    <t>72.47211 - 156</t>
  </si>
  <si>
    <t>72.47211 - 170</t>
  </si>
  <si>
    <t>72.47211 - 184</t>
  </si>
  <si>
    <t>72.47212 - 2</t>
  </si>
  <si>
    <t>72.47212 - 16</t>
  </si>
  <si>
    <t>72.47212 - 30</t>
  </si>
  <si>
    <t>72.47212 - 44</t>
  </si>
  <si>
    <t>72.47212 - 58</t>
  </si>
  <si>
    <t>72.47212 - 72</t>
  </si>
  <si>
    <t>72.47212 - 86</t>
  </si>
  <si>
    <t>72.47212 - 114</t>
  </si>
  <si>
    <t>72.47212 - 128</t>
  </si>
  <si>
    <t>72.47212 - 142</t>
  </si>
  <si>
    <t>72.47212 - 156</t>
  </si>
  <si>
    <t>72.47212 - 170</t>
  </si>
  <si>
    <t>72.47212 - 184</t>
  </si>
  <si>
    <t>72.47213 - 2</t>
  </si>
  <si>
    <t>72.47213 - 16</t>
  </si>
  <si>
    <t>72.47213 - 30</t>
  </si>
  <si>
    <t>72.47213 - 44</t>
  </si>
  <si>
    <t>72.47213 - 58</t>
  </si>
  <si>
    <t>72.47213 - 72</t>
  </si>
  <si>
    <t>72.47213 - 86</t>
  </si>
  <si>
    <t>72.47213 - 100</t>
  </si>
  <si>
    <t>72.47213 - 114</t>
  </si>
  <si>
    <t>72.47213 - 128</t>
  </si>
  <si>
    <t>72.47213 - 142</t>
  </si>
  <si>
    <t>72.47213 - 156</t>
  </si>
  <si>
    <t>72.47213 - 170</t>
  </si>
  <si>
    <t>72.47213 - 184</t>
  </si>
  <si>
    <t>72.47213 - 198</t>
  </si>
  <si>
    <t>72.47213 - 212</t>
  </si>
  <si>
    <t>72.47213 - 226</t>
  </si>
  <si>
    <t>72.47213 - 240</t>
  </si>
  <si>
    <t>72.47213 - 254</t>
  </si>
  <si>
    <t>72.47214 - 2</t>
  </si>
  <si>
    <t>72.47214 - 12</t>
  </si>
  <si>
    <t>72.47214 - 22</t>
  </si>
  <si>
    <t>72.47214 - 32</t>
  </si>
  <si>
    <t>72.47214 - 42</t>
  </si>
  <si>
    <t>72.47214 - 52</t>
  </si>
  <si>
    <t>72.47214 - 62</t>
  </si>
  <si>
    <t>72.47214 - 72</t>
  </si>
  <si>
    <t>72.47214 - 82</t>
  </si>
  <si>
    <t>72.47214 - 92</t>
  </si>
  <si>
    <t>72.47214 - 102</t>
  </si>
  <si>
    <t>72.47214 - 112</t>
  </si>
  <si>
    <t>0 - 0</t>
  </si>
  <si>
    <t>72.47214 - 122</t>
  </si>
  <si>
    <t>72.47214 - 132</t>
  </si>
  <si>
    <t>72.47214 - 142</t>
  </si>
  <si>
    <t>72.47214 - 152</t>
  </si>
  <si>
    <t>72.47214 - 162</t>
  </si>
  <si>
    <t>72.47214 - 172</t>
  </si>
  <si>
    <t>72.47214 - 182</t>
  </si>
  <si>
    <t>72.47214 - 192</t>
  </si>
  <si>
    <t>72.47214 - 202</t>
  </si>
  <si>
    <t>72.47214 - 212</t>
  </si>
  <si>
    <t>72.47214 - 222</t>
  </si>
  <si>
    <t>72.47214 - 232</t>
  </si>
  <si>
    <t>72.47214 - 242</t>
  </si>
  <si>
    <t>72.47214 - 252</t>
  </si>
  <si>
    <t>72.47214 - 262</t>
  </si>
  <si>
    <t>72.47214 - 272</t>
  </si>
  <si>
    <t>72.47214 - 282</t>
  </si>
  <si>
    <t>72.47214 - 292</t>
  </si>
  <si>
    <t>72.47214 - 302</t>
  </si>
  <si>
    <t>72.47214 - 312</t>
  </si>
  <si>
    <t>72.47214 - 322</t>
  </si>
  <si>
    <t>72.47214 - 332</t>
  </si>
  <si>
    <t>Ø216/174*Ø182/145*600</t>
  </si>
  <si>
    <t>(15.00402)</t>
  </si>
  <si>
    <t xml:space="preserve">модель: </t>
  </si>
  <si>
    <t>Диаметр у крышки</t>
  </si>
  <si>
    <t>Диаметр с уклоном ср.</t>
  </si>
  <si>
    <t>БрО6Ц6С3</t>
  </si>
  <si>
    <t>БрА10Ж3Мц2     иногда стандартного захвата</t>
  </si>
  <si>
    <t xml:space="preserve">            не хватает  -  ставить 55 мм.</t>
  </si>
  <si>
    <t xml:space="preserve"> (дата)</t>
  </si>
  <si>
    <t>165/320/332,8</t>
  </si>
  <si>
    <t>102.53.745</t>
  </si>
  <si>
    <t>102.53.745 - 001</t>
  </si>
  <si>
    <t>102.53.745 - 002</t>
  </si>
  <si>
    <t>102.53.745 - 003</t>
  </si>
  <si>
    <t>102.53.745 - 004</t>
  </si>
  <si>
    <t>102.53.745 - 005</t>
  </si>
  <si>
    <t>102.53.745 - 006</t>
  </si>
  <si>
    <t>102.53.745 - 007</t>
  </si>
  <si>
    <t>102.53.745 - 008</t>
  </si>
  <si>
    <t>102.53.745 - 009</t>
  </si>
  <si>
    <t>102.53.745 - 010</t>
  </si>
  <si>
    <t>102.53.745 - 011</t>
  </si>
  <si>
    <t>102.53.745 - 012</t>
  </si>
  <si>
    <t>102.53.745 - 013</t>
  </si>
  <si>
    <t>102.53.745 - 014</t>
  </si>
  <si>
    <t>102.53.745 - 015</t>
  </si>
  <si>
    <t>102.53.745 - 018</t>
  </si>
  <si>
    <t>102.53.745 - 019</t>
  </si>
  <si>
    <t>102.53.745 - 021</t>
  </si>
  <si>
    <t>102.53.745 - 023</t>
  </si>
  <si>
    <t>102.53.745 - 025</t>
  </si>
  <si>
    <t>102.53.745 - 026</t>
  </si>
  <si>
    <t>102.53.745 - 027</t>
  </si>
  <si>
    <t>102.53.745 - 028</t>
  </si>
  <si>
    <t>102.53.745 - 030</t>
  </si>
  <si>
    <t>102.53.745 - 031</t>
  </si>
  <si>
    <t>102.53.745 - 032</t>
  </si>
  <si>
    <t>102.53.745 - 033</t>
  </si>
  <si>
    <t>102.53.745 - 035</t>
  </si>
  <si>
    <t>102.53.745 - 036</t>
  </si>
  <si>
    <t>102.53.745 - 038</t>
  </si>
  <si>
    <t>102.53.745 - 041</t>
  </si>
  <si>
    <t>102.53.745 - 043</t>
  </si>
  <si>
    <t>102.53.745 - 044</t>
  </si>
  <si>
    <t>102.53.745 - 045</t>
  </si>
  <si>
    <t>102.53.745 - 046</t>
  </si>
  <si>
    <t>102.53.745 - 047</t>
  </si>
  <si>
    <t>102.53.745 - 049</t>
  </si>
  <si>
    <t>102.53.745 - 050</t>
  </si>
  <si>
    <t>102.53.745 - 051</t>
  </si>
  <si>
    <t>102.53.745 - 052</t>
  </si>
  <si>
    <t>102.53.745 - 055</t>
  </si>
  <si>
    <t>102.53.745 - 056</t>
  </si>
  <si>
    <t>102.53.745 - 057</t>
  </si>
  <si>
    <t>102.53.745 - 058</t>
  </si>
  <si>
    <t>102.53.745 - 062</t>
  </si>
  <si>
    <t>102.53.745 - 063</t>
  </si>
  <si>
    <t>102.53.745 - 069</t>
  </si>
  <si>
    <t>102.53.745 - 071</t>
  </si>
  <si>
    <t>102.53.745 - 072</t>
  </si>
  <si>
    <t>102.53.745 - 077</t>
  </si>
  <si>
    <t>102.53.745 - 079</t>
  </si>
  <si>
    <t>102.53.745 - 080</t>
  </si>
  <si>
    <t>102.53.745 - 081</t>
  </si>
  <si>
    <t>102.53.745 - 082</t>
  </si>
  <si>
    <t>102.53.745 - 083</t>
  </si>
  <si>
    <t>102.53.745 - 085</t>
  </si>
  <si>
    <t>102.53.745 - 086</t>
  </si>
  <si>
    <t>102.53.745 - 087</t>
  </si>
  <si>
    <t>102.53.745 - 088</t>
  </si>
  <si>
    <t>102.53.745 - 089</t>
  </si>
  <si>
    <t>102.53.745 - 090</t>
  </si>
  <si>
    <t>102.53.745 - 091</t>
  </si>
  <si>
    <t>102.53.745 - 092</t>
  </si>
  <si>
    <t>102.53.745 - 093</t>
  </si>
  <si>
    <t>102.53.745 - 094</t>
  </si>
  <si>
    <t>102.53.745 - 097</t>
  </si>
  <si>
    <t>102.53.745 - 098</t>
  </si>
  <si>
    <t>102.53.745 - 101</t>
  </si>
  <si>
    <t>102.53.745 - 103</t>
  </si>
  <si>
    <t>102.53.745 - 105</t>
  </si>
  <si>
    <t>102.53.745 - 108</t>
  </si>
  <si>
    <t>102.53.745 - 109</t>
  </si>
  <si>
    <t>102.53.745 - 111</t>
  </si>
  <si>
    <t>102.53.745 - 113</t>
  </si>
  <si>
    <t>102.53.745 - 115</t>
  </si>
  <si>
    <t>102.53.745 - 116</t>
  </si>
  <si>
    <t>102.53.745 - 117</t>
  </si>
  <si>
    <t>102.53.745 - 118</t>
  </si>
  <si>
    <t>102.53.745 - 119</t>
  </si>
  <si>
    <t>102.53.745 - 123</t>
  </si>
  <si>
    <t>102.53.745 - 127</t>
  </si>
  <si>
    <t>102.53.745 - 128</t>
  </si>
  <si>
    <t>102.53.745 - 129</t>
  </si>
  <si>
    <t>102.53.745 - 130</t>
  </si>
  <si>
    <t>102.53.745 - 131</t>
  </si>
  <si>
    <t>102.53.745 - 133</t>
  </si>
  <si>
    <t>102.53.745 - 134</t>
  </si>
  <si>
    <t>102.53.745 - 139</t>
  </si>
  <si>
    <t>102.53.745 - 140</t>
  </si>
  <si>
    <t>102.53.745 - 141</t>
  </si>
  <si>
    <t>102.53.745 - 142</t>
  </si>
  <si>
    <t>102.53.745 - 143</t>
  </si>
  <si>
    <t>длина +</t>
  </si>
  <si>
    <t>если холод.</t>
  </si>
  <si>
    <t>пониж.коэф. =0,841</t>
  </si>
  <si>
    <t>Коэф. высоты прибыли втулок</t>
  </si>
  <si>
    <t>Модель №</t>
  </si>
  <si>
    <t>8915.28.074</t>
  </si>
  <si>
    <t>Размеры сухаря:</t>
  </si>
  <si>
    <t>№</t>
  </si>
  <si>
    <t>L2</t>
  </si>
  <si>
    <t>H</t>
  </si>
  <si>
    <t>h1</t>
  </si>
  <si>
    <t>L3</t>
  </si>
  <si>
    <t>L4</t>
  </si>
  <si>
    <t>L6</t>
  </si>
  <si>
    <t>L7</t>
  </si>
  <si>
    <t>L8</t>
  </si>
  <si>
    <t>L9</t>
  </si>
  <si>
    <t>L10</t>
  </si>
  <si>
    <t>L11</t>
  </si>
  <si>
    <t>Длина                  h2</t>
  </si>
  <si>
    <t>Толщина             L7</t>
  </si>
  <si>
    <t>Толщина             L8</t>
  </si>
  <si>
    <t>Размеры:</t>
  </si>
  <si>
    <t>модели</t>
  </si>
  <si>
    <t>отливки</t>
  </si>
  <si>
    <t>прибыль:</t>
  </si>
  <si>
    <t>Размеры кокиля:</t>
  </si>
  <si>
    <t>(L2+L3)/2</t>
  </si>
  <si>
    <t>L3низ</t>
  </si>
  <si>
    <t>L3верх</t>
  </si>
  <si>
    <t>L средн.</t>
  </si>
  <si>
    <t>БрО10Ц2Н2</t>
  </si>
  <si>
    <t>1100-1120</t>
  </si>
  <si>
    <t>960-1000</t>
  </si>
  <si>
    <t>25012.000012</t>
  </si>
  <si>
    <t>олов.</t>
  </si>
  <si>
    <t>алюм.</t>
  </si>
  <si>
    <t>лат</t>
  </si>
  <si>
    <t>5-5-5</t>
  </si>
  <si>
    <t>*Модель*</t>
  </si>
  <si>
    <t>*Высота прибыли:  расчетная</t>
  </si>
  <si>
    <t>°C</t>
  </si>
  <si>
    <t>Усадка           0,6%</t>
  </si>
  <si>
    <t>374001-001</t>
  </si>
  <si>
    <t xml:space="preserve"> 8720.08.01</t>
  </si>
  <si>
    <t>Лёжка</t>
  </si>
  <si>
    <t>15Х25 ТЛ или Х20Н14С2Л</t>
  </si>
  <si>
    <t>344006-001</t>
  </si>
  <si>
    <t>1277.04.608</t>
  </si>
  <si>
    <t>ср. диам. Мод</t>
  </si>
  <si>
    <t>Литниковая система:</t>
  </si>
  <si>
    <t>(1 щель)</t>
  </si>
  <si>
    <t>1060-1080 ° C</t>
  </si>
  <si>
    <t>242.04.462 - 1</t>
  </si>
  <si>
    <t>чертёж</t>
  </si>
  <si>
    <t>литейная технология</t>
  </si>
  <si>
    <t>Радиус скругления прибыли 26</t>
  </si>
  <si>
    <t>№№</t>
  </si>
  <si>
    <t>21 а</t>
  </si>
  <si>
    <t>Кокиль №</t>
  </si>
  <si>
    <t>Прибыль</t>
  </si>
  <si>
    <t>Состояние оснастки</t>
  </si>
  <si>
    <t>2</t>
  </si>
  <si>
    <t>длина</t>
  </si>
  <si>
    <t>толщина</t>
  </si>
  <si>
    <t>ВЕС</t>
  </si>
  <si>
    <t>ф277-008</t>
  </si>
  <si>
    <t>Размеры</t>
  </si>
  <si>
    <t>детали:</t>
  </si>
  <si>
    <t>литейн.зг:</t>
  </si>
  <si>
    <t xml:space="preserve"> кокиля:</t>
  </si>
  <si>
    <t xml:space="preserve">Ø </t>
  </si>
  <si>
    <t>длина на 1 дет.</t>
  </si>
  <si>
    <t>Технологические указания</t>
  </si>
  <si>
    <t>Дет.</t>
  </si>
  <si>
    <t xml:space="preserve">Кокиль </t>
  </si>
  <si>
    <t>25012.00011</t>
  </si>
  <si>
    <t>Отливка весом более 50 кг по схеме №10241795 альбома 9</t>
  </si>
  <si>
    <t>проверил</t>
  </si>
  <si>
    <t>рук.группы</t>
  </si>
  <si>
    <t>Другие виды болванов.</t>
  </si>
  <si>
    <t>Высота  *             h1</t>
  </si>
  <si>
    <t>лит..зг 1:</t>
  </si>
  <si>
    <t>стац.кок. :</t>
  </si>
  <si>
    <t xml:space="preserve">Кокиль ц/б </t>
  </si>
  <si>
    <t xml:space="preserve"> ц/б кок. :</t>
  </si>
  <si>
    <t>Стационарный кокиль + ц/б кокиль</t>
  </si>
  <si>
    <t>Чертеж / Деталь</t>
  </si>
  <si>
    <t>Ц/Б + ц/б кокиль</t>
  </si>
  <si>
    <t>344092-001</t>
  </si>
  <si>
    <t>Литейная</t>
  </si>
  <si>
    <t>подп.</t>
  </si>
  <si>
    <t>клапан</t>
  </si>
  <si>
    <t>лежка</t>
  </si>
  <si>
    <t xml:space="preserve">Стационарный кокиль </t>
  </si>
  <si>
    <t>ПРИБЫЛЬ</t>
  </si>
  <si>
    <t>Высота, мм</t>
  </si>
  <si>
    <t>Масса прибыли (БрА9Ж3Л), кг</t>
  </si>
  <si>
    <t>242.71.642</t>
  </si>
  <si>
    <t>242.71.636</t>
  </si>
  <si>
    <t>есть переходное кольцо на цб кокили с посадкой 360</t>
  </si>
  <si>
    <t>242.71.639</t>
  </si>
  <si>
    <t>102.56.451</t>
  </si>
  <si>
    <t>есть переходное кольцо на цб кокили с посадкой 470</t>
  </si>
  <si>
    <t>И-335</t>
  </si>
  <si>
    <t>15.001137</t>
  </si>
  <si>
    <t xml:space="preserve"> прибыли:</t>
  </si>
  <si>
    <t>25010.00003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</si>
  <si>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Внешн.</t>
    </r>
  </si>
  <si>
    <r>
      <t>Ø</t>
    </r>
    <r>
      <rPr>
        <sz val="9.35"/>
        <color rgb="FF000000"/>
        <rFont val="Calibri"/>
        <family val="2"/>
        <charset val="1"/>
      </rPr>
      <t xml:space="preserve"> Внутр.</t>
    </r>
  </si>
  <si>
    <t>1289.01.17</t>
  </si>
  <si>
    <t>1244.04.432-1</t>
  </si>
  <si>
    <t>1255.01.341</t>
  </si>
  <si>
    <t>1291.08.19</t>
  </si>
  <si>
    <t>2019.423-24.002</t>
  </si>
  <si>
    <t>344142-002</t>
  </si>
  <si>
    <t>Масса д.</t>
  </si>
  <si>
    <t>summ</t>
  </si>
  <si>
    <t>Толщина под прибылью</t>
  </si>
  <si>
    <t>чертеж</t>
  </si>
  <si>
    <t>литейная</t>
  </si>
  <si>
    <t>по центробежному и кокильному литью заготовок из цветных сплавов</t>
  </si>
  <si>
    <t>на роликовой машине</t>
  </si>
  <si>
    <t>Чертеж №</t>
  </si>
  <si>
    <t xml:space="preserve">Заказ № </t>
  </si>
  <si>
    <t>Заказчик:</t>
  </si>
  <si>
    <t>Кол-во на заказ:</t>
  </si>
  <si>
    <t>шт</t>
  </si>
  <si>
    <t xml:space="preserve">Отливать центробежным способом в кокиль </t>
  </si>
  <si>
    <t>Ø=</t>
  </si>
  <si>
    <t xml:space="preserve">мм,      L = </t>
  </si>
  <si>
    <t>мм</t>
  </si>
  <si>
    <t>по чертежу №</t>
  </si>
  <si>
    <t xml:space="preserve">Заливочное кольцо d     = </t>
  </si>
  <si>
    <t>мм, чертеж №</t>
  </si>
  <si>
    <t>Толкатель Ø</t>
  </si>
  <si>
    <t>-</t>
  </si>
  <si>
    <t xml:space="preserve">мм,               H = </t>
  </si>
  <si>
    <t>Рабочая длина кокиля Lраб, мм</t>
  </si>
  <si>
    <r>
      <t xml:space="preserve">Наружный </t>
    </r>
    <r>
      <rPr>
        <sz val="12"/>
        <rFont val="Calibri"/>
        <family val="2"/>
        <charset val="204"/>
      </rPr>
      <t>Ø кокиля, мм</t>
    </r>
  </si>
  <si>
    <t>Диаметр опорных роликов, мм</t>
  </si>
  <si>
    <t>Размеры заготовки, мм</t>
  </si>
  <si>
    <t>Диаметр наружн. бурта</t>
  </si>
  <si>
    <t>Диаметр втулки наружн.</t>
  </si>
  <si>
    <t>Диаметр втулки внутр.</t>
  </si>
  <si>
    <t>(допускается бочка d     =</t>
  </si>
  <si>
    <t>Длина общая L, мм</t>
  </si>
  <si>
    <t>Вес заготовки на 1 деталь: черновой, кг</t>
  </si>
  <si>
    <t>,      жидкий, кг</t>
  </si>
  <si>
    <t>металлозавалка, кг</t>
  </si>
  <si>
    <t>Кол-во деталей в заготовке, шт</t>
  </si>
  <si>
    <t>Металлозавалка всего, кг</t>
  </si>
  <si>
    <t xml:space="preserve">Плавка и заливка по инструкции № </t>
  </si>
  <si>
    <t>Марка материала</t>
  </si>
  <si>
    <t>Параметры заливки</t>
  </si>
  <si>
    <r>
      <t xml:space="preserve">Частота вращения первоначальная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</si>
  <si>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</si>
  <si>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вращения заключительная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</si>
  <si>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</si>
  <si>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1</t>
    </r>
    <r>
      <rPr>
        <sz val="12"/>
        <color theme="1"/>
        <rFont val="Calibri"/>
        <family val="2"/>
        <charset val="204"/>
        <scheme val="minor"/>
      </rPr>
      <t>, Гц</t>
    </r>
  </si>
  <si>
    <t>Выдержка в кокиле не менее, час</t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</si>
  <si>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2</t>
    </r>
    <r>
      <rPr>
        <sz val="12"/>
        <color theme="1"/>
        <rFont val="Calibri"/>
        <family val="2"/>
        <charset val="204"/>
        <scheme val="minor"/>
      </rPr>
      <t>, Гц</t>
    </r>
  </si>
  <si>
    <t>Расстояние между осями роликов, мм</t>
  </si>
  <si>
    <t>Чалка, транспортировка и кантовка:</t>
  </si>
  <si>
    <t>а) деталей весом до 50 кг - в коробках, согласно альбому № 9, стр.№1</t>
  </si>
  <si>
    <r>
      <t xml:space="preserve">б) деталей весом более 50 кг - по схеме № </t>
    </r>
    <r>
      <rPr>
        <b/>
        <sz val="12"/>
        <color theme="1"/>
        <rFont val="Calibri"/>
        <family val="2"/>
        <charset val="204"/>
        <scheme val="minor"/>
      </rPr>
      <t>102.41798</t>
    </r>
  </si>
  <si>
    <t>Должность</t>
  </si>
  <si>
    <t>ФИО</t>
  </si>
  <si>
    <t xml:space="preserve">Составил </t>
  </si>
  <si>
    <t>технолог</t>
  </si>
  <si>
    <t>Ковалев А.С.</t>
  </si>
  <si>
    <t xml:space="preserve">Проверил </t>
  </si>
  <si>
    <t>Утвердил</t>
  </si>
  <si>
    <t>гл. металлург</t>
  </si>
  <si>
    <t>Котов Д.А.</t>
  </si>
  <si>
    <t>Расстояние между осями роликов</t>
  </si>
  <si>
    <t>Коэффициент частоты вращения</t>
  </si>
  <si>
    <t xml:space="preserve">Металл в ковш сливать по показаниям тензодатчиков печи FS-30. Всего </t>
  </si>
  <si>
    <t xml:space="preserve"> кг.</t>
  </si>
  <si>
    <t>Плотность металла</t>
  </si>
  <si>
    <t>ПРОВЕРИТЬ</t>
  </si>
  <si>
    <t>ЗАПОЛНИТЬ</t>
  </si>
  <si>
    <t>для справок и расчетов:</t>
  </si>
  <si>
    <t>отношения масс во втулке</t>
  </si>
  <si>
    <t>ст. ящик:</t>
  </si>
  <si>
    <t>Температура заливки</t>
  </si>
  <si>
    <t>ОФ или 5:</t>
  </si>
  <si>
    <t xml:space="preserve"> Масса до 1,5т. </t>
  </si>
  <si>
    <t>Или высота &lt;=700мм.</t>
  </si>
  <si>
    <t xml:space="preserve">Температура заливки </t>
  </si>
  <si>
    <t>Длина кокиля</t>
  </si>
  <si>
    <t>Масса отливки на 1</t>
  </si>
  <si>
    <t>Металлозавка на 1</t>
  </si>
  <si>
    <t>КВТ</t>
  </si>
  <si>
    <t>КИМ</t>
  </si>
  <si>
    <t>З.Кольцо :</t>
  </si>
  <si>
    <t>если длина бурта больше 60</t>
  </si>
  <si>
    <t>по бочке</t>
  </si>
  <si>
    <t>по бурту</t>
  </si>
  <si>
    <t xml:space="preserve">если длина бурта кокиля до 60 </t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</si>
  <si>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  <scheme val="minor"/>
      </rPr>
      <t xml:space="preserve"> кокиля</t>
    </r>
  </si>
  <si>
    <t>Ø с уклоном</t>
  </si>
  <si>
    <t>1277.04.608-1</t>
  </si>
  <si>
    <t>столбец:</t>
  </si>
  <si>
    <t>(от 14.02.24 Котов)</t>
  </si>
  <si>
    <t>-------------</t>
  </si>
  <si>
    <t>700*700</t>
  </si>
  <si>
    <t>700*1000</t>
  </si>
  <si>
    <t>норма времени:</t>
  </si>
  <si>
    <t>1500*1000</t>
  </si>
  <si>
    <t>1800*1200</t>
  </si>
  <si>
    <t>2102.67-2.00-003</t>
  </si>
  <si>
    <t>344197-002</t>
  </si>
  <si>
    <t>( 495,5 )</t>
  </si>
  <si>
    <t xml:space="preserve">      ( 466 )</t>
  </si>
  <si>
    <t>Втулка коническая</t>
  </si>
  <si>
    <t>2102.67.2.00-003</t>
  </si>
  <si>
    <t>G-CuPb15Sn7</t>
  </si>
  <si>
    <t>ц/б с буртом</t>
  </si>
  <si>
    <t>стенка по бурту</t>
  </si>
  <si>
    <t>стенка по бочке</t>
  </si>
  <si>
    <t>ряд Ø бурта</t>
  </si>
  <si>
    <t>ряд Ø бочки</t>
  </si>
  <si>
    <t>припуск м/о</t>
  </si>
  <si>
    <t>Наружный Ø</t>
  </si>
  <si>
    <t>Внутренний Ø</t>
  </si>
  <si>
    <t>Припуски на М/О отливок при ручной формовке:</t>
  </si>
  <si>
    <t>Оловянные бронзы, ЦАМы:</t>
  </si>
  <si>
    <t>Алюминиевые бронзы, латуни</t>
  </si>
  <si>
    <t>наибольший р-р</t>
  </si>
  <si>
    <t>2 размер</t>
  </si>
  <si>
    <t>ряд</t>
  </si>
  <si>
    <t>припуски:</t>
  </si>
  <si>
    <t>низ, наружные</t>
  </si>
  <si>
    <t>верх</t>
  </si>
  <si>
    <t>внутренние</t>
  </si>
  <si>
    <t>7 8 8</t>
  </si>
  <si>
    <t>3 4 4</t>
  </si>
  <si>
    <t>9 10 9</t>
  </si>
  <si>
    <t>10 14 12</t>
  </si>
  <si>
    <t>9 10 10</t>
  </si>
  <si>
    <t>4 5 4</t>
  </si>
  <si>
    <t>5 5 5</t>
  </si>
  <si>
    <t>4 5 5</t>
  </si>
  <si>
    <t>6 7 6</t>
  </si>
  <si>
    <t>5 6 5</t>
  </si>
  <si>
    <t xml:space="preserve">6 7 </t>
  </si>
  <si>
    <t>7 8 7</t>
  </si>
  <si>
    <t>5 6 6</t>
  </si>
  <si>
    <t>6 7 7</t>
  </si>
  <si>
    <t>8 9 8</t>
  </si>
  <si>
    <t>6 8 7</t>
  </si>
  <si>
    <t>8 9 9</t>
  </si>
  <si>
    <t>9 11 11</t>
  </si>
  <si>
    <t>10 12 10</t>
  </si>
  <si>
    <t>10 12 12</t>
  </si>
  <si>
    <t>7 9 8</t>
  </si>
  <si>
    <t>10 14 14</t>
  </si>
  <si>
    <t xml:space="preserve"> 5 6 6</t>
  </si>
  <si>
    <t>11 12 10</t>
  </si>
  <si>
    <t>11 13 12</t>
  </si>
  <si>
    <t>9 11 10</t>
  </si>
  <si>
    <t>11 13 13</t>
  </si>
  <si>
    <t>8 10 9</t>
  </si>
  <si>
    <t>12 14 13</t>
  </si>
  <si>
    <t>12 14 14</t>
  </si>
  <si>
    <t>8 10 10</t>
  </si>
  <si>
    <t>10 10 10</t>
  </si>
  <si>
    <t>11 12 11</t>
  </si>
  <si>
    <t>13 15 14</t>
  </si>
  <si>
    <t>13 15 15</t>
  </si>
  <si>
    <t>Размеры припусков:</t>
  </si>
  <si>
    <t xml:space="preserve">низ, наружные </t>
  </si>
  <si>
    <t>Рез</t>
  </si>
  <si>
    <t>Модель нашить</t>
  </si>
  <si>
    <t>8-12</t>
  </si>
  <si>
    <t>1268.03.314</t>
  </si>
  <si>
    <t>1268.01.623</t>
  </si>
  <si>
    <t>Ø Внешн.</t>
  </si>
  <si>
    <t>Ø Внутр.</t>
  </si>
  <si>
    <t>плотность</t>
  </si>
  <si>
    <t>черная</t>
  </si>
  <si>
    <t>жидкая</t>
  </si>
  <si>
    <t>М/З</t>
  </si>
  <si>
    <t>технология</t>
  </si>
  <si>
    <t>Размеры в скобках чистовые.</t>
  </si>
  <si>
    <t>кол-во:</t>
  </si>
  <si>
    <t>стенка заготовки</t>
  </si>
  <si>
    <t>захват</t>
  </si>
  <si>
    <t>15 15 15</t>
  </si>
  <si>
    <t>20 20 20</t>
  </si>
  <si>
    <t>12 15 15</t>
  </si>
  <si>
    <t>14 17 17</t>
  </si>
  <si>
    <t>Посадка крышки кокиля</t>
  </si>
  <si>
    <t>102.53.745 - 144</t>
  </si>
  <si>
    <t>102.53.745 - 145</t>
  </si>
  <si>
    <t>102.53.745 - 146</t>
  </si>
  <si>
    <t>10 12 14</t>
  </si>
  <si>
    <t>12 14 17</t>
  </si>
  <si>
    <t>10 12 11</t>
  </si>
  <si>
    <t>Сброс:</t>
  </si>
  <si>
    <r>
      <t xml:space="preserve">Внутренний </t>
    </r>
    <r>
      <rPr>
        <sz val="11"/>
        <color theme="1"/>
        <rFont val="Calibri"/>
        <family val="2"/>
        <charset val="204"/>
      </rPr>
      <t>Ø</t>
    </r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</si>
  <si>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</rPr>
      <t xml:space="preserve"> Бурта</t>
    </r>
  </si>
  <si>
    <t>Ø Бочки</t>
  </si>
  <si>
    <r>
      <rPr>
        <sz val="12"/>
        <color rgb="FF000000"/>
        <rFont val="Calibri"/>
        <family val="2"/>
        <charset val="204"/>
      </rPr>
      <t>Ø</t>
    </r>
    <r>
      <rPr>
        <sz val="10.199999999999999"/>
        <color rgb="FF000000"/>
        <rFont val="Calibri"/>
        <family val="2"/>
        <charset val="204"/>
      </rPr>
      <t xml:space="preserve">  </t>
    </r>
    <r>
      <rPr>
        <sz val="12"/>
        <color rgb="FF000000"/>
        <rFont val="Calibri"/>
        <family val="2"/>
        <charset val="204"/>
        <scheme val="minor"/>
      </rPr>
      <t>310</t>
    </r>
  </si>
  <si>
    <t>Для БрО8С12 (21)</t>
  </si>
  <si>
    <t>Расход</t>
  </si>
  <si>
    <t>344386-003</t>
  </si>
  <si>
    <t>ЦТП 06.12826.00.00.000</t>
  </si>
  <si>
    <t>Заготовка вкладыша</t>
  </si>
  <si>
    <t>344296-003</t>
  </si>
  <si>
    <t>145х90х350</t>
  </si>
  <si>
    <t>Масса жидк.</t>
  </si>
  <si>
    <t>Жидкий</t>
  </si>
  <si>
    <t>Масса отл</t>
  </si>
  <si>
    <t>Деталь - Чертеж</t>
  </si>
  <si>
    <t>Количество деталей в заготовке = 16 шт.</t>
  </si>
  <si>
    <t xml:space="preserve">  1020.00.01 -  14 шт.</t>
  </si>
  <si>
    <t xml:space="preserve">  720.00.00.2017-01 - 2 шт.</t>
  </si>
  <si>
    <t xml:space="preserve">На схеме: </t>
  </si>
  <si>
    <t>Разрез между деталями 20мм.</t>
  </si>
  <si>
    <t>720.00.01 - 4шт.</t>
  </si>
  <si>
    <t>820.00.00 - 8шт.</t>
  </si>
  <si>
    <t>68х103х163 - 5шт.</t>
  </si>
  <si>
    <t>Количество деталей в заготовке = 17 шт.</t>
  </si>
  <si>
    <t>отношения масс в планке</t>
  </si>
  <si>
    <t>масса дет</t>
  </si>
  <si>
    <t>Высота H</t>
  </si>
  <si>
    <t>Высота h</t>
  </si>
  <si>
    <t>Заливка без прибыли</t>
  </si>
  <si>
    <t>&lt;50</t>
  </si>
  <si>
    <t>1080-1120</t>
  </si>
  <si>
    <t>1100-1130</t>
  </si>
  <si>
    <t>1120-1180</t>
  </si>
  <si>
    <t>950-1050</t>
  </si>
  <si>
    <t>950-1060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</si>
  <si>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>310</t>
    </r>
  </si>
  <si>
    <r>
      <t>Ø</t>
    </r>
    <r>
      <rPr>
        <sz val="9.35"/>
        <color rgb="FF000000"/>
        <rFont val="Calibri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>445</t>
    </r>
  </si>
  <si>
    <t>1035х195х125</t>
  </si>
  <si>
    <t>без реза</t>
  </si>
  <si>
    <t>Ø 1090</t>
  </si>
  <si>
    <t>* При заливке предусмотреть запас металла 200кг.</t>
  </si>
  <si>
    <t>"ПЯТА"</t>
  </si>
  <si>
    <t>344351-Бр-003</t>
  </si>
  <si>
    <t>ХХХХХХХХХХХХХХХХХХХХХХХХХХХХХХХХХХХХХХХХХХХХХХХХХХ</t>
  </si>
  <si>
    <t>150</t>
  </si>
  <si>
    <r>
      <rPr>
        <sz val="10"/>
        <color rgb="FF000000"/>
        <rFont val="Calibri"/>
        <family val="2"/>
        <charset val="204"/>
      </rPr>
      <t>Ø</t>
    </r>
    <r>
      <rPr>
        <i/>
        <sz val="7"/>
        <color rgb="FF000000"/>
        <rFont val="Arial"/>
        <family val="2"/>
        <charset val="204"/>
      </rPr>
      <t xml:space="preserve"> </t>
    </r>
    <r>
      <rPr>
        <i/>
        <sz val="10"/>
        <color rgb="FF000000"/>
        <rFont val="Arial"/>
        <family val="2"/>
        <charset val="204"/>
      </rPr>
      <t>отл. Или длина шлаковика</t>
    </r>
  </si>
  <si>
    <t>Вручную</t>
  </si>
  <si>
    <t>норма на форму=Жидкий вес / коэф. на форму / кол-во дет.</t>
  </si>
  <si>
    <t xml:space="preserve">Коэффициент </t>
  </si>
  <si>
    <t>средний</t>
  </si>
  <si>
    <t>Архив технологий</t>
  </si>
  <si>
    <t>L12</t>
  </si>
  <si>
    <t>Толщина             L12</t>
  </si>
  <si>
    <t>344387-003</t>
  </si>
  <si>
    <t>07.03.1069.1149.06</t>
  </si>
  <si>
    <t>Пластина</t>
  </si>
  <si>
    <t>6</t>
  </si>
  <si>
    <t>( 95,5 )</t>
  </si>
  <si>
    <t>( 320 )</t>
  </si>
  <si>
    <t>п.п.№</t>
  </si>
  <si>
    <t>Пята</t>
  </si>
  <si>
    <t>Деталь</t>
  </si>
  <si>
    <t>( 9,5 )</t>
  </si>
  <si>
    <r>
      <t xml:space="preserve">Ø </t>
    </r>
    <r>
      <rPr>
        <sz val="11"/>
        <color rgb="FF000000"/>
        <rFont val="Calibri"/>
        <family val="2"/>
        <charset val="1"/>
      </rPr>
      <t>Бурт</t>
    </r>
  </si>
  <si>
    <r>
      <t xml:space="preserve">Ø </t>
    </r>
    <r>
      <rPr>
        <sz val="11"/>
        <color rgb="FF000000"/>
        <rFont val="Calibri"/>
        <family val="2"/>
        <charset val="1"/>
      </rPr>
      <t>Бочка</t>
    </r>
  </si>
  <si>
    <t>Дл. Заготовки</t>
  </si>
  <si>
    <t>дл. детали</t>
  </si>
  <si>
    <t>кол-во дет.</t>
  </si>
  <si>
    <t>рез.</t>
  </si>
  <si>
    <t>ПТЦ</t>
  </si>
  <si>
    <t>кол-во</t>
  </si>
  <si>
    <t>Технические указания:</t>
  </si>
  <si>
    <t>Стержень:</t>
  </si>
  <si>
    <t>Наружний диаметр Д1</t>
  </si>
  <si>
    <t>Внутренний диаметр Д2</t>
  </si>
  <si>
    <t>Наружний диаметр Д3</t>
  </si>
  <si>
    <t>Внутренний диаметр Д4</t>
  </si>
  <si>
    <t>1268.04.613</t>
  </si>
  <si>
    <t>344417-003</t>
  </si>
  <si>
    <t>Заготовка</t>
  </si>
  <si>
    <r>
      <rPr>
        <sz val="11"/>
        <color rgb="FF000000"/>
        <rFont val="Calibri"/>
        <family val="2"/>
        <charset val="204"/>
      </rPr>
      <t>Ø</t>
    </r>
    <r>
      <rPr>
        <sz val="7.7"/>
        <color rgb="FF000000"/>
        <rFont val="Calibri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>1100</t>
    </r>
  </si>
  <si>
    <t>Ø 1410</t>
  </si>
  <si>
    <t>Ø 1180</t>
  </si>
  <si>
    <t>Ø 2070</t>
  </si>
  <si>
    <t>Ø 1998</t>
  </si>
  <si>
    <t>320</t>
  </si>
  <si>
    <t>Предусмотреть запас 250 кг.</t>
  </si>
  <si>
    <t>102.41.797 Альбом № 9</t>
  </si>
  <si>
    <t>( 2000 )</t>
  </si>
  <si>
    <t>( 2020 )</t>
  </si>
  <si>
    <t>( 1190 )</t>
  </si>
  <si>
    <t>( 340 )</t>
  </si>
  <si>
    <t>Страница 1 из 4</t>
  </si>
  <si>
    <t>Толщина стенки</t>
  </si>
  <si>
    <t>Ø пос. мм</t>
  </si>
  <si>
    <t>Внутр.Ø (низ), мм</t>
  </si>
  <si>
    <t>Внутр.Ø (верх), мм</t>
  </si>
  <si>
    <t>Внутр.Ø (средн.), мм</t>
  </si>
  <si>
    <t>200 ÷ 315</t>
  </si>
  <si>
    <t>250 ÷ 400</t>
  </si>
  <si>
    <t>350 ÷ 470</t>
  </si>
  <si>
    <t>430 ÷ 570</t>
  </si>
  <si>
    <t>620 ÷ 760</t>
  </si>
  <si>
    <t>805 ÷ 925</t>
  </si>
  <si>
    <t>Длина заготовки:</t>
  </si>
  <si>
    <t>длина детали</t>
  </si>
  <si>
    <t>количество</t>
  </si>
  <si>
    <t>ширина реза</t>
  </si>
  <si>
    <t>максимальный рез  12 мм.</t>
  </si>
  <si>
    <t>кол-во резов</t>
  </si>
  <si>
    <t>344442-004</t>
  </si>
  <si>
    <t>Проточка:</t>
  </si>
  <si>
    <t>344149-002</t>
  </si>
  <si>
    <t>960/910х780х100/1150</t>
  </si>
  <si>
    <t>Размеры: 960/910х780х100/1150</t>
  </si>
  <si>
    <t>Стержневой ящик:</t>
  </si>
  <si>
    <t>Ø 760, H = 1590</t>
  </si>
  <si>
    <t>11077.28.158</t>
  </si>
  <si>
    <t>4</t>
  </si>
  <si>
    <t>(900 для модели)*</t>
  </si>
  <si>
    <t>(одна щель</t>
  </si>
  <si>
    <t>Сухарь</t>
  </si>
  <si>
    <t>1255.05.310</t>
  </si>
  <si>
    <t>Ø 710*570</t>
  </si>
  <si>
    <t>Высота надставки,  мм</t>
  </si>
  <si>
    <t>диам нар</t>
  </si>
  <si>
    <t>вес кокиля</t>
  </si>
  <si>
    <t>Кол-во</t>
  </si>
  <si>
    <t>Д1</t>
  </si>
  <si>
    <t>Д2</t>
  </si>
  <si>
    <t>Н</t>
  </si>
  <si>
    <t>Д. Пос</t>
  </si>
  <si>
    <t>Примечания</t>
  </si>
  <si>
    <t>заливать:</t>
  </si>
  <si>
    <t>Стационарные болваны</t>
  </si>
  <si>
    <t>Прямые втулки</t>
  </si>
  <si>
    <t>Буртовые втулки</t>
  </si>
  <si>
    <t xml:space="preserve"> /</t>
  </si>
  <si>
    <r>
      <t xml:space="preserve">Вкладыши МОП 4-4-17 </t>
    </r>
    <r>
      <rPr>
        <b/>
        <sz val="11"/>
        <color rgb="FF000000"/>
        <rFont val="Calibri"/>
        <family val="2"/>
        <charset val="204"/>
      </rPr>
      <t>Инструкция 250010.00001</t>
    </r>
    <r>
      <rPr>
        <sz val="11"/>
        <color theme="1"/>
        <rFont val="Calibri"/>
        <family val="2"/>
        <charset val="204"/>
        <scheme val="minor"/>
      </rPr>
      <t/>
    </r>
  </si>
  <si>
    <t>344480-004</t>
  </si>
  <si>
    <t>2701.35.09-1</t>
  </si>
  <si>
    <t>БрАЖ9-4</t>
  </si>
  <si>
    <t>6-12 четн.</t>
  </si>
  <si>
    <t>Ф 277-002</t>
  </si>
  <si>
    <t>344490-004</t>
  </si>
  <si>
    <t>1239.02.403</t>
  </si>
  <si>
    <t>344498-004</t>
  </si>
  <si>
    <t>Ø 559</t>
  </si>
  <si>
    <t>( 546 )</t>
  </si>
  <si>
    <t>Ø 460</t>
  </si>
  <si>
    <t>( 490 )</t>
  </si>
  <si>
    <t>( 336 ) ( 141 )</t>
  </si>
  <si>
    <t>Наименование операции</t>
  </si>
  <si>
    <t>Вид нормы</t>
  </si>
  <si>
    <t>Размеры модели:</t>
  </si>
  <si>
    <t>(по внутреннему диаметру 0,6%)</t>
  </si>
  <si>
    <t>Нормировщик</t>
  </si>
  <si>
    <t>344501-004</t>
  </si>
  <si>
    <t>21х315х645</t>
  </si>
  <si>
    <t>Заготовка планки</t>
  </si>
  <si>
    <t>8</t>
  </si>
  <si>
    <t>&gt;=50</t>
  </si>
  <si>
    <t>Ф277-007</t>
  </si>
  <si>
    <t>Ф277-003</t>
  </si>
  <si>
    <t>Ф277-005</t>
  </si>
  <si>
    <t>Ф277-006</t>
  </si>
  <si>
    <t>Ф277-009</t>
  </si>
  <si>
    <t>Ф277-010</t>
  </si>
  <si>
    <t>344502-004</t>
  </si>
  <si>
    <t>8 шт.</t>
  </si>
  <si>
    <t>Бандаж, Кольцо</t>
  </si>
  <si>
    <t>Высота бандажа:</t>
  </si>
  <si>
    <t>Высота кольца:</t>
  </si>
  <si>
    <t>344503-004</t>
  </si>
  <si>
    <t>170х60х200</t>
  </si>
  <si>
    <t>5</t>
  </si>
  <si>
    <t>угол 60 гр.</t>
  </si>
  <si>
    <t>катеты = вн.диам+1/2 ширины обода</t>
  </si>
  <si>
    <t>Для вычислений</t>
  </si>
  <si>
    <t xml:space="preserve"> + толкатель, усадка</t>
  </si>
  <si>
    <t>&lt;35==6</t>
  </si>
  <si>
    <t>35-60 == 8</t>
  </si>
  <si>
    <t xml:space="preserve">61-100 ==10 </t>
  </si>
  <si>
    <t>&gt;100==12</t>
  </si>
  <si>
    <t>102.53.745 - 136</t>
  </si>
  <si>
    <t>для простых втулок</t>
  </si>
  <si>
    <t>для средних втулок</t>
  </si>
  <si>
    <t>для сложных втулок</t>
  </si>
  <si>
    <t>2,3+…</t>
  </si>
  <si>
    <t>3,3+…</t>
  </si>
  <si>
    <t>1,3+6,5*(КОРЕНЬ(жидк. вес))/60</t>
  </si>
  <si>
    <t>3,9+7,9</t>
  </si>
  <si>
    <t>6,1+9,9</t>
  </si>
  <si>
    <t>2,3+5,1</t>
  </si>
  <si>
    <t>норма на стержень= вес стержня /1000 * 3,5 / кол-во дет.</t>
  </si>
  <si>
    <t>363010-012</t>
  </si>
  <si>
    <t>РЧЗ 2301.17.718</t>
  </si>
  <si>
    <t>Заготовка втулки</t>
  </si>
  <si>
    <t>ср. диам</t>
  </si>
  <si>
    <t>Форм.уклон</t>
  </si>
  <si>
    <t>прип.мех.обр</t>
  </si>
  <si>
    <t>ср.диам</t>
  </si>
  <si>
    <t>уклон</t>
  </si>
  <si>
    <t>Температера металла</t>
  </si>
  <si>
    <t xml:space="preserve"> °C</t>
  </si>
  <si>
    <t>Наименов.</t>
  </si>
  <si>
    <t>работы</t>
  </si>
  <si>
    <t>на 1 деталь(н/ч)</t>
  </si>
  <si>
    <t xml:space="preserve">Формовка, </t>
  </si>
  <si>
    <t>сборка</t>
  </si>
  <si>
    <t xml:space="preserve">Формовка </t>
  </si>
  <si>
    <t>Столбики</t>
  </si>
  <si>
    <t>1=+20</t>
  </si>
  <si>
    <t>2=+40</t>
  </si>
  <si>
    <t>3=+60</t>
  </si>
  <si>
    <t>Высота болвана</t>
  </si>
  <si>
    <t>Толщина стенки отливки</t>
  </si>
  <si>
    <t>Диаметр надставки № 20, мм</t>
  </si>
  <si>
    <t xml:space="preserve">     1:5</t>
  </si>
  <si>
    <t>344559-004</t>
  </si>
  <si>
    <t>340х260х450</t>
  </si>
  <si>
    <t xml:space="preserve">Половина </t>
  </si>
  <si>
    <t>1/2 прибыли</t>
  </si>
  <si>
    <t>344560-004</t>
  </si>
  <si>
    <t>1239.02.402</t>
  </si>
  <si>
    <t>Втулка передняя</t>
  </si>
  <si>
    <t xml:space="preserve"> / </t>
  </si>
  <si>
    <t>Втулка задняя</t>
  </si>
  <si>
    <t>344568-004</t>
  </si>
  <si>
    <t>ср шир планки</t>
  </si>
  <si>
    <t>6х60х600</t>
  </si>
  <si>
    <t>Планка</t>
  </si>
  <si>
    <t>344569-004</t>
  </si>
  <si>
    <t>84х85х105</t>
  </si>
  <si>
    <t>кол-во в отливке</t>
  </si>
  <si>
    <t>344575-005</t>
  </si>
  <si>
    <t>ООО "СибПромДеталь"</t>
  </si>
  <si>
    <t>600х500х250</t>
  </si>
  <si>
    <t>17 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</si>
</sst>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\ _₽_-;\-* #,##0.00\ _₽_-;_-* &quot;-&quot;??\ _₽_-;_-@_-"/>
    <numFmt numFmtId="164" formatCode="0.0"/>
    <numFmt numFmtId="165" formatCode="&quot;ИСТИНА&quot;;&quot;ИСТИНА&quot;;&quot;ЛОЖЬ&quot;"/>
    <numFmt numFmtId="166" formatCode="_-* #,##0\ _₽_-;\-* #,##0\ _₽_-;_-* &quot;-&quot;??\ _₽_-;_-@_-"/>
    <numFmt numFmtId="167" formatCode="0.000"/>
    <numFmt numFmtId="168" formatCode="0.0000"/>
  </numFmts>
  <fonts count="132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2"/>
      <color rgb="FF000000"/>
      <name val="Calibri"/>
      <family val="2"/>
      <charset val="204"/>
    </font>
    <font>
      <sz val="12"/>
      <name val="Calibri"/>
      <family val="2"/>
      <charset val="204"/>
    </font>
    <font>
      <sz val="10"/>
      <color rgb="FF000000"/>
      <name val="Calibri"/>
      <family val="2"/>
      <charset val="1"/>
    </font>
    <font>
      <b/>
      <sz val="12"/>
      <color rgb="FF000000"/>
      <name val="Calibri"/>
      <family val="2"/>
      <charset val="204"/>
    </font>
    <font>
      <sz val="11"/>
      <color rgb="FFFF0000"/>
      <name val="Calibri"/>
      <family val="2"/>
      <charset val="1"/>
    </font>
    <font>
      <b/>
      <sz val="11"/>
      <color rgb="FF000000"/>
      <name val="Arial"/>
      <family val="2"/>
      <charset val="204"/>
    </font>
    <font>
      <b/>
      <sz val="9"/>
      <name val="Arial"/>
      <family val="2"/>
      <charset val="204"/>
    </font>
    <font>
      <sz val="10"/>
      <name val="Arial Cyr"/>
      <charset val="204"/>
    </font>
    <font>
      <sz val="9"/>
      <color rgb="FF000000"/>
      <name val="Calibri"/>
      <family val="2"/>
      <charset val="1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sz val="12"/>
      <color rgb="FFFF0000"/>
      <name val="Calibri"/>
      <family val="2"/>
      <charset val="1"/>
    </font>
    <font>
      <sz val="12"/>
      <color rgb="FF558ED5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3F3F3F"/>
      <name val="Calibri"/>
      <family val="2"/>
      <charset val="204"/>
    </font>
    <font>
      <sz val="14"/>
      <color rgb="FF000000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FF0000"/>
      <name val="Calibri"/>
      <family val="2"/>
      <charset val="204"/>
    </font>
    <font>
      <b/>
      <sz val="12"/>
      <color rgb="FFFF0000"/>
      <name val="Calibri"/>
      <family val="2"/>
      <charset val="204"/>
    </font>
    <font>
      <sz val="11"/>
      <color rgb="FF000000"/>
      <name val="Calibri"/>
      <family val="2"/>
      <charset val="204"/>
    </font>
    <font>
      <sz val="12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1"/>
    </font>
    <font>
      <b/>
      <sz val="12"/>
      <color rgb="FF000000"/>
      <name val="Arial"/>
      <family val="2"/>
      <charset val="204"/>
    </font>
    <font>
      <sz val="8"/>
      <name val="Calibri"/>
      <family val="2"/>
      <charset val="204"/>
    </font>
    <font>
      <sz val="9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u/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204"/>
    </font>
    <font>
      <sz val="11"/>
      <name val="Calibri"/>
      <family val="2"/>
    </font>
    <font>
      <sz val="9.35"/>
      <color rgb="FF000000"/>
      <name val="Calibri"/>
      <family val="2"/>
      <charset val="1"/>
    </font>
    <font>
      <sz val="12"/>
      <name val="Calibri"/>
      <family val="2"/>
      <charset val="1"/>
    </font>
    <font>
      <sz val="11"/>
      <color theme="1"/>
      <name val="Calibri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1"/>
      <name val="Calibri"/>
      <family val="2"/>
      <charset val="204"/>
    </font>
    <font>
      <b/>
      <sz val="11"/>
      <color rgb="FF3F3F3F"/>
      <name val="Arial"/>
      <family val="2"/>
      <charset val="204"/>
    </font>
    <font>
      <sz val="12"/>
      <color rgb="FF000000"/>
      <name val="Arial"/>
      <family val="2"/>
      <charset val="204"/>
    </font>
    <font>
      <sz val="11"/>
      <color rgb="FFFF0000"/>
      <name val="Arial"/>
      <family val="2"/>
      <charset val="204"/>
    </font>
    <font>
      <b/>
      <sz val="10"/>
      <color rgb="FF000000"/>
      <name val="Arial"/>
      <family val="2"/>
      <charset val="204"/>
    </font>
    <font>
      <i/>
      <sz val="10"/>
      <color rgb="FF000000"/>
      <name val="Arial"/>
      <family val="2"/>
      <charset val="204"/>
    </font>
    <font>
      <b/>
      <sz val="12"/>
      <name val="Arial"/>
      <family val="2"/>
      <charset val="204"/>
    </font>
    <font>
      <i/>
      <sz val="9"/>
      <color rgb="FF000000"/>
      <name val="Arial"/>
      <family val="2"/>
      <charset val="204"/>
    </font>
    <font>
      <i/>
      <sz val="11"/>
      <color rgb="FF000000"/>
      <name val="Arial"/>
      <family val="2"/>
      <charset val="204"/>
    </font>
    <font>
      <b/>
      <sz val="12"/>
      <color rgb="FFFF0000"/>
      <name val="Arial"/>
      <family val="2"/>
      <charset val="204"/>
    </font>
    <font>
      <b/>
      <sz val="14"/>
      <color rgb="FF000000"/>
      <name val="Arial"/>
      <family val="2"/>
      <charset val="204"/>
    </font>
    <font>
      <sz val="11"/>
      <color rgb="FF000000"/>
      <name val="Calibri"/>
      <family val="2"/>
    </font>
    <font>
      <sz val="8"/>
      <color rgb="FF000000"/>
      <name val="Arial"/>
      <family val="2"/>
      <charset val="204"/>
    </font>
    <font>
      <sz val="9.35"/>
      <color rgb="FF000000"/>
      <name val="Arial"/>
      <family val="2"/>
      <charset val="204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206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color theme="9"/>
      <name val="Arial"/>
      <family val="2"/>
      <charset val="204"/>
    </font>
    <font>
      <sz val="10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</font>
    <font>
      <u/>
      <sz val="11"/>
      <color theme="10"/>
      <name val="Calibri"/>
      <family val="2"/>
      <charset val="1"/>
    </font>
    <font>
      <b/>
      <sz val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FF0000"/>
      <name val="Arial"/>
      <family val="2"/>
      <charset val="204"/>
    </font>
    <font>
      <sz val="10"/>
      <color rgb="FF7030A0"/>
      <name val="Arial"/>
      <family val="2"/>
      <charset val="204"/>
    </font>
    <font>
      <i/>
      <sz val="11"/>
      <name val="Calibri"/>
      <family val="2"/>
      <charset val="204"/>
      <scheme val="minor"/>
    </font>
    <font>
      <b/>
      <sz val="9"/>
      <color theme="1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u/>
      <sz val="12"/>
      <color theme="10"/>
      <name val="Calibri"/>
      <family val="2"/>
      <charset val="204"/>
    </font>
    <font>
      <sz val="7.5"/>
      <color rgb="FF7030A0"/>
      <name val="Calibri"/>
      <family val="2"/>
      <scheme val="minor"/>
    </font>
    <font>
      <b/>
      <i/>
      <sz val="12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charset val="204"/>
    </font>
    <font>
      <sz val="12"/>
      <color theme="1"/>
      <name val="Arial Cyr"/>
      <charset val="204"/>
    </font>
    <font>
      <sz val="9"/>
      <color rgb="FFFF0000"/>
      <name val="Arial"/>
      <family val="2"/>
      <charset val="204"/>
    </font>
    <font>
      <b/>
      <sz val="12"/>
      <color rgb="FF00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rgb="FF7030A0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b/>
      <i/>
      <u/>
      <sz val="14"/>
      <color theme="1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b/>
      <i/>
      <u/>
      <sz val="12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sz val="8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</font>
    <font>
      <sz val="8"/>
      <color theme="1"/>
      <name val="Calibri"/>
      <family val="2"/>
      <charset val="204"/>
    </font>
    <font>
      <b/>
      <sz val="12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1"/>
    </font>
    <font>
      <b/>
      <sz val="11"/>
      <color rgb="FF0070C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4"/>
      <color theme="10"/>
      <name val="Calibri"/>
      <family val="2"/>
      <charset val="204"/>
    </font>
    <font>
      <sz val="8"/>
      <color rgb="FF000000"/>
      <name val="Segoe UI"/>
      <family val="2"/>
      <charset val="204"/>
    </font>
    <font>
      <b/>
      <sz val="12"/>
      <color theme="4"/>
      <name val="Calibri"/>
      <family val="2"/>
      <charset val="204"/>
      <scheme val="minor"/>
    </font>
    <font>
      <b/>
      <i/>
      <sz val="12"/>
      <color rgb="FF000000"/>
      <name val="Calibri"/>
      <family val="2"/>
      <charset val="204"/>
      <scheme val="minor"/>
    </font>
    <font>
      <u/>
      <sz val="12"/>
      <color rgb="FF000000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sz val="12"/>
      <color rgb="FF3F3F3F"/>
      <name val="Calibri"/>
      <family val="2"/>
      <charset val="204"/>
      <scheme val="minor"/>
    </font>
    <font>
      <sz val="11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1"/>
    </font>
    <font>
      <sz val="11"/>
      <color theme="1"/>
      <name val="Calibri"/>
      <family val="2"/>
    </font>
    <font>
      <sz val="10.199999999999999"/>
      <color rgb="FF000000"/>
      <name val="Calibri"/>
      <family val="2"/>
      <charset val="204"/>
    </font>
    <font>
      <sz val="7.5"/>
      <name val="Calibri"/>
      <family val="2"/>
      <scheme val="minor"/>
    </font>
    <font>
      <b/>
      <u/>
      <sz val="12"/>
      <color rgb="FFFF2929"/>
      <name val="Calibri"/>
      <family val="2"/>
      <charset val="204"/>
    </font>
    <font>
      <sz val="12"/>
      <color rgb="FF000000"/>
      <name val="Calibri"/>
      <family val="2"/>
    </font>
    <font>
      <b/>
      <sz val="16"/>
      <color rgb="FF000000"/>
      <name val="Calibri"/>
      <family val="2"/>
      <charset val="204"/>
    </font>
    <font>
      <sz val="10"/>
      <color rgb="FF000000"/>
      <name val="Calibri"/>
      <family val="2"/>
      <charset val="204"/>
    </font>
    <font>
      <i/>
      <sz val="7"/>
      <color rgb="FF000000"/>
      <name val="Arial"/>
      <family val="2"/>
      <charset val="204"/>
    </font>
    <font>
      <b/>
      <u val="double"/>
      <sz val="12"/>
      <color rgb="FF7030A0"/>
      <name val="Calibri"/>
      <family val="2"/>
      <charset val="204"/>
    </font>
    <font>
      <sz val="7.7"/>
      <color rgb="FF000000"/>
      <name val="Calibri"/>
      <family val="2"/>
      <charset val="1"/>
    </font>
    <font>
      <b/>
      <u/>
      <sz val="11"/>
      <color rgb="FF000000"/>
      <name val="Calibri"/>
      <family val="2"/>
      <charset val="204"/>
    </font>
    <font>
      <sz val="11"/>
      <color rgb="FFFF0000"/>
      <name val="Calibri"/>
      <family val="2"/>
    </font>
    <font>
      <b/>
      <sz val="12"/>
      <color rgb="FFFF0000"/>
      <name val="Calibri"/>
      <family val="2"/>
    </font>
    <font>
      <b/>
      <sz val="12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rgb="FFF2F2F2"/>
        <bgColor rgb="FFFDEADA"/>
      </patternFill>
    </fill>
    <fill>
      <patternFill patternType="solid">
        <fgColor rgb="FFFDEADA"/>
        <bgColor rgb="FFF2F2F2"/>
      </patternFill>
    </fill>
    <fill>
      <patternFill patternType="solid">
        <fgColor rgb="FFFCD5B5"/>
        <bgColor rgb="FFFDEADA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rgb="FFF2F2F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rgb="FFF2F2F2"/>
      </patternFill>
    </fill>
    <fill>
      <patternFill patternType="solid">
        <fgColor theme="0" tint="-0.14999847407452621"/>
        <bgColor rgb="FFFDEADA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rgb="FFFDEADA"/>
      </patternFill>
    </fill>
    <fill>
      <patternFill patternType="solid">
        <fgColor rgb="FFF3FCC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</fills>
  <borders count="78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 style="medium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3" fillId="2" borderId="1" applyProtection="0"/>
    <xf numFmtId="0" fontId="71" fillId="0" borderId="0" applyNumberFormat="0" applyFill="0" applyBorder="0" applyAlignment="0" applyProtection="0"/>
    <xf numFmtId="43" fontId="93" fillId="0" borderId="0" applyFont="0" applyFill="0" applyBorder="0" applyAlignment="0" applyProtection="0"/>
  </cellStyleXfs>
  <cellXfs count="1735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Font="1" applyBorder="1"/>
    <xf numFmtId="0" fontId="0" fillId="0" borderId="7" xfId="0" applyBorder="1"/>
    <xf numFmtId="0" fontId="0" fillId="0" borderId="8" xfId="0" applyFont="1" applyBorder="1"/>
    <xf numFmtId="0" fontId="7" fillId="0" borderId="8" xfId="0" applyFont="1" applyBorder="1"/>
    <xf numFmtId="0" fontId="8" fillId="0" borderId="8" xfId="0" applyFont="1" applyBorder="1" applyAlignment="1">
      <alignment horizontal="right"/>
    </xf>
    <xf numFmtId="0" fontId="8" fillId="0" borderId="9" xfId="0" applyFont="1" applyBorder="1"/>
    <xf numFmtId="0" fontId="11" fillId="0" borderId="0" xfId="0" applyFont="1" applyBorder="1"/>
    <xf numFmtId="0" fontId="0" fillId="0" borderId="12" xfId="0" applyBorder="1"/>
    <xf numFmtId="0" fontId="7" fillId="0" borderId="0" xfId="0" applyFont="1" applyBorder="1"/>
    <xf numFmtId="0" fontId="0" fillId="0" borderId="15" xfId="0" applyBorder="1"/>
    <xf numFmtId="0" fontId="0" fillId="0" borderId="9" xfId="0" applyBorder="1"/>
    <xf numFmtId="0" fontId="7" fillId="0" borderId="0" xfId="0" applyFont="1" applyBorder="1" applyAlignment="1">
      <alignment horizontal="left"/>
    </xf>
    <xf numFmtId="2" fontId="0" fillId="0" borderId="12" xfId="0" applyNumberFormat="1" applyBorder="1" applyAlignment="1">
      <alignment horizontal="center"/>
    </xf>
    <xf numFmtId="16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18" xfId="0" applyBorder="1"/>
    <xf numFmtId="0" fontId="0" fillId="0" borderId="19" xfId="0" applyFont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center"/>
    </xf>
    <xf numFmtId="49" fontId="0" fillId="0" borderId="0" xfId="0" applyNumberFormat="1" applyBorder="1"/>
    <xf numFmtId="49" fontId="0" fillId="0" borderId="12" xfId="0" applyNumberFormat="1" applyBorder="1"/>
    <xf numFmtId="0" fontId="0" fillId="0" borderId="0" xfId="0" applyBorder="1" applyAlignment="1">
      <alignment horizontal="center"/>
    </xf>
    <xf numFmtId="0" fontId="15" fillId="0" borderId="0" xfId="0" applyFont="1" applyBorder="1" applyAlignment="1">
      <alignment horizontal="right"/>
    </xf>
    <xf numFmtId="49" fontId="15" fillId="0" borderId="12" xfId="0" applyNumberFormat="1" applyFont="1" applyBorder="1"/>
    <xf numFmtId="1" fontId="15" fillId="0" borderId="0" xfId="0" applyNumberFormat="1" applyFont="1" applyBorder="1" applyAlignment="1">
      <alignment horizontal="right"/>
    </xf>
    <xf numFmtId="49" fontId="15" fillId="0" borderId="0" xfId="0" applyNumberFormat="1" applyFont="1" applyBorder="1" applyAlignment="1">
      <alignment horizontal="right"/>
    </xf>
    <xf numFmtId="49" fontId="15" fillId="0" borderId="0" xfId="0" applyNumberFormat="1" applyFont="1" applyBorder="1" applyAlignment="1">
      <alignment horizontal="left"/>
    </xf>
    <xf numFmtId="0" fontId="15" fillId="0" borderId="0" xfId="0" applyFont="1" applyBorder="1"/>
    <xf numFmtId="0" fontId="15" fillId="0" borderId="0" xfId="0" applyFont="1" applyBorder="1" applyAlignment="1">
      <alignment horizontal="left"/>
    </xf>
    <xf numFmtId="1" fontId="15" fillId="0" borderId="0" xfId="0" applyNumberFormat="1" applyFont="1" applyBorder="1" applyAlignment="1">
      <alignment horizontal="center"/>
    </xf>
    <xf numFmtId="1" fontId="15" fillId="0" borderId="0" xfId="0" applyNumberFormat="1" applyFont="1" applyBorder="1"/>
    <xf numFmtId="0" fontId="16" fillId="0" borderId="0" xfId="0" applyFont="1" applyBorder="1" applyAlignment="1">
      <alignment horizontal="right"/>
    </xf>
    <xf numFmtId="0" fontId="17" fillId="0" borderId="0" xfId="0" applyFont="1" applyBorder="1"/>
    <xf numFmtId="0" fontId="0" fillId="0" borderId="9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20" xfId="0" applyBorder="1"/>
    <xf numFmtId="0" fontId="19" fillId="0" borderId="3" xfId="0" applyFont="1" applyBorder="1"/>
    <xf numFmtId="0" fontId="20" fillId="3" borderId="5" xfId="0" applyFont="1" applyFill="1" applyBorder="1"/>
    <xf numFmtId="0" fontId="0" fillId="0" borderId="0" xfId="0"/>
    <xf numFmtId="0" fontId="0" fillId="0" borderId="0" xfId="0" applyAlignment="1">
      <alignment horizontal="right"/>
    </xf>
    <xf numFmtId="0" fontId="0" fillId="0" borderId="8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21" fillId="3" borderId="5" xfId="0" applyFont="1" applyFill="1" applyBorder="1"/>
    <xf numFmtId="0" fontId="0" fillId="0" borderId="0" xfId="0" applyFont="1" applyBorder="1" applyAlignment="1" applyProtection="1">
      <alignment horizontal="left"/>
      <protection locked="0"/>
    </xf>
    <xf numFmtId="0" fontId="20" fillId="0" borderId="0" xfId="0" applyFont="1"/>
    <xf numFmtId="0" fontId="22" fillId="0" borderId="0" xfId="0" applyFont="1"/>
    <xf numFmtId="0" fontId="22" fillId="0" borderId="5" xfId="0" applyFont="1" applyBorder="1"/>
    <xf numFmtId="49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0" fillId="0" borderId="0" xfId="0" applyFont="1" applyBorder="1"/>
    <xf numFmtId="0" fontId="25" fillId="0" borderId="0" xfId="0" applyFont="1"/>
    <xf numFmtId="0" fontId="25" fillId="0" borderId="5" xfId="0" applyFont="1" applyBorder="1"/>
    <xf numFmtId="0" fontId="0" fillId="0" borderId="5" xfId="0" applyBorder="1"/>
    <xf numFmtId="0" fontId="0" fillId="0" borderId="0" xfId="0" applyBorder="1"/>
    <xf numFmtId="0" fontId="0" fillId="0" borderId="0" xfId="0" applyFill="1" applyBorder="1"/>
    <xf numFmtId="0" fontId="0" fillId="0" borderId="14" xfId="0" applyBorder="1"/>
    <xf numFmtId="0" fontId="0" fillId="5" borderId="0" xfId="0" applyFill="1"/>
    <xf numFmtId="0" fontId="0" fillId="0" borderId="0" xfId="0" applyAlignment="1">
      <alignment horizontal="center"/>
    </xf>
    <xf numFmtId="0" fontId="25" fillId="0" borderId="22" xfId="0" applyFont="1" applyBorder="1" applyAlignment="1">
      <alignment horizontal="right"/>
    </xf>
    <xf numFmtId="0" fontId="0" fillId="0" borderId="19" xfId="0" applyBorder="1"/>
    <xf numFmtId="0" fontId="25" fillId="3" borderId="5" xfId="0" applyFont="1" applyFill="1" applyBorder="1"/>
    <xf numFmtId="0" fontId="25" fillId="0" borderId="22" xfId="0" applyFont="1" applyBorder="1"/>
    <xf numFmtId="0" fontId="25" fillId="3" borderId="13" xfId="0" applyFont="1" applyFill="1" applyBorder="1"/>
    <xf numFmtId="0" fontId="25" fillId="0" borderId="23" xfId="0" applyFont="1" applyBorder="1"/>
    <xf numFmtId="0" fontId="0" fillId="0" borderId="17" xfId="0" applyBorder="1"/>
    <xf numFmtId="0" fontId="0" fillId="0" borderId="8" xfId="0" applyBorder="1"/>
    <xf numFmtId="0" fontId="24" fillId="0" borderId="7" xfId="0" applyFont="1" applyBorder="1" applyAlignment="1">
      <alignment horizontal="left" vertical="top" wrapText="1"/>
    </xf>
    <xf numFmtId="0" fontId="24" fillId="0" borderId="0" xfId="0" applyFont="1" applyBorder="1" applyAlignment="1">
      <alignment horizontal="left" vertical="top" wrapText="1"/>
    </xf>
    <xf numFmtId="0" fontId="24" fillId="6" borderId="0" xfId="0" applyFont="1" applyFill="1" applyBorder="1" applyAlignment="1">
      <alignment horizontal="left" vertical="top" wrapText="1"/>
    </xf>
    <xf numFmtId="0" fontId="24" fillId="0" borderId="12" xfId="0" applyFont="1" applyBorder="1"/>
    <xf numFmtId="49" fontId="0" fillId="0" borderId="20" xfId="0" applyNumberFormat="1" applyBorder="1"/>
    <xf numFmtId="0" fontId="0" fillId="0" borderId="18" xfId="0" applyBorder="1" applyAlignment="1">
      <alignment horizontal="right"/>
    </xf>
    <xf numFmtId="0" fontId="0" fillId="0" borderId="6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19" xfId="0" applyNumberFormat="1" applyBorder="1" applyAlignment="1">
      <alignment horizontal="left"/>
    </xf>
    <xf numFmtId="0" fontId="6" fillId="0" borderId="0" xfId="0" applyFont="1" applyBorder="1"/>
    <xf numFmtId="0" fontId="33" fillId="5" borderId="0" xfId="0" applyFont="1" applyFill="1"/>
    <xf numFmtId="0" fontId="0" fillId="0" borderId="0" xfId="0" applyAlignment="1">
      <alignment horizontal="left"/>
    </xf>
    <xf numFmtId="0" fontId="0" fillId="0" borderId="4" xfId="0" applyBorder="1"/>
    <xf numFmtId="0" fontId="19" fillId="0" borderId="8" xfId="0" applyFont="1" applyBorder="1"/>
    <xf numFmtId="0" fontId="19" fillId="0" borderId="9" xfId="0" applyFont="1" applyBorder="1"/>
    <xf numFmtId="0" fontId="34" fillId="0" borderId="7" xfId="0" applyFont="1" applyBorder="1" applyAlignment="1">
      <alignment horizontal="right"/>
    </xf>
    <xf numFmtId="1" fontId="18" fillId="0" borderId="0" xfId="0" applyNumberFormat="1" applyFont="1" applyBorder="1" applyAlignment="1">
      <alignment horizontal="left"/>
    </xf>
    <xf numFmtId="0" fontId="34" fillId="0" borderId="0" xfId="0" applyFont="1" applyBorder="1" applyAlignment="1">
      <alignment horizontal="right"/>
    </xf>
    <xf numFmtId="0" fontId="18" fillId="0" borderId="0" xfId="0" applyFont="1" applyBorder="1" applyAlignment="1">
      <alignment horizontal="center"/>
    </xf>
    <xf numFmtId="0" fontId="7" fillId="0" borderId="3" xfId="0" applyFont="1" applyBorder="1" applyAlignment="1">
      <alignment horizontal="left"/>
    </xf>
    <xf numFmtId="0" fontId="0" fillId="0" borderId="4" xfId="0" applyBorder="1" applyAlignment="1">
      <alignment horizontal="center"/>
    </xf>
    <xf numFmtId="0" fontId="7" fillId="0" borderId="2" xfId="0" applyFont="1" applyBorder="1"/>
    <xf numFmtId="0" fontId="7" fillId="0" borderId="6" xfId="0" applyFont="1" applyBorder="1"/>
    <xf numFmtId="0" fontId="7" fillId="0" borderId="6" xfId="0" applyFont="1" applyBorder="1" applyAlignment="1">
      <alignment horizontal="left"/>
    </xf>
    <xf numFmtId="0" fontId="7" fillId="0" borderId="3" xfId="0" applyFont="1" applyBorder="1"/>
    <xf numFmtId="0" fontId="7" fillId="0" borderId="4" xfId="0" applyFont="1" applyBorder="1" applyAlignment="1">
      <alignment horizontal="center"/>
    </xf>
    <xf numFmtId="0" fontId="7" fillId="0" borderId="7" xfId="0" applyFont="1" applyBorder="1"/>
    <xf numFmtId="164" fontId="0" fillId="0" borderId="26" xfId="0" applyNumberFormat="1" applyBorder="1" applyAlignment="1">
      <alignment horizontal="left"/>
    </xf>
    <xf numFmtId="49" fontId="0" fillId="0" borderId="12" xfId="0" applyNumberFormat="1" applyBorder="1" applyAlignment="1">
      <alignment horizontal="center"/>
    </xf>
    <xf numFmtId="164" fontId="0" fillId="0" borderId="27" xfId="0" applyNumberFormat="1" applyBorder="1" applyAlignment="1">
      <alignment horizontal="left"/>
    </xf>
    <xf numFmtId="164" fontId="0" fillId="0" borderId="8" xfId="0" applyNumberFormat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center"/>
    </xf>
    <xf numFmtId="49" fontId="0" fillId="0" borderId="8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6" xfId="0" applyBorder="1"/>
    <xf numFmtId="0" fontId="35" fillId="0" borderId="15" xfId="0" applyFont="1" applyBorder="1" applyAlignment="1">
      <alignment horizontal="left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28" xfId="0" applyFont="1" applyBorder="1" applyAlignment="1">
      <alignment horizontal="center"/>
    </xf>
    <xf numFmtId="0" fontId="35" fillId="0" borderId="28" xfId="0" applyFont="1" applyFill="1" applyBorder="1" applyAlignment="1">
      <alignment horizontal="center"/>
    </xf>
    <xf numFmtId="14" fontId="35" fillId="0" borderId="18" xfId="0" applyNumberFormat="1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7" xfId="0" applyFont="1" applyBorder="1" applyAlignment="1">
      <alignment horizontal="center"/>
    </xf>
    <xf numFmtId="0" fontId="35" fillId="0" borderId="18" xfId="0" applyFont="1" applyBorder="1" applyAlignment="1">
      <alignment horizontal="left"/>
    </xf>
    <xf numFmtId="0" fontId="35" fillId="0" borderId="2" xfId="0" applyFont="1" applyBorder="1"/>
    <xf numFmtId="0" fontId="35" fillId="0" borderId="3" xfId="0" applyFont="1" applyBorder="1"/>
    <xf numFmtId="0" fontId="18" fillId="0" borderId="0" xfId="0" applyFont="1" applyBorder="1" applyAlignment="1">
      <alignment horizontal="right"/>
    </xf>
    <xf numFmtId="49" fontId="18" fillId="0" borderId="12" xfId="0" applyNumberFormat="1" applyFont="1" applyBorder="1" applyAlignment="1"/>
    <xf numFmtId="1" fontId="18" fillId="0" borderId="0" xfId="0" applyNumberFormat="1" applyFont="1" applyBorder="1" applyAlignment="1">
      <alignment horizontal="right"/>
    </xf>
    <xf numFmtId="164" fontId="0" fillId="0" borderId="12" xfId="0" applyNumberFormat="1" applyBorder="1" applyAlignment="1">
      <alignment horizontal="left"/>
    </xf>
    <xf numFmtId="164" fontId="0" fillId="0" borderId="28" xfId="0" applyNumberFormat="1" applyBorder="1" applyAlignment="1">
      <alignment horizontal="left"/>
    </xf>
    <xf numFmtId="0" fontId="34" fillId="0" borderId="7" xfId="0" applyFont="1" applyBorder="1" applyAlignment="1">
      <alignment horizontal="left"/>
    </xf>
    <xf numFmtId="1" fontId="18" fillId="0" borderId="0" xfId="0" applyNumberFormat="1" applyFont="1" applyBorder="1" applyAlignment="1">
      <alignment horizontal="center"/>
    </xf>
    <xf numFmtId="0" fontId="0" fillId="0" borderId="0" xfId="0" applyFont="1" applyFill="1" applyBorder="1"/>
    <xf numFmtId="0" fontId="6" fillId="0" borderId="19" xfId="0" applyFont="1" applyBorder="1"/>
    <xf numFmtId="20" fontId="0" fillId="0" borderId="0" xfId="0" applyNumberFormat="1" applyFont="1" applyBorder="1"/>
    <xf numFmtId="0" fontId="18" fillId="0" borderId="19" xfId="0" applyNumberFormat="1" applyFont="1" applyBorder="1" applyAlignment="1">
      <alignment horizontal="right"/>
    </xf>
    <xf numFmtId="0" fontId="18" fillId="0" borderId="0" xfId="0" applyNumberFormat="1" applyFont="1" applyBorder="1" applyAlignment="1">
      <alignment horizontal="right"/>
    </xf>
    <xf numFmtId="1" fontId="35" fillId="0" borderId="0" xfId="0" applyNumberFormat="1" applyFont="1" applyBorder="1" applyAlignment="1">
      <alignment horizontal="right"/>
    </xf>
    <xf numFmtId="0" fontId="0" fillId="0" borderId="30" xfId="0" applyFill="1" applyBorder="1"/>
    <xf numFmtId="0" fontId="18" fillId="0" borderId="0" xfId="0" applyNumberFormat="1" applyFont="1" applyBorder="1" applyAlignment="1">
      <alignment horizontal="center"/>
    </xf>
    <xf numFmtId="0" fontId="12" fillId="0" borderId="19" xfId="0" applyFont="1" applyBorder="1"/>
    <xf numFmtId="0" fontId="8" fillId="0" borderId="9" xfId="0" applyFont="1" applyBorder="1" applyAlignment="1" applyProtection="1">
      <alignment horizontal="left"/>
      <protection locked="0"/>
    </xf>
    <xf numFmtId="0" fontId="22" fillId="0" borderId="29" xfId="0" applyFont="1" applyBorder="1"/>
    <xf numFmtId="0" fontId="22" fillId="5" borderId="5" xfId="0" applyFont="1" applyFill="1" applyBorder="1"/>
    <xf numFmtId="0" fontId="25" fillId="0" borderId="0" xfId="0" applyFont="1" applyBorder="1"/>
    <xf numFmtId="0" fontId="36" fillId="0" borderId="5" xfId="0" applyFont="1" applyBorder="1"/>
    <xf numFmtId="0" fontId="0" fillId="0" borderId="0" xfId="0" applyFill="1"/>
    <xf numFmtId="0" fontId="13" fillId="0" borderId="0" xfId="0" applyFont="1" applyBorder="1" applyAlignment="1">
      <alignment horizontal="left"/>
    </xf>
    <xf numFmtId="49" fontId="0" fillId="0" borderId="18" xfId="0" applyNumberFormat="1" applyBorder="1"/>
    <xf numFmtId="14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right"/>
    </xf>
    <xf numFmtId="0" fontId="0" fillId="0" borderId="19" xfId="0" applyNumberFormat="1" applyBorder="1" applyAlignment="1">
      <alignment horizontal="right"/>
    </xf>
    <xf numFmtId="0" fontId="0" fillId="14" borderId="0" xfId="0" applyFill="1"/>
    <xf numFmtId="0" fontId="9" fillId="3" borderId="13" xfId="0" applyFont="1" applyFill="1" applyBorder="1"/>
    <xf numFmtId="0" fontId="12" fillId="3" borderId="37" xfId="0" applyFont="1" applyFill="1" applyBorder="1"/>
    <xf numFmtId="0" fontId="6" fillId="7" borderId="38" xfId="0" applyFont="1" applyFill="1" applyBorder="1"/>
    <xf numFmtId="0" fontId="0" fillId="5" borderId="9" xfId="0" applyFill="1" applyBorder="1"/>
    <xf numFmtId="0" fontId="29" fillId="5" borderId="13" xfId="0" applyFont="1" applyFill="1" applyBorder="1"/>
    <xf numFmtId="0" fontId="31" fillId="5" borderId="13" xfId="0" applyFont="1" applyFill="1" applyBorder="1"/>
    <xf numFmtId="0" fontId="13" fillId="5" borderId="12" xfId="0" applyFont="1" applyFill="1" applyBorder="1"/>
    <xf numFmtId="0" fontId="31" fillId="5" borderId="39" xfId="0" applyFont="1" applyFill="1" applyBorder="1"/>
    <xf numFmtId="0" fontId="12" fillId="7" borderId="39" xfId="0" applyFont="1" applyFill="1" applyBorder="1"/>
    <xf numFmtId="0" fontId="0" fillId="5" borderId="12" xfId="0" applyFill="1" applyBorder="1"/>
    <xf numFmtId="0" fontId="12" fillId="7" borderId="13" xfId="0" applyFont="1" applyFill="1" applyBorder="1"/>
    <xf numFmtId="0" fontId="12" fillId="7" borderId="16" xfId="0" applyFont="1" applyFill="1" applyBorder="1"/>
    <xf numFmtId="0" fontId="0" fillId="5" borderId="20" xfId="0" applyFill="1" applyBorder="1"/>
    <xf numFmtId="0" fontId="39" fillId="0" borderId="0" xfId="0" applyFont="1" applyBorder="1"/>
    <xf numFmtId="0" fontId="39" fillId="0" borderId="0" xfId="0" applyFont="1" applyFill="1" applyBorder="1"/>
    <xf numFmtId="0" fontId="35" fillId="0" borderId="0" xfId="0" applyFont="1" applyBorder="1" applyAlignment="1">
      <alignment horizontal="right"/>
    </xf>
    <xf numFmtId="49" fontId="35" fillId="0" borderId="12" xfId="0" applyNumberFormat="1" applyFont="1" applyBorder="1"/>
    <xf numFmtId="20" fontId="0" fillId="0" borderId="8" xfId="0" applyNumberFormat="1" applyFont="1" applyBorder="1"/>
    <xf numFmtId="0" fontId="17" fillId="0" borderId="8" xfId="0" applyFont="1" applyBorder="1"/>
    <xf numFmtId="49" fontId="0" fillId="0" borderId="8" xfId="0" applyNumberFormat="1" applyBorder="1"/>
    <xf numFmtId="49" fontId="0" fillId="0" borderId="9" xfId="0" applyNumberFormat="1" applyBorder="1"/>
    <xf numFmtId="0" fontId="13" fillId="0" borderId="0" xfId="0" applyFont="1" applyBorder="1"/>
    <xf numFmtId="0" fontId="40" fillId="0" borderId="0" xfId="0" applyFont="1" applyBorder="1" applyAlignment="1">
      <alignment horizontal="left"/>
    </xf>
    <xf numFmtId="0" fontId="13" fillId="5" borderId="4" xfId="0" applyFont="1" applyFill="1" applyBorder="1"/>
    <xf numFmtId="49" fontId="0" fillId="0" borderId="0" xfId="0" applyNumberFormat="1" applyBorder="1" applyAlignment="1">
      <alignment horizontal="left"/>
    </xf>
    <xf numFmtId="49" fontId="0" fillId="0" borderId="19" xfId="0" applyNumberFormat="1" applyBorder="1"/>
    <xf numFmtId="0" fontId="0" fillId="0" borderId="0" xfId="0" applyBorder="1" applyAlignment="1">
      <alignment horizontal="right"/>
    </xf>
    <xf numFmtId="0" fontId="18" fillId="0" borderId="0" xfId="0" applyNumberFormat="1" applyFont="1" applyBorder="1"/>
    <xf numFmtId="0" fontId="18" fillId="0" borderId="0" xfId="0" applyNumberFormat="1" applyFont="1" applyBorder="1" applyAlignment="1"/>
    <xf numFmtId="0" fontId="18" fillId="0" borderId="19" xfId="0" applyNumberFormat="1" applyFont="1" applyBorder="1" applyAlignment="1">
      <alignment horizontal="center"/>
    </xf>
    <xf numFmtId="0" fontId="20" fillId="5" borderId="5" xfId="0" applyFont="1" applyFill="1" applyBorder="1" applyAlignment="1">
      <alignment horizontal="right"/>
    </xf>
    <xf numFmtId="0" fontId="20" fillId="5" borderId="5" xfId="0" applyFont="1" applyFill="1" applyBorder="1"/>
    <xf numFmtId="0" fontId="42" fillId="11" borderId="5" xfId="0" applyFont="1" applyFill="1" applyBorder="1"/>
    <xf numFmtId="0" fontId="32" fillId="8" borderId="5" xfId="0" applyFont="1" applyFill="1" applyBorder="1"/>
    <xf numFmtId="0" fontId="42" fillId="16" borderId="5" xfId="0" applyFont="1" applyFill="1" applyBorder="1"/>
    <xf numFmtId="0" fontId="42" fillId="16" borderId="5" xfId="0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0" fontId="36" fillId="0" borderId="0" xfId="0" applyFont="1" applyFill="1" applyBorder="1"/>
    <xf numFmtId="2" fontId="37" fillId="0" borderId="0" xfId="0" applyNumberFormat="1" applyFont="1" applyFill="1" applyBorder="1"/>
    <xf numFmtId="0" fontId="0" fillId="0" borderId="0" xfId="0" applyFill="1" applyBorder="1" applyAlignment="1">
      <alignment horizontal="center"/>
    </xf>
    <xf numFmtId="49" fontId="15" fillId="0" borderId="0" xfId="0" applyNumberFormat="1" applyFont="1" applyBorder="1"/>
    <xf numFmtId="0" fontId="28" fillId="0" borderId="0" xfId="0" applyFont="1" applyBorder="1"/>
    <xf numFmtId="0" fontId="0" fillId="8" borderId="9" xfId="0" applyFill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6" fillId="20" borderId="14" xfId="0" applyFont="1" applyFill="1" applyBorder="1"/>
    <xf numFmtId="0" fontId="6" fillId="20" borderId="12" xfId="0" applyFont="1" applyFill="1" applyBorder="1"/>
    <xf numFmtId="0" fontId="0" fillId="5" borderId="14" xfId="0" applyFill="1" applyBorder="1"/>
    <xf numFmtId="0" fontId="0" fillId="22" borderId="0" xfId="0" applyFill="1" applyBorder="1"/>
    <xf numFmtId="0" fontId="32" fillId="22" borderId="29" xfId="0" applyFont="1" applyFill="1" applyBorder="1" applyAlignment="1">
      <alignment horizontal="right"/>
    </xf>
    <xf numFmtId="0" fontId="32" fillId="22" borderId="5" xfId="0" applyFont="1" applyFill="1" applyBorder="1"/>
    <xf numFmtId="0" fontId="32" fillId="22" borderId="0" xfId="0" applyFont="1" applyFill="1" applyBorder="1" applyAlignment="1">
      <alignment horizontal="right"/>
    </xf>
    <xf numFmtId="0" fontId="32" fillId="22" borderId="0" xfId="0" applyFont="1" applyFill="1" applyBorder="1"/>
    <xf numFmtId="0" fontId="35" fillId="0" borderId="20" xfId="0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49" fontId="15" fillId="0" borderId="20" xfId="0" applyNumberFormat="1" applyFont="1" applyBorder="1"/>
    <xf numFmtId="0" fontId="6" fillId="19" borderId="12" xfId="0" applyFont="1" applyFill="1" applyBorder="1" applyAlignment="1">
      <alignment horizontal="center"/>
    </xf>
    <xf numFmtId="164" fontId="6" fillId="19" borderId="12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35" fillId="0" borderId="7" xfId="0" applyFont="1" applyFill="1" applyBorder="1" applyAlignment="1">
      <alignment horizontal="center"/>
    </xf>
    <xf numFmtId="0" fontId="32" fillId="14" borderId="0" xfId="0" applyFont="1" applyFill="1"/>
    <xf numFmtId="0" fontId="35" fillId="14" borderId="0" xfId="0" applyFont="1" applyFill="1" applyBorder="1"/>
    <xf numFmtId="0" fontId="25" fillId="0" borderId="11" xfId="0" applyFont="1" applyBorder="1"/>
    <xf numFmtId="165" fontId="25" fillId="0" borderId="14" xfId="0" applyNumberFormat="1" applyFont="1" applyBorder="1"/>
    <xf numFmtId="0" fontId="47" fillId="2" borderId="24" xfId="1" applyFont="1" applyBorder="1" applyAlignment="1" applyProtection="1"/>
    <xf numFmtId="0" fontId="47" fillId="2" borderId="35" xfId="1" applyFont="1" applyBorder="1" applyAlignment="1" applyProtection="1"/>
    <xf numFmtId="0" fontId="25" fillId="0" borderId="15" xfId="0" applyFont="1" applyBorder="1"/>
    <xf numFmtId="0" fontId="25" fillId="0" borderId="8" xfId="0" applyFont="1" applyBorder="1"/>
    <xf numFmtId="0" fontId="25" fillId="0" borderId="9" xfId="0" applyFont="1" applyBorder="1"/>
    <xf numFmtId="0" fontId="25" fillId="5" borderId="0" xfId="0" applyFont="1" applyFill="1"/>
    <xf numFmtId="0" fontId="47" fillId="12" borderId="10" xfId="1" applyFont="1" applyFill="1" applyBorder="1" applyAlignment="1" applyProtection="1"/>
    <xf numFmtId="0" fontId="47" fillId="12" borderId="22" xfId="1" applyFont="1" applyFill="1" applyBorder="1" applyAlignment="1" applyProtection="1"/>
    <xf numFmtId="0" fontId="25" fillId="13" borderId="11" xfId="0" applyFont="1" applyFill="1" applyBorder="1"/>
    <xf numFmtId="0" fontId="48" fillId="0" borderId="0" xfId="0" applyFont="1" applyBorder="1"/>
    <xf numFmtId="0" fontId="47" fillId="12" borderId="13" xfId="1" applyFont="1" applyFill="1" applyBorder="1" applyAlignment="1" applyProtection="1"/>
    <xf numFmtId="0" fontId="47" fillId="12" borderId="5" xfId="1" applyFont="1" applyFill="1" applyBorder="1" applyAlignment="1" applyProtection="1"/>
    <xf numFmtId="0" fontId="48" fillId="13" borderId="14" xfId="0" applyFont="1" applyFill="1" applyBorder="1"/>
    <xf numFmtId="0" fontId="25" fillId="0" borderId="7" xfId="0" applyFont="1" applyBorder="1"/>
    <xf numFmtId="0" fontId="25" fillId="6" borderId="0" xfId="0" applyFont="1" applyFill="1" applyBorder="1"/>
    <xf numFmtId="0" fontId="25" fillId="0" borderId="12" xfId="0" applyFont="1" applyBorder="1"/>
    <xf numFmtId="0" fontId="48" fillId="13" borderId="13" xfId="0" applyFont="1" applyFill="1" applyBorder="1"/>
    <xf numFmtId="0" fontId="47" fillId="12" borderId="5" xfId="1" applyFont="1" applyFill="1" applyBorder="1" applyAlignment="1" applyProtection="1">
      <alignment horizontal="left"/>
    </xf>
    <xf numFmtId="0" fontId="25" fillId="13" borderId="5" xfId="0" applyFont="1" applyFill="1" applyBorder="1"/>
    <xf numFmtId="0" fontId="48" fillId="13" borderId="16" xfId="0" applyFont="1" applyFill="1" applyBorder="1"/>
    <xf numFmtId="0" fontId="47" fillId="12" borderId="23" xfId="1" applyFont="1" applyFill="1" applyBorder="1" applyAlignment="1" applyProtection="1">
      <alignment horizontal="left"/>
    </xf>
    <xf numFmtId="0" fontId="47" fillId="12" borderId="23" xfId="1" applyFont="1" applyFill="1" applyBorder="1" applyAlignment="1" applyProtection="1"/>
    <xf numFmtId="0" fontId="25" fillId="13" borderId="23" xfId="0" applyFont="1" applyFill="1" applyBorder="1"/>
    <xf numFmtId="0" fontId="48" fillId="13" borderId="17" xfId="0" applyFont="1" applyFill="1" applyBorder="1"/>
    <xf numFmtId="0" fontId="25" fillId="0" borderId="0" xfId="0" applyFont="1" applyFill="1" applyBorder="1"/>
    <xf numFmtId="2" fontId="25" fillId="0" borderId="0" xfId="0" applyNumberFormat="1" applyFont="1" applyBorder="1"/>
    <xf numFmtId="0" fontId="25" fillId="0" borderId="10" xfId="0" applyFont="1" applyBorder="1" applyAlignment="1">
      <alignment horizontal="right"/>
    </xf>
    <xf numFmtId="0" fontId="25" fillId="5" borderId="16" xfId="0" applyFont="1" applyFill="1" applyBorder="1"/>
    <xf numFmtId="2" fontId="25" fillId="0" borderId="23" xfId="0" applyNumberFormat="1" applyFont="1" applyBorder="1"/>
    <xf numFmtId="0" fontId="25" fillId="0" borderId="17" xfId="0" applyFont="1" applyBorder="1"/>
    <xf numFmtId="0" fontId="25" fillId="5" borderId="0" xfId="0" applyFont="1" applyFill="1" applyBorder="1"/>
    <xf numFmtId="0" fontId="25" fillId="0" borderId="0" xfId="0" applyFont="1" applyAlignment="1">
      <alignment horizontal="right"/>
    </xf>
    <xf numFmtId="0" fontId="25" fillId="3" borderId="0" xfId="0" applyFont="1" applyFill="1" applyAlignment="1">
      <alignment horizontal="left"/>
    </xf>
    <xf numFmtId="0" fontId="25" fillId="3" borderId="0" xfId="0" applyFont="1" applyFill="1" applyAlignment="1">
      <alignment horizontal="right"/>
    </xf>
    <xf numFmtId="0" fontId="14" fillId="3" borderId="0" xfId="0" applyFont="1" applyFill="1" applyAlignment="1">
      <alignment horizontal="center"/>
    </xf>
    <xf numFmtId="0" fontId="14" fillId="3" borderId="21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0" fontId="25" fillId="3" borderId="0" xfId="0" applyFont="1" applyFill="1"/>
    <xf numFmtId="0" fontId="47" fillId="0" borderId="0" xfId="1" applyFont="1" applyFill="1" applyBorder="1" applyAlignment="1" applyProtection="1"/>
    <xf numFmtId="0" fontId="25" fillId="0" borderId="0" xfId="0" applyFont="1" applyAlignment="1"/>
    <xf numFmtId="0" fontId="25" fillId="3" borderId="0" xfId="0" applyFont="1" applyFill="1" applyBorder="1"/>
    <xf numFmtId="0" fontId="14" fillId="3" borderId="0" xfId="0" applyFont="1" applyFill="1" applyAlignment="1">
      <alignment horizontal="right"/>
    </xf>
    <xf numFmtId="0" fontId="25" fillId="3" borderId="21" xfId="0" applyFont="1" applyFill="1" applyBorder="1"/>
    <xf numFmtId="0" fontId="50" fillId="5" borderId="0" xfId="0" applyFont="1" applyFill="1"/>
    <xf numFmtId="0" fontId="19" fillId="5" borderId="0" xfId="0" applyFont="1" applyFill="1"/>
    <xf numFmtId="0" fontId="48" fillId="0" borderId="0" xfId="0" applyFont="1"/>
    <xf numFmtId="0" fontId="48" fillId="0" borderId="0" xfId="0" applyFont="1" applyAlignment="1">
      <alignment horizontal="left"/>
    </xf>
    <xf numFmtId="0" fontId="33" fillId="0" borderId="10" xfId="0" applyFont="1" applyBorder="1" applyAlignment="1">
      <alignment horizontal="center"/>
    </xf>
    <xf numFmtId="0" fontId="48" fillId="0" borderId="22" xfId="0" applyFont="1" applyBorder="1" applyAlignment="1">
      <alignment horizontal="center"/>
    </xf>
    <xf numFmtId="0" fontId="33" fillId="0" borderId="22" xfId="0" applyFont="1" applyBorder="1" applyAlignment="1">
      <alignment horizontal="center"/>
    </xf>
    <xf numFmtId="0" fontId="48" fillId="0" borderId="22" xfId="0" applyFont="1" applyBorder="1"/>
    <xf numFmtId="0" fontId="33" fillId="0" borderId="11" xfId="0" applyFont="1" applyBorder="1"/>
    <xf numFmtId="0" fontId="33" fillId="0" borderId="0" xfId="0" applyFont="1" applyBorder="1"/>
    <xf numFmtId="0" fontId="51" fillId="0" borderId="13" xfId="0" applyFont="1" applyBorder="1" applyAlignment="1">
      <alignment horizontal="center"/>
    </xf>
    <xf numFmtId="164" fontId="44" fillId="0" borderId="5" xfId="0" applyNumberFormat="1" applyFont="1" applyBorder="1" applyAlignment="1">
      <alignment horizontal="center"/>
    </xf>
    <xf numFmtId="0" fontId="48" fillId="0" borderId="5" xfId="0" applyFont="1" applyBorder="1" applyAlignment="1">
      <alignment horizontal="center"/>
    </xf>
    <xf numFmtId="0" fontId="48" fillId="0" borderId="5" xfId="0" applyFont="1" applyBorder="1"/>
    <xf numFmtId="0" fontId="48" fillId="0" borderId="14" xfId="0" applyFont="1" applyFill="1" applyBorder="1"/>
    <xf numFmtId="0" fontId="48" fillId="3" borderId="13" xfId="0" applyFont="1" applyFill="1" applyBorder="1" applyAlignment="1">
      <alignment horizontal="center"/>
    </xf>
    <xf numFmtId="164" fontId="30" fillId="0" borderId="5" xfId="0" applyNumberFormat="1" applyFont="1" applyBorder="1" applyAlignment="1">
      <alignment horizontal="center"/>
    </xf>
    <xf numFmtId="0" fontId="48" fillId="3" borderId="5" xfId="0" applyFont="1" applyFill="1" applyBorder="1" applyAlignment="1">
      <alignment horizontal="center"/>
    </xf>
    <xf numFmtId="0" fontId="48" fillId="0" borderId="13" xfId="0" applyFont="1" applyBorder="1"/>
    <xf numFmtId="0" fontId="33" fillId="0" borderId="5" xfId="0" applyFont="1" applyBorder="1" applyAlignment="1">
      <alignment horizontal="center"/>
    </xf>
    <xf numFmtId="2" fontId="45" fillId="0" borderId="5" xfId="0" applyNumberFormat="1" applyFont="1" applyBorder="1" applyAlignment="1">
      <alignment horizontal="center"/>
    </xf>
    <xf numFmtId="0" fontId="48" fillId="0" borderId="14" xfId="0" applyFont="1" applyBorder="1"/>
    <xf numFmtId="2" fontId="52" fillId="0" borderId="5" xfId="0" applyNumberFormat="1" applyFont="1" applyBorder="1" applyAlignment="1">
      <alignment horizontal="center"/>
    </xf>
    <xf numFmtId="0" fontId="51" fillId="0" borderId="5" xfId="0" applyFont="1" applyBorder="1" applyAlignment="1">
      <alignment horizontal="center"/>
    </xf>
    <xf numFmtId="2" fontId="48" fillId="0" borderId="5" xfId="0" applyNumberFormat="1" applyFont="1" applyBorder="1" applyAlignment="1">
      <alignment horizontal="center"/>
    </xf>
    <xf numFmtId="0" fontId="48" fillId="0" borderId="16" xfId="0" applyFont="1" applyBorder="1"/>
    <xf numFmtId="0" fontId="48" fillId="0" borderId="23" xfId="0" applyFont="1" applyBorder="1"/>
    <xf numFmtId="2" fontId="33" fillId="0" borderId="23" xfId="0" applyNumberFormat="1" applyFont="1" applyBorder="1" applyAlignment="1">
      <alignment horizontal="center"/>
    </xf>
    <xf numFmtId="2" fontId="48" fillId="0" borderId="23" xfId="0" applyNumberFormat="1" applyFont="1" applyBorder="1" applyAlignment="1">
      <alignment horizontal="center"/>
    </xf>
    <xf numFmtId="2" fontId="33" fillId="0" borderId="17" xfId="0" applyNumberFormat="1" applyFont="1" applyBorder="1"/>
    <xf numFmtId="2" fontId="33" fillId="0" borderId="0" xfId="0" applyNumberFormat="1" applyFont="1" applyBorder="1"/>
    <xf numFmtId="0" fontId="33" fillId="0" borderId="22" xfId="0" applyFont="1" applyBorder="1"/>
    <xf numFmtId="0" fontId="48" fillId="0" borderId="5" xfId="0" applyFont="1" applyFill="1" applyBorder="1" applyAlignment="1">
      <alignment horizontal="center"/>
    </xf>
    <xf numFmtId="0" fontId="25" fillId="0" borderId="14" xfId="0" applyFont="1" applyBorder="1"/>
    <xf numFmtId="0" fontId="48" fillId="5" borderId="5" xfId="0" applyFont="1" applyFill="1" applyBorder="1" applyAlignment="1">
      <alignment horizontal="center"/>
    </xf>
    <xf numFmtId="0" fontId="53" fillId="0" borderId="5" xfId="0" applyFont="1" applyFill="1" applyBorder="1" applyAlignment="1">
      <alignment horizontal="center"/>
    </xf>
    <xf numFmtId="2" fontId="33" fillId="0" borderId="23" xfId="0" applyNumberFormat="1" applyFont="1" applyBorder="1"/>
    <xf numFmtId="0" fontId="33" fillId="0" borderId="11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53" fillId="0" borderId="13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25" fillId="5" borderId="13" xfId="0" applyFont="1" applyFill="1" applyBorder="1" applyAlignment="1">
      <alignment horizontal="center"/>
    </xf>
    <xf numFmtId="0" fontId="25" fillId="5" borderId="5" xfId="0" applyFont="1" applyFill="1" applyBorder="1" applyAlignment="1">
      <alignment horizontal="center"/>
    </xf>
    <xf numFmtId="0" fontId="25" fillId="0" borderId="13" xfId="0" applyFont="1" applyBorder="1" applyAlignment="1">
      <alignment horizontal="center"/>
    </xf>
    <xf numFmtId="0" fontId="54" fillId="0" borderId="13" xfId="0" applyFont="1" applyFill="1" applyBorder="1" applyAlignment="1">
      <alignment horizontal="center"/>
    </xf>
    <xf numFmtId="0" fontId="54" fillId="5" borderId="13" xfId="0" applyFont="1" applyFill="1" applyBorder="1" applyAlignment="1">
      <alignment horizontal="center"/>
    </xf>
    <xf numFmtId="0" fontId="55" fillId="0" borderId="5" xfId="0" applyFont="1" applyBorder="1" applyAlignment="1">
      <alignment horizontal="center"/>
    </xf>
    <xf numFmtId="0" fontId="52" fillId="0" borderId="5" xfId="0" applyFont="1" applyBorder="1" applyAlignment="1">
      <alignment horizontal="center"/>
    </xf>
    <xf numFmtId="0" fontId="25" fillId="0" borderId="16" xfId="0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0" fontId="48" fillId="0" borderId="23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25" fillId="0" borderId="18" xfId="0" applyFont="1" applyBorder="1"/>
    <xf numFmtId="0" fontId="25" fillId="0" borderId="19" xfId="0" applyFont="1" applyBorder="1"/>
    <xf numFmtId="0" fontId="25" fillId="6" borderId="19" xfId="0" applyFont="1" applyFill="1" applyBorder="1"/>
    <xf numFmtId="0" fontId="25" fillId="0" borderId="20" xfId="0" applyFont="1" applyBorder="1"/>
    <xf numFmtId="0" fontId="48" fillId="0" borderId="0" xfId="0" applyFont="1" applyBorder="1" applyAlignment="1">
      <alignment horizontal="center"/>
    </xf>
    <xf numFmtId="0" fontId="25" fillId="0" borderId="0" xfId="0" applyFont="1" applyFill="1"/>
    <xf numFmtId="0" fontId="25" fillId="14" borderId="0" xfId="0" applyFont="1" applyFill="1"/>
    <xf numFmtId="0" fontId="25" fillId="5" borderId="15" xfId="0" applyFont="1" applyFill="1" applyBorder="1"/>
    <xf numFmtId="0" fontId="25" fillId="5" borderId="8" xfId="0" applyFont="1" applyFill="1" applyBorder="1" applyAlignment="1"/>
    <xf numFmtId="0" fontId="25" fillId="5" borderId="9" xfId="0" applyFont="1" applyFill="1" applyBorder="1" applyAlignment="1"/>
    <xf numFmtId="0" fontId="56" fillId="0" borderId="0" xfId="0" applyFont="1" applyFill="1" applyBorder="1" applyAlignment="1">
      <alignment horizontal="center"/>
    </xf>
    <xf numFmtId="0" fontId="25" fillId="5" borderId="7" xfId="0" applyFont="1" applyFill="1" applyBorder="1" applyAlignment="1">
      <alignment horizontal="center"/>
    </xf>
    <xf numFmtId="0" fontId="25" fillId="5" borderId="0" xfId="0" applyFont="1" applyFill="1" applyBorder="1" applyAlignment="1">
      <alignment horizontal="center"/>
    </xf>
    <xf numFmtId="0" fontId="25" fillId="5" borderId="12" xfId="0" applyFont="1" applyFill="1" applyBorder="1" applyAlignment="1">
      <alignment horizontal="center"/>
    </xf>
    <xf numFmtId="0" fontId="25" fillId="5" borderId="7" xfId="0" applyFont="1" applyFill="1" applyBorder="1"/>
    <xf numFmtId="0" fontId="25" fillId="0" borderId="0" xfId="0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5" borderId="18" xfId="0" applyFont="1" applyFill="1" applyBorder="1"/>
    <xf numFmtId="0" fontId="25" fillId="0" borderId="19" xfId="0" applyFont="1" applyBorder="1" applyAlignment="1">
      <alignment horizontal="center"/>
    </xf>
    <xf numFmtId="0" fontId="25" fillId="0" borderId="20" xfId="0" applyFont="1" applyBorder="1" applyAlignment="1">
      <alignment horizontal="center"/>
    </xf>
    <xf numFmtId="0" fontId="25" fillId="9" borderId="0" xfId="0" applyFont="1" applyFill="1"/>
    <xf numFmtId="0" fontId="25" fillId="0" borderId="0" xfId="0" applyFont="1" applyAlignment="1">
      <alignment horizontal="left"/>
    </xf>
    <xf numFmtId="0" fontId="25" fillId="21" borderId="0" xfId="0" applyFont="1" applyFill="1"/>
    <xf numFmtId="0" fontId="25" fillId="18" borderId="0" xfId="0" applyFont="1" applyFill="1"/>
    <xf numFmtId="0" fontId="25" fillId="18" borderId="0" xfId="0" applyFont="1" applyFill="1" applyAlignment="1">
      <alignment horizontal="right"/>
    </xf>
    <xf numFmtId="0" fontId="25" fillId="18" borderId="0" xfId="0" applyFont="1" applyFill="1" applyBorder="1"/>
    <xf numFmtId="0" fontId="25" fillId="23" borderId="0" xfId="0" applyFont="1" applyFill="1"/>
    <xf numFmtId="0" fontId="44" fillId="0" borderId="0" xfId="0" applyFont="1" applyFill="1"/>
    <xf numFmtId="0" fontId="44" fillId="0" borderId="0" xfId="0" applyFont="1" applyFill="1" applyAlignment="1">
      <alignment horizontal="right"/>
    </xf>
    <xf numFmtId="0" fontId="44" fillId="0" borderId="0" xfId="0" applyFont="1" applyFill="1" applyBorder="1"/>
    <xf numFmtId="0" fontId="19" fillId="0" borderId="0" xfId="0" applyFont="1" applyBorder="1"/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49" fontId="0" fillId="0" borderId="0" xfId="0" applyNumberForma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0" fillId="0" borderId="0" xfId="0" applyFont="1" applyBorder="1" applyAlignment="1"/>
    <xf numFmtId="0" fontId="0" fillId="0" borderId="4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left"/>
    </xf>
    <xf numFmtId="164" fontId="0" fillId="0" borderId="7" xfId="0" applyNumberFormat="1" applyBorder="1" applyAlignment="1">
      <alignment horizontal="left"/>
    </xf>
    <xf numFmtId="164" fontId="0" fillId="0" borderId="18" xfId="0" applyNumberFormat="1" applyBorder="1" applyAlignment="1">
      <alignment horizontal="left"/>
    </xf>
    <xf numFmtId="0" fontId="18" fillId="0" borderId="0" xfId="0" applyNumberFormat="1" applyFont="1" applyBorder="1" applyAlignment="1">
      <alignment horizontal="left"/>
    </xf>
    <xf numFmtId="20" fontId="0" fillId="0" borderId="0" xfId="0" quotePrefix="1" applyNumberFormat="1" applyFont="1" applyBorder="1" applyAlignment="1">
      <alignment horizontal="right"/>
    </xf>
    <xf numFmtId="0" fontId="9" fillId="0" borderId="19" xfId="0" applyFont="1" applyBorder="1"/>
    <xf numFmtId="0" fontId="58" fillId="0" borderId="0" xfId="0" quotePrefix="1" applyFont="1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19" xfId="0" applyBorder="1" applyAlignment="1">
      <alignment horizontal="right"/>
    </xf>
    <xf numFmtId="164" fontId="0" fillId="0" borderId="0" xfId="0" quotePrefix="1" applyNumberFormat="1" applyBorder="1" applyAlignment="1">
      <alignment horizontal="left"/>
    </xf>
    <xf numFmtId="49" fontId="0" fillId="0" borderId="9" xfId="0" applyNumberFormat="1" applyBorder="1" applyAlignment="1">
      <alignment horizontal="center"/>
    </xf>
    <xf numFmtId="49" fontId="38" fillId="0" borderId="12" xfId="0" applyNumberFormat="1" applyFont="1" applyBorder="1" applyAlignment="1">
      <alignment horizontal="center"/>
    </xf>
    <xf numFmtId="49" fontId="0" fillId="0" borderId="20" xfId="0" applyNumberFormat="1" applyBorder="1" applyAlignment="1">
      <alignment horizontal="center"/>
    </xf>
    <xf numFmtId="0" fontId="25" fillId="26" borderId="0" xfId="0" applyFont="1" applyFill="1"/>
    <xf numFmtId="0" fontId="0" fillId="26" borderId="45" xfId="0" applyFill="1" applyBorder="1" applyAlignment="1">
      <alignment horizontal="center" vertical="center"/>
    </xf>
    <xf numFmtId="0" fontId="0" fillId="26" borderId="5" xfId="0" applyFill="1" applyBorder="1" applyAlignment="1">
      <alignment horizontal="center" vertical="center"/>
    </xf>
    <xf numFmtId="0" fontId="0" fillId="26" borderId="46" xfId="0" applyFill="1" applyBorder="1" applyAlignment="1">
      <alignment horizontal="center" vertical="center"/>
    </xf>
    <xf numFmtId="0" fontId="0" fillId="26" borderId="40" xfId="0" applyFill="1" applyBorder="1" applyAlignment="1">
      <alignment horizontal="center" vertical="center"/>
    </xf>
    <xf numFmtId="0" fontId="0" fillId="26" borderId="43" xfId="0" applyFill="1" applyBorder="1" applyAlignment="1">
      <alignment horizontal="center" vertical="center"/>
    </xf>
    <xf numFmtId="0" fontId="0" fillId="26" borderId="43" xfId="0" applyFill="1" applyBorder="1" applyAlignment="1">
      <alignment horizontal="center" vertical="center" wrapText="1"/>
    </xf>
    <xf numFmtId="0" fontId="0" fillId="26" borderId="44" xfId="0" applyFill="1" applyBorder="1" applyAlignment="1">
      <alignment horizontal="center" vertical="center" wrapText="1"/>
    </xf>
    <xf numFmtId="0" fontId="0" fillId="26" borderId="41" xfId="0" applyFill="1" applyBorder="1" applyAlignment="1">
      <alignment horizontal="center" vertical="center"/>
    </xf>
    <xf numFmtId="0" fontId="0" fillId="26" borderId="32" xfId="0" applyFill="1" applyBorder="1" applyAlignment="1">
      <alignment horizontal="center" vertical="center"/>
    </xf>
    <xf numFmtId="0" fontId="60" fillId="26" borderId="6" xfId="0" applyFont="1" applyFill="1" applyBorder="1" applyAlignment="1">
      <alignment horizontal="center" vertical="center"/>
    </xf>
    <xf numFmtId="0" fontId="0" fillId="26" borderId="29" xfId="0" applyFill="1" applyBorder="1" applyAlignment="1">
      <alignment horizontal="center" vertical="center"/>
    </xf>
    <xf numFmtId="0" fontId="0" fillId="26" borderId="47" xfId="0" applyFill="1" applyBorder="1" applyAlignment="1">
      <alignment horizontal="center" vertical="center"/>
    </xf>
    <xf numFmtId="0" fontId="0" fillId="26" borderId="48" xfId="0" applyFill="1" applyBorder="1" applyAlignment="1">
      <alignment horizontal="center" vertical="center"/>
    </xf>
    <xf numFmtId="0" fontId="0" fillId="26" borderId="25" xfId="0" applyFill="1" applyBorder="1" applyAlignment="1">
      <alignment horizontal="center" vertical="center"/>
    </xf>
    <xf numFmtId="0" fontId="0" fillId="26" borderId="49" xfId="0" applyFill="1" applyBorder="1" applyAlignment="1">
      <alignment horizontal="center" vertical="center"/>
    </xf>
    <xf numFmtId="0" fontId="60" fillId="26" borderId="5" xfId="0" applyFont="1" applyFill="1" applyBorder="1" applyAlignment="1">
      <alignment horizontal="center" vertical="center"/>
    </xf>
    <xf numFmtId="0" fontId="60" fillId="26" borderId="46" xfId="0" applyFont="1" applyFill="1" applyBorder="1" applyAlignment="1">
      <alignment horizontal="center" vertical="center"/>
    </xf>
    <xf numFmtId="0" fontId="60" fillId="26" borderId="45" xfId="0" applyFont="1" applyFill="1" applyBorder="1" applyAlignment="1">
      <alignment horizontal="center" vertical="center"/>
    </xf>
    <xf numFmtId="0" fontId="61" fillId="26" borderId="5" xfId="0" applyFont="1" applyFill="1" applyBorder="1" applyAlignment="1">
      <alignment horizontal="center" vertical="center"/>
    </xf>
    <xf numFmtId="0" fontId="62" fillId="26" borderId="5" xfId="0" applyFont="1" applyFill="1" applyBorder="1" applyAlignment="1">
      <alignment horizontal="center" vertical="center"/>
    </xf>
    <xf numFmtId="0" fontId="63" fillId="26" borderId="5" xfId="0" applyFont="1" applyFill="1" applyBorder="1" applyAlignment="1">
      <alignment horizontal="center" vertical="center"/>
    </xf>
    <xf numFmtId="0" fontId="0" fillId="26" borderId="33" xfId="0" applyFill="1" applyBorder="1" applyAlignment="1">
      <alignment horizontal="center" vertical="center"/>
    </xf>
    <xf numFmtId="0" fontId="13" fillId="0" borderId="0" xfId="0" applyFont="1"/>
    <xf numFmtId="0" fontId="7" fillId="0" borderId="2" xfId="0" applyFont="1" applyBorder="1" applyAlignment="1">
      <alignment horizontal="left"/>
    </xf>
    <xf numFmtId="0" fontId="7" fillId="0" borderId="4" xfId="0" applyFont="1" applyBorder="1"/>
    <xf numFmtId="0" fontId="7" fillId="0" borderId="7" xfId="0" applyNumberFormat="1" applyFont="1" applyBorder="1"/>
    <xf numFmtId="0" fontId="25" fillId="26" borderId="5" xfId="0" applyFont="1" applyFill="1" applyBorder="1"/>
    <xf numFmtId="0" fontId="25" fillId="26" borderId="45" xfId="0" applyFont="1" applyFill="1" applyBorder="1"/>
    <xf numFmtId="0" fontId="25" fillId="26" borderId="5" xfId="0" applyFont="1" applyFill="1" applyBorder="1" applyAlignment="1">
      <alignment horizontal="center"/>
    </xf>
    <xf numFmtId="0" fontId="25" fillId="13" borderId="0" xfId="0" applyFont="1" applyFill="1"/>
    <xf numFmtId="0" fontId="6" fillId="5" borderId="0" xfId="0" applyFont="1" applyFill="1" applyBorder="1" applyAlignment="1">
      <alignment horizontal="left"/>
    </xf>
    <xf numFmtId="0" fontId="0" fillId="0" borderId="4" xfId="0" applyBorder="1" applyAlignment="1">
      <alignment horizontal="center"/>
    </xf>
    <xf numFmtId="0" fontId="6" fillId="0" borderId="0" xfId="0" applyFont="1" applyFill="1" applyBorder="1" applyAlignment="1">
      <alignment horizontal="left"/>
    </xf>
    <xf numFmtId="0" fontId="6" fillId="5" borderId="13" xfId="0" applyFont="1" applyFill="1" applyBorder="1" applyAlignment="1">
      <alignment horizontal="left"/>
    </xf>
    <xf numFmtId="0" fontId="6" fillId="5" borderId="50" xfId="0" applyFont="1" applyFill="1" applyBorder="1" applyAlignment="1">
      <alignment horizontal="left"/>
    </xf>
    <xf numFmtId="0" fontId="58" fillId="0" borderId="0" xfId="0" quotePrefix="1" applyFont="1" applyBorder="1"/>
    <xf numFmtId="49" fontId="7" fillId="0" borderId="9" xfId="0" applyNumberFormat="1" applyFont="1" applyBorder="1"/>
    <xf numFmtId="49" fontId="7" fillId="0" borderId="12" xfId="0" applyNumberFormat="1" applyFont="1" applyBorder="1"/>
    <xf numFmtId="0" fontId="0" fillId="0" borderId="3" xfId="0" applyBorder="1" applyAlignment="1"/>
    <xf numFmtId="0" fontId="0" fillId="0" borderId="4" xfId="0" applyBorder="1" applyAlignment="1"/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26" fillId="0" borderId="0" xfId="0" applyFont="1" applyFill="1"/>
    <xf numFmtId="0" fontId="42" fillId="11" borderId="32" xfId="0" applyFont="1" applyFill="1" applyBorder="1"/>
    <xf numFmtId="0" fontId="20" fillId="5" borderId="32" xfId="0" applyFont="1" applyFill="1" applyBorder="1" applyAlignment="1">
      <alignment horizontal="right"/>
    </xf>
    <xf numFmtId="0" fontId="42" fillId="16" borderId="32" xfId="0" applyFont="1" applyFill="1" applyBorder="1" applyAlignment="1">
      <alignment horizontal="right"/>
    </xf>
    <xf numFmtId="0" fontId="32" fillId="0" borderId="0" xfId="0" applyFont="1" applyFill="1" applyBorder="1"/>
    <xf numFmtId="0" fontId="20" fillId="0" borderId="0" xfId="0" applyFont="1" applyFill="1" applyBorder="1"/>
    <xf numFmtId="0" fontId="22" fillId="0" borderId="0" xfId="0" applyFont="1" applyFill="1" applyBorder="1"/>
    <xf numFmtId="0" fontId="0" fillId="0" borderId="8" xfId="0" applyFont="1" applyBorder="1" applyAlignment="1" applyProtection="1">
      <alignment horizontal="left"/>
      <protection locked="0"/>
    </xf>
    <xf numFmtId="20" fontId="0" fillId="0" borderId="19" xfId="0" quotePrefix="1" applyNumberFormat="1" applyFont="1" applyBorder="1"/>
    <xf numFmtId="0" fontId="0" fillId="0" borderId="19" xfId="0" applyFont="1" applyBorder="1" applyAlignment="1">
      <alignment horizontal="left"/>
    </xf>
    <xf numFmtId="0" fontId="17" fillId="0" borderId="19" xfId="0" applyNumberFormat="1" applyFont="1" applyBorder="1"/>
    <xf numFmtId="49" fontId="52" fillId="0" borderId="5" xfId="0" applyNumberFormat="1" applyFont="1" applyBorder="1" applyAlignment="1">
      <alignment horizontal="center"/>
    </xf>
    <xf numFmtId="0" fontId="21" fillId="0" borderId="0" xfId="0" applyFont="1" applyFill="1" applyBorder="1"/>
    <xf numFmtId="0" fontId="42" fillId="0" borderId="0" xfId="0" applyFont="1" applyFill="1" applyBorder="1"/>
    <xf numFmtId="0" fontId="33" fillId="0" borderId="14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66" fillId="0" borderId="8" xfId="0" applyFont="1" applyBorder="1" applyAlignment="1">
      <alignment horizontal="right"/>
    </xf>
    <xf numFmtId="0" fontId="66" fillId="0" borderId="9" xfId="0" applyFont="1" applyBorder="1"/>
    <xf numFmtId="0" fontId="19" fillId="0" borderId="7" xfId="0" applyFont="1" applyBorder="1"/>
    <xf numFmtId="0" fontId="67" fillId="0" borderId="0" xfId="0" applyFont="1" applyBorder="1" applyAlignment="1">
      <alignment horizontal="left"/>
    </xf>
    <xf numFmtId="164" fontId="0" fillId="0" borderId="0" xfId="0" applyNumberFormat="1" applyBorder="1" applyAlignment="1">
      <alignment horizontal="right"/>
    </xf>
    <xf numFmtId="0" fontId="0" fillId="0" borderId="19" xfId="0" applyBorder="1" applyAlignment="1">
      <alignment horizontal="center"/>
    </xf>
    <xf numFmtId="49" fontId="15" fillId="0" borderId="12" xfId="0" applyNumberFormat="1" applyFont="1" applyBorder="1" applyAlignment="1">
      <alignment horizontal="right"/>
    </xf>
    <xf numFmtId="0" fontId="67" fillId="0" borderId="0" xfId="0" applyFont="1" applyBorder="1"/>
    <xf numFmtId="49" fontId="67" fillId="0" borderId="0" xfId="0" applyNumberFormat="1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0" borderId="0" xfId="0" applyNumberFormat="1" applyAlignment="1">
      <alignment horizontal="right"/>
    </xf>
    <xf numFmtId="0" fontId="6" fillId="0" borderId="18" xfId="0" applyFont="1" applyBorder="1"/>
    <xf numFmtId="0" fontId="7" fillId="0" borderId="0" xfId="0" quotePrefix="1" applyNumberFormat="1" applyFont="1" applyFill="1" applyBorder="1"/>
    <xf numFmtId="0" fontId="35" fillId="0" borderId="12" xfId="0" applyNumberFormat="1" applyFont="1" applyBorder="1" applyAlignment="1">
      <alignment horizontal="left"/>
    </xf>
    <xf numFmtId="0" fontId="0" fillId="22" borderId="5" xfId="0" applyFill="1" applyBorder="1"/>
    <xf numFmtId="0" fontId="20" fillId="22" borderId="5" xfId="0" applyFont="1" applyFill="1" applyBorder="1" applyAlignment="1">
      <alignment horizontal="right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0" fillId="0" borderId="0" xfId="0" applyNumberFormat="1"/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49" fontId="6" fillId="0" borderId="12" xfId="0" applyNumberFormat="1" applyFont="1" applyBorder="1"/>
    <xf numFmtId="0" fontId="33" fillId="0" borderId="0" xfId="0" applyFont="1" applyFill="1" applyBorder="1" applyAlignment="1"/>
    <xf numFmtId="0" fontId="14" fillId="0" borderId="5" xfId="0" applyFont="1" applyBorder="1" applyAlignment="1">
      <alignment horizontal="center"/>
    </xf>
    <xf numFmtId="0" fontId="73" fillId="0" borderId="0" xfId="0" applyFont="1" applyBorder="1"/>
    <xf numFmtId="0" fontId="0" fillId="0" borderId="5" xfId="0" applyBorder="1" applyAlignment="1">
      <alignment horizontal="center" vertical="center"/>
    </xf>
    <xf numFmtId="0" fontId="0" fillId="29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30" borderId="5" xfId="0" applyFill="1" applyBorder="1" applyAlignment="1">
      <alignment horizontal="center" vertical="center"/>
    </xf>
    <xf numFmtId="0" fontId="0" fillId="29" borderId="32" xfId="0" applyFill="1" applyBorder="1" applyAlignment="1">
      <alignment horizontal="center" vertical="center"/>
    </xf>
    <xf numFmtId="0" fontId="0" fillId="14" borderId="32" xfId="0" applyFill="1" applyBorder="1" applyAlignment="1">
      <alignment horizontal="center" vertical="center"/>
    </xf>
    <xf numFmtId="0" fontId="0" fillId="30" borderId="5" xfId="0" applyFill="1" applyBorder="1"/>
    <xf numFmtId="0" fontId="0" fillId="0" borderId="0" xfId="0" applyFill="1" applyBorder="1" applyAlignment="1">
      <alignment horizontal="center" vertical="center"/>
    </xf>
    <xf numFmtId="0" fontId="0" fillId="0" borderId="13" xfId="0" applyBorder="1"/>
    <xf numFmtId="0" fontId="0" fillId="30" borderId="14" xfId="0" applyFill="1" applyBorder="1" applyAlignment="1">
      <alignment horizontal="center" vertical="center"/>
    </xf>
    <xf numFmtId="0" fontId="0" fillId="29" borderId="13" xfId="0" applyFill="1" applyBorder="1" applyAlignment="1">
      <alignment horizontal="center" vertical="center"/>
    </xf>
    <xf numFmtId="0" fontId="0" fillId="30" borderId="14" xfId="0" applyFill="1" applyBorder="1"/>
    <xf numFmtId="0" fontId="0" fillId="14" borderId="13" xfId="0" applyFill="1" applyBorder="1" applyAlignment="1">
      <alignment horizontal="center" vertical="center"/>
    </xf>
    <xf numFmtId="0" fontId="0" fillId="29" borderId="16" xfId="0" applyFill="1" applyBorder="1" applyAlignment="1">
      <alignment horizontal="center" vertical="center"/>
    </xf>
    <xf numFmtId="0" fontId="0" fillId="29" borderId="23" xfId="0" applyFill="1" applyBorder="1" applyAlignment="1">
      <alignment horizontal="center" vertical="center"/>
    </xf>
    <xf numFmtId="0" fontId="0" fillId="29" borderId="52" xfId="0" applyFill="1" applyBorder="1" applyAlignment="1">
      <alignment horizontal="center" vertical="center"/>
    </xf>
    <xf numFmtId="0" fontId="0" fillId="30" borderId="23" xfId="0" applyFill="1" applyBorder="1" applyAlignment="1">
      <alignment horizontal="center" vertical="center"/>
    </xf>
    <xf numFmtId="0" fontId="0" fillId="30" borderId="23" xfId="0" applyFill="1" applyBorder="1"/>
    <xf numFmtId="0" fontId="0" fillId="30" borderId="17" xfId="0" applyFill="1" applyBorder="1"/>
    <xf numFmtId="0" fontId="74" fillId="0" borderId="0" xfId="0" applyFont="1" applyBorder="1" applyAlignment="1">
      <alignment horizontal="right"/>
    </xf>
    <xf numFmtId="0" fontId="32" fillId="0" borderId="5" xfId="0" applyFont="1" applyFill="1" applyBorder="1"/>
    <xf numFmtId="0" fontId="42" fillId="0" borderId="5" xfId="0" applyFont="1" applyFill="1" applyBorder="1" applyAlignment="1"/>
    <xf numFmtId="49" fontId="32" fillId="0" borderId="14" xfId="0" applyNumberFormat="1" applyFont="1" applyFill="1" applyBorder="1"/>
    <xf numFmtId="0" fontId="48" fillId="0" borderId="14" xfId="0" applyNumberFormat="1" applyFont="1" applyFill="1" applyBorder="1" applyAlignment="1">
      <alignment horizontal="center"/>
    </xf>
    <xf numFmtId="0" fontId="15" fillId="0" borderId="0" xfId="0" applyNumberFormat="1" applyFont="1" applyBorder="1" applyAlignment="1">
      <alignment horizontal="right"/>
    </xf>
    <xf numFmtId="0" fontId="0" fillId="0" borderId="55" xfId="0" applyBorder="1"/>
    <xf numFmtId="0" fontId="0" fillId="31" borderId="18" xfId="0" applyFill="1" applyBorder="1"/>
    <xf numFmtId="0" fontId="75" fillId="0" borderId="0" xfId="0" applyFont="1"/>
    <xf numFmtId="0" fontId="7" fillId="0" borderId="0" xfId="0" applyFont="1" applyAlignment="1">
      <alignment horizontal="right"/>
    </xf>
    <xf numFmtId="0" fontId="8" fillId="0" borderId="8" xfId="0" applyFont="1" applyBorder="1"/>
    <xf numFmtId="0" fontId="65" fillId="0" borderId="0" xfId="0" applyFont="1" applyBorder="1"/>
    <xf numFmtId="2" fontId="65" fillId="0" borderId="9" xfId="0" applyNumberFormat="1" applyFont="1" applyBorder="1" applyAlignment="1">
      <alignment horizontal="center"/>
    </xf>
    <xf numFmtId="0" fontId="65" fillId="0" borderId="0" xfId="0" applyNumberFormat="1" applyFont="1" applyBorder="1" applyAlignment="1">
      <alignment horizontal="left"/>
    </xf>
    <xf numFmtId="0" fontId="65" fillId="0" borderId="0" xfId="0" applyFont="1" applyBorder="1" applyAlignment="1">
      <alignment horizontal="left"/>
    </xf>
    <xf numFmtId="2" fontId="65" fillId="0" borderId="12" xfId="0" applyNumberFormat="1" applyFont="1" applyBorder="1" applyAlignment="1">
      <alignment horizontal="center"/>
    </xf>
    <xf numFmtId="0" fontId="65" fillId="0" borderId="0" xfId="0" applyFont="1" applyBorder="1" applyAlignment="1">
      <alignment horizontal="center"/>
    </xf>
    <xf numFmtId="0" fontId="65" fillId="0" borderId="0" xfId="0" applyFont="1" applyBorder="1" applyAlignment="1">
      <alignment horizontal="right"/>
    </xf>
    <xf numFmtId="1" fontId="46" fillId="0" borderId="0" xfId="0" applyNumberFormat="1" applyFont="1" applyBorder="1" applyAlignment="1">
      <alignment horizontal="center"/>
    </xf>
    <xf numFmtId="0" fontId="43" fillId="0" borderId="0" xfId="0" applyFont="1" applyBorder="1"/>
    <xf numFmtId="0" fontId="65" fillId="0" borderId="0" xfId="0" applyFont="1"/>
    <xf numFmtId="1" fontId="77" fillId="0" borderId="0" xfId="0" applyNumberFormat="1" applyFont="1" applyBorder="1" applyAlignment="1">
      <alignment horizontal="center"/>
    </xf>
    <xf numFmtId="0" fontId="35" fillId="0" borderId="6" xfId="0" applyFont="1" applyBorder="1"/>
    <xf numFmtId="0" fontId="35" fillId="0" borderId="19" xfId="0" applyFont="1" applyBorder="1"/>
    <xf numFmtId="0" fontId="16" fillId="0" borderId="2" xfId="0" applyFont="1" applyBorder="1" applyAlignment="1">
      <alignment horizontal="right"/>
    </xf>
    <xf numFmtId="0" fontId="0" fillId="0" borderId="6" xfId="0" applyFont="1" applyBorder="1"/>
    <xf numFmtId="0" fontId="0" fillId="0" borderId="15" xfId="0" applyBorder="1" applyAlignment="1">
      <alignment horizontal="left"/>
    </xf>
    <xf numFmtId="0" fontId="78" fillId="0" borderId="28" xfId="0" applyFont="1" applyBorder="1" applyAlignment="1">
      <alignment horizontal="center"/>
    </xf>
    <xf numFmtId="49" fontId="35" fillId="0" borderId="28" xfId="0" applyNumberFormat="1" applyFont="1" applyBorder="1" applyAlignment="1">
      <alignment horizontal="left"/>
    </xf>
    <xf numFmtId="0" fontId="65" fillId="0" borderId="19" xfId="0" applyFont="1" applyBorder="1"/>
    <xf numFmtId="49" fontId="15" fillId="0" borderId="27" xfId="0" applyNumberFormat="1" applyFont="1" applyBorder="1" applyAlignment="1">
      <alignment horizontal="left"/>
    </xf>
    <xf numFmtId="49" fontId="35" fillId="0" borderId="27" xfId="0" applyNumberFormat="1" applyFont="1" applyBorder="1"/>
    <xf numFmtId="0" fontId="65" fillId="0" borderId="3" xfId="0" applyFont="1" applyBorder="1"/>
    <xf numFmtId="49" fontId="15" fillId="0" borderId="3" xfId="0" applyNumberFormat="1" applyFont="1" applyBorder="1" applyAlignment="1">
      <alignment horizontal="right"/>
    </xf>
    <xf numFmtId="49" fontId="15" fillId="0" borderId="4" xfId="0" applyNumberFormat="1" applyFont="1" applyBorder="1"/>
    <xf numFmtId="0" fontId="0" fillId="0" borderId="8" xfId="0" applyFill="1" applyBorder="1"/>
    <xf numFmtId="1" fontId="15" fillId="0" borderId="8" xfId="0" applyNumberFormat="1" applyFont="1" applyBorder="1" applyAlignment="1">
      <alignment horizontal="right"/>
    </xf>
    <xf numFmtId="49" fontId="15" fillId="0" borderId="9" xfId="0" applyNumberFormat="1" applyFont="1" applyBorder="1"/>
    <xf numFmtId="0" fontId="0" fillId="0" borderId="19" xfId="0" applyFill="1" applyBorder="1"/>
    <xf numFmtId="49" fontId="15" fillId="0" borderId="19" xfId="0" applyNumberFormat="1" applyFont="1" applyBorder="1" applyAlignment="1">
      <alignment horizontal="right"/>
    </xf>
    <xf numFmtId="49" fontId="0" fillId="0" borderId="6" xfId="0" applyNumberFormat="1" applyBorder="1" applyAlignment="1">
      <alignment horizontal="left"/>
    </xf>
    <xf numFmtId="0" fontId="0" fillId="0" borderId="4" xfId="0" applyFill="1" applyBorder="1"/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5" fillId="0" borderId="3" xfId="0" applyFont="1" applyBorder="1" applyAlignment="1">
      <alignment horizontal="center"/>
    </xf>
    <xf numFmtId="0" fontId="0" fillId="0" borderId="0" xfId="0" applyNumberFormat="1" applyBorder="1" applyAlignment="1"/>
    <xf numFmtId="0" fontId="69" fillId="0" borderId="0" xfId="0" applyFont="1" applyAlignment="1">
      <alignment horizontal="right"/>
    </xf>
    <xf numFmtId="0" fontId="68" fillId="0" borderId="7" xfId="0" applyFont="1" applyFill="1" applyBorder="1" applyAlignment="1">
      <alignment horizontal="right"/>
    </xf>
    <xf numFmtId="0" fontId="65" fillId="0" borderId="9" xfId="0" applyFont="1" applyBorder="1" applyAlignment="1">
      <alignment horizontal="left"/>
    </xf>
    <xf numFmtId="2" fontId="80" fillId="0" borderId="0" xfId="0" applyNumberFormat="1" applyFont="1" applyAlignment="1">
      <alignment horizontal="center"/>
    </xf>
    <xf numFmtId="2" fontId="81" fillId="0" borderId="0" xfId="0" applyNumberFormat="1" applyFont="1" applyAlignment="1">
      <alignment horizontal="left"/>
    </xf>
    <xf numFmtId="0" fontId="78" fillId="0" borderId="9" xfId="0" applyFont="1" applyBorder="1" applyAlignment="1">
      <alignment horizontal="center"/>
    </xf>
    <xf numFmtId="0" fontId="78" fillId="0" borderId="12" xfId="0" applyFont="1" applyBorder="1" applyAlignment="1">
      <alignment horizontal="center"/>
    </xf>
    <xf numFmtId="49" fontId="35" fillId="0" borderId="26" xfId="0" applyNumberFormat="1" applyFont="1" applyBorder="1"/>
    <xf numFmtId="49" fontId="35" fillId="0" borderId="20" xfId="0" applyNumberFormat="1" applyFont="1" applyBorder="1" applyAlignment="1">
      <alignment horizontal="center"/>
    </xf>
    <xf numFmtId="0" fontId="0" fillId="0" borderId="7" xfId="0" applyFont="1" applyBorder="1"/>
    <xf numFmtId="0" fontId="82" fillId="0" borderId="0" xfId="0" applyFont="1" applyBorder="1" applyAlignment="1">
      <alignment horizontal="center"/>
    </xf>
    <xf numFmtId="0" fontId="82" fillId="0" borderId="8" xfId="0" applyFont="1" applyBorder="1"/>
    <xf numFmtId="0" fontId="82" fillId="0" borderId="0" xfId="0" applyFont="1"/>
    <xf numFmtId="0" fontId="82" fillId="0" borderId="0" xfId="0" applyFont="1" applyBorder="1"/>
    <xf numFmtId="49" fontId="82" fillId="0" borderId="0" xfId="0" applyNumberFormat="1" applyFont="1" applyBorder="1" applyAlignment="1">
      <alignment horizontal="left"/>
    </xf>
    <xf numFmtId="0" fontId="82" fillId="0" borderId="8" xfId="0" applyFont="1" applyFill="1" applyBorder="1" applyAlignment="1">
      <alignment horizontal="left"/>
    </xf>
    <xf numFmtId="0" fontId="82" fillId="0" borderId="19" xfId="0" applyFont="1" applyBorder="1" applyAlignment="1">
      <alignment horizontal="left"/>
    </xf>
    <xf numFmtId="0" fontId="78" fillId="0" borderId="9" xfId="0" applyNumberFormat="1" applyFont="1" applyBorder="1" applyAlignment="1">
      <alignment horizontal="center"/>
    </xf>
    <xf numFmtId="0" fontId="65" fillId="0" borderId="0" xfId="0" applyNumberFormat="1" applyFont="1" applyAlignment="1">
      <alignment horizontal="center"/>
    </xf>
    <xf numFmtId="0" fontId="46" fillId="0" borderId="0" xfId="0" applyNumberFormat="1" applyFont="1" applyBorder="1" applyAlignment="1">
      <alignment horizontal="center"/>
    </xf>
    <xf numFmtId="0" fontId="82" fillId="0" borderId="8" xfId="0" applyFont="1" applyBorder="1" applyAlignment="1">
      <alignment horizontal="left"/>
    </xf>
    <xf numFmtId="0" fontId="76" fillId="21" borderId="7" xfId="0" applyFont="1" applyFill="1" applyBorder="1"/>
    <xf numFmtId="0" fontId="76" fillId="21" borderId="8" xfId="0" applyFont="1" applyFill="1" applyBorder="1" applyAlignment="1">
      <alignment horizontal="left"/>
    </xf>
    <xf numFmtId="0" fontId="83" fillId="21" borderId="0" xfId="0" applyFont="1" applyFill="1" applyBorder="1"/>
    <xf numFmtId="0" fontId="76" fillId="0" borderId="13" xfId="0" applyFont="1" applyFill="1" applyBorder="1"/>
    <xf numFmtId="0" fontId="76" fillId="21" borderId="0" xfId="0" applyFont="1" applyFill="1" applyBorder="1"/>
    <xf numFmtId="0" fontId="76" fillId="21" borderId="12" xfId="0" applyFont="1" applyFill="1" applyBorder="1"/>
    <xf numFmtId="0" fontId="76" fillId="21" borderId="13" xfId="0" applyFont="1" applyFill="1" applyBorder="1"/>
    <xf numFmtId="2" fontId="83" fillId="21" borderId="0" xfId="0" applyNumberFormat="1" applyFont="1" applyFill="1" applyBorder="1"/>
    <xf numFmtId="0" fontId="76" fillId="21" borderId="19" xfId="0" applyFont="1" applyFill="1" applyBorder="1"/>
    <xf numFmtId="0" fontId="84" fillId="21" borderId="10" xfId="0" applyFont="1" applyFill="1" applyBorder="1" applyAlignment="1">
      <alignment horizontal="left"/>
    </xf>
    <xf numFmtId="0" fontId="85" fillId="21" borderId="8" xfId="0" applyFont="1" applyFill="1" applyBorder="1" applyAlignment="1">
      <alignment horizontal="left"/>
    </xf>
    <xf numFmtId="0" fontId="85" fillId="21" borderId="9" xfId="0" applyFont="1" applyFill="1" applyBorder="1" applyAlignment="1">
      <alignment horizontal="left"/>
    </xf>
    <xf numFmtId="0" fontId="84" fillId="21" borderId="13" xfId="0" applyFont="1" applyFill="1" applyBorder="1"/>
    <xf numFmtId="0" fontId="86" fillId="21" borderId="0" xfId="0" applyFont="1" applyFill="1" applyBorder="1"/>
    <xf numFmtId="0" fontId="86" fillId="21" borderId="12" xfId="0" applyFont="1" applyFill="1" applyBorder="1"/>
    <xf numFmtId="0" fontId="85" fillId="0" borderId="13" xfId="0" applyFont="1" applyFill="1" applyBorder="1"/>
    <xf numFmtId="0" fontId="85" fillId="21" borderId="0" xfId="0" applyFont="1" applyFill="1" applyBorder="1"/>
    <xf numFmtId="0" fontId="85" fillId="21" borderId="12" xfId="0" applyFont="1" applyFill="1" applyBorder="1" applyAlignment="1">
      <alignment horizontal="right"/>
    </xf>
    <xf numFmtId="2" fontId="85" fillId="21" borderId="12" xfId="0" applyNumberFormat="1" applyFont="1" applyFill="1" applyBorder="1" applyAlignment="1">
      <alignment horizontal="right"/>
    </xf>
    <xf numFmtId="0" fontId="85" fillId="21" borderId="13" xfId="0" applyFont="1" applyFill="1" applyBorder="1"/>
    <xf numFmtId="0" fontId="85" fillId="21" borderId="12" xfId="0" applyFont="1" applyFill="1" applyBorder="1"/>
    <xf numFmtId="2" fontId="86" fillId="14" borderId="13" xfId="0" applyNumberFormat="1" applyFont="1" applyFill="1" applyBorder="1"/>
    <xf numFmtId="2" fontId="86" fillId="21" borderId="0" xfId="0" applyNumberFormat="1" applyFont="1" applyFill="1" applyBorder="1"/>
    <xf numFmtId="2" fontId="86" fillId="21" borderId="12" xfId="0" applyNumberFormat="1" applyFont="1" applyFill="1" applyBorder="1"/>
    <xf numFmtId="0" fontId="40" fillId="21" borderId="7" xfId="0" applyFont="1" applyFill="1" applyBorder="1"/>
    <xf numFmtId="0" fontId="40" fillId="21" borderId="0" xfId="0" applyFont="1" applyFill="1" applyBorder="1"/>
    <xf numFmtId="0" fontId="85" fillId="21" borderId="12" xfId="0" applyFont="1" applyFill="1" applyBorder="1" applyAlignment="1">
      <alignment horizontal="left"/>
    </xf>
    <xf numFmtId="0" fontId="85" fillId="21" borderId="7" xfId="0" applyFont="1" applyFill="1" applyBorder="1"/>
    <xf numFmtId="49" fontId="85" fillId="21" borderId="7" xfId="0" applyNumberFormat="1" applyFont="1" applyFill="1" applyBorder="1" applyAlignment="1">
      <alignment horizontal="left"/>
    </xf>
    <xf numFmtId="0" fontId="40" fillId="21" borderId="12" xfId="0" applyFont="1" applyFill="1" applyBorder="1"/>
    <xf numFmtId="0" fontId="85" fillId="21" borderId="7" xfId="0" applyFont="1" applyFill="1" applyBorder="1" applyAlignment="1">
      <alignment horizontal="left"/>
    </xf>
    <xf numFmtId="0" fontId="40" fillId="21" borderId="19" xfId="0" applyFont="1" applyFill="1" applyBorder="1"/>
    <xf numFmtId="49" fontId="52" fillId="0" borderId="12" xfId="0" applyNumberFormat="1" applyFont="1" applyBorder="1" applyAlignment="1">
      <alignment horizontal="left" vertical="top"/>
    </xf>
    <xf numFmtId="0" fontId="35" fillId="0" borderId="28" xfId="0" applyFont="1" applyBorder="1"/>
    <xf numFmtId="0" fontId="6" fillId="0" borderId="8" xfId="0" applyFont="1" applyBorder="1" applyAlignment="1">
      <alignment horizontal="left"/>
    </xf>
    <xf numFmtId="0" fontId="78" fillId="0" borderId="20" xfId="0" applyFont="1" applyBorder="1" applyAlignment="1">
      <alignment horizontal="center"/>
    </xf>
    <xf numFmtId="0" fontId="13" fillId="0" borderId="0" xfId="0" applyFont="1" applyBorder="1" applyAlignment="1">
      <alignment horizontal="right"/>
    </xf>
    <xf numFmtId="0" fontId="0" fillId="0" borderId="0" xfId="0" applyFont="1" applyBorder="1" applyAlignment="1" applyProtection="1">
      <alignment horizontal="right"/>
      <protection locked="0"/>
    </xf>
    <xf numFmtId="0" fontId="35" fillId="0" borderId="0" xfId="0" applyFont="1" applyFill="1" applyBorder="1" applyAlignment="1">
      <alignment horizontal="center"/>
    </xf>
    <xf numFmtId="0" fontId="76" fillId="21" borderId="26" xfId="0" applyFont="1" applyFill="1" applyBorder="1"/>
    <xf numFmtId="2" fontId="83" fillId="21" borderId="27" xfId="0" applyNumberFormat="1" applyFont="1" applyFill="1" applyBorder="1"/>
    <xf numFmtId="0" fontId="76" fillId="21" borderId="26" xfId="0" applyFont="1" applyFill="1" applyBorder="1" applyAlignment="1">
      <alignment horizontal="right"/>
    </xf>
    <xf numFmtId="0" fontId="85" fillId="21" borderId="28" xfId="0" applyFont="1" applyFill="1" applyBorder="1" applyAlignment="1">
      <alignment horizontal="left"/>
    </xf>
    <xf numFmtId="0" fontId="86" fillId="21" borderId="26" xfId="0" applyFont="1" applyFill="1" applyBorder="1"/>
    <xf numFmtId="0" fontId="85" fillId="21" borderId="26" xfId="0" applyFont="1" applyFill="1" applyBorder="1" applyAlignment="1">
      <alignment horizontal="right"/>
    </xf>
    <xf numFmtId="2" fontId="85" fillId="21" borderId="26" xfId="0" applyNumberFormat="1" applyFont="1" applyFill="1" applyBorder="1" applyAlignment="1">
      <alignment horizontal="right"/>
    </xf>
    <xf numFmtId="0" fontId="85" fillId="21" borderId="26" xfId="0" applyFont="1" applyFill="1" applyBorder="1"/>
    <xf numFmtId="2" fontId="86" fillId="21" borderId="27" xfId="0" applyNumberFormat="1" applyFont="1" applyFill="1" applyBorder="1"/>
    <xf numFmtId="0" fontId="40" fillId="21" borderId="28" xfId="0" applyFont="1" applyFill="1" applyBorder="1"/>
    <xf numFmtId="0" fontId="85" fillId="21" borderId="26" xfId="0" applyFont="1" applyFill="1" applyBorder="1" applyAlignment="1">
      <alignment horizontal="left"/>
    </xf>
    <xf numFmtId="0" fontId="40" fillId="21" borderId="26" xfId="0" applyFont="1" applyFill="1" applyBorder="1"/>
    <xf numFmtId="0" fontId="40" fillId="21" borderId="27" xfId="0" applyFont="1" applyFill="1" applyBorder="1"/>
    <xf numFmtId="0" fontId="40" fillId="32" borderId="15" xfId="0" applyFont="1" applyFill="1" applyBorder="1"/>
    <xf numFmtId="0" fontId="0" fillId="32" borderId="8" xfId="0" applyFill="1" applyBorder="1"/>
    <xf numFmtId="0" fontId="85" fillId="32" borderId="7" xfId="0" applyFont="1" applyFill="1" applyBorder="1" applyAlignment="1">
      <alignment horizontal="left"/>
    </xf>
    <xf numFmtId="0" fontId="0" fillId="32" borderId="0" xfId="0" applyFill="1" applyBorder="1"/>
    <xf numFmtId="0" fontId="83" fillId="32" borderId="12" xfId="0" applyFont="1" applyFill="1" applyBorder="1"/>
    <xf numFmtId="0" fontId="76" fillId="32" borderId="12" xfId="0" applyFont="1" applyFill="1" applyBorder="1"/>
    <xf numFmtId="0" fontId="85" fillId="32" borderId="7" xfId="0" applyFont="1" applyFill="1" applyBorder="1" applyAlignment="1">
      <alignment horizontal="right"/>
    </xf>
    <xf numFmtId="0" fontId="40" fillId="32" borderId="7" xfId="0" applyFont="1" applyFill="1" applyBorder="1"/>
    <xf numFmtId="0" fontId="0" fillId="32" borderId="7" xfId="0" applyFill="1" applyBorder="1"/>
    <xf numFmtId="2" fontId="83" fillId="32" borderId="12" xfId="0" applyNumberFormat="1" applyFont="1" applyFill="1" applyBorder="1"/>
    <xf numFmtId="0" fontId="0" fillId="32" borderId="18" xfId="0" applyFill="1" applyBorder="1"/>
    <xf numFmtId="0" fontId="0" fillId="32" borderId="19" xfId="0" applyFill="1" applyBorder="1"/>
    <xf numFmtId="0" fontId="0" fillId="32" borderId="20" xfId="0" applyFill="1" applyBorder="1"/>
    <xf numFmtId="0" fontId="74" fillId="0" borderId="8" xfId="0" applyFont="1" applyBorder="1" applyAlignment="1">
      <alignment horizontal="right"/>
    </xf>
    <xf numFmtId="49" fontId="87" fillId="0" borderId="0" xfId="0" applyNumberFormat="1" applyFont="1" applyBorder="1" applyAlignment="1">
      <alignment horizontal="right"/>
    </xf>
    <xf numFmtId="49" fontId="76" fillId="21" borderId="28" xfId="0" applyNumberFormat="1" applyFont="1" applyFill="1" applyBorder="1" applyAlignment="1">
      <alignment horizontal="left"/>
    </xf>
    <xf numFmtId="20" fontId="0" fillId="0" borderId="8" xfId="0" quotePrefix="1" applyNumberFormat="1" applyFont="1" applyBorder="1"/>
    <xf numFmtId="0" fontId="6" fillId="0" borderId="19" xfId="0" applyFont="1" applyFill="1" applyBorder="1"/>
    <xf numFmtId="0" fontId="88" fillId="0" borderId="0" xfId="0" applyFont="1" applyBorder="1" applyAlignment="1">
      <alignment vertical="center"/>
    </xf>
    <xf numFmtId="0" fontId="46" fillId="0" borderId="0" xfId="0" applyFont="1" applyBorder="1" applyAlignment="1">
      <alignment horizontal="center" vertical="center" wrapText="1"/>
    </xf>
    <xf numFmtId="0" fontId="0" fillId="0" borderId="0" xfId="0" applyAlignment="1"/>
    <xf numFmtId="0" fontId="13" fillId="0" borderId="0" xfId="0" applyNumberFormat="1" applyFont="1" applyBorder="1" applyAlignment="1">
      <alignment horizontal="right"/>
    </xf>
    <xf numFmtId="0" fontId="87" fillId="0" borderId="8" xfId="0" applyFont="1" applyBorder="1" applyAlignment="1">
      <alignment horizontal="left"/>
    </xf>
    <xf numFmtId="0" fontId="74" fillId="0" borderId="0" xfId="0" applyFont="1" applyBorder="1" applyAlignment="1">
      <alignment horizontal="left"/>
    </xf>
    <xf numFmtId="0" fontId="87" fillId="0" borderId="19" xfId="0" applyFont="1" applyBorder="1" applyAlignment="1">
      <alignment horizontal="left"/>
    </xf>
    <xf numFmtId="0" fontId="13" fillId="0" borderId="0" xfId="0" applyFont="1" applyBorder="1" applyAlignment="1" applyProtection="1">
      <alignment horizontal="left"/>
      <protection locked="0"/>
    </xf>
    <xf numFmtId="0" fontId="32" fillId="0" borderId="0" xfId="0" applyNumberFormat="1" applyFont="1" applyBorder="1" applyAlignment="1">
      <alignment horizontal="right"/>
    </xf>
    <xf numFmtId="0" fontId="32" fillId="0" borderId="19" xfId="0" applyNumberFormat="1" applyFont="1" applyBorder="1" applyAlignment="1">
      <alignment horizontal="right"/>
    </xf>
    <xf numFmtId="0" fontId="6" fillId="23" borderId="26" xfId="0" applyFont="1" applyFill="1" applyBorder="1"/>
    <xf numFmtId="0" fontId="0" fillId="23" borderId="4" xfId="0" applyFill="1" applyBorder="1"/>
    <xf numFmtId="0" fontId="87" fillId="0" borderId="0" xfId="0" quotePrefix="1" applyNumberFormat="1" applyFont="1" applyBorder="1" applyAlignment="1">
      <alignment horizontal="right"/>
    </xf>
    <xf numFmtId="0" fontId="87" fillId="0" borderId="8" xfId="0" applyFont="1" applyBorder="1"/>
    <xf numFmtId="0" fontId="87" fillId="0" borderId="0" xfId="0" applyFont="1" applyBorder="1"/>
    <xf numFmtId="0" fontId="87" fillId="0" borderId="19" xfId="0" applyFont="1" applyBorder="1"/>
    <xf numFmtId="0" fontId="13" fillId="0" borderId="0" xfId="0" applyFont="1" applyBorder="1" applyAlignment="1">
      <alignment vertical="center"/>
    </xf>
    <xf numFmtId="0" fontId="13" fillId="0" borderId="19" xfId="0" applyFont="1" applyBorder="1" applyAlignment="1">
      <alignment vertical="center"/>
    </xf>
    <xf numFmtId="0" fontId="90" fillId="0" borderId="0" xfId="0" applyFont="1" applyBorder="1"/>
    <xf numFmtId="0" fontId="9" fillId="0" borderId="2" xfId="0" applyFont="1" applyBorder="1"/>
    <xf numFmtId="0" fontId="9" fillId="0" borderId="3" xfId="0" applyFont="1" applyBorder="1"/>
    <xf numFmtId="0" fontId="9" fillId="0" borderId="4" xfId="0" applyFont="1" applyBorder="1"/>
    <xf numFmtId="0" fontId="73" fillId="0" borderId="7" xfId="0" applyFont="1" applyBorder="1"/>
    <xf numFmtId="0" fontId="73" fillId="0" borderId="8" xfId="0" applyFont="1" applyBorder="1"/>
    <xf numFmtId="0" fontId="73" fillId="0" borderId="0" xfId="0" applyFont="1"/>
    <xf numFmtId="0" fontId="91" fillId="0" borderId="9" xfId="0" applyFont="1" applyBorder="1"/>
    <xf numFmtId="0" fontId="73" fillId="0" borderId="12" xfId="0" applyFont="1" applyBorder="1"/>
    <xf numFmtId="0" fontId="29" fillId="0" borderId="0" xfId="0" applyFont="1" applyBorder="1"/>
    <xf numFmtId="49" fontId="73" fillId="0" borderId="0" xfId="0" applyNumberFormat="1" applyFont="1" applyBorder="1" applyAlignment="1">
      <alignment horizontal="left"/>
    </xf>
    <xf numFmtId="0" fontId="73" fillId="0" borderId="15" xfId="0" applyFont="1" applyBorder="1"/>
    <xf numFmtId="0" fontId="73" fillId="0" borderId="9" xfId="0" applyFont="1" applyBorder="1"/>
    <xf numFmtId="0" fontId="29" fillId="0" borderId="0" xfId="0" applyFont="1" applyBorder="1" applyAlignment="1">
      <alignment horizontal="left"/>
    </xf>
    <xf numFmtId="2" fontId="73" fillId="0" borderId="12" xfId="0" applyNumberFormat="1" applyFont="1" applyBorder="1" applyAlignment="1">
      <alignment horizontal="center"/>
    </xf>
    <xf numFmtId="0" fontId="73" fillId="0" borderId="0" xfId="0" applyNumberFormat="1" applyFont="1" applyBorder="1" applyAlignment="1">
      <alignment horizontal="right"/>
    </xf>
    <xf numFmtId="164" fontId="73" fillId="0" borderId="0" xfId="0" applyNumberFormat="1" applyFont="1" applyBorder="1" applyAlignment="1">
      <alignment horizontal="left"/>
    </xf>
    <xf numFmtId="0" fontId="92" fillId="0" borderId="0" xfId="0" applyNumberFormat="1" applyFont="1" applyBorder="1" applyAlignment="1">
      <alignment horizontal="right"/>
    </xf>
    <xf numFmtId="0" fontId="73" fillId="0" borderId="0" xfId="0" applyFont="1" applyBorder="1" applyAlignment="1">
      <alignment horizontal="left"/>
    </xf>
    <xf numFmtId="0" fontId="73" fillId="0" borderId="0" xfId="0" applyFont="1" applyFill="1" applyBorder="1"/>
    <xf numFmtId="0" fontId="73" fillId="0" borderId="12" xfId="0" applyFont="1" applyBorder="1" applyAlignment="1">
      <alignment horizontal="center"/>
    </xf>
    <xf numFmtId="0" fontId="73" fillId="0" borderId="0" xfId="0" applyFont="1" applyBorder="1" applyAlignment="1">
      <alignment horizontal="right"/>
    </xf>
    <xf numFmtId="0" fontId="73" fillId="0" borderId="18" xfId="0" applyFont="1" applyBorder="1"/>
    <xf numFmtId="0" fontId="73" fillId="0" borderId="19" xfId="0" applyFont="1" applyBorder="1"/>
    <xf numFmtId="0" fontId="73" fillId="0" borderId="19" xfId="0" applyFont="1" applyBorder="1" applyAlignment="1">
      <alignment horizontal="right"/>
    </xf>
    <xf numFmtId="0" fontId="73" fillId="0" borderId="20" xfId="0" applyFont="1" applyBorder="1" applyAlignment="1">
      <alignment horizontal="center"/>
    </xf>
    <xf numFmtId="0" fontId="73" fillId="0" borderId="0" xfId="0" applyFont="1" applyBorder="1" applyAlignment="1">
      <alignment horizontal="center"/>
    </xf>
    <xf numFmtId="49" fontId="73" fillId="0" borderId="0" xfId="0" applyNumberFormat="1" applyFont="1" applyBorder="1"/>
    <xf numFmtId="49" fontId="73" fillId="0" borderId="12" xfId="0" applyNumberFormat="1" applyFont="1" applyBorder="1"/>
    <xf numFmtId="0" fontId="31" fillId="0" borderId="0" xfId="0" applyFont="1" applyBorder="1" applyAlignment="1">
      <alignment horizontal="right"/>
    </xf>
    <xf numFmtId="49" fontId="31" fillId="0" borderId="12" xfId="0" applyNumberFormat="1" applyFont="1" applyBorder="1"/>
    <xf numFmtId="1" fontId="31" fillId="0" borderId="0" xfId="0" applyNumberFormat="1" applyFont="1" applyBorder="1" applyAlignment="1">
      <alignment horizontal="right"/>
    </xf>
    <xf numFmtId="49" fontId="31" fillId="0" borderId="0" xfId="0" applyNumberFormat="1" applyFont="1" applyBorder="1" applyAlignment="1">
      <alignment horizontal="right"/>
    </xf>
    <xf numFmtId="49" fontId="31" fillId="0" borderId="0" xfId="0" applyNumberFormat="1" applyFont="1" applyBorder="1" applyAlignment="1">
      <alignment horizontal="left"/>
    </xf>
    <xf numFmtId="0" fontId="90" fillId="0" borderId="0" xfId="0" applyFont="1" applyBorder="1" applyAlignment="1">
      <alignment horizontal="center"/>
    </xf>
    <xf numFmtId="0" fontId="90" fillId="0" borderId="0" xfId="0" applyFont="1" applyBorder="1" applyAlignment="1">
      <alignment horizontal="left"/>
    </xf>
    <xf numFmtId="0" fontId="31" fillId="0" borderId="12" xfId="0" applyNumberFormat="1" applyFont="1" applyBorder="1" applyAlignment="1">
      <alignment horizontal="left"/>
    </xf>
    <xf numFmtId="0" fontId="31" fillId="0" borderId="0" xfId="0" applyFont="1" applyBorder="1"/>
    <xf numFmtId="0" fontId="31" fillId="0" borderId="0" xfId="0" applyFont="1" applyBorder="1" applyAlignment="1">
      <alignment horizontal="left"/>
    </xf>
    <xf numFmtId="0" fontId="31" fillId="0" borderId="0" xfId="0" applyFont="1" applyBorder="1" applyAlignment="1">
      <alignment horizontal="center"/>
    </xf>
    <xf numFmtId="1" fontId="31" fillId="0" borderId="0" xfId="0" applyNumberFormat="1" applyFont="1" applyBorder="1" applyAlignment="1">
      <alignment horizontal="center"/>
    </xf>
    <xf numFmtId="1" fontId="31" fillId="0" borderId="0" xfId="0" applyNumberFormat="1" applyFont="1" applyBorder="1"/>
    <xf numFmtId="0" fontId="29" fillId="0" borderId="0" xfId="0" applyFont="1" applyBorder="1" applyAlignment="1">
      <alignment horizontal="right"/>
    </xf>
    <xf numFmtId="10" fontId="73" fillId="0" borderId="0" xfId="0" applyNumberFormat="1" applyFont="1" applyBorder="1" applyAlignment="1">
      <alignment horizontal="left"/>
    </xf>
    <xf numFmtId="0" fontId="73" fillId="0" borderId="9" xfId="0" applyFont="1" applyBorder="1" applyAlignment="1">
      <alignment horizontal="left"/>
    </xf>
    <xf numFmtId="0" fontId="73" fillId="0" borderId="15" xfId="0" applyFont="1" applyBorder="1" applyAlignment="1">
      <alignment horizontal="left"/>
    </xf>
    <xf numFmtId="0" fontId="73" fillId="0" borderId="4" xfId="0" applyFont="1" applyBorder="1" applyAlignment="1">
      <alignment horizontal="left"/>
    </xf>
    <xf numFmtId="0" fontId="73" fillId="0" borderId="2" xfId="0" applyFont="1" applyBorder="1"/>
    <xf numFmtId="0" fontId="73" fillId="0" borderId="4" xfId="0" applyFont="1" applyBorder="1"/>
    <xf numFmtId="0" fontId="73" fillId="0" borderId="3" xfId="0" applyFont="1" applyBorder="1"/>
    <xf numFmtId="0" fontId="73" fillId="0" borderId="19" xfId="0" applyFont="1" applyBorder="1" applyAlignment="1">
      <alignment horizontal="left"/>
    </xf>
    <xf numFmtId="0" fontId="73" fillId="0" borderId="20" xfId="0" applyFont="1" applyBorder="1"/>
    <xf numFmtId="0" fontId="29" fillId="0" borderId="15" xfId="0" applyFont="1" applyBorder="1" applyAlignment="1">
      <alignment horizontal="left"/>
    </xf>
    <xf numFmtId="0" fontId="29" fillId="0" borderId="8" xfId="0" applyFont="1" applyBorder="1" applyAlignment="1">
      <alignment horizontal="center"/>
    </xf>
    <xf numFmtId="0" fontId="29" fillId="0" borderId="9" xfId="0" applyFont="1" applyBorder="1" applyAlignment="1">
      <alignment horizontal="center"/>
    </xf>
    <xf numFmtId="0" fontId="29" fillId="0" borderId="28" xfId="0" applyFont="1" applyBorder="1" applyAlignment="1">
      <alignment horizontal="center"/>
    </xf>
    <xf numFmtId="0" fontId="29" fillId="0" borderId="28" xfId="0" applyFont="1" applyFill="1" applyBorder="1" applyAlignment="1">
      <alignment horizontal="center"/>
    </xf>
    <xf numFmtId="14" fontId="29" fillId="0" borderId="18" xfId="0" applyNumberFormat="1" applyFont="1" applyBorder="1" applyAlignment="1">
      <alignment horizontal="center"/>
    </xf>
    <xf numFmtId="0" fontId="29" fillId="0" borderId="19" xfId="0" applyFont="1" applyBorder="1" applyAlignment="1">
      <alignment horizontal="center"/>
    </xf>
    <xf numFmtId="0" fontId="29" fillId="0" borderId="20" xfId="0" applyFont="1" applyBorder="1" applyAlignment="1">
      <alignment horizontal="center"/>
    </xf>
    <xf numFmtId="0" fontId="29" fillId="0" borderId="27" xfId="0" applyFont="1" applyBorder="1" applyAlignment="1">
      <alignment horizontal="center"/>
    </xf>
    <xf numFmtId="0" fontId="29" fillId="0" borderId="18" xfId="0" applyFont="1" applyBorder="1" applyAlignment="1">
      <alignment horizontal="left"/>
    </xf>
    <xf numFmtId="0" fontId="29" fillId="0" borderId="26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9" fillId="0" borderId="6" xfId="0" applyFont="1" applyBorder="1" applyAlignment="1">
      <alignment horizontal="center"/>
    </xf>
    <xf numFmtId="0" fontId="29" fillId="0" borderId="3" xfId="0" applyFont="1" applyBorder="1" applyAlignment="1">
      <alignment horizontal="center"/>
    </xf>
    <xf numFmtId="0" fontId="71" fillId="0" borderId="0" xfId="2"/>
    <xf numFmtId="0" fontId="0" fillId="0" borderId="47" xfId="0" applyBorder="1"/>
    <xf numFmtId="0" fontId="0" fillId="0" borderId="51" xfId="0" applyBorder="1"/>
    <xf numFmtId="0" fontId="0" fillId="0" borderId="49" xfId="0" applyBorder="1"/>
    <xf numFmtId="0" fontId="0" fillId="0" borderId="21" xfId="0" applyBorder="1"/>
    <xf numFmtId="0" fontId="0" fillId="0" borderId="31" xfId="0" applyBorder="1"/>
    <xf numFmtId="0" fontId="36" fillId="0" borderId="7" xfId="0" applyFont="1" applyBorder="1"/>
    <xf numFmtId="0" fontId="36" fillId="0" borderId="12" xfId="0" applyFont="1" applyBorder="1"/>
    <xf numFmtId="0" fontId="36" fillId="0" borderId="0" xfId="0" applyFont="1" applyBorder="1" applyAlignment="1">
      <alignment horizontal="center"/>
    </xf>
    <xf numFmtId="0" fontId="36" fillId="0" borderId="0" xfId="0" applyFont="1" applyBorder="1"/>
    <xf numFmtId="0" fontId="37" fillId="0" borderId="7" xfId="0" applyFont="1" applyBorder="1"/>
    <xf numFmtId="0" fontId="91" fillId="0" borderId="0" xfId="0" applyFont="1" applyBorder="1"/>
    <xf numFmtId="49" fontId="37" fillId="0" borderId="0" xfId="0" applyNumberFormat="1" applyFont="1" applyBorder="1"/>
    <xf numFmtId="0" fontId="91" fillId="0" borderId="0" xfId="0" applyFont="1" applyBorder="1" applyAlignment="1">
      <alignment horizontal="center"/>
    </xf>
    <xf numFmtId="0" fontId="36" fillId="0" borderId="0" xfId="0" applyFont="1" applyBorder="1" applyAlignment="1">
      <alignment horizontal="left"/>
    </xf>
    <xf numFmtId="0" fontId="95" fillId="0" borderId="0" xfId="0" applyFont="1" applyBorder="1"/>
    <xf numFmtId="0" fontId="91" fillId="0" borderId="0" xfId="0" applyFont="1" applyFill="1" applyBorder="1" applyAlignment="1">
      <alignment horizontal="left"/>
    </xf>
    <xf numFmtId="0" fontId="37" fillId="0" borderId="0" xfId="0" applyFont="1" applyBorder="1" applyAlignment="1">
      <alignment horizontal="center"/>
    </xf>
    <xf numFmtId="0" fontId="29" fillId="0" borderId="5" xfId="0" applyFont="1" applyBorder="1"/>
    <xf numFmtId="0" fontId="31" fillId="0" borderId="5" xfId="0" applyFont="1" applyBorder="1" applyAlignment="1">
      <alignment horizontal="center"/>
    </xf>
    <xf numFmtId="0" fontId="91" fillId="0" borderId="5" xfId="0" applyFont="1" applyBorder="1" applyAlignment="1">
      <alignment horizontal="center"/>
    </xf>
    <xf numFmtId="0" fontId="37" fillId="0" borderId="0" xfId="0" applyFont="1" applyBorder="1" applyAlignment="1">
      <alignment horizontal="left"/>
    </xf>
    <xf numFmtId="0" fontId="96" fillId="0" borderId="0" xfId="0" applyFont="1" applyBorder="1"/>
    <xf numFmtId="0" fontId="97" fillId="0" borderId="0" xfId="0" applyFont="1" applyBorder="1" applyAlignment="1"/>
    <xf numFmtId="1" fontId="37" fillId="0" borderId="5" xfId="0" applyNumberFormat="1" applyFont="1" applyBorder="1" applyAlignment="1">
      <alignment horizontal="center"/>
    </xf>
    <xf numFmtId="0" fontId="97" fillId="0" borderId="0" xfId="0" applyFont="1" applyBorder="1" applyAlignment="1">
      <alignment horizontal="center"/>
    </xf>
    <xf numFmtId="0" fontId="36" fillId="0" borderId="5" xfId="0" applyFont="1" applyFill="1" applyBorder="1"/>
    <xf numFmtId="1" fontId="91" fillId="0" borderId="5" xfId="0" applyNumberFormat="1" applyFont="1" applyBorder="1" applyAlignment="1">
      <alignment horizontal="center"/>
    </xf>
    <xf numFmtId="49" fontId="36" fillId="0" borderId="0" xfId="0" applyNumberFormat="1" applyFont="1" applyBorder="1"/>
    <xf numFmtId="1" fontId="37" fillId="0" borderId="0" xfId="0" applyNumberFormat="1" applyFont="1" applyBorder="1" applyAlignment="1">
      <alignment horizontal="center"/>
    </xf>
    <xf numFmtId="166" fontId="37" fillId="0" borderId="0" xfId="3" applyNumberFormat="1" applyFont="1" applyBorder="1" applyAlignment="1"/>
    <xf numFmtId="166" fontId="37" fillId="0" borderId="0" xfId="0" applyNumberFormat="1" applyFont="1" applyBorder="1" applyAlignment="1"/>
    <xf numFmtId="166" fontId="37" fillId="0" borderId="0" xfId="0" applyNumberFormat="1" applyFont="1" applyBorder="1"/>
    <xf numFmtId="0" fontId="98" fillId="0" borderId="0" xfId="0" applyFont="1" applyBorder="1" applyAlignment="1">
      <alignment horizontal="center"/>
    </xf>
    <xf numFmtId="0" fontId="37" fillId="0" borderId="0" xfId="0" applyFont="1" applyBorder="1"/>
    <xf numFmtId="1" fontId="65" fillId="0" borderId="5" xfId="0" applyNumberFormat="1" applyFont="1" applyBorder="1" applyAlignment="1">
      <alignment horizontal="center"/>
    </xf>
    <xf numFmtId="1" fontId="37" fillId="0" borderId="14" xfId="0" applyNumberFormat="1" applyFont="1" applyBorder="1" applyAlignment="1">
      <alignment horizontal="center"/>
    </xf>
    <xf numFmtId="164" fontId="65" fillId="0" borderId="5" xfId="0" applyNumberFormat="1" applyFont="1" applyBorder="1" applyAlignment="1">
      <alignment horizontal="center"/>
    </xf>
    <xf numFmtId="0" fontId="65" fillId="0" borderId="5" xfId="0" applyFont="1" applyBorder="1" applyAlignment="1">
      <alignment horizontal="center"/>
    </xf>
    <xf numFmtId="0" fontId="36" fillId="0" borderId="14" xfId="0" applyFont="1" applyBorder="1" applyAlignment="1">
      <alignment horizontal="center"/>
    </xf>
    <xf numFmtId="14" fontId="36" fillId="0" borderId="14" xfId="0" applyNumberFormat="1" applyFont="1" applyBorder="1"/>
    <xf numFmtId="0" fontId="36" fillId="0" borderId="14" xfId="0" applyFont="1" applyBorder="1"/>
    <xf numFmtId="0" fontId="36" fillId="0" borderId="23" xfId="0" applyFont="1" applyBorder="1"/>
    <xf numFmtId="14" fontId="36" fillId="0" borderId="17" xfId="0" applyNumberFormat="1" applyFont="1" applyBorder="1"/>
    <xf numFmtId="0" fontId="0" fillId="0" borderId="48" xfId="0" applyBorder="1"/>
    <xf numFmtId="0" fontId="0" fillId="0" borderId="56" xfId="0" applyBorder="1"/>
    <xf numFmtId="0" fontId="0" fillId="0" borderId="58" xfId="0" applyBorder="1"/>
    <xf numFmtId="166" fontId="0" fillId="0" borderId="0" xfId="0" applyNumberFormat="1"/>
    <xf numFmtId="0" fontId="103" fillId="0" borderId="5" xfId="0" applyFont="1" applyBorder="1" applyAlignment="1">
      <alignment horizontal="center"/>
    </xf>
    <xf numFmtId="0" fontId="104" fillId="0" borderId="0" xfId="0" applyFont="1"/>
    <xf numFmtId="1" fontId="105" fillId="0" borderId="5" xfId="0" applyNumberFormat="1" applyFont="1" applyBorder="1" applyAlignment="1">
      <alignment horizontal="center"/>
    </xf>
    <xf numFmtId="0" fontId="7" fillId="0" borderId="15" xfId="0" applyNumberFormat="1" applyFont="1" applyBorder="1"/>
    <xf numFmtId="0" fontId="26" fillId="14" borderId="2" xfId="0" applyFont="1" applyFill="1" applyBorder="1" applyAlignment="1"/>
    <xf numFmtId="0" fontId="26" fillId="14" borderId="4" xfId="0" applyFont="1" applyFill="1" applyBorder="1" applyAlignment="1"/>
    <xf numFmtId="0" fontId="7" fillId="0" borderId="4" xfId="0" applyFont="1" applyBorder="1" applyAlignment="1">
      <alignment horizontal="left"/>
    </xf>
    <xf numFmtId="0" fontId="106" fillId="17" borderId="40" xfId="0" applyFont="1" applyFill="1" applyBorder="1"/>
    <xf numFmtId="164" fontId="106" fillId="0" borderId="4" xfId="0" applyNumberFormat="1" applyFont="1" applyBorder="1"/>
    <xf numFmtId="0" fontId="106" fillId="0" borderId="14" xfId="0" applyFont="1" applyBorder="1"/>
    <xf numFmtId="0" fontId="106" fillId="0" borderId="0" xfId="0" applyFont="1" applyBorder="1"/>
    <xf numFmtId="0" fontId="57" fillId="0" borderId="12" xfId="0" applyFont="1" applyBorder="1"/>
    <xf numFmtId="0" fontId="106" fillId="0" borderId="17" xfId="0" applyFont="1" applyBorder="1"/>
    <xf numFmtId="2" fontId="107" fillId="0" borderId="11" xfId="0" applyNumberFormat="1" applyFont="1" applyBorder="1"/>
    <xf numFmtId="2" fontId="107" fillId="0" borderId="14" xfId="0" applyNumberFormat="1" applyFont="1" applyBorder="1"/>
    <xf numFmtId="2" fontId="37" fillId="0" borderId="20" xfId="0" applyNumberFormat="1" applyFont="1" applyBorder="1"/>
    <xf numFmtId="0" fontId="19" fillId="5" borderId="13" xfId="0" applyFont="1" applyFill="1" applyBorder="1"/>
    <xf numFmtId="0" fontId="28" fillId="5" borderId="13" xfId="0" applyFont="1" applyFill="1" applyBorder="1"/>
    <xf numFmtId="2" fontId="6" fillId="5" borderId="13" xfId="0" applyNumberFormat="1" applyFont="1" applyFill="1" applyBorder="1" applyAlignment="1">
      <alignment horizontal="left"/>
    </xf>
    <xf numFmtId="2" fontId="6" fillId="5" borderId="16" xfId="0" applyNumberFormat="1" applyFont="1" applyFill="1" applyBorder="1" applyAlignment="1">
      <alignment horizontal="left"/>
    </xf>
    <xf numFmtId="0" fontId="19" fillId="15" borderId="10" xfId="0" applyFont="1" applyFill="1" applyBorder="1"/>
    <xf numFmtId="164" fontId="0" fillId="0" borderId="15" xfId="0" applyNumberFormat="1" applyBorder="1" applyAlignment="1">
      <alignment horizontal="left"/>
    </xf>
    <xf numFmtId="164" fontId="0" fillId="0" borderId="9" xfId="0" applyNumberFormat="1" applyBorder="1" applyAlignment="1">
      <alignment horizontal="left"/>
    </xf>
    <xf numFmtId="164" fontId="0" fillId="0" borderId="20" xfId="0" applyNumberFormat="1" applyBorder="1" applyAlignment="1">
      <alignment horizontal="left"/>
    </xf>
    <xf numFmtId="0" fontId="0" fillId="0" borderId="0" xfId="0" applyFill="1" applyBorder="1" applyAlignment="1">
      <alignment horizontal="left"/>
    </xf>
    <xf numFmtId="0" fontId="108" fillId="0" borderId="0" xfId="2" applyFont="1"/>
    <xf numFmtId="0" fontId="0" fillId="0" borderId="57" xfId="0" applyBorder="1"/>
    <xf numFmtId="0" fontId="106" fillId="0" borderId="2" xfId="0" applyFont="1" applyBorder="1"/>
    <xf numFmtId="0" fontId="57" fillId="0" borderId="4" xfId="0" applyFont="1" applyBorder="1"/>
    <xf numFmtId="14" fontId="29" fillId="0" borderId="3" xfId="0" applyNumberFormat="1" applyFont="1" applyBorder="1" applyAlignment="1">
      <alignment horizontal="center"/>
    </xf>
    <xf numFmtId="0" fontId="87" fillId="0" borderId="0" xfId="0" applyNumberFormat="1" applyFont="1" applyBorder="1" applyAlignment="1">
      <alignment horizontal="right"/>
    </xf>
    <xf numFmtId="0" fontId="12" fillId="24" borderId="7" xfId="0" applyFont="1" applyFill="1" applyBorder="1" applyAlignment="1"/>
    <xf numFmtId="0" fontId="12" fillId="24" borderId="0" xfId="0" applyFont="1" applyFill="1" applyBorder="1" applyAlignment="1"/>
    <xf numFmtId="0" fontId="71" fillId="0" borderId="0" xfId="2" applyNumberFormat="1"/>
    <xf numFmtId="0" fontId="25" fillId="14" borderId="12" xfId="0" applyFont="1" applyFill="1" applyBorder="1"/>
    <xf numFmtId="0" fontId="25" fillId="14" borderId="0" xfId="0" applyFont="1" applyFill="1" applyBorder="1"/>
    <xf numFmtId="0" fontId="25" fillId="5" borderId="8" xfId="0" applyFont="1" applyFill="1" applyBorder="1"/>
    <xf numFmtId="0" fontId="25" fillId="5" borderId="8" xfId="0" applyFont="1" applyFill="1" applyBorder="1" applyAlignment="1">
      <alignment horizontal="center"/>
    </xf>
    <xf numFmtId="0" fontId="25" fillId="5" borderId="9" xfId="0" applyFont="1" applyFill="1" applyBorder="1"/>
    <xf numFmtId="0" fontId="25" fillId="5" borderId="12" xfId="0" applyFont="1" applyFill="1" applyBorder="1"/>
    <xf numFmtId="0" fontId="25" fillId="5" borderId="19" xfId="0" applyFont="1" applyFill="1" applyBorder="1"/>
    <xf numFmtId="0" fontId="25" fillId="14" borderId="0" xfId="0" applyFont="1" applyFill="1" applyBorder="1" applyAlignment="1"/>
    <xf numFmtId="0" fontId="49" fillId="5" borderId="8" xfId="0" applyFont="1" applyFill="1" applyBorder="1"/>
    <xf numFmtId="0" fontId="49" fillId="5" borderId="0" xfId="0" applyFont="1" applyFill="1" applyBorder="1"/>
    <xf numFmtId="0" fontId="25" fillId="14" borderId="19" xfId="0" applyFont="1" applyFill="1" applyBorder="1"/>
    <xf numFmtId="0" fontId="25" fillId="5" borderId="20" xfId="0" applyFont="1" applyFill="1" applyBorder="1"/>
    <xf numFmtId="0" fontId="44" fillId="22" borderId="15" xfId="0" applyFont="1" applyFill="1" applyBorder="1"/>
    <xf numFmtId="0" fontId="25" fillId="22" borderId="8" xfId="0" applyFont="1" applyFill="1" applyBorder="1" applyAlignment="1">
      <alignment horizontal="center"/>
    </xf>
    <xf numFmtId="0" fontId="49" fillId="22" borderId="8" xfId="0" applyFont="1" applyFill="1" applyBorder="1"/>
    <xf numFmtId="0" fontId="25" fillId="22" borderId="8" xfId="0" applyFont="1" applyFill="1" applyBorder="1"/>
    <xf numFmtId="0" fontId="25" fillId="22" borderId="9" xfId="0" applyFont="1" applyFill="1" applyBorder="1"/>
    <xf numFmtId="0" fontId="25" fillId="22" borderId="7" xfId="0" applyFont="1" applyFill="1" applyBorder="1"/>
    <xf numFmtId="0" fontId="25" fillId="22" borderId="0" xfId="0" applyFont="1" applyFill="1" applyBorder="1" applyAlignment="1">
      <alignment horizontal="right"/>
    </xf>
    <xf numFmtId="0" fontId="25" fillId="22" borderId="0" xfId="0" applyFont="1" applyFill="1" applyBorder="1"/>
    <xf numFmtId="0" fontId="25" fillId="22" borderId="12" xfId="0" applyFont="1" applyFill="1" applyBorder="1"/>
    <xf numFmtId="0" fontId="25" fillId="22" borderId="18" xfId="0" applyFont="1" applyFill="1" applyBorder="1"/>
    <xf numFmtId="0" fontId="25" fillId="22" borderId="19" xfId="0" applyFont="1" applyFill="1" applyBorder="1" applyAlignment="1">
      <alignment horizontal="right"/>
    </xf>
    <xf numFmtId="0" fontId="25" fillId="22" borderId="19" xfId="0" applyFont="1" applyFill="1" applyBorder="1"/>
    <xf numFmtId="0" fontId="25" fillId="22" borderId="20" xfId="0" applyFont="1" applyFill="1" applyBorder="1"/>
    <xf numFmtId="0" fontId="25" fillId="14" borderId="12" xfId="0" applyFont="1" applyFill="1" applyBorder="1" applyAlignment="1"/>
    <xf numFmtId="0" fontId="25" fillId="14" borderId="20" xfId="0" applyFont="1" applyFill="1" applyBorder="1"/>
    <xf numFmtId="0" fontId="78" fillId="0" borderId="27" xfId="0" quotePrefix="1" applyFont="1" applyBorder="1" applyAlignment="1">
      <alignment horizontal="left"/>
    </xf>
    <xf numFmtId="0" fontId="0" fillId="0" borderId="0" xfId="0" quotePrefix="1" applyFill="1" applyBorder="1"/>
    <xf numFmtId="0" fontId="0" fillId="0" borderId="0" xfId="0" applyFont="1" applyBorder="1" applyAlignment="1">
      <alignment horizontal="center"/>
    </xf>
    <xf numFmtId="0" fontId="0" fillId="0" borderId="0" xfId="0" quotePrefix="1" applyNumberFormat="1" applyFont="1" applyBorder="1" applyAlignment="1">
      <alignment horizontal="center"/>
    </xf>
    <xf numFmtId="0" fontId="73" fillId="3" borderId="5" xfId="0" applyFont="1" applyFill="1" applyBorder="1"/>
    <xf numFmtId="0" fontId="91" fillId="0" borderId="8" xfId="0" applyFont="1" applyBorder="1" applyAlignment="1">
      <alignment horizontal="left"/>
    </xf>
    <xf numFmtId="0" fontId="91" fillId="0" borderId="12" xfId="0" applyFont="1" applyBorder="1" applyAlignment="1">
      <alignment horizontal="left" vertical="center"/>
    </xf>
    <xf numFmtId="0" fontId="90" fillId="3" borderId="5" xfId="0" applyFont="1" applyFill="1" applyBorder="1"/>
    <xf numFmtId="0" fontId="91" fillId="3" borderId="5" xfId="0" applyFont="1" applyFill="1" applyBorder="1"/>
    <xf numFmtId="0" fontId="29" fillId="0" borderId="19" xfId="0" applyFont="1" applyBorder="1" applyAlignment="1">
      <alignment vertical="center"/>
    </xf>
    <xf numFmtId="0" fontId="90" fillId="27" borderId="5" xfId="0" applyFont="1" applyFill="1" applyBorder="1"/>
    <xf numFmtId="0" fontId="31" fillId="0" borderId="5" xfId="0" applyFont="1" applyFill="1" applyBorder="1"/>
    <xf numFmtId="0" fontId="31" fillId="26" borderId="5" xfId="0" applyFont="1" applyFill="1" applyBorder="1"/>
    <xf numFmtId="0" fontId="90" fillId="0" borderId="5" xfId="0" applyFont="1" applyFill="1" applyBorder="1"/>
    <xf numFmtId="0" fontId="29" fillId="0" borderId="0" xfId="0" applyFont="1" applyFill="1" applyBorder="1" applyAlignment="1">
      <alignment horizontal="right"/>
    </xf>
    <xf numFmtId="0" fontId="90" fillId="5" borderId="5" xfId="0" applyFont="1" applyFill="1" applyBorder="1"/>
    <xf numFmtId="0" fontId="73" fillId="0" borderId="0" xfId="0" applyNumberFormat="1" applyFont="1" applyBorder="1" applyAlignment="1">
      <alignment horizontal="left"/>
    </xf>
    <xf numFmtId="0" fontId="73" fillId="0" borderId="0" xfId="0" applyFont="1" applyAlignment="1">
      <alignment horizontal="left"/>
    </xf>
    <xf numFmtId="0" fontId="90" fillId="11" borderId="25" xfId="0" applyFont="1" applyFill="1" applyBorder="1"/>
    <xf numFmtId="0" fontId="110" fillId="3" borderId="25" xfId="0" applyFont="1" applyFill="1" applyBorder="1"/>
    <xf numFmtId="0" fontId="110" fillId="3" borderId="5" xfId="0" applyFont="1" applyFill="1" applyBorder="1"/>
    <xf numFmtId="0" fontId="111" fillId="5" borderId="0" xfId="0" applyFont="1" applyFill="1" applyBorder="1" applyAlignment="1">
      <alignment horizontal="left"/>
    </xf>
    <xf numFmtId="0" fontId="73" fillId="0" borderId="19" xfId="0" applyNumberFormat="1" applyFont="1" applyBorder="1" applyAlignment="1">
      <alignment horizontal="right"/>
    </xf>
    <xf numFmtId="0" fontId="73" fillId="3" borderId="0" xfId="0" applyFont="1" applyFill="1" applyBorder="1"/>
    <xf numFmtId="0" fontId="73" fillId="0" borderId="8" xfId="0" applyFont="1" applyBorder="1" applyAlignment="1">
      <alignment horizontal="left"/>
    </xf>
    <xf numFmtId="49" fontId="73" fillId="0" borderId="8" xfId="0" applyNumberFormat="1" applyFont="1" applyBorder="1"/>
    <xf numFmtId="49" fontId="73" fillId="0" borderId="9" xfId="0" applyNumberFormat="1" applyFont="1" applyBorder="1"/>
    <xf numFmtId="0" fontId="29" fillId="0" borderId="0" xfId="0" applyFont="1" applyBorder="1" applyAlignment="1">
      <alignment horizontal="left" vertical="center"/>
    </xf>
    <xf numFmtId="0" fontId="90" fillId="0" borderId="7" xfId="0" applyFont="1" applyBorder="1"/>
    <xf numFmtId="49" fontId="90" fillId="0" borderId="7" xfId="0" applyNumberFormat="1" applyFont="1" applyBorder="1"/>
    <xf numFmtId="0" fontId="96" fillId="0" borderId="0" xfId="0" applyFont="1" applyBorder="1" applyAlignment="1">
      <alignment horizontal="left"/>
    </xf>
    <xf numFmtId="49" fontId="112" fillId="0" borderId="0" xfId="0" applyNumberFormat="1" applyFont="1" applyBorder="1" applyAlignment="1">
      <alignment horizontal="right"/>
    </xf>
    <xf numFmtId="0" fontId="112" fillId="0" borderId="0" xfId="0" applyFont="1" applyBorder="1" applyAlignment="1">
      <alignment horizontal="left"/>
    </xf>
    <xf numFmtId="0" fontId="31" fillId="0" borderId="19" xfId="0" applyNumberFormat="1" applyFont="1" applyBorder="1" applyAlignment="1">
      <alignment horizontal="left"/>
    </xf>
    <xf numFmtId="49" fontId="31" fillId="0" borderId="19" xfId="0" applyNumberFormat="1" applyFont="1" applyBorder="1" applyAlignment="1">
      <alignment horizontal="left"/>
    </xf>
    <xf numFmtId="49" fontId="31" fillId="0" borderId="20" xfId="0" applyNumberFormat="1" applyFont="1" applyBorder="1"/>
    <xf numFmtId="49" fontId="29" fillId="0" borderId="12" xfId="0" applyNumberFormat="1" applyFont="1" applyBorder="1"/>
    <xf numFmtId="0" fontId="73" fillId="0" borderId="0" xfId="0" applyFont="1" applyFill="1" applyAlignment="1">
      <alignment horizontal="left"/>
    </xf>
    <xf numFmtId="0" fontId="73" fillId="0" borderId="6" xfId="0" applyFont="1" applyBorder="1" applyAlignment="1">
      <alignment horizontal="left"/>
    </xf>
    <xf numFmtId="0" fontId="90" fillId="11" borderId="5" xfId="0" applyFont="1" applyFill="1" applyBorder="1"/>
    <xf numFmtId="0" fontId="73" fillId="11" borderId="5" xfId="0" applyFont="1" applyFill="1" applyBorder="1"/>
    <xf numFmtId="0" fontId="29" fillId="0" borderId="0" xfId="0" applyFont="1" applyBorder="1" applyAlignment="1"/>
    <xf numFmtId="0" fontId="91" fillId="0" borderId="20" xfId="0" applyFont="1" applyFill="1" applyBorder="1" applyAlignment="1">
      <alignment vertical="center" wrapText="1"/>
    </xf>
    <xf numFmtId="2" fontId="90" fillId="0" borderId="5" xfId="0" applyNumberFormat="1" applyFont="1" applyFill="1" applyBorder="1"/>
    <xf numFmtId="2" fontId="90" fillId="3" borderId="5" xfId="0" applyNumberFormat="1" applyFont="1" applyFill="1" applyBorder="1"/>
    <xf numFmtId="1" fontId="73" fillId="0" borderId="0" xfId="0" applyNumberFormat="1" applyFont="1" applyBorder="1" applyAlignment="1">
      <alignment horizontal="right"/>
    </xf>
    <xf numFmtId="0" fontId="73" fillId="8" borderId="0" xfId="0" applyFont="1" applyFill="1"/>
    <xf numFmtId="0" fontId="73" fillId="0" borderId="5" xfId="0" applyFont="1" applyBorder="1"/>
    <xf numFmtId="0" fontId="73" fillId="0" borderId="25" xfId="0" applyFont="1" applyFill="1" applyBorder="1"/>
    <xf numFmtId="0" fontId="73" fillId="0" borderId="5" xfId="0" applyFont="1" applyFill="1" applyBorder="1"/>
    <xf numFmtId="0" fontId="37" fillId="5" borderId="0" xfId="0" applyFont="1" applyFill="1" applyBorder="1" applyAlignment="1">
      <alignment horizontal="left"/>
    </xf>
    <xf numFmtId="0" fontId="73" fillId="5" borderId="0" xfId="0" applyFont="1" applyFill="1" applyBorder="1"/>
    <xf numFmtId="0" fontId="73" fillId="5" borderId="5" xfId="0" applyFont="1" applyFill="1" applyBorder="1"/>
    <xf numFmtId="0" fontId="90" fillId="5" borderId="0" xfId="0" applyFont="1" applyFill="1" applyBorder="1"/>
    <xf numFmtId="0" fontId="73" fillId="0" borderId="7" xfId="0" applyNumberFormat="1" applyFont="1" applyBorder="1" applyAlignment="1">
      <alignment horizontal="left"/>
    </xf>
    <xf numFmtId="0" fontId="90" fillId="0" borderId="12" xfId="0" applyFont="1" applyBorder="1" applyAlignment="1">
      <alignment horizontal="left"/>
    </xf>
    <xf numFmtId="49" fontId="31" fillId="0" borderId="7" xfId="0" applyNumberFormat="1" applyFont="1" applyBorder="1" applyAlignment="1"/>
    <xf numFmtId="49" fontId="31" fillId="0" borderId="0" xfId="0" quotePrefix="1" applyNumberFormat="1" applyFont="1" applyBorder="1" applyAlignment="1"/>
    <xf numFmtId="0" fontId="31" fillId="0" borderId="12" xfId="0" applyFont="1" applyBorder="1" applyAlignment="1">
      <alignment horizontal="left"/>
    </xf>
    <xf numFmtId="0" fontId="73" fillId="15" borderId="0" xfId="0" applyFont="1" applyFill="1"/>
    <xf numFmtId="0" fontId="113" fillId="0" borderId="0" xfId="2" applyFont="1" applyFill="1" applyAlignment="1">
      <alignment horizontal="left"/>
    </xf>
    <xf numFmtId="0" fontId="36" fillId="0" borderId="0" xfId="0" applyFont="1"/>
    <xf numFmtId="49" fontId="31" fillId="0" borderId="8" xfId="0" applyNumberFormat="1" applyFont="1" applyBorder="1" applyAlignment="1">
      <alignment horizontal="right"/>
    </xf>
    <xf numFmtId="49" fontId="31" fillId="0" borderId="9" xfId="0" applyNumberFormat="1" applyFont="1" applyBorder="1"/>
    <xf numFmtId="0" fontId="29" fillId="0" borderId="0" xfId="0" applyNumberFormat="1" applyFont="1" applyBorder="1" applyAlignment="1">
      <alignment horizontal="left"/>
    </xf>
    <xf numFmtId="0" fontId="29" fillId="0" borderId="5" xfId="0" applyFont="1" applyBorder="1" applyAlignment="1">
      <alignment horizontal="right"/>
    </xf>
    <xf numFmtId="0" fontId="31" fillId="0" borderId="0" xfId="0" applyNumberFormat="1" applyFont="1" applyBorder="1" applyAlignment="1">
      <alignment horizontal="left"/>
    </xf>
    <xf numFmtId="0" fontId="114" fillId="0" borderId="0" xfId="1" applyFont="1" applyFill="1" applyBorder="1" applyAlignment="1" applyProtection="1"/>
    <xf numFmtId="0" fontId="29" fillId="0" borderId="5" xfId="0" applyFont="1" applyFill="1" applyBorder="1" applyAlignment="1">
      <alignment horizontal="center"/>
    </xf>
    <xf numFmtId="0" fontId="29" fillId="0" borderId="7" xfId="0" applyFont="1" applyFill="1" applyBorder="1" applyAlignment="1">
      <alignment horizontal="center"/>
    </xf>
    <xf numFmtId="0" fontId="96" fillId="0" borderId="0" xfId="0" applyFont="1" applyAlignment="1">
      <alignment horizontal="center"/>
    </xf>
    <xf numFmtId="0" fontId="73" fillId="0" borderId="0" xfId="0" applyFont="1" applyAlignment="1">
      <alignment horizontal="center"/>
    </xf>
    <xf numFmtId="0" fontId="73" fillId="0" borderId="8" xfId="0" applyFont="1" applyBorder="1" applyAlignment="1">
      <alignment horizontal="right"/>
    </xf>
    <xf numFmtId="49" fontId="29" fillId="0" borderId="0" xfId="0" applyNumberFormat="1" applyFont="1" applyBorder="1" applyAlignment="1">
      <alignment horizontal="right"/>
    </xf>
    <xf numFmtId="49" fontId="73" fillId="0" borderId="19" xfId="0" applyNumberFormat="1" applyFont="1" applyBorder="1" applyAlignment="1">
      <alignment horizontal="right"/>
    </xf>
    <xf numFmtId="0" fontId="4" fillId="0" borderId="14" xfId="0" applyFont="1" applyBorder="1"/>
    <xf numFmtId="0" fontId="4" fillId="0" borderId="57" xfId="0" applyFont="1" applyBorder="1"/>
    <xf numFmtId="0" fontId="65" fillId="19" borderId="40" xfId="0" applyFont="1" applyFill="1" applyBorder="1"/>
    <xf numFmtId="167" fontId="65" fillId="0" borderId="41" xfId="0" applyNumberFormat="1" applyFont="1" applyBorder="1"/>
    <xf numFmtId="2" fontId="107" fillId="0" borderId="17" xfId="0" applyNumberFormat="1" applyFont="1" applyBorder="1"/>
    <xf numFmtId="0" fontId="25" fillId="0" borderId="7" xfId="0" applyFont="1" applyFill="1" applyBorder="1"/>
    <xf numFmtId="0" fontId="44" fillId="0" borderId="7" xfId="0" applyFont="1" applyFill="1" applyBorder="1" applyAlignment="1"/>
    <xf numFmtId="0" fontId="44" fillId="0" borderId="0" xfId="0" applyFont="1" applyFill="1" applyBorder="1" applyAlignment="1"/>
    <xf numFmtId="0" fontId="25" fillId="0" borderId="18" xfId="0" applyFont="1" applyFill="1" applyBorder="1"/>
    <xf numFmtId="0" fontId="25" fillId="0" borderId="19" xfId="0" applyFont="1" applyFill="1" applyBorder="1"/>
    <xf numFmtId="0" fontId="25" fillId="14" borderId="15" xfId="0" applyFont="1" applyFill="1" applyBorder="1"/>
    <xf numFmtId="0" fontId="25" fillId="26" borderId="8" xfId="0" applyFont="1" applyFill="1" applyBorder="1"/>
    <xf numFmtId="0" fontId="25" fillId="13" borderId="8" xfId="0" applyFont="1" applyFill="1" applyBorder="1"/>
    <xf numFmtId="0" fontId="25" fillId="26" borderId="9" xfId="0" applyFont="1" applyFill="1" applyBorder="1"/>
    <xf numFmtId="0" fontId="25" fillId="14" borderId="7" xfId="0" applyFont="1" applyFill="1" applyBorder="1"/>
    <xf numFmtId="0" fontId="25" fillId="26" borderId="0" xfId="0" applyFont="1" applyFill="1" applyBorder="1"/>
    <xf numFmtId="0" fontId="25" fillId="13" borderId="0" xfId="0" applyFont="1" applyFill="1" applyBorder="1"/>
    <xf numFmtId="0" fontId="25" fillId="26" borderId="12" xfId="0" applyFont="1" applyFill="1" applyBorder="1"/>
    <xf numFmtId="0" fontId="25" fillId="26" borderId="19" xfId="0" applyFont="1" applyFill="1" applyBorder="1"/>
    <xf numFmtId="0" fontId="25" fillId="13" borderId="19" xfId="0" applyFont="1" applyFill="1" applyBorder="1"/>
    <xf numFmtId="0" fontId="25" fillId="26" borderId="20" xfId="0" applyFont="1" applyFill="1" applyBorder="1"/>
    <xf numFmtId="0" fontId="25" fillId="14" borderId="8" xfId="0" applyFont="1" applyFill="1" applyBorder="1"/>
    <xf numFmtId="0" fontId="25" fillId="8" borderId="0" xfId="0" applyFont="1" applyFill="1" applyBorder="1"/>
    <xf numFmtId="0" fontId="25" fillId="0" borderId="12" xfId="0" applyFont="1" applyFill="1" applyBorder="1"/>
    <xf numFmtId="0" fontId="25" fillId="8" borderId="7" xfId="0" applyFont="1" applyFill="1" applyBorder="1"/>
    <xf numFmtId="0" fontId="25" fillId="0" borderId="8" xfId="0" applyFont="1" applyBorder="1" applyAlignment="1">
      <alignment horizontal="right"/>
    </xf>
    <xf numFmtId="0" fontId="25" fillId="0" borderId="8" xfId="0" applyFont="1" applyBorder="1" applyAlignment="1">
      <alignment horizontal="left"/>
    </xf>
    <xf numFmtId="0" fontId="25" fillId="15" borderId="7" xfId="0" applyFont="1" applyFill="1" applyBorder="1"/>
    <xf numFmtId="0" fontId="25" fillId="15" borderId="0" xfId="0" applyFont="1" applyFill="1" applyBorder="1"/>
    <xf numFmtId="0" fontId="25" fillId="28" borderId="7" xfId="0" applyFont="1" applyFill="1" applyBorder="1"/>
    <xf numFmtId="0" fontId="25" fillId="28" borderId="0" xfId="0" applyFont="1" applyFill="1" applyBorder="1"/>
    <xf numFmtId="0" fontId="73" fillId="28" borderId="0" xfId="0" applyFont="1" applyFill="1" applyBorder="1"/>
    <xf numFmtId="0" fontId="32" fillId="0" borderId="8" xfId="0" applyFont="1" applyBorder="1"/>
    <xf numFmtId="0" fontId="29" fillId="0" borderId="8" xfId="0" applyFont="1" applyFill="1" applyBorder="1"/>
    <xf numFmtId="0" fontId="44" fillId="0" borderId="8" xfId="0" applyFont="1" applyBorder="1"/>
    <xf numFmtId="2" fontId="31" fillId="0" borderId="8" xfId="0" applyNumberFormat="1" applyFont="1" applyFill="1" applyBorder="1"/>
    <xf numFmtId="0" fontId="44" fillId="0" borderId="9" xfId="0" applyFont="1" applyBorder="1"/>
    <xf numFmtId="0" fontId="32" fillId="0" borderId="0" xfId="0" applyFont="1" applyBorder="1"/>
    <xf numFmtId="0" fontId="29" fillId="0" borderId="0" xfId="0" applyFont="1" applyFill="1" applyBorder="1"/>
    <xf numFmtId="0" fontId="44" fillId="0" borderId="0" xfId="0" applyFont="1" applyBorder="1"/>
    <xf numFmtId="0" fontId="44" fillId="0" borderId="12" xfId="0" applyFont="1" applyBorder="1"/>
    <xf numFmtId="0" fontId="32" fillId="0" borderId="15" xfId="0" applyFont="1" applyBorder="1"/>
    <xf numFmtId="0" fontId="32" fillId="0" borderId="7" xfId="0" applyFont="1" applyBorder="1"/>
    <xf numFmtId="0" fontId="115" fillId="0" borderId="18" xfId="0" applyFont="1" applyBorder="1" applyAlignment="1">
      <alignment horizontal="center" vertical="center"/>
    </xf>
    <xf numFmtId="0" fontId="32" fillId="0" borderId="19" xfId="0" applyFont="1" applyBorder="1"/>
    <xf numFmtId="0" fontId="115" fillId="0" borderId="19" xfId="0" applyFont="1" applyBorder="1" applyAlignment="1">
      <alignment horizontal="center" vertical="center"/>
    </xf>
    <xf numFmtId="0" fontId="44" fillId="0" borderId="19" xfId="0" applyFont="1" applyBorder="1"/>
    <xf numFmtId="0" fontId="44" fillId="0" borderId="20" xfId="0" applyFont="1" applyBorder="1"/>
    <xf numFmtId="0" fontId="31" fillId="19" borderId="8" xfId="0" applyNumberFormat="1" applyFont="1" applyFill="1" applyBorder="1"/>
    <xf numFmtId="0" fontId="32" fillId="19" borderId="0" xfId="0" applyFont="1" applyFill="1" applyBorder="1"/>
    <xf numFmtId="0" fontId="0" fillId="5" borderId="32" xfId="0" applyFill="1" applyBorder="1"/>
    <xf numFmtId="164" fontId="0" fillId="0" borderId="32" xfId="0" applyNumberFormat="1" applyFill="1" applyBorder="1"/>
    <xf numFmtId="2" fontId="0" fillId="5" borderId="32" xfId="0" applyNumberFormat="1" applyFill="1" applyBorder="1"/>
    <xf numFmtId="0" fontId="19" fillId="15" borderId="59" xfId="0" applyFont="1" applyFill="1" applyBorder="1"/>
    <xf numFmtId="0" fontId="0" fillId="0" borderId="52" xfId="0" applyFill="1" applyBorder="1"/>
    <xf numFmtId="0" fontId="36" fillId="17" borderId="13" xfId="0" applyFont="1" applyFill="1" applyBorder="1"/>
    <xf numFmtId="0" fontId="36" fillId="18" borderId="18" xfId="0" applyFont="1" applyFill="1" applyBorder="1" applyAlignment="1">
      <alignment horizontal="right"/>
    </xf>
    <xf numFmtId="0" fontId="0" fillId="17" borderId="61" xfId="0" applyFill="1" applyBorder="1"/>
    <xf numFmtId="0" fontId="0" fillId="19" borderId="57" xfId="0" applyFill="1" applyBorder="1"/>
    <xf numFmtId="0" fontId="36" fillId="18" borderId="15" xfId="0" applyFont="1" applyFill="1" applyBorder="1"/>
    <xf numFmtId="0" fontId="36" fillId="17" borderId="61" xfId="0" applyFont="1" applyFill="1" applyBorder="1"/>
    <xf numFmtId="0" fontId="36" fillId="19" borderId="57" xfId="0" applyFont="1" applyFill="1" applyBorder="1"/>
    <xf numFmtId="0" fontId="36" fillId="17" borderId="39" xfId="0" applyFont="1" applyFill="1" applyBorder="1"/>
    <xf numFmtId="0" fontId="36" fillId="19" borderId="40" xfId="0" applyFont="1" applyFill="1" applyBorder="1"/>
    <xf numFmtId="0" fontId="44" fillId="33" borderId="0" xfId="0" applyFont="1" applyFill="1"/>
    <xf numFmtId="0" fontId="44" fillId="33" borderId="0" xfId="0" applyFont="1" applyFill="1" applyBorder="1"/>
    <xf numFmtId="0" fontId="25" fillId="0" borderId="6" xfId="0" applyFont="1" applyBorder="1"/>
    <xf numFmtId="0" fontId="25" fillId="0" borderId="38" xfId="0" applyFont="1" applyBorder="1"/>
    <xf numFmtId="0" fontId="25" fillId="0" borderId="62" xfId="0" applyFont="1" applyBorder="1"/>
    <xf numFmtId="0" fontId="25" fillId="0" borderId="42" xfId="0" applyFont="1" applyBorder="1"/>
    <xf numFmtId="0" fontId="25" fillId="0" borderId="3" xfId="0" applyFont="1" applyBorder="1"/>
    <xf numFmtId="0" fontId="25" fillId="0" borderId="28" xfId="0" applyFont="1" applyBorder="1"/>
    <xf numFmtId="0" fontId="44" fillId="0" borderId="8" xfId="0" applyFont="1" applyFill="1" applyBorder="1"/>
    <xf numFmtId="0" fontId="44" fillId="0" borderId="7" xfId="0" applyFont="1" applyFill="1" applyBorder="1"/>
    <xf numFmtId="0" fontId="49" fillId="0" borderId="18" xfId="0" applyFont="1" applyFill="1" applyBorder="1"/>
    <xf numFmtId="0" fontId="96" fillId="3" borderId="5" xfId="0" applyFont="1" applyFill="1" applyBorder="1"/>
    <xf numFmtId="0" fontId="73" fillId="0" borderId="0" xfId="0" applyFont="1" applyFill="1"/>
    <xf numFmtId="0" fontId="73" fillId="0" borderId="0" xfId="0" applyFont="1" applyFill="1" applyBorder="1" applyAlignment="1"/>
    <xf numFmtId="0" fontId="73" fillId="5" borderId="5" xfId="0" applyFont="1" applyFill="1" applyBorder="1" applyAlignment="1"/>
    <xf numFmtId="0" fontId="73" fillId="5" borderId="5" xfId="0" applyFont="1" applyFill="1" applyBorder="1" applyAlignment="1">
      <alignment horizontal="right"/>
    </xf>
    <xf numFmtId="0" fontId="0" fillId="0" borderId="63" xfId="0" applyBorder="1"/>
    <xf numFmtId="0" fontId="57" fillId="31" borderId="7" xfId="0" applyFont="1" applyFill="1" applyBorder="1"/>
    <xf numFmtId="0" fontId="0" fillId="0" borderId="64" xfId="0" applyBorder="1"/>
    <xf numFmtId="0" fontId="57" fillId="31" borderId="13" xfId="0" applyFont="1" applyFill="1" applyBorder="1"/>
    <xf numFmtId="0" fontId="57" fillId="31" borderId="16" xfId="0" applyFont="1" applyFill="1" applyBorder="1"/>
    <xf numFmtId="0" fontId="35" fillId="0" borderId="0" xfId="0" applyNumberFormat="1" applyFont="1" applyBorder="1" applyAlignment="1">
      <alignment horizontal="right"/>
    </xf>
    <xf numFmtId="0" fontId="0" fillId="32" borderId="2" xfId="0" applyFill="1" applyBorder="1"/>
    <xf numFmtId="0" fontId="0" fillId="32" borderId="4" xfId="0" applyFill="1" applyBorder="1"/>
    <xf numFmtId="0" fontId="28" fillId="0" borderId="16" xfId="0" applyFont="1" applyBorder="1"/>
    <xf numFmtId="0" fontId="0" fillId="0" borderId="23" xfId="0" applyBorder="1"/>
    <xf numFmtId="0" fontId="69" fillId="0" borderId="0" xfId="0" applyFont="1" applyBorder="1" applyAlignment="1">
      <alignment horizontal="right"/>
    </xf>
    <xf numFmtId="0" fontId="28" fillId="0" borderId="2" xfId="0" applyFont="1" applyBorder="1"/>
    <xf numFmtId="0" fontId="28" fillId="0" borderId="3" xfId="0" applyFont="1" applyBorder="1"/>
    <xf numFmtId="0" fontId="28" fillId="0" borderId="4" xfId="0" applyFont="1" applyBorder="1"/>
    <xf numFmtId="0" fontId="0" fillId="0" borderId="0" xfId="0" applyBorder="1" applyAlignment="1"/>
    <xf numFmtId="0" fontId="0" fillId="0" borderId="0" xfId="0" applyFill="1" applyBorder="1" applyAlignment="1">
      <alignment horizontal="right"/>
    </xf>
    <xf numFmtId="0" fontId="0" fillId="0" borderId="6" xfId="0" quotePrefix="1" applyNumberFormat="1" applyBorder="1"/>
    <xf numFmtId="0" fontId="116" fillId="0" borderId="0" xfId="0" applyFont="1" applyBorder="1" applyAlignment="1">
      <alignment horizontal="right"/>
    </xf>
    <xf numFmtId="0" fontId="29" fillId="0" borderId="4" xfId="0" applyFont="1" applyBorder="1" applyAlignment="1">
      <alignment horizontal="center"/>
    </xf>
    <xf numFmtId="14" fontId="29" fillId="0" borderId="2" xfId="0" applyNumberFormat="1" applyFont="1" applyBorder="1" applyAlignment="1">
      <alignment horizontal="center"/>
    </xf>
    <xf numFmtId="0" fontId="19" fillId="32" borderId="7" xfId="0" applyFont="1" applyFill="1" applyBorder="1"/>
    <xf numFmtId="0" fontId="0" fillId="32" borderId="12" xfId="0" applyFill="1" applyBorder="1" applyAlignment="1">
      <alignment horizontal="right"/>
    </xf>
    <xf numFmtId="0" fontId="65" fillId="32" borderId="7" xfId="0" applyFont="1" applyFill="1" applyBorder="1"/>
    <xf numFmtId="0" fontId="0" fillId="32" borderId="12" xfId="0" applyFill="1" applyBorder="1"/>
    <xf numFmtId="0" fontId="0" fillId="32" borderId="39" xfId="0" applyFill="1" applyBorder="1"/>
    <xf numFmtId="0" fontId="0" fillId="32" borderId="13" xfId="0" applyFill="1" applyBorder="1"/>
    <xf numFmtId="0" fontId="0" fillId="32" borderId="61" xfId="0" applyFill="1" applyBorder="1"/>
    <xf numFmtId="0" fontId="67" fillId="34" borderId="15" xfId="0" applyFont="1" applyFill="1" applyBorder="1" applyAlignment="1">
      <alignment horizontal="left"/>
    </xf>
    <xf numFmtId="0" fontId="0" fillId="34" borderId="9" xfId="0" applyFill="1" applyBorder="1"/>
    <xf numFmtId="0" fontId="67" fillId="34" borderId="7" xfId="0" applyFont="1" applyFill="1" applyBorder="1"/>
    <xf numFmtId="0" fontId="0" fillId="34" borderId="12" xfId="0" applyFill="1" applyBorder="1"/>
    <xf numFmtId="0" fontId="0" fillId="34" borderId="60" xfId="0" applyFill="1" applyBorder="1"/>
    <xf numFmtId="0" fontId="29" fillId="14" borderId="32" xfId="0" applyFont="1" applyFill="1" applyBorder="1"/>
    <xf numFmtId="0" fontId="73" fillId="14" borderId="32" xfId="0" applyFont="1" applyFill="1" applyBorder="1"/>
    <xf numFmtId="0" fontId="73" fillId="11" borderId="32" xfId="0" applyFont="1" applyFill="1" applyBorder="1"/>
    <xf numFmtId="0" fontId="73" fillId="8" borderId="5" xfId="0" applyFont="1" applyFill="1" applyBorder="1"/>
    <xf numFmtId="0" fontId="0" fillId="0" borderId="52" xfId="0" applyBorder="1"/>
    <xf numFmtId="0" fontId="28" fillId="0" borderId="28" xfId="0" applyFont="1" applyBorder="1"/>
    <xf numFmtId="0" fontId="28" fillId="0" borderId="27" xfId="0" applyFont="1" applyBorder="1"/>
    <xf numFmtId="0" fontId="29" fillId="0" borderId="0" xfId="0" applyFont="1" applyFill="1"/>
    <xf numFmtId="3" fontId="25" fillId="0" borderId="0" xfId="0" applyNumberFormat="1" applyFont="1" applyBorder="1"/>
    <xf numFmtId="0" fontId="6" fillId="32" borderId="15" xfId="0" applyFont="1" applyFill="1" applyBorder="1"/>
    <xf numFmtId="0" fontId="117" fillId="0" borderId="9" xfId="0" applyFont="1" applyBorder="1"/>
    <xf numFmtId="0" fontId="0" fillId="32" borderId="9" xfId="0" applyFill="1" applyBorder="1"/>
    <xf numFmtId="0" fontId="25" fillId="8" borderId="2" xfId="0" applyFont="1" applyFill="1" applyBorder="1"/>
    <xf numFmtId="0" fontId="25" fillId="8" borderId="3" xfId="0" applyFont="1" applyFill="1" applyBorder="1"/>
    <xf numFmtId="0" fontId="25" fillId="0" borderId="4" xfId="0" applyFont="1" applyBorder="1"/>
    <xf numFmtId="0" fontId="31" fillId="5" borderId="32" xfId="0" applyFont="1" applyFill="1" applyBorder="1"/>
    <xf numFmtId="0" fontId="73" fillId="0" borderId="6" xfId="0" applyFont="1" applyBorder="1"/>
    <xf numFmtId="49" fontId="73" fillId="0" borderId="0" xfId="0" applyNumberFormat="1" applyFont="1" applyBorder="1" applyAlignment="1">
      <alignment horizontal="right"/>
    </xf>
    <xf numFmtId="0" fontId="25" fillId="14" borderId="2" xfId="0" applyFont="1" applyFill="1" applyBorder="1" applyAlignment="1">
      <alignment horizontal="right"/>
    </xf>
    <xf numFmtId="0" fontId="3" fillId="19" borderId="13" xfId="0" applyFont="1" applyFill="1" applyBorder="1"/>
    <xf numFmtId="0" fontId="3" fillId="19" borderId="61" xfId="0" applyFont="1" applyFill="1" applyBorder="1"/>
    <xf numFmtId="0" fontId="31" fillId="0" borderId="19" xfId="0" applyFont="1" applyBorder="1"/>
    <xf numFmtId="0" fontId="27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31" fillId="3" borderId="5" xfId="0" applyFont="1" applyFill="1" applyBorder="1"/>
    <xf numFmtId="0" fontId="73" fillId="0" borderId="9" xfId="0" applyFont="1" applyBorder="1" applyAlignment="1">
      <alignment horizontal="right"/>
    </xf>
    <xf numFmtId="0" fontId="73" fillId="0" borderId="20" xfId="0" applyFont="1" applyBorder="1" applyAlignment="1">
      <alignment horizontal="right"/>
    </xf>
    <xf numFmtId="0" fontId="69" fillId="0" borderId="12" xfId="0" applyFont="1" applyBorder="1"/>
    <xf numFmtId="0" fontId="27" fillId="14" borderId="0" xfId="0" applyFont="1" applyFill="1" applyAlignment="1">
      <alignment horizontal="left"/>
    </xf>
    <xf numFmtId="0" fontId="0" fillId="14" borderId="0" xfId="0" applyFill="1" applyAlignment="1">
      <alignment horizontal="left"/>
    </xf>
    <xf numFmtId="0" fontId="0" fillId="35" borderId="12" xfId="0" applyFill="1" applyBorder="1"/>
    <xf numFmtId="0" fontId="0" fillId="32" borderId="10" xfId="0" applyFill="1" applyBorder="1"/>
    <xf numFmtId="0" fontId="0" fillId="32" borderId="11" xfId="0" applyFill="1" applyBorder="1"/>
    <xf numFmtId="0" fontId="0" fillId="32" borderId="16" xfId="0" applyFill="1" applyBorder="1"/>
    <xf numFmtId="0" fontId="0" fillId="32" borderId="17" xfId="0" applyFill="1" applyBorder="1"/>
    <xf numFmtId="0" fontId="35" fillId="0" borderId="20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0" fontId="91" fillId="0" borderId="0" xfId="0" applyNumberFormat="1" applyFont="1" applyBorder="1" applyAlignment="1">
      <alignment horizontal="left"/>
    </xf>
    <xf numFmtId="0" fontId="0" fillId="0" borderId="19" xfId="0" quotePrefix="1" applyNumberFormat="1" applyBorder="1" applyAlignment="1">
      <alignment horizontal="right"/>
    </xf>
    <xf numFmtId="0" fontId="0" fillId="21" borderId="69" xfId="0" applyFill="1" applyBorder="1"/>
    <xf numFmtId="0" fontId="0" fillId="21" borderId="67" xfId="0" applyFill="1" applyBorder="1"/>
    <xf numFmtId="2" fontId="0" fillId="21" borderId="68" xfId="0" applyNumberFormat="1" applyFill="1" applyBorder="1"/>
    <xf numFmtId="2" fontId="120" fillId="0" borderId="0" xfId="0" applyNumberFormat="1" applyFont="1" applyAlignment="1">
      <alignment horizontal="center"/>
    </xf>
    <xf numFmtId="0" fontId="85" fillId="21" borderId="7" xfId="0" applyNumberFormat="1" applyFont="1" applyFill="1" applyBorder="1" applyAlignment="1">
      <alignment horizontal="left"/>
    </xf>
    <xf numFmtId="0" fontId="40" fillId="21" borderId="7" xfId="0" applyNumberFormat="1" applyFont="1" applyFill="1" applyBorder="1"/>
    <xf numFmtId="0" fontId="85" fillId="21" borderId="7" xfId="0" applyNumberFormat="1" applyFont="1" applyFill="1" applyBorder="1"/>
    <xf numFmtId="0" fontId="85" fillId="21" borderId="7" xfId="0" applyNumberFormat="1" applyFont="1" applyFill="1" applyBorder="1" applyAlignment="1">
      <alignment horizontal="right"/>
    </xf>
    <xf numFmtId="0" fontId="25" fillId="28" borderId="8" xfId="0" applyFont="1" applyFill="1" applyBorder="1"/>
    <xf numFmtId="0" fontId="106" fillId="0" borderId="18" xfId="0" applyFont="1" applyBorder="1"/>
    <xf numFmtId="0" fontId="43" fillId="19" borderId="13" xfId="0" applyFont="1" applyFill="1" applyBorder="1"/>
    <xf numFmtId="0" fontId="57" fillId="0" borderId="11" xfId="0" applyFont="1" applyBorder="1"/>
    <xf numFmtId="0" fontId="79" fillId="0" borderId="0" xfId="2" applyFont="1"/>
    <xf numFmtId="0" fontId="35" fillId="0" borderId="20" xfId="0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65" fillId="0" borderId="0" xfId="0" applyNumberFormat="1" applyFont="1" applyBorder="1" applyAlignment="1">
      <alignment horizontal="right"/>
    </xf>
    <xf numFmtId="0" fontId="82" fillId="0" borderId="19" xfId="0" applyFont="1" applyBorder="1" applyAlignment="1">
      <alignment horizontal="right"/>
    </xf>
    <xf numFmtId="0" fontId="16" fillId="0" borderId="3" xfId="0" applyFont="1" applyBorder="1" applyAlignment="1">
      <alignment horizontal="right"/>
    </xf>
    <xf numFmtId="0" fontId="65" fillId="0" borderId="0" xfId="0" applyNumberFormat="1" applyFont="1" applyBorder="1" applyAlignment="1">
      <alignment horizontal="center"/>
    </xf>
    <xf numFmtId="164" fontId="65" fillId="0" borderId="0" xfId="0" applyNumberFormat="1" applyFont="1" applyBorder="1" applyAlignment="1">
      <alignment horizontal="center"/>
    </xf>
    <xf numFmtId="49" fontId="82" fillId="0" borderId="0" xfId="0" applyNumberFormat="1" applyFont="1" applyBorder="1" applyAlignment="1">
      <alignment horizontal="center"/>
    </xf>
    <xf numFmtId="0" fontId="26" fillId="0" borderId="0" xfId="0" applyFont="1" applyAlignment="1">
      <alignment horizontal="center"/>
    </xf>
    <xf numFmtId="0" fontId="6" fillId="0" borderId="0" xfId="0" applyFont="1" applyBorder="1" applyAlignment="1">
      <alignment horizontal="left"/>
    </xf>
    <xf numFmtId="0" fontId="0" fillId="23" borderId="7" xfId="0" applyFill="1" applyBorder="1"/>
    <xf numFmtId="0" fontId="0" fillId="23" borderId="18" xfId="0" applyFill="1" applyBorder="1"/>
    <xf numFmtId="0" fontId="0" fillId="23" borderId="12" xfId="0" applyFill="1" applyBorder="1"/>
    <xf numFmtId="0" fontId="0" fillId="23" borderId="26" xfId="0" applyFill="1" applyBorder="1"/>
    <xf numFmtId="0" fontId="0" fillId="14" borderId="2" xfId="0" applyFill="1" applyBorder="1"/>
    <xf numFmtId="0" fontId="0" fillId="14" borderId="4" xfId="0" applyFill="1" applyBorder="1"/>
    <xf numFmtId="0" fontId="13" fillId="8" borderId="2" xfId="0" applyFont="1" applyFill="1" applyBorder="1"/>
    <xf numFmtId="164" fontId="0" fillId="0" borderId="0" xfId="0" applyNumberFormat="1" applyBorder="1"/>
    <xf numFmtId="164" fontId="0" fillId="0" borderId="19" xfId="0" applyNumberFormat="1" applyBorder="1"/>
    <xf numFmtId="0" fontId="35" fillId="8" borderId="7" xfId="0" applyFont="1" applyFill="1" applyBorder="1" applyAlignment="1">
      <alignment vertical="center"/>
    </xf>
    <xf numFmtId="0" fontId="32" fillId="0" borderId="0" xfId="0" applyFont="1" applyFill="1" applyBorder="1" applyAlignment="1">
      <alignment horizontal="right"/>
    </xf>
    <xf numFmtId="0" fontId="35" fillId="0" borderId="28" xfId="0" applyFont="1" applyBorder="1" applyAlignment="1">
      <alignment horizontal="center" vertical="center"/>
    </xf>
    <xf numFmtId="0" fontId="35" fillId="0" borderId="6" xfId="0" applyFont="1" applyBorder="1" applyAlignment="1">
      <alignment horizontal="center" vertical="center"/>
    </xf>
    <xf numFmtId="0" fontId="35" fillId="0" borderId="27" xfId="0" applyFont="1" applyBorder="1" applyAlignment="1">
      <alignment horizontal="center" vertical="center"/>
    </xf>
    <xf numFmtId="0" fontId="35" fillId="0" borderId="19" xfId="0" applyFont="1" applyBorder="1" applyAlignment="1">
      <alignment horizontal="center" vertical="center"/>
    </xf>
    <xf numFmtId="0" fontId="26" fillId="0" borderId="0" xfId="0" applyFont="1" applyFill="1" applyBorder="1" applyAlignment="1"/>
    <xf numFmtId="0" fontId="0" fillId="0" borderId="53" xfId="0" applyBorder="1" applyAlignment="1">
      <alignment horizontal="center"/>
    </xf>
    <xf numFmtId="0" fontId="0" fillId="34" borderId="66" xfId="0" applyFill="1" applyBorder="1" applyAlignment="1">
      <alignment horizontal="center"/>
    </xf>
    <xf numFmtId="0" fontId="6" fillId="32" borderId="28" xfId="0" applyFont="1" applyFill="1" applyBorder="1" applyAlignment="1">
      <alignment horizontal="center" vertical="center"/>
    </xf>
    <xf numFmtId="0" fontId="6" fillId="32" borderId="27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49" fontId="58" fillId="0" borderId="0" xfId="0" quotePrefix="1" applyNumberFormat="1" applyFont="1" applyBorder="1"/>
    <xf numFmtId="0" fontId="68" fillId="0" borderId="0" xfId="0" applyFont="1" applyBorder="1"/>
    <xf numFmtId="2" fontId="0" fillId="5" borderId="14" xfId="0" applyNumberFormat="1" applyFill="1" applyBorder="1"/>
    <xf numFmtId="0" fontId="0" fillId="0" borderId="7" xfId="0" applyFill="1" applyBorder="1"/>
    <xf numFmtId="0" fontId="0" fillId="0" borderId="3" xfId="0" applyFill="1" applyBorder="1"/>
    <xf numFmtId="0" fontId="0" fillId="0" borderId="25" xfId="0" applyBorder="1"/>
    <xf numFmtId="0" fontId="0" fillId="0" borderId="25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30" xfId="0" applyBorder="1"/>
    <xf numFmtId="0" fontId="0" fillId="0" borderId="33" xfId="0" applyBorder="1"/>
    <xf numFmtId="0" fontId="0" fillId="0" borderId="53" xfId="0" applyBorder="1"/>
    <xf numFmtId="0" fontId="0" fillId="0" borderId="50" xfId="0" applyBorder="1"/>
    <xf numFmtId="0" fontId="0" fillId="0" borderId="70" xfId="0" applyBorder="1"/>
    <xf numFmtId="0" fontId="0" fillId="0" borderId="26" xfId="0" applyBorder="1"/>
    <xf numFmtId="0" fontId="0" fillId="0" borderId="70" xfId="0" applyFill="1" applyBorder="1"/>
    <xf numFmtId="0" fontId="0" fillId="37" borderId="5" xfId="0" applyFill="1" applyBorder="1" applyAlignment="1">
      <alignment horizontal="center"/>
    </xf>
    <xf numFmtId="0" fontId="0" fillId="0" borderId="0" xfId="0" applyFill="1" applyBorder="1" applyAlignment="1"/>
    <xf numFmtId="0" fontId="0" fillId="0" borderId="5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6" xfId="0" applyBorder="1" applyAlignment="1">
      <alignment horizontal="center"/>
    </xf>
    <xf numFmtId="0" fontId="0" fillId="14" borderId="5" xfId="0" applyFill="1" applyBorder="1" applyAlignment="1">
      <alignment horizontal="center"/>
    </xf>
    <xf numFmtId="0" fontId="0" fillId="36" borderId="5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70" xfId="0" applyFill="1" applyBorder="1" applyAlignment="1">
      <alignment horizontal="center"/>
    </xf>
    <xf numFmtId="0" fontId="0" fillId="0" borderId="70" xfId="0" applyBorder="1" applyAlignment="1">
      <alignment horizontal="center"/>
    </xf>
    <xf numFmtId="0" fontId="0" fillId="32" borderId="3" xfId="0" applyFill="1" applyBorder="1"/>
    <xf numFmtId="164" fontId="0" fillId="0" borderId="0" xfId="0" applyNumberFormat="1"/>
    <xf numFmtId="1" fontId="15" fillId="0" borderId="7" xfId="0" applyNumberFormat="1" applyFont="1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15" borderId="5" xfId="0" applyFill="1" applyBorder="1"/>
    <xf numFmtId="0" fontId="0" fillId="23" borderId="15" xfId="0" applyFill="1" applyBorder="1"/>
    <xf numFmtId="164" fontId="0" fillId="0" borderId="12" xfId="0" applyNumberFormat="1" applyBorder="1"/>
    <xf numFmtId="164" fontId="0" fillId="0" borderId="20" xfId="0" applyNumberFormat="1" applyBorder="1"/>
    <xf numFmtId="0" fontId="0" fillId="23" borderId="2" xfId="0" applyFill="1" applyBorder="1"/>
    <xf numFmtId="0" fontId="0" fillId="23" borderId="3" xfId="0" applyFill="1" applyBorder="1"/>
    <xf numFmtId="0" fontId="0" fillId="34" borderId="37" xfId="0" applyFill="1" applyBorder="1" applyAlignment="1">
      <alignment horizontal="left"/>
    </xf>
    <xf numFmtId="0" fontId="121" fillId="14" borderId="2" xfId="2" applyFont="1" applyFill="1" applyBorder="1" applyAlignment="1"/>
    <xf numFmtId="0" fontId="79" fillId="14" borderId="4" xfId="2" applyFont="1" applyFill="1" applyBorder="1" applyAlignment="1"/>
    <xf numFmtId="0" fontId="35" fillId="0" borderId="20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0" fillId="32" borderId="40" xfId="0" applyFill="1" applyBorder="1"/>
    <xf numFmtId="0" fontId="0" fillId="32" borderId="37" xfId="0" applyFill="1" applyBorder="1"/>
    <xf numFmtId="0" fontId="0" fillId="0" borderId="17" xfId="0" applyFill="1" applyBorder="1"/>
    <xf numFmtId="0" fontId="0" fillId="0" borderId="71" xfId="0" applyBorder="1"/>
    <xf numFmtId="0" fontId="65" fillId="0" borderId="12" xfId="0" applyFont="1" applyBorder="1" applyAlignment="1">
      <alignment horizontal="left"/>
    </xf>
    <xf numFmtId="0" fontId="6" fillId="0" borderId="0" xfId="0" applyFont="1"/>
    <xf numFmtId="0" fontId="28" fillId="0" borderId="0" xfId="0" applyFont="1" applyFill="1" applyBorder="1"/>
    <xf numFmtId="0" fontId="0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right"/>
    </xf>
    <xf numFmtId="0" fontId="22" fillId="0" borderId="0" xfId="0" applyFont="1" applyBorder="1"/>
    <xf numFmtId="164" fontId="30" fillId="0" borderId="29" xfId="0" applyNumberFormat="1" applyFont="1" applyBorder="1" applyAlignment="1">
      <alignment horizontal="center"/>
    </xf>
    <xf numFmtId="164" fontId="44" fillId="0" borderId="29" xfId="0" applyNumberFormat="1" applyFont="1" applyBorder="1" applyAlignment="1">
      <alignment horizontal="center"/>
    </xf>
    <xf numFmtId="0" fontId="51" fillId="0" borderId="61" xfId="0" applyFont="1" applyBorder="1" applyAlignment="1">
      <alignment horizontal="center"/>
    </xf>
    <xf numFmtId="0" fontId="48" fillId="3" borderId="72" xfId="0" applyFont="1" applyFill="1" applyBorder="1" applyAlignment="1">
      <alignment horizontal="center"/>
    </xf>
    <xf numFmtId="0" fontId="48" fillId="0" borderId="63" xfId="0" applyFont="1" applyBorder="1"/>
    <xf numFmtId="2" fontId="45" fillId="0" borderId="29" xfId="0" applyNumberFormat="1" applyFont="1" applyBorder="1" applyAlignment="1">
      <alignment horizontal="center"/>
    </xf>
    <xf numFmtId="0" fontId="51" fillId="0" borderId="50" xfId="0" applyFont="1" applyBorder="1" applyAlignment="1">
      <alignment horizontal="center"/>
    </xf>
    <xf numFmtId="0" fontId="48" fillId="0" borderId="39" xfId="0" applyFont="1" applyBorder="1"/>
    <xf numFmtId="0" fontId="0" fillId="0" borderId="8" xfId="0" applyFont="1" applyBorder="1" applyAlignment="1" applyProtection="1">
      <alignment horizontal="right"/>
      <protection locked="0"/>
    </xf>
    <xf numFmtId="0" fontId="123" fillId="0" borderId="0" xfId="0" applyFont="1" applyBorder="1"/>
    <xf numFmtId="0" fontId="122" fillId="0" borderId="0" xfId="0" applyFont="1" applyFill="1" applyBorder="1" applyAlignment="1">
      <alignment horizontal="right"/>
    </xf>
    <xf numFmtId="0" fontId="25" fillId="5" borderId="0" xfId="0" applyFont="1" applyFill="1" applyAlignment="1">
      <alignment horizontal="right"/>
    </xf>
    <xf numFmtId="0" fontId="73" fillId="0" borderId="0" xfId="0" applyNumberFormat="1" applyFont="1"/>
    <xf numFmtId="0" fontId="27" fillId="0" borderId="0" xfId="0" applyFont="1"/>
    <xf numFmtId="0" fontId="27" fillId="0" borderId="8" xfId="0" applyFont="1" applyBorder="1" applyAlignment="1">
      <alignment horizontal="left"/>
    </xf>
    <xf numFmtId="0" fontId="9" fillId="0" borderId="8" xfId="0" applyFont="1" applyBorder="1"/>
    <xf numFmtId="0" fontId="9" fillId="0" borderId="0" xfId="0" applyFont="1" applyBorder="1"/>
    <xf numFmtId="0" fontId="55" fillId="0" borderId="8" xfId="0" applyFont="1" applyBorder="1" applyAlignment="1">
      <alignment horizontal="right"/>
    </xf>
    <xf numFmtId="0" fontId="55" fillId="0" borderId="9" xfId="0" applyFont="1" applyBorder="1" applyAlignment="1" applyProtection="1">
      <alignment horizontal="left"/>
      <protection locked="0"/>
    </xf>
    <xf numFmtId="0" fontId="27" fillId="0" borderId="0" xfId="0" quotePrefix="1" applyNumberFormat="1" applyFont="1" applyBorder="1" applyAlignment="1">
      <alignment horizontal="left"/>
    </xf>
    <xf numFmtId="0" fontId="9" fillId="0" borderId="12" xfId="0" applyFont="1" applyBorder="1"/>
    <xf numFmtId="0" fontId="27" fillId="0" borderId="0" xfId="0" applyFont="1" applyBorder="1"/>
    <xf numFmtId="0" fontId="27" fillId="0" borderId="19" xfId="0" applyFont="1" applyBorder="1" applyAlignment="1">
      <alignment horizontal="left"/>
    </xf>
    <xf numFmtId="0" fontId="9" fillId="0" borderId="20" xfId="0" applyFont="1" applyBorder="1"/>
    <xf numFmtId="0" fontId="64" fillId="14" borderId="0" xfId="0" applyFont="1" applyFill="1" applyAlignment="1">
      <alignment horizontal="left"/>
    </xf>
    <xf numFmtId="0" fontId="11" fillId="14" borderId="0" xfId="0" applyFont="1" applyFill="1" applyAlignment="1">
      <alignment horizontal="left"/>
    </xf>
    <xf numFmtId="0" fontId="0" fillId="14" borderId="0" xfId="0" applyFill="1" applyAlignment="1">
      <alignment horizontal="center"/>
    </xf>
    <xf numFmtId="0" fontId="73" fillId="0" borderId="46" xfId="0" applyFont="1" applyBorder="1"/>
    <xf numFmtId="0" fontId="96" fillId="0" borderId="45" xfId="0" applyFont="1" applyBorder="1" applyAlignment="1">
      <alignment horizontal="center"/>
    </xf>
    <xf numFmtId="49" fontId="73" fillId="0" borderId="5" xfId="0" applyNumberFormat="1" applyFont="1" applyBorder="1" applyAlignment="1">
      <alignment horizontal="center"/>
    </xf>
    <xf numFmtId="0" fontId="73" fillId="0" borderId="5" xfId="0" applyFont="1" applyBorder="1" applyAlignment="1">
      <alignment horizontal="center"/>
    </xf>
    <xf numFmtId="0" fontId="13" fillId="5" borderId="0" xfId="0" applyFont="1" applyFill="1" applyAlignment="1">
      <alignment horizontal="right"/>
    </xf>
    <xf numFmtId="0" fontId="12" fillId="0" borderId="5" xfId="0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49" fontId="87" fillId="0" borderId="0" xfId="0" applyNumberFormat="1" applyFont="1" applyBorder="1" applyAlignment="1">
      <alignment horizontal="left"/>
    </xf>
    <xf numFmtId="0" fontId="0" fillId="23" borderId="20" xfId="0" applyFill="1" applyBorder="1"/>
    <xf numFmtId="0" fontId="13" fillId="0" borderId="0" xfId="0" applyNumberFormat="1" applyFont="1" applyBorder="1" applyAlignment="1">
      <alignment vertical="center"/>
    </xf>
    <xf numFmtId="0" fontId="0" fillId="14" borderId="3" xfId="0" applyFill="1" applyBorder="1"/>
    <xf numFmtId="0" fontId="0" fillId="23" borderId="6" xfId="0" applyFill="1" applyBorder="1"/>
    <xf numFmtId="0" fontId="6" fillId="23" borderId="6" xfId="0" applyFont="1" applyFill="1" applyBorder="1"/>
    <xf numFmtId="0" fontId="0" fillId="0" borderId="65" xfId="0" applyBorder="1"/>
    <xf numFmtId="0" fontId="0" fillId="0" borderId="59" xfId="0" applyFill="1" applyBorder="1"/>
    <xf numFmtId="0" fontId="0" fillId="0" borderId="11" xfId="0" applyFill="1" applyBorder="1"/>
    <xf numFmtId="0" fontId="13" fillId="8" borderId="40" xfId="0" applyFont="1" applyFill="1" applyBorder="1"/>
    <xf numFmtId="0" fontId="0" fillId="23" borderId="41" xfId="0" applyFill="1" applyBorder="1"/>
    <xf numFmtId="0" fontId="106" fillId="0" borderId="11" xfId="0" applyFont="1" applyBorder="1"/>
    <xf numFmtId="164" fontId="37" fillId="0" borderId="9" xfId="0" applyNumberFormat="1" applyFont="1" applyBorder="1"/>
    <xf numFmtId="0" fontId="12" fillId="15" borderId="10" xfId="0" applyFont="1" applyFill="1" applyBorder="1"/>
    <xf numFmtId="0" fontId="0" fillId="0" borderId="25" xfId="0" applyFill="1" applyBorder="1"/>
    <xf numFmtId="0" fontId="87" fillId="0" borderId="8" xfId="0" applyFont="1" applyBorder="1" applyAlignment="1">
      <alignment horizontal="right"/>
    </xf>
    <xf numFmtId="0" fontId="89" fillId="0" borderId="0" xfId="0" applyFont="1" applyBorder="1" applyAlignment="1">
      <alignment horizontal="right"/>
    </xf>
    <xf numFmtId="0" fontId="87" fillId="0" borderId="0" xfId="0" applyFont="1" applyBorder="1" applyAlignment="1">
      <alignment horizontal="right"/>
    </xf>
    <xf numFmtId="0" fontId="87" fillId="0" borderId="19" xfId="0" applyFont="1" applyBorder="1" applyAlignment="1">
      <alignment horizontal="right"/>
    </xf>
    <xf numFmtId="0" fontId="0" fillId="32" borderId="5" xfId="0" applyFill="1" applyBorder="1"/>
    <xf numFmtId="0" fontId="0" fillId="37" borderId="45" xfId="0" applyFill="1" applyBorder="1"/>
    <xf numFmtId="0" fontId="0" fillId="0" borderId="20" xfId="0" applyBorder="1" applyAlignment="1">
      <alignment horizontal="center"/>
    </xf>
    <xf numFmtId="1" fontId="0" fillId="0" borderId="0" xfId="0" applyNumberFormat="1" applyBorder="1"/>
    <xf numFmtId="164" fontId="22" fillId="0" borderId="14" xfId="0" applyNumberFormat="1" applyFont="1" applyBorder="1"/>
    <xf numFmtId="0" fontId="22" fillId="0" borderId="17" xfId="0" applyFont="1" applyBorder="1"/>
    <xf numFmtId="0" fontId="22" fillId="23" borderId="14" xfId="0" applyFont="1" applyFill="1" applyBorder="1"/>
    <xf numFmtId="49" fontId="29" fillId="0" borderId="0" xfId="0" applyNumberFormat="1" applyFont="1" applyBorder="1" applyAlignment="1">
      <alignment horizontal="left"/>
    </xf>
    <xf numFmtId="0" fontId="29" fillId="0" borderId="8" xfId="0" applyFont="1" applyBorder="1" applyAlignment="1">
      <alignment horizontal="left"/>
    </xf>
    <xf numFmtId="0" fontId="91" fillId="0" borderId="8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5" borderId="13" xfId="0" applyFill="1" applyBorder="1"/>
    <xf numFmtId="0" fontId="0" fillId="0" borderId="27" xfId="0" applyBorder="1"/>
    <xf numFmtId="0" fontId="73" fillId="0" borderId="0" xfId="0" quotePrefix="1" applyNumberFormat="1" applyFont="1" applyBorder="1" applyAlignment="1">
      <alignment horizontal="center"/>
    </xf>
    <xf numFmtId="0" fontId="99" fillId="0" borderId="0" xfId="0" applyFont="1" applyFill="1" applyBorder="1"/>
    <xf numFmtId="2" fontId="0" fillId="0" borderId="0" xfId="0" applyNumberFormat="1" applyFill="1" applyBorder="1" applyAlignment="1">
      <alignment horizontal="left"/>
    </xf>
    <xf numFmtId="49" fontId="73" fillId="0" borderId="0" xfId="0" applyNumberFormat="1" applyFont="1" applyFill="1" applyBorder="1"/>
    <xf numFmtId="0" fontId="12" fillId="0" borderId="0" xfId="0" applyFont="1" applyBorder="1"/>
    <xf numFmtId="49" fontId="0" fillId="0" borderId="7" xfId="0" applyNumberFormat="1" applyBorder="1"/>
    <xf numFmtId="49" fontId="0" fillId="0" borderId="0" xfId="0" applyNumberFormat="1" applyFont="1" applyBorder="1"/>
    <xf numFmtId="49" fontId="0" fillId="0" borderId="0" xfId="0" applyNumberFormat="1" applyFont="1" applyBorder="1" applyAlignment="1">
      <alignment horizontal="left"/>
    </xf>
    <xf numFmtId="49" fontId="28" fillId="0" borderId="0" xfId="0" applyNumberFormat="1" applyFont="1" applyBorder="1"/>
    <xf numFmtId="49" fontId="0" fillId="0" borderId="0" xfId="0" applyNumberFormat="1" applyFont="1" applyFill="1" applyBorder="1"/>
    <xf numFmtId="49" fontId="15" fillId="0" borderId="0" xfId="0" applyNumberFormat="1" applyFont="1" applyBorder="1" applyAlignment="1">
      <alignment horizontal="center"/>
    </xf>
    <xf numFmtId="49" fontId="0" fillId="0" borderId="0" xfId="0" applyNumberFormat="1"/>
    <xf numFmtId="49" fontId="0" fillId="0" borderId="7" xfId="0" applyNumberFormat="1" applyBorder="1" applyAlignment="1">
      <alignment horizontal="center"/>
    </xf>
    <xf numFmtId="49" fontId="58" fillId="0" borderId="19" xfId="0" quotePrefix="1" applyNumberFormat="1" applyFont="1" applyBorder="1"/>
    <xf numFmtId="0" fontId="40" fillId="0" borderId="22" xfId="0" applyFont="1" applyBorder="1" applyAlignment="1">
      <alignment wrapText="1"/>
    </xf>
    <xf numFmtId="0" fontId="40" fillId="0" borderId="10" xfId="0" applyFont="1" applyBorder="1" applyAlignment="1">
      <alignment wrapText="1"/>
    </xf>
    <xf numFmtId="0" fontId="40" fillId="0" borderId="11" xfId="0" applyFont="1" applyBorder="1" applyAlignment="1">
      <alignment wrapText="1"/>
    </xf>
    <xf numFmtId="0" fontId="40" fillId="0" borderId="13" xfId="0" applyFont="1" applyBorder="1"/>
    <xf numFmtId="0" fontId="40" fillId="0" borderId="5" xfId="0" applyFont="1" applyBorder="1" applyAlignment="1">
      <alignment horizontal="center"/>
    </xf>
    <xf numFmtId="164" fontId="40" fillId="0" borderId="14" xfId="0" applyNumberFormat="1" applyFont="1" applyBorder="1" applyAlignment="1">
      <alignment horizontal="center"/>
    </xf>
    <xf numFmtId="0" fontId="40" fillId="0" borderId="5" xfId="0" applyFont="1" applyFill="1" applyBorder="1" applyAlignment="1">
      <alignment horizontal="center"/>
    </xf>
    <xf numFmtId="1" fontId="40" fillId="0" borderId="5" xfId="0" applyNumberFormat="1" applyFont="1" applyBorder="1" applyAlignment="1">
      <alignment horizontal="center"/>
    </xf>
    <xf numFmtId="0" fontId="40" fillId="0" borderId="16" xfId="0" applyFont="1" applyBorder="1"/>
    <xf numFmtId="0" fontId="40" fillId="0" borderId="23" xfId="0" applyFont="1" applyBorder="1" applyAlignment="1">
      <alignment horizontal="center"/>
    </xf>
    <xf numFmtId="164" fontId="40" fillId="0" borderId="17" xfId="0" applyNumberFormat="1" applyFont="1" applyBorder="1" applyAlignment="1">
      <alignment horizontal="center"/>
    </xf>
    <xf numFmtId="2" fontId="0" fillId="0" borderId="0" xfId="0" applyNumberFormat="1" applyFill="1" applyBorder="1"/>
    <xf numFmtId="0" fontId="35" fillId="8" borderId="7" xfId="0" applyFont="1" applyFill="1" applyBorder="1" applyAlignment="1">
      <alignment horizontal="center" vertical="center"/>
    </xf>
    <xf numFmtId="0" fontId="0" fillId="38" borderId="2" xfId="0" applyFill="1" applyBorder="1"/>
    <xf numFmtId="0" fontId="0" fillId="38" borderId="3" xfId="0" applyFill="1" applyBorder="1"/>
    <xf numFmtId="0" fontId="0" fillId="38" borderId="6" xfId="0" applyFill="1" applyBorder="1"/>
    <xf numFmtId="0" fontId="0" fillId="29" borderId="7" xfId="0" applyFill="1" applyBorder="1"/>
    <xf numFmtId="0" fontId="0" fillId="29" borderId="0" xfId="0" applyFill="1" applyBorder="1"/>
    <xf numFmtId="0" fontId="0" fillId="29" borderId="26" xfId="0" applyFill="1" applyBorder="1"/>
    <xf numFmtId="49" fontId="18" fillId="0" borderId="0" xfId="0" applyNumberFormat="1" applyFont="1" applyBorder="1" applyAlignment="1">
      <alignment horizontal="center"/>
    </xf>
    <xf numFmtId="49" fontId="18" fillId="0" borderId="0" xfId="0" applyNumberFormat="1" applyFont="1" applyBorder="1" applyAlignment="1">
      <alignment horizontal="right"/>
    </xf>
    <xf numFmtId="0" fontId="0" fillId="40" borderId="7" xfId="0" applyFill="1" applyBorder="1"/>
    <xf numFmtId="0" fontId="0" fillId="40" borderId="0" xfId="0" applyFill="1" applyBorder="1"/>
    <xf numFmtId="0" fontId="0" fillId="40" borderId="26" xfId="0" applyFill="1" applyBorder="1"/>
    <xf numFmtId="0" fontId="0" fillId="13" borderId="18" xfId="0" applyFill="1" applyBorder="1"/>
    <xf numFmtId="0" fontId="0" fillId="13" borderId="19" xfId="0" applyFill="1" applyBorder="1"/>
    <xf numFmtId="0" fontId="0" fillId="13" borderId="27" xfId="0" applyFill="1" applyBorder="1"/>
    <xf numFmtId="0" fontId="0" fillId="29" borderId="15" xfId="0" applyFill="1" applyBorder="1"/>
    <xf numFmtId="0" fontId="0" fillId="29" borderId="8" xfId="0" applyFill="1" applyBorder="1"/>
    <xf numFmtId="0" fontId="0" fillId="29" borderId="28" xfId="0" applyFill="1" applyBorder="1"/>
    <xf numFmtId="2" fontId="0" fillId="0" borderId="0" xfId="0" applyNumberFormat="1"/>
    <xf numFmtId="49" fontId="58" fillId="0" borderId="0" xfId="0" applyNumberFormat="1" applyFont="1" applyBorder="1" applyAlignment="1">
      <alignment horizontal="center"/>
    </xf>
    <xf numFmtId="49" fontId="58" fillId="0" borderId="0" xfId="0" quotePrefix="1" applyNumberFormat="1" applyFont="1" applyBorder="1" applyAlignment="1">
      <alignment horizontal="right"/>
    </xf>
    <xf numFmtId="0" fontId="0" fillId="41" borderId="0" xfId="0" applyFill="1"/>
    <xf numFmtId="0" fontId="76" fillId="21" borderId="26" xfId="0" applyFont="1" applyFill="1" applyBorder="1" applyAlignment="1">
      <alignment horizontal="left"/>
    </xf>
    <xf numFmtId="0" fontId="76" fillId="0" borderId="6" xfId="0" applyFont="1" applyFill="1" applyBorder="1"/>
    <xf numFmtId="0" fontId="0" fillId="0" borderId="20" xfId="0" applyBorder="1" applyAlignment="1">
      <alignment horizontal="center"/>
    </xf>
    <xf numFmtId="0" fontId="15" fillId="0" borderId="12" xfId="0" applyNumberFormat="1" applyFont="1" applyBorder="1"/>
    <xf numFmtId="0" fontId="0" fillId="0" borderId="0" xfId="0" applyAlignment="1">
      <alignment vertical="top"/>
    </xf>
    <xf numFmtId="0" fontId="0" fillId="0" borderId="16" xfId="0" applyBorder="1" applyAlignment="1">
      <alignment horizontal="left"/>
    </xf>
    <xf numFmtId="0" fontId="0" fillId="0" borderId="23" xfId="0" applyBorder="1" applyAlignment="1">
      <alignment horizontal="left"/>
    </xf>
    <xf numFmtId="0" fontId="65" fillId="0" borderId="23" xfId="0" applyFon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0" xfId="0" applyFill="1" applyBorder="1" applyAlignment="1">
      <alignment vertical="top" wrapText="1"/>
    </xf>
    <xf numFmtId="0" fontId="0" fillId="5" borderId="0" xfId="0" applyFill="1" applyBorder="1"/>
    <xf numFmtId="0" fontId="10" fillId="0" borderId="0" xfId="0" applyFont="1" applyBorder="1" applyAlignment="1">
      <alignment horizontal="left"/>
    </xf>
    <xf numFmtId="0" fontId="48" fillId="0" borderId="29" xfId="0" applyFont="1" applyBorder="1" applyAlignment="1">
      <alignment horizontal="center"/>
    </xf>
    <xf numFmtId="0" fontId="48" fillId="3" borderId="29" xfId="0" applyFont="1" applyFill="1" applyBorder="1" applyAlignment="1">
      <alignment horizontal="center"/>
    </xf>
    <xf numFmtId="0" fontId="33" fillId="0" borderId="38" xfId="0" applyFont="1" applyBorder="1" applyAlignment="1">
      <alignment horizontal="center"/>
    </xf>
    <xf numFmtId="0" fontId="33" fillId="0" borderId="62" xfId="0" applyFont="1" applyBorder="1" applyAlignment="1">
      <alignment horizontal="center"/>
    </xf>
    <xf numFmtId="0" fontId="53" fillId="0" borderId="10" xfId="0" applyFont="1" applyBorder="1" applyAlignment="1">
      <alignment horizontal="center"/>
    </xf>
    <xf numFmtId="0" fontId="25" fillId="0" borderId="11" xfId="0" applyFont="1" applyBorder="1" applyAlignment="1">
      <alignment horizontal="center"/>
    </xf>
    <xf numFmtId="0" fontId="51" fillId="0" borderId="29" xfId="0" applyFont="1" applyBorder="1" applyAlignment="1">
      <alignment horizontal="center"/>
    </xf>
    <xf numFmtId="0" fontId="25" fillId="0" borderId="37" xfId="0" applyFont="1" applyBorder="1" applyAlignment="1">
      <alignment horizontal="center"/>
    </xf>
    <xf numFmtId="0" fontId="25" fillId="0" borderId="74" xfId="0" applyFont="1" applyBorder="1" applyAlignment="1">
      <alignment horizontal="center"/>
    </xf>
    <xf numFmtId="0" fontId="55" fillId="0" borderId="14" xfId="0" applyFont="1" applyBorder="1" applyAlignment="1">
      <alignment horizontal="center"/>
    </xf>
    <xf numFmtId="0" fontId="52" fillId="0" borderId="17" xfId="0" applyFont="1" applyBorder="1" applyAlignment="1">
      <alignment horizontal="center"/>
    </xf>
    <xf numFmtId="0" fontId="25" fillId="5" borderId="61" xfId="0" applyFont="1" applyFill="1" applyBorder="1"/>
    <xf numFmtId="0" fontId="25" fillId="0" borderId="46" xfId="0" applyFont="1" applyBorder="1"/>
    <xf numFmtId="0" fontId="25" fillId="0" borderId="29" xfId="0" applyFont="1" applyBorder="1" applyAlignment="1">
      <alignment horizontal="right"/>
    </xf>
    <xf numFmtId="0" fontId="28" fillId="0" borderId="0" xfId="0" applyFont="1"/>
    <xf numFmtId="0" fontId="25" fillId="0" borderId="0" xfId="0" applyFont="1" applyFill="1" applyAlignment="1">
      <alignment horizontal="right"/>
    </xf>
    <xf numFmtId="164" fontId="65" fillId="0" borderId="41" xfId="0" applyNumberFormat="1" applyFont="1" applyBorder="1"/>
    <xf numFmtId="0" fontId="0" fillId="39" borderId="28" xfId="0" applyFill="1" applyBorder="1"/>
    <xf numFmtId="0" fontId="57" fillId="0" borderId="0" xfId="0" applyFont="1" applyBorder="1"/>
    <xf numFmtId="0" fontId="57" fillId="0" borderId="17" xfId="0" applyFont="1" applyBorder="1"/>
    <xf numFmtId="0" fontId="106" fillId="19" borderId="16" xfId="0" applyFont="1" applyFill="1" applyBorder="1"/>
    <xf numFmtId="0" fontId="43" fillId="19" borderId="10" xfId="0" applyFont="1" applyFill="1" applyBorder="1"/>
    <xf numFmtId="0" fontId="7" fillId="0" borderId="0" xfId="0" applyFont="1" applyBorder="1" applyAlignment="1">
      <alignment horizontal="center"/>
    </xf>
    <xf numFmtId="0" fontId="106" fillId="19" borderId="2" xfId="0" applyFont="1" applyFill="1" applyBorder="1"/>
    <xf numFmtId="0" fontId="0" fillId="15" borderId="11" xfId="0" applyFill="1" applyBorder="1"/>
    <xf numFmtId="0" fontId="111" fillId="0" borderId="0" xfId="0" applyFont="1" applyFill="1" applyBorder="1" applyAlignment="1">
      <alignment horizontal="left"/>
    </xf>
    <xf numFmtId="0" fontId="25" fillId="0" borderId="0" xfId="0" applyFont="1" applyBorder="1" applyAlignment="1">
      <alignment horizontal="center"/>
    </xf>
    <xf numFmtId="0" fontId="82" fillId="0" borderId="8" xfId="0" applyFont="1" applyFill="1" applyBorder="1" applyAlignment="1">
      <alignment horizontal="right"/>
    </xf>
    <xf numFmtId="0" fontId="87" fillId="0" borderId="0" xfId="0" quotePrefix="1" applyNumberFormat="1" applyFont="1" applyBorder="1" applyAlignment="1">
      <alignment horizontal="left"/>
    </xf>
    <xf numFmtId="0" fontId="0" fillId="23" borderId="8" xfId="0" applyFill="1" applyBorder="1"/>
    <xf numFmtId="0" fontId="0" fillId="23" borderId="9" xfId="0" applyFill="1" applyBorder="1"/>
    <xf numFmtId="0" fontId="68" fillId="0" borderId="0" xfId="0" applyFont="1" applyBorder="1" applyAlignment="1">
      <alignment horizontal="center"/>
    </xf>
    <xf numFmtId="49" fontId="68" fillId="0" borderId="0" xfId="0" applyNumberFormat="1" applyFont="1" applyBorder="1" applyAlignment="1">
      <alignment horizontal="center"/>
    </xf>
    <xf numFmtId="0" fontId="69" fillId="0" borderId="19" xfId="0" applyFont="1" applyBorder="1" applyAlignment="1">
      <alignment horizontal="center"/>
    </xf>
    <xf numFmtId="0" fontId="69" fillId="0" borderId="0" xfId="0" applyFont="1" applyBorder="1" applyAlignment="1">
      <alignment horizontal="center"/>
    </xf>
    <xf numFmtId="164" fontId="69" fillId="0" borderId="0" xfId="0" applyNumberFormat="1" applyFont="1" applyBorder="1" applyAlignment="1">
      <alignment horizontal="center"/>
    </xf>
    <xf numFmtId="0" fontId="69" fillId="0" borderId="0" xfId="0" applyNumberFormat="1" applyFont="1" applyBorder="1" applyAlignment="1">
      <alignment horizontal="center"/>
    </xf>
    <xf numFmtId="0" fontId="69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9" fillId="0" borderId="0" xfId="0" applyFont="1" applyBorder="1" applyAlignment="1">
      <alignment horizontal="left"/>
    </xf>
    <xf numFmtId="0" fontId="35" fillId="0" borderId="18" xfId="0" applyFont="1" applyBorder="1" applyAlignment="1">
      <alignment horizontal="center"/>
    </xf>
    <xf numFmtId="0" fontId="35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8" fillId="0" borderId="0" xfId="0" applyFont="1" applyBorder="1" applyAlignment="1" applyProtection="1">
      <alignment horizontal="left"/>
      <protection locked="0"/>
    </xf>
    <xf numFmtId="49" fontId="35" fillId="0" borderId="0" xfId="0" applyNumberFormat="1" applyFont="1" applyBorder="1"/>
    <xf numFmtId="0" fontId="35" fillId="0" borderId="0" xfId="0" applyNumberFormat="1" applyFont="1" applyBorder="1" applyAlignment="1">
      <alignment horizontal="left"/>
    </xf>
    <xf numFmtId="0" fontId="35" fillId="0" borderId="0" xfId="0" applyFont="1" applyBorder="1" applyAlignment="1">
      <alignment horizontal="center"/>
    </xf>
    <xf numFmtId="0" fontId="104" fillId="0" borderId="8" xfId="0" applyFont="1" applyBorder="1"/>
    <xf numFmtId="0" fontId="57" fillId="31" borderId="18" xfId="0" applyFont="1" applyFill="1" applyBorder="1"/>
    <xf numFmtId="0" fontId="25" fillId="0" borderId="75" xfId="0" applyFont="1" applyBorder="1"/>
    <xf numFmtId="0" fontId="25" fillId="0" borderId="0" xfId="0" applyFont="1" applyBorder="1" applyAlignment="1">
      <alignment horizontal="right"/>
    </xf>
    <xf numFmtId="0" fontId="48" fillId="0" borderId="0" xfId="0" applyFont="1" applyBorder="1" applyAlignment="1">
      <alignment horizontal="left"/>
    </xf>
    <xf numFmtId="0" fontId="25" fillId="0" borderId="19" xfId="0" applyFont="1" applyFill="1" applyBorder="1" applyAlignment="1">
      <alignment horizontal="right"/>
    </xf>
    <xf numFmtId="168" fontId="0" fillId="5" borderId="9" xfId="0" applyNumberFormat="1" applyFill="1" applyBorder="1"/>
    <xf numFmtId="0" fontId="57" fillId="31" borderId="10" xfId="0" applyFont="1" applyFill="1" applyBorder="1"/>
    <xf numFmtId="0" fontId="0" fillId="0" borderId="11" xfId="0" applyBorder="1"/>
    <xf numFmtId="0" fontId="57" fillId="31" borderId="0" xfId="0" applyFont="1" applyFill="1" applyBorder="1"/>
    <xf numFmtId="0" fontId="0" fillId="0" borderId="9" xfId="0" applyFont="1" applyBorder="1"/>
    <xf numFmtId="0" fontId="0" fillId="0" borderId="0" xfId="0" applyFont="1" applyBorder="1" applyAlignment="1">
      <alignment horizontal="left" vertical="top"/>
    </xf>
    <xf numFmtId="0" fontId="0" fillId="0" borderId="8" xfId="0" applyFont="1" applyFill="1" applyBorder="1"/>
    <xf numFmtId="20" fontId="38" fillId="0" borderId="0" xfId="0" quotePrefix="1" applyNumberFormat="1" applyFont="1" applyBorder="1" applyAlignment="1">
      <alignment horizontal="center"/>
    </xf>
    <xf numFmtId="20" fontId="38" fillId="0" borderId="0" xfId="0" applyNumberFormat="1" applyFont="1" applyBorder="1" applyAlignment="1">
      <alignment horizontal="center"/>
    </xf>
    <xf numFmtId="0" fontId="35" fillId="0" borderId="3" xfId="0" applyFont="1" applyBorder="1" applyAlignment="1">
      <alignment wrapText="1"/>
    </xf>
    <xf numFmtId="0" fontId="0" fillId="0" borderId="0" xfId="0" applyFont="1" applyBorder="1" applyAlignment="1">
      <alignment horizontal="center" textRotation="90"/>
    </xf>
    <xf numFmtId="0" fontId="13" fillId="0" borderId="0" xfId="0" applyFont="1" applyBorder="1" applyAlignment="1" applyProtection="1">
      <alignment horizontal="right"/>
      <protection locked="0"/>
    </xf>
    <xf numFmtId="0" fontId="128" fillId="0" borderId="19" xfId="0" applyFont="1" applyBorder="1"/>
    <xf numFmtId="0" fontId="0" fillId="0" borderId="0" xfId="0" applyBorder="1" applyAlignment="1">
      <alignment horizontal="right" vertical="center"/>
    </xf>
    <xf numFmtId="1" fontId="15" fillId="0" borderId="0" xfId="0" applyNumberFormat="1" applyFont="1" applyBorder="1" applyAlignment="1">
      <alignment horizontal="right" vertical="center"/>
    </xf>
    <xf numFmtId="0" fontId="25" fillId="5" borderId="40" xfId="0" applyFont="1" applyFill="1" applyBorder="1"/>
    <xf numFmtId="0" fontId="25" fillId="5" borderId="43" xfId="0" applyFont="1" applyFill="1" applyBorder="1"/>
    <xf numFmtId="0" fontId="25" fillId="5" borderId="43" xfId="0" applyFont="1" applyFill="1" applyBorder="1" applyAlignment="1">
      <alignment horizontal="center"/>
    </xf>
    <xf numFmtId="0" fontId="25" fillId="5" borderId="41" xfId="0" applyFont="1" applyFill="1" applyBorder="1"/>
    <xf numFmtId="0" fontId="25" fillId="0" borderId="15" xfId="0" applyFont="1" applyFill="1" applyBorder="1"/>
    <xf numFmtId="0" fontId="25" fillId="0" borderId="8" xfId="0" applyFont="1" applyFill="1" applyBorder="1"/>
    <xf numFmtId="0" fontId="25" fillId="0" borderId="7" xfId="0" applyNumberFormat="1" applyFont="1" applyBorder="1" applyProtection="1">
      <protection locked="0"/>
    </xf>
    <xf numFmtId="0" fontId="0" fillId="0" borderId="8" xfId="0" applyNumberFormat="1" applyBorder="1"/>
    <xf numFmtId="0" fontId="0" fillId="0" borderId="2" xfId="0" applyFont="1" applyBorder="1"/>
    <xf numFmtId="0" fontId="0" fillId="0" borderId="3" xfId="0" applyFont="1" applyBorder="1"/>
    <xf numFmtId="0" fontId="0" fillId="0" borderId="0" xfId="0" applyNumberFormat="1" applyFont="1" applyBorder="1"/>
    <xf numFmtId="0" fontId="0" fillId="0" borderId="5" xfId="0" applyFill="1" applyBorder="1"/>
    <xf numFmtId="0" fontId="70" fillId="14" borderId="5" xfId="0" applyFont="1" applyFill="1" applyBorder="1" applyAlignment="1"/>
    <xf numFmtId="0" fontId="70" fillId="22" borderId="5" xfId="0" applyFont="1" applyFill="1" applyBorder="1" applyAlignment="1"/>
    <xf numFmtId="0" fontId="0" fillId="0" borderId="0" xfId="0" applyFont="1" applyFill="1" applyBorder="1" applyAlignment="1"/>
    <xf numFmtId="0" fontId="13" fillId="0" borderId="8" xfId="0" applyFont="1" applyBorder="1" applyAlignment="1">
      <alignment horizontal="right"/>
    </xf>
    <xf numFmtId="0" fontId="0" fillId="0" borderId="9" xfId="0" applyNumberFormat="1" applyBorder="1"/>
    <xf numFmtId="164" fontId="65" fillId="0" borderId="0" xfId="0" applyNumberFormat="1" applyFont="1" applyBorder="1" applyAlignment="1">
      <alignment horizontal="left"/>
    </xf>
    <xf numFmtId="49" fontId="18" fillId="0" borderId="0" xfId="0" applyNumberFormat="1" applyFont="1" applyBorder="1" applyAlignment="1"/>
    <xf numFmtId="49" fontId="38" fillId="0" borderId="0" xfId="0" applyNumberFormat="1" applyFont="1" applyBorder="1" applyAlignment="1">
      <alignment horizontal="center"/>
    </xf>
    <xf numFmtId="0" fontId="35" fillId="0" borderId="0" xfId="0" applyNumberFormat="1" applyFont="1" applyBorder="1" applyAlignment="1">
      <alignment horizontal="center"/>
    </xf>
    <xf numFmtId="0" fontId="35" fillId="0" borderId="0" xfId="0" applyFont="1" applyBorder="1" applyAlignment="1">
      <alignment horizontal="center" vertical="center"/>
    </xf>
    <xf numFmtId="2" fontId="0" fillId="0" borderId="7" xfId="0" applyNumberFormat="1" applyBorder="1" applyAlignment="1">
      <alignment horizontal="center"/>
    </xf>
    <xf numFmtId="0" fontId="0" fillId="5" borderId="13" xfId="0" applyFill="1" applyBorder="1" applyAlignment="1">
      <alignment horizontal="right"/>
    </xf>
    <xf numFmtId="0" fontId="0" fillId="5" borderId="16" xfId="0" applyFill="1" applyBorder="1" applyAlignment="1">
      <alignment horizontal="right"/>
    </xf>
    <xf numFmtId="0" fontId="0" fillId="5" borderId="40" xfId="0" applyFill="1" applyBorder="1" applyAlignment="1">
      <alignment horizontal="right"/>
    </xf>
    <xf numFmtId="0" fontId="6" fillId="5" borderId="38" xfId="0" applyFont="1" applyFill="1" applyBorder="1" applyAlignment="1">
      <alignment horizontal="left"/>
    </xf>
    <xf numFmtId="0" fontId="6" fillId="5" borderId="13" xfId="0" applyFont="1" applyFill="1" applyBorder="1" applyAlignment="1">
      <alignment horizontal="right"/>
    </xf>
    <xf numFmtId="0" fontId="6" fillId="5" borderId="37" xfId="0" applyFont="1" applyFill="1" applyBorder="1" applyAlignment="1">
      <alignment horizontal="right"/>
    </xf>
    <xf numFmtId="0" fontId="12" fillId="8" borderId="15" xfId="0" applyFont="1" applyFill="1" applyBorder="1" applyAlignment="1">
      <alignment horizontal="center"/>
    </xf>
    <xf numFmtId="0" fontId="6" fillId="19" borderId="7" xfId="0" applyFont="1" applyFill="1" applyBorder="1" applyAlignment="1">
      <alignment horizontal="center"/>
    </xf>
    <xf numFmtId="0" fontId="0" fillId="22" borderId="13" xfId="0" applyFill="1" applyBorder="1" applyAlignment="1">
      <alignment horizontal="right"/>
    </xf>
    <xf numFmtId="0" fontId="0" fillId="25" borderId="14" xfId="0" applyFill="1" applyBorder="1"/>
    <xf numFmtId="168" fontId="0" fillId="5" borderId="14" xfId="0" applyNumberFormat="1" applyFill="1" applyBorder="1"/>
    <xf numFmtId="0" fontId="6" fillId="5" borderId="16" xfId="0" applyFont="1" applyFill="1" applyBorder="1" applyAlignment="1">
      <alignment horizontal="left"/>
    </xf>
    <xf numFmtId="0" fontId="0" fillId="5" borderId="17" xfId="0" applyFill="1" applyBorder="1"/>
    <xf numFmtId="0" fontId="35" fillId="8" borderId="7" xfId="0" applyFont="1" applyFill="1" applyBorder="1" applyAlignment="1">
      <alignment horizontal="center"/>
    </xf>
    <xf numFmtId="0" fontId="35" fillId="8" borderId="12" xfId="0" applyFont="1" applyFill="1" applyBorder="1" applyAlignment="1">
      <alignment horizontal="center"/>
    </xf>
    <xf numFmtId="0" fontId="35" fillId="8" borderId="12" xfId="0" applyFont="1" applyFill="1" applyBorder="1" applyAlignment="1">
      <alignment horizontal="center" vertical="center"/>
    </xf>
    <xf numFmtId="0" fontId="35" fillId="8" borderId="12" xfId="0" applyFont="1" applyFill="1" applyBorder="1" applyAlignment="1">
      <alignment vertical="center"/>
    </xf>
    <xf numFmtId="0" fontId="35" fillId="8" borderId="18" xfId="0" applyFont="1" applyFill="1" applyBorder="1" applyAlignment="1">
      <alignment horizontal="center"/>
    </xf>
    <xf numFmtId="0" fontId="35" fillId="8" borderId="20" xfId="0" applyFont="1" applyFill="1" applyBorder="1" applyAlignment="1">
      <alignment horizontal="center"/>
    </xf>
    <xf numFmtId="0" fontId="0" fillId="0" borderId="32" xfId="0" applyBorder="1"/>
    <xf numFmtId="0" fontId="0" fillId="8" borderId="42" xfId="0" applyFill="1" applyBorder="1"/>
    <xf numFmtId="0" fontId="0" fillId="39" borderId="2" xfId="0" applyFill="1" applyBorder="1"/>
    <xf numFmtId="0" fontId="0" fillId="39" borderId="4" xfId="0" applyFill="1" applyBorder="1"/>
    <xf numFmtId="2" fontId="37" fillId="19" borderId="0" xfId="0" applyNumberFormat="1" applyFont="1" applyFill="1" applyBorder="1"/>
    <xf numFmtId="2" fontId="0" fillId="0" borderId="41" xfId="0" applyNumberFormat="1" applyFill="1" applyBorder="1"/>
    <xf numFmtId="164" fontId="0" fillId="0" borderId="6" xfId="0" applyNumberFormat="1" applyBorder="1"/>
    <xf numFmtId="0" fontId="76" fillId="37" borderId="28" xfId="0" applyFont="1" applyFill="1" applyBorder="1" applyAlignment="1">
      <alignment horizontal="left"/>
    </xf>
    <xf numFmtId="0" fontId="83" fillId="37" borderId="27" xfId="0" applyFont="1" applyFill="1" applyBorder="1"/>
    <xf numFmtId="0" fontId="129" fillId="0" borderId="8" xfId="0" applyFont="1" applyBorder="1"/>
    <xf numFmtId="0" fontId="129" fillId="0" borderId="0" xfId="0" applyFont="1" applyFill="1" applyBorder="1" applyAlignment="1">
      <alignment horizontal="left"/>
    </xf>
    <xf numFmtId="0" fontId="129" fillId="0" borderId="0" xfId="0" quotePrefix="1" applyNumberFormat="1" applyFont="1" applyBorder="1" applyAlignment="1">
      <alignment horizontal="left"/>
    </xf>
    <xf numFmtId="0" fontId="129" fillId="0" borderId="0" xfId="0" applyFont="1" applyBorder="1" applyAlignment="1">
      <alignment horizontal="left"/>
    </xf>
    <xf numFmtId="0" fontId="73" fillId="0" borderId="0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72" fillId="0" borderId="3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0" xfId="0" applyBorder="1" applyAlignment="1">
      <alignment horizontal="center"/>
    </xf>
    <xf numFmtId="2" fontId="0" fillId="0" borderId="0" xfId="0" applyNumberFormat="1" applyBorder="1" applyAlignment="1">
      <alignment horizontal="left"/>
    </xf>
    <xf numFmtId="0" fontId="15" fillId="0" borderId="0" xfId="0" applyNumberFormat="1" applyFont="1" applyBorder="1" applyAlignment="1">
      <alignment horizontal="left"/>
    </xf>
    <xf numFmtId="0" fontId="93" fillId="0" borderId="0" xfId="0" applyFont="1" applyBorder="1"/>
    <xf numFmtId="0" fontId="35" fillId="0" borderId="0" xfId="0" applyFont="1" applyBorder="1"/>
    <xf numFmtId="49" fontId="35" fillId="0" borderId="12" xfId="0" applyNumberFormat="1" applyFont="1" applyBorder="1" applyAlignment="1">
      <alignment horizontal="left"/>
    </xf>
    <xf numFmtId="0" fontId="0" fillId="0" borderId="7" xfId="0" applyBorder="1" applyAlignment="1">
      <alignment horizontal="left"/>
    </xf>
    <xf numFmtId="49" fontId="45" fillId="0" borderId="0" xfId="0" applyNumberFormat="1" applyFont="1" applyBorder="1" applyAlignment="1">
      <alignment horizontal="center"/>
    </xf>
    <xf numFmtId="0" fontId="78" fillId="0" borderId="0" xfId="0" applyFont="1" applyBorder="1" applyAlignment="1">
      <alignment horizontal="center"/>
    </xf>
    <xf numFmtId="0" fontId="107" fillId="0" borderId="0" xfId="0" applyFont="1" applyBorder="1" applyAlignment="1">
      <alignment horizontal="left"/>
    </xf>
    <xf numFmtId="0" fontId="45" fillId="0" borderId="0" xfId="0" applyFont="1" applyBorder="1" applyAlignment="1">
      <alignment horizontal="center"/>
    </xf>
    <xf numFmtId="0" fontId="2" fillId="0" borderId="0" xfId="0" applyFont="1" applyBorder="1"/>
    <xf numFmtId="10" fontId="0" fillId="0" borderId="0" xfId="0" applyNumberFormat="1" applyFill="1" applyBorder="1" applyAlignment="1">
      <alignment horizontal="left"/>
    </xf>
    <xf numFmtId="0" fontId="0" fillId="0" borderId="28" xfId="0" applyBorder="1"/>
    <xf numFmtId="0" fontId="0" fillId="0" borderId="28" xfId="0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26" fillId="0" borderId="0" xfId="0" applyFont="1"/>
    <xf numFmtId="0" fontId="76" fillId="37" borderId="38" xfId="0" applyFont="1" applyFill="1" applyBorder="1" applyAlignment="1">
      <alignment horizontal="left"/>
    </xf>
    <xf numFmtId="0" fontId="83" fillId="37" borderId="39" xfId="0" applyFont="1" applyFill="1" applyBorder="1"/>
    <xf numFmtId="0" fontId="40" fillId="0" borderId="0" xfId="0" applyFont="1"/>
    <xf numFmtId="0" fontId="85" fillId="0" borderId="0" xfId="0" applyFont="1"/>
    <xf numFmtId="0" fontId="40" fillId="0" borderId="0" xfId="0" applyFont="1" applyAlignment="1">
      <alignment horizontal="left"/>
    </xf>
    <xf numFmtId="2" fontId="84" fillId="0" borderId="0" xfId="0" applyNumberFormat="1" applyFont="1"/>
    <xf numFmtId="0" fontId="85" fillId="37" borderId="28" xfId="0" applyFont="1" applyFill="1" applyBorder="1" applyAlignment="1">
      <alignment horizontal="right"/>
    </xf>
    <xf numFmtId="0" fontId="86" fillId="37" borderId="27" xfId="0" applyFont="1" applyFill="1" applyBorder="1" applyAlignment="1">
      <alignment horizontal="right"/>
    </xf>
    <xf numFmtId="0" fontId="85" fillId="37" borderId="6" xfId="0" applyFont="1" applyFill="1" applyBorder="1"/>
    <xf numFmtId="0" fontId="40" fillId="0" borderId="12" xfId="0" applyFont="1" applyBorder="1"/>
    <xf numFmtId="0" fontId="85" fillId="0" borderId="12" xfId="0" applyFont="1" applyBorder="1" applyAlignment="1">
      <alignment horizontal="right"/>
    </xf>
    <xf numFmtId="0" fontId="85" fillId="37" borderId="38" xfId="0" applyFont="1" applyFill="1" applyBorder="1" applyAlignment="1">
      <alignment horizontal="left"/>
    </xf>
    <xf numFmtId="0" fontId="85" fillId="37" borderId="42" xfId="0" applyFont="1" applyFill="1" applyBorder="1" applyAlignment="1">
      <alignment horizontal="left"/>
    </xf>
    <xf numFmtId="0" fontId="86" fillId="37" borderId="39" xfId="0" applyFont="1" applyFill="1" applyBorder="1"/>
    <xf numFmtId="0" fontId="86" fillId="37" borderId="55" xfId="0" applyFont="1" applyFill="1" applyBorder="1"/>
    <xf numFmtId="0" fontId="85" fillId="0" borderId="13" xfId="0" applyFont="1" applyBorder="1"/>
    <xf numFmtId="0" fontId="85" fillId="0" borderId="14" xfId="0" applyFont="1" applyBorder="1" applyAlignment="1">
      <alignment horizontal="right"/>
    </xf>
    <xf numFmtId="0" fontId="85" fillId="0" borderId="14" xfId="0" applyNumberFormat="1" applyFont="1" applyBorder="1" applyAlignment="1">
      <alignment horizontal="right"/>
    </xf>
    <xf numFmtId="0" fontId="85" fillId="32" borderId="15" xfId="0" applyFont="1" applyFill="1" applyBorder="1"/>
    <xf numFmtId="0" fontId="85" fillId="32" borderId="8" xfId="0" applyFont="1" applyFill="1" applyBorder="1"/>
    <xf numFmtId="0" fontId="85" fillId="32" borderId="7" xfId="0" applyFont="1" applyFill="1" applyBorder="1"/>
    <xf numFmtId="0" fontId="85" fillId="32" borderId="0" xfId="0" applyFont="1" applyFill="1" applyBorder="1"/>
    <xf numFmtId="0" fontId="40" fillId="32" borderId="7" xfId="0" applyFont="1" applyFill="1" applyBorder="1" applyAlignment="1">
      <alignment horizontal="left"/>
    </xf>
    <xf numFmtId="0" fontId="40" fillId="32" borderId="0" xfId="0" applyFont="1" applyFill="1" applyBorder="1"/>
    <xf numFmtId="0" fontId="85" fillId="32" borderId="8" xfId="0" applyFont="1" applyFill="1" applyBorder="1" applyAlignment="1">
      <alignment horizontal="left"/>
    </xf>
    <xf numFmtId="0" fontId="86" fillId="32" borderId="0" xfId="0" applyFont="1" applyFill="1" applyBorder="1"/>
    <xf numFmtId="2" fontId="86" fillId="32" borderId="19" xfId="0" applyNumberFormat="1" applyFont="1" applyFill="1" applyBorder="1"/>
    <xf numFmtId="0" fontId="85" fillId="32" borderId="12" xfId="0" applyNumberFormat="1" applyFont="1" applyFill="1" applyBorder="1" applyAlignment="1">
      <alignment horizontal="right"/>
    </xf>
    <xf numFmtId="0" fontId="40" fillId="32" borderId="12" xfId="0" applyFont="1" applyFill="1" applyBorder="1"/>
    <xf numFmtId="0" fontId="85" fillId="32" borderId="13" xfId="0" applyFont="1" applyFill="1" applyBorder="1"/>
    <xf numFmtId="0" fontId="85" fillId="32" borderId="14" xfId="0" applyFont="1" applyFill="1" applyBorder="1"/>
    <xf numFmtId="2" fontId="86" fillId="32" borderId="16" xfId="0" applyNumberFormat="1" applyFont="1" applyFill="1" applyBorder="1"/>
    <xf numFmtId="2" fontId="86" fillId="32" borderId="17" xfId="0" applyNumberFormat="1" applyFont="1" applyFill="1" applyBorder="1"/>
    <xf numFmtId="0" fontId="85" fillId="32" borderId="12" xfId="0" applyFont="1" applyFill="1" applyBorder="1" applyAlignment="1">
      <alignment horizontal="right"/>
    </xf>
    <xf numFmtId="0" fontId="85" fillId="32" borderId="12" xfId="0" applyFont="1" applyFill="1" applyBorder="1"/>
    <xf numFmtId="2" fontId="86" fillId="32" borderId="6" xfId="0" applyNumberFormat="1" applyFont="1" applyFill="1" applyBorder="1"/>
    <xf numFmtId="0" fontId="130" fillId="0" borderId="0" xfId="0" applyFont="1"/>
    <xf numFmtId="0" fontId="131" fillId="0" borderId="0" xfId="0" applyFont="1"/>
    <xf numFmtId="0" fontId="25" fillId="5" borderId="38" xfId="0" applyFont="1" applyFill="1" applyBorder="1"/>
    <xf numFmtId="0" fontId="25" fillId="5" borderId="62" xfId="0" applyFont="1" applyFill="1" applyBorder="1"/>
    <xf numFmtId="0" fontId="25" fillId="5" borderId="62" xfId="0" applyFont="1" applyFill="1" applyBorder="1" applyAlignment="1">
      <alignment horizontal="center"/>
    </xf>
    <xf numFmtId="0" fontId="25" fillId="5" borderId="42" xfId="0" applyFont="1" applyFill="1" applyBorder="1"/>
    <xf numFmtId="0" fontId="25" fillId="5" borderId="5" xfId="0" applyFont="1" applyFill="1" applyBorder="1"/>
    <xf numFmtId="1" fontId="25" fillId="5" borderId="5" xfId="0" applyNumberFormat="1" applyFont="1" applyFill="1" applyBorder="1"/>
    <xf numFmtId="49" fontId="26" fillId="0" borderId="0" xfId="0" applyNumberFormat="1" applyFont="1"/>
    <xf numFmtId="0" fontId="0" fillId="0" borderId="26" xfId="0" applyFill="1" applyBorder="1"/>
    <xf numFmtId="168" fontId="65" fillId="0" borderId="41" xfId="0" applyNumberFormat="1" applyFont="1" applyBorder="1"/>
    <xf numFmtId="0" fontId="76" fillId="0" borderId="7" xfId="0" applyNumberFormat="1" applyFont="1" applyFill="1" applyBorder="1" applyAlignment="1">
      <alignment horizontal="left"/>
    </xf>
    <xf numFmtId="0" fontId="6" fillId="36" borderId="13" xfId="0" applyFont="1" applyFill="1" applyBorder="1" applyAlignment="1">
      <alignment horizontal="left"/>
    </xf>
    <xf numFmtId="0" fontId="0" fillId="36" borderId="14" xfId="0" applyFill="1" applyBorder="1"/>
    <xf numFmtId="167" fontId="83" fillId="14" borderId="13" xfId="0" applyNumberFormat="1" applyFont="1" applyFill="1" applyBorder="1"/>
    <xf numFmtId="0" fontId="35" fillId="6" borderId="15" xfId="0" applyFont="1" applyFill="1" applyBorder="1" applyAlignment="1">
      <alignment vertical="center"/>
    </xf>
    <xf numFmtId="0" fontId="0" fillId="6" borderId="9" xfId="0" applyFill="1" applyBorder="1"/>
    <xf numFmtId="0" fontId="35" fillId="6" borderId="7" xfId="0" applyFont="1" applyFill="1" applyBorder="1" applyAlignment="1">
      <alignment vertical="center"/>
    </xf>
    <xf numFmtId="14" fontId="0" fillId="6" borderId="12" xfId="0" quotePrefix="1" applyNumberFormat="1" applyFill="1" applyBorder="1"/>
    <xf numFmtId="0" fontId="26" fillId="0" borderId="0" xfId="0" quotePrefix="1" applyNumberFormat="1" applyFont="1" applyBorder="1" applyAlignment="1">
      <alignment horizontal="right"/>
    </xf>
    <xf numFmtId="0" fontId="26" fillId="0" borderId="0" xfId="0" applyNumberFormat="1" applyFont="1" applyBorder="1" applyAlignment="1">
      <alignment horizontal="right"/>
    </xf>
    <xf numFmtId="0" fontId="76" fillId="21" borderId="27" xfId="0" applyFont="1" applyFill="1" applyBorder="1"/>
    <xf numFmtId="2" fontId="0" fillId="32" borderId="20" xfId="0" applyNumberFormat="1" applyFill="1" applyBorder="1"/>
    <xf numFmtId="0" fontId="78" fillId="32" borderId="41" xfId="0" applyFont="1" applyFill="1" applyBorder="1"/>
    <xf numFmtId="0" fontId="0" fillId="32" borderId="14" xfId="0" applyFill="1" applyBorder="1"/>
    <xf numFmtId="0" fontId="0" fillId="37" borderId="77" xfId="0" applyFill="1" applyBorder="1"/>
    <xf numFmtId="0" fontId="0" fillId="32" borderId="71" xfId="0" applyFill="1" applyBorder="1"/>
    <xf numFmtId="0" fontId="0" fillId="32" borderId="49" xfId="0" applyFill="1" applyBorder="1"/>
    <xf numFmtId="0" fontId="0" fillId="32" borderId="73" xfId="0" applyFill="1" applyBorder="1"/>
    <xf numFmtId="0" fontId="13" fillId="0" borderId="2" xfId="0" applyFont="1" applyFill="1" applyBorder="1"/>
    <xf numFmtId="2" fontId="65" fillId="0" borderId="0" xfId="0" applyNumberFormat="1" applyFont="1" applyBorder="1" applyAlignment="1">
      <alignment horizontal="right"/>
    </xf>
    <xf numFmtId="0" fontId="90" fillId="8" borderId="47" xfId="0" applyFont="1" applyFill="1" applyBorder="1" applyAlignment="1">
      <alignment horizontal="center"/>
    </xf>
    <xf numFmtId="0" fontId="90" fillId="8" borderId="51" xfId="0" applyFont="1" applyFill="1" applyBorder="1" applyAlignment="1">
      <alignment horizontal="center"/>
    </xf>
    <xf numFmtId="0" fontId="29" fillId="0" borderId="2" xfId="0" applyFont="1" applyBorder="1" applyAlignment="1">
      <alignment horizontal="center"/>
    </xf>
    <xf numFmtId="0" fontId="29" fillId="0" borderId="4" xfId="0" applyFont="1" applyBorder="1" applyAlignment="1">
      <alignment horizontal="center"/>
    </xf>
    <xf numFmtId="14" fontId="29" fillId="0" borderId="2" xfId="0" applyNumberFormat="1" applyFont="1" applyBorder="1" applyAlignment="1">
      <alignment horizontal="center"/>
    </xf>
    <xf numFmtId="0" fontId="29" fillId="0" borderId="15" xfId="0" applyFont="1" applyBorder="1" applyAlignment="1">
      <alignment horizontal="center"/>
    </xf>
    <xf numFmtId="0" fontId="29" fillId="0" borderId="8" xfId="0" applyFont="1" applyBorder="1" applyAlignment="1">
      <alignment horizontal="center"/>
    </xf>
    <xf numFmtId="0" fontId="29" fillId="0" borderId="9" xfId="0" applyFont="1" applyBorder="1" applyAlignment="1">
      <alignment horizontal="center"/>
    </xf>
    <xf numFmtId="0" fontId="29" fillId="0" borderId="18" xfId="0" applyFont="1" applyBorder="1" applyAlignment="1">
      <alignment horizontal="center"/>
    </xf>
    <xf numFmtId="0" fontId="29" fillId="0" borderId="19" xfId="0" applyFont="1" applyBorder="1" applyAlignment="1">
      <alignment horizontal="center"/>
    </xf>
    <xf numFmtId="0" fontId="29" fillId="0" borderId="20" xfId="0" applyFont="1" applyBorder="1" applyAlignment="1">
      <alignment horizontal="center"/>
    </xf>
    <xf numFmtId="0" fontId="37" fillId="5" borderId="5" xfId="0" applyFont="1" applyFill="1" applyBorder="1" applyAlignment="1">
      <alignment horizontal="center"/>
    </xf>
    <xf numFmtId="0" fontId="90" fillId="5" borderId="5" xfId="0" applyFont="1" applyFill="1" applyBorder="1" applyAlignment="1">
      <alignment horizontal="center"/>
    </xf>
    <xf numFmtId="0" fontId="73" fillId="0" borderId="2" xfId="0" applyFont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73" fillId="0" borderId="5" xfId="0" applyFont="1" applyBorder="1" applyAlignment="1">
      <alignment horizontal="center"/>
    </xf>
    <xf numFmtId="0" fontId="12" fillId="3" borderId="15" xfId="0" applyFont="1" applyFill="1" applyBorder="1" applyAlignment="1">
      <alignment horizontal="center"/>
    </xf>
    <xf numFmtId="0" fontId="12" fillId="3" borderId="9" xfId="0" applyFont="1" applyFill="1" applyBorder="1" applyAlignment="1">
      <alignment horizontal="center"/>
    </xf>
    <xf numFmtId="14" fontId="29" fillId="0" borderId="3" xfId="0" applyNumberFormat="1" applyFont="1" applyBorder="1" applyAlignment="1">
      <alignment horizontal="center"/>
    </xf>
    <xf numFmtId="14" fontId="29" fillId="0" borderId="4" xfId="0" applyNumberFormat="1" applyFont="1" applyBorder="1" applyAlignment="1">
      <alignment horizontal="center"/>
    </xf>
    <xf numFmtId="14" fontId="7" fillId="0" borderId="3" xfId="0" applyNumberFormat="1" applyFont="1" applyBorder="1" applyAlignment="1">
      <alignment horizontal="center"/>
    </xf>
    <xf numFmtId="14" fontId="7" fillId="0" borderId="4" xfId="0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7" fillId="0" borderId="40" xfId="0" applyFont="1" applyBorder="1" applyAlignment="1">
      <alignment horizontal="center"/>
    </xf>
    <xf numFmtId="0" fontId="7" fillId="0" borderId="41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126" fillId="28" borderId="2" xfId="2" applyFont="1" applyFill="1" applyBorder="1" applyAlignment="1">
      <alignment horizontal="center"/>
    </xf>
    <xf numFmtId="0" fontId="126" fillId="28" borderId="4" xfId="2" applyFont="1" applyFill="1" applyBorder="1" applyAlignment="1">
      <alignment horizontal="center"/>
    </xf>
    <xf numFmtId="0" fontId="5" fillId="17" borderId="15" xfId="0" applyFont="1" applyFill="1" applyBorder="1" applyAlignment="1">
      <alignment horizontal="left"/>
    </xf>
    <xf numFmtId="0" fontId="5" fillId="17" borderId="36" xfId="0" applyFont="1" applyFill="1" applyBorder="1" applyAlignment="1">
      <alignment horizontal="left"/>
    </xf>
    <xf numFmtId="0" fontId="106" fillId="17" borderId="7" xfId="0" applyFont="1" applyFill="1" applyBorder="1" applyAlignment="1">
      <alignment horizontal="left"/>
    </xf>
    <xf numFmtId="0" fontId="106" fillId="17" borderId="31" xfId="0" applyFont="1" applyFill="1" applyBorder="1" applyAlignment="1">
      <alignment horizontal="left"/>
    </xf>
    <xf numFmtId="0" fontId="13" fillId="14" borderId="3" xfId="0" applyFont="1" applyFill="1" applyBorder="1" applyAlignment="1">
      <alignment horizontal="center"/>
    </xf>
    <xf numFmtId="0" fontId="0" fillId="8" borderId="65" xfId="0" applyFill="1" applyBorder="1" applyAlignment="1">
      <alignment horizontal="center"/>
    </xf>
    <xf numFmtId="0" fontId="0" fillId="8" borderId="53" xfId="0" applyFill="1" applyBorder="1" applyAlignment="1">
      <alignment horizontal="center"/>
    </xf>
    <xf numFmtId="0" fontId="32" fillId="8" borderId="38" xfId="0" applyFont="1" applyFill="1" applyBorder="1" applyAlignment="1">
      <alignment horizontal="center"/>
    </xf>
    <xf numFmtId="0" fontId="32" fillId="8" borderId="42" xfId="0" applyFont="1" applyFill="1" applyBorder="1" applyAlignment="1">
      <alignment horizontal="center"/>
    </xf>
    <xf numFmtId="0" fontId="106" fillId="17" borderId="18" xfId="0" applyFont="1" applyFill="1" applyBorder="1" applyAlignment="1">
      <alignment horizontal="left"/>
    </xf>
    <xf numFmtId="0" fontId="106" fillId="17" borderId="73" xfId="0" applyFont="1" applyFill="1" applyBorder="1" applyAlignment="1">
      <alignment horizontal="left"/>
    </xf>
    <xf numFmtId="0" fontId="106" fillId="18" borderId="15" xfId="0" applyFont="1" applyFill="1" applyBorder="1" applyAlignment="1">
      <alignment horizontal="left"/>
    </xf>
    <xf numFmtId="0" fontId="106" fillId="18" borderId="36" xfId="0" applyFont="1" applyFill="1" applyBorder="1" applyAlignment="1">
      <alignment horizontal="left"/>
    </xf>
    <xf numFmtId="0" fontId="106" fillId="18" borderId="7" xfId="0" applyFont="1" applyFill="1" applyBorder="1" applyAlignment="1">
      <alignment horizontal="left"/>
    </xf>
    <xf numFmtId="0" fontId="106" fillId="18" borderId="31" xfId="0" applyFont="1" applyFill="1" applyBorder="1" applyAlignment="1">
      <alignment horizontal="left"/>
    </xf>
    <xf numFmtId="0" fontId="106" fillId="18" borderId="18" xfId="0" applyFont="1" applyFill="1" applyBorder="1" applyAlignment="1">
      <alignment horizontal="left"/>
    </xf>
    <xf numFmtId="0" fontId="106" fillId="18" borderId="73" xfId="0" applyFont="1" applyFill="1" applyBorder="1" applyAlignment="1">
      <alignment horizontal="left"/>
    </xf>
    <xf numFmtId="0" fontId="35" fillId="0" borderId="2" xfId="0" applyFont="1" applyBorder="1" applyAlignment="1">
      <alignment horizontal="center"/>
    </xf>
    <xf numFmtId="0" fontId="35" fillId="0" borderId="4" xfId="0" applyFont="1" applyBorder="1" applyAlignment="1">
      <alignment horizontal="center"/>
    </xf>
    <xf numFmtId="0" fontId="35" fillId="0" borderId="28" xfId="0" applyFont="1" applyBorder="1" applyAlignment="1">
      <alignment horizontal="center" vertical="center"/>
    </xf>
    <xf numFmtId="0" fontId="35" fillId="0" borderId="26" xfId="0" applyFont="1" applyBorder="1" applyAlignment="1">
      <alignment horizontal="center" vertical="center"/>
    </xf>
    <xf numFmtId="0" fontId="35" fillId="0" borderId="27" xfId="0" applyFont="1" applyBorder="1" applyAlignment="1">
      <alignment horizontal="center" vertical="center"/>
    </xf>
    <xf numFmtId="0" fontId="35" fillId="0" borderId="15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/>
    </xf>
    <xf numFmtId="0" fontId="35" fillId="0" borderId="15" xfId="0" applyFont="1" applyFill="1" applyBorder="1" applyAlignment="1">
      <alignment horizontal="center"/>
    </xf>
    <xf numFmtId="0" fontId="35" fillId="0" borderId="9" xfId="0" applyFont="1" applyFill="1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2" xfId="0" applyNumberFormat="1" applyFont="1" applyBorder="1" applyAlignment="1">
      <alignment horizontal="center"/>
    </xf>
    <xf numFmtId="0" fontId="35" fillId="0" borderId="4" xfId="0" applyNumberFormat="1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4" xfId="0" applyBorder="1" applyAlignment="1">
      <alignment horizontal="left"/>
    </xf>
    <xf numFmtId="0" fontId="7" fillId="0" borderId="3" xfId="0" applyFont="1" applyBorder="1" applyAlignment="1">
      <alignment horizontal="center"/>
    </xf>
    <xf numFmtId="0" fontId="0" fillId="0" borderId="15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7" fillId="0" borderId="7" xfId="0" applyNumberFormat="1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7" fillId="0" borderId="12" xfId="0" applyNumberFormat="1" applyFon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5" xfId="0" applyNumberFormat="1" applyFont="1" applyBorder="1" applyAlignment="1">
      <alignment horizontal="left"/>
    </xf>
    <xf numFmtId="0" fontId="7" fillId="0" borderId="8" xfId="0" applyNumberFormat="1" applyFont="1" applyBorder="1" applyAlignment="1">
      <alignment horizontal="left"/>
    </xf>
    <xf numFmtId="0" fontId="7" fillId="0" borderId="9" xfId="0" applyNumberFormat="1" applyFont="1" applyBorder="1" applyAlignment="1">
      <alignment horizontal="left"/>
    </xf>
    <xf numFmtId="0" fontId="20" fillId="4" borderId="5" xfId="0" applyFont="1" applyFill="1" applyBorder="1" applyAlignment="1">
      <alignment horizontal="center"/>
    </xf>
    <xf numFmtId="0" fontId="20" fillId="3" borderId="5" xfId="0" applyFont="1" applyFill="1" applyBorder="1" applyAlignment="1">
      <alignment horizontal="left"/>
    </xf>
    <xf numFmtId="0" fontId="26" fillId="10" borderId="32" xfId="0" applyFont="1" applyFill="1" applyBorder="1" applyAlignment="1">
      <alignment horizontal="left"/>
    </xf>
    <xf numFmtId="0" fontId="26" fillId="10" borderId="29" xfId="0" applyFont="1" applyFill="1" applyBorder="1" applyAlignment="1">
      <alignment horizontal="left"/>
    </xf>
    <xf numFmtId="0" fontId="33" fillId="5" borderId="32" xfId="0" applyFont="1" applyFill="1" applyBorder="1" applyAlignment="1">
      <alignment horizontal="left"/>
    </xf>
    <xf numFmtId="0" fontId="33" fillId="5" borderId="29" xfId="0" applyFont="1" applyFill="1" applyBorder="1" applyAlignment="1">
      <alignment horizontal="left"/>
    </xf>
    <xf numFmtId="0" fontId="22" fillId="4" borderId="32" xfId="0" applyFont="1" applyFill="1" applyBorder="1" applyAlignment="1">
      <alignment horizontal="center"/>
    </xf>
    <xf numFmtId="0" fontId="22" fillId="4" borderId="29" xfId="0" applyFont="1" applyFill="1" applyBorder="1" applyAlignment="1">
      <alignment horizontal="center"/>
    </xf>
    <xf numFmtId="14" fontId="7" fillId="0" borderId="2" xfId="0" applyNumberFormat="1" applyFont="1" applyBorder="1" applyAlignment="1">
      <alignment horizontal="right"/>
    </xf>
    <xf numFmtId="0" fontId="35" fillId="0" borderId="3" xfId="0" applyFont="1" applyBorder="1" applyAlignment="1">
      <alignment horizontal="center"/>
    </xf>
    <xf numFmtId="0" fontId="35" fillId="0" borderId="15" xfId="0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30" borderId="22" xfId="0" applyFill="1" applyBorder="1" applyAlignment="1">
      <alignment horizontal="center"/>
    </xf>
    <xf numFmtId="0" fontId="0" fillId="30" borderId="11" xfId="0" applyFill="1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54" xfId="0" applyBorder="1" applyAlignment="1">
      <alignment horizontal="center"/>
    </xf>
    <xf numFmtId="14" fontId="68" fillId="0" borderId="2" xfId="0" applyNumberFormat="1" applyFont="1" applyBorder="1" applyAlignment="1">
      <alignment horizontal="center"/>
    </xf>
    <xf numFmtId="14" fontId="68" fillId="0" borderId="3" xfId="0" applyNumberFormat="1" applyFont="1" applyBorder="1" applyAlignment="1">
      <alignment horizontal="center"/>
    </xf>
    <xf numFmtId="14" fontId="68" fillId="0" borderId="4" xfId="0" applyNumberFormat="1" applyFont="1" applyBorder="1" applyAlignment="1">
      <alignment horizontal="center"/>
    </xf>
    <xf numFmtId="0" fontId="20" fillId="14" borderId="10" xfId="0" applyFont="1" applyFill="1" applyBorder="1" applyAlignment="1">
      <alignment horizontal="center"/>
    </xf>
    <xf numFmtId="0" fontId="20" fillId="14" borderId="22" xfId="0" applyFont="1" applyFill="1" applyBorder="1" applyAlignment="1">
      <alignment horizontal="center"/>
    </xf>
    <xf numFmtId="0" fontId="20" fillId="14" borderId="11" xfId="0" applyFont="1" applyFill="1" applyBorder="1" applyAlignment="1">
      <alignment horizontal="center"/>
    </xf>
    <xf numFmtId="0" fontId="22" fillId="23" borderId="13" xfId="0" applyFont="1" applyFill="1" applyBorder="1" applyAlignment="1">
      <alignment horizontal="center"/>
    </xf>
    <xf numFmtId="0" fontId="22" fillId="23" borderId="5" xfId="0" applyFont="1" applyFill="1" applyBorder="1" applyAlignment="1">
      <alignment horizontal="center"/>
    </xf>
    <xf numFmtId="0" fontId="22" fillId="23" borderId="16" xfId="0" applyFont="1" applyFill="1" applyBorder="1" applyAlignment="1">
      <alignment horizontal="center"/>
    </xf>
    <xf numFmtId="0" fontId="22" fillId="23" borderId="23" xfId="0" applyFont="1" applyFill="1" applyBorder="1" applyAlignment="1">
      <alignment horizontal="center"/>
    </xf>
    <xf numFmtId="164" fontId="0" fillId="0" borderId="28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37" borderId="32" xfId="0" applyFill="1" applyBorder="1" applyAlignment="1">
      <alignment horizontal="center"/>
    </xf>
    <xf numFmtId="0" fontId="0" fillId="37" borderId="29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23" borderId="15" xfId="0" applyFill="1" applyBorder="1" applyAlignment="1">
      <alignment horizontal="center"/>
    </xf>
    <xf numFmtId="0" fontId="0" fillId="23" borderId="9" xfId="0" applyFill="1" applyBorder="1" applyAlignment="1">
      <alignment horizontal="center"/>
    </xf>
    <xf numFmtId="0" fontId="0" fillId="23" borderId="7" xfId="0" applyFill="1" applyBorder="1" applyAlignment="1">
      <alignment horizontal="center"/>
    </xf>
    <xf numFmtId="0" fontId="0" fillId="23" borderId="12" xfId="0" applyFill="1" applyBorder="1" applyAlignment="1">
      <alignment horizontal="center"/>
    </xf>
    <xf numFmtId="0" fontId="36" fillId="0" borderId="52" xfId="0" applyFont="1" applyBorder="1" applyAlignment="1">
      <alignment horizontal="left"/>
    </xf>
    <xf numFmtId="0" fontId="36" fillId="0" borderId="34" xfId="0" applyFont="1" applyBorder="1" applyAlignment="1">
      <alignment horizontal="left"/>
    </xf>
    <xf numFmtId="0" fontId="36" fillId="0" borderId="52" xfId="0" applyFont="1" applyBorder="1" applyAlignment="1">
      <alignment horizontal="center"/>
    </xf>
    <xf numFmtId="0" fontId="36" fillId="0" borderId="34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36" fillId="0" borderId="33" xfId="0" applyFont="1" applyBorder="1" applyAlignment="1">
      <alignment horizontal="center"/>
    </xf>
    <xf numFmtId="0" fontId="36" fillId="0" borderId="29" xfId="0" applyFont="1" applyBorder="1" applyAlignment="1">
      <alignment horizontal="center"/>
    </xf>
    <xf numFmtId="0" fontId="36" fillId="0" borderId="5" xfId="0" applyFont="1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29" xfId="0" applyBorder="1" applyAlignment="1">
      <alignment horizontal="left"/>
    </xf>
    <xf numFmtId="0" fontId="94" fillId="0" borderId="0" xfId="0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29" fillId="0" borderId="32" xfId="0" applyFont="1" applyBorder="1" applyAlignment="1">
      <alignment horizontal="left"/>
    </xf>
    <xf numFmtId="0" fontId="29" fillId="0" borderId="29" xfId="0" applyFont="1" applyBorder="1" applyAlignment="1">
      <alignment horizontal="left"/>
    </xf>
    <xf numFmtId="0" fontId="96" fillId="0" borderId="32" xfId="0" applyFont="1" applyBorder="1" applyAlignment="1">
      <alignment horizontal="left"/>
    </xf>
    <xf numFmtId="0" fontId="96" fillId="0" borderId="29" xfId="0" applyFont="1" applyBorder="1" applyAlignment="1">
      <alignment horizontal="left"/>
    </xf>
    <xf numFmtId="0" fontId="36" fillId="0" borderId="32" xfId="0" applyFont="1" applyFill="1" applyBorder="1" applyAlignment="1">
      <alignment horizontal="left"/>
    </xf>
    <xf numFmtId="0" fontId="36" fillId="0" borderId="29" xfId="0" applyFont="1" applyFill="1" applyBorder="1" applyAlignment="1">
      <alignment horizontal="left"/>
    </xf>
    <xf numFmtId="0" fontId="98" fillId="0" borderId="0" xfId="0" applyFont="1" applyBorder="1" applyAlignment="1">
      <alignment horizontal="center" vertical="center"/>
    </xf>
    <xf numFmtId="0" fontId="98" fillId="0" borderId="12" xfId="0" applyFont="1" applyBorder="1" applyAlignment="1">
      <alignment horizontal="center" vertical="center"/>
    </xf>
    <xf numFmtId="0" fontId="97" fillId="0" borderId="56" xfId="0" applyFont="1" applyBorder="1" applyAlignment="1">
      <alignment horizontal="left"/>
    </xf>
    <xf numFmtId="0" fontId="97" fillId="0" borderId="0" xfId="0" applyFont="1" applyBorder="1" applyAlignment="1">
      <alignment horizontal="left"/>
    </xf>
    <xf numFmtId="0" fontId="0" fillId="0" borderId="5" xfId="0" applyBorder="1" applyAlignment="1">
      <alignment horizontal="left" vertical="top" wrapText="1"/>
    </xf>
    <xf numFmtId="0" fontId="37" fillId="0" borderId="57" xfId="0" applyFont="1" applyBorder="1" applyAlignment="1">
      <alignment horizontal="center" vertical="center"/>
    </xf>
    <xf numFmtId="0" fontId="37" fillId="0" borderId="55" xfId="0" applyFont="1" applyBorder="1" applyAlignment="1">
      <alignment horizontal="center" vertic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textRotation="90"/>
    </xf>
    <xf numFmtId="0" fontId="0" fillId="0" borderId="0" xfId="0" applyBorder="1" applyAlignment="1">
      <alignment horizontal="right" vertical="center" textRotation="90"/>
    </xf>
    <xf numFmtId="0" fontId="35" fillId="0" borderId="0" xfId="0" applyFont="1" applyBorder="1" applyAlignment="1">
      <alignment horizontal="center" vertical="center" textRotation="90"/>
    </xf>
    <xf numFmtId="0" fontId="0" fillId="0" borderId="0" xfId="0" applyFont="1" applyBorder="1" applyAlignment="1">
      <alignment horizontal="center" vertical="center" textRotation="90"/>
    </xf>
    <xf numFmtId="0" fontId="0" fillId="18" borderId="15" xfId="0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18" borderId="2" xfId="0" applyFill="1" applyBorder="1" applyAlignment="1">
      <alignment horizontal="center"/>
    </xf>
    <xf numFmtId="0" fontId="0" fillId="18" borderId="4" xfId="0" applyFill="1" applyBorder="1" applyAlignment="1">
      <alignment horizontal="center"/>
    </xf>
    <xf numFmtId="0" fontId="35" fillId="0" borderId="15" xfId="0" applyFont="1" applyBorder="1" applyAlignment="1">
      <alignment horizontal="center" wrapText="1"/>
    </xf>
    <xf numFmtId="0" fontId="35" fillId="0" borderId="8" xfId="0" applyFont="1" applyBorder="1" applyAlignment="1">
      <alignment horizontal="center" wrapText="1"/>
    </xf>
    <xf numFmtId="0" fontId="35" fillId="0" borderId="9" xfId="0" applyFont="1" applyBorder="1" applyAlignment="1">
      <alignment horizontal="center" wrapText="1"/>
    </xf>
    <xf numFmtId="0" fontId="35" fillId="0" borderId="18" xfId="0" applyFont="1" applyBorder="1" applyAlignment="1">
      <alignment horizontal="center" wrapText="1"/>
    </xf>
    <xf numFmtId="0" fontId="35" fillId="0" borderId="19" xfId="0" applyFont="1" applyBorder="1" applyAlignment="1">
      <alignment horizontal="center" wrapText="1"/>
    </xf>
    <xf numFmtId="0" fontId="35" fillId="0" borderId="20" xfId="0" applyFont="1" applyBorder="1" applyAlignment="1">
      <alignment horizontal="center" wrapText="1"/>
    </xf>
    <xf numFmtId="0" fontId="0" fillId="0" borderId="15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35" fillId="0" borderId="15" xfId="0" applyFont="1" applyFill="1" applyBorder="1" applyAlignment="1">
      <alignment horizontal="center" wrapText="1"/>
    </xf>
    <xf numFmtId="0" fontId="35" fillId="0" borderId="9" xfId="0" applyFont="1" applyFill="1" applyBorder="1" applyAlignment="1">
      <alignment horizontal="center" wrapText="1"/>
    </xf>
    <xf numFmtId="0" fontId="35" fillId="0" borderId="18" xfId="0" applyFont="1" applyFill="1" applyBorder="1" applyAlignment="1">
      <alignment horizontal="center" wrapText="1"/>
    </xf>
    <xf numFmtId="0" fontId="35" fillId="0" borderId="20" xfId="0" applyFont="1" applyFill="1" applyBorder="1" applyAlignment="1">
      <alignment horizontal="center" wrapText="1"/>
    </xf>
    <xf numFmtId="0" fontId="42" fillId="0" borderId="5" xfId="0" applyFont="1" applyFill="1" applyBorder="1" applyAlignment="1">
      <alignment horizontal="center"/>
    </xf>
    <xf numFmtId="0" fontId="42" fillId="0" borderId="14" xfId="0" applyFont="1" applyFill="1" applyBorder="1" applyAlignment="1">
      <alignment horizontal="center"/>
    </xf>
    <xf numFmtId="0" fontId="64" fillId="14" borderId="0" xfId="0" applyFont="1" applyFill="1" applyAlignment="1">
      <alignment horizontal="left"/>
    </xf>
    <xf numFmtId="0" fontId="11" fillId="14" borderId="0" xfId="0" applyFont="1" applyFill="1" applyAlignment="1">
      <alignment horizontal="left"/>
    </xf>
    <xf numFmtId="0" fontId="0" fillId="14" borderId="0" xfId="0" applyFill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72" fillId="0" borderId="3" xfId="0" applyFont="1" applyBorder="1" applyAlignment="1">
      <alignment horizontal="center"/>
    </xf>
    <xf numFmtId="14" fontId="65" fillId="0" borderId="2" xfId="0" applyNumberFormat="1" applyFont="1" applyBorder="1" applyAlignment="1">
      <alignment horizontal="center"/>
    </xf>
    <xf numFmtId="0" fontId="65" fillId="0" borderId="3" xfId="0" applyFont="1" applyBorder="1" applyAlignment="1">
      <alignment horizontal="center"/>
    </xf>
    <xf numFmtId="0" fontId="65" fillId="0" borderId="4" xfId="0" applyFont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37" borderId="33" xfId="0" applyFill="1" applyBorder="1" applyAlignment="1">
      <alignment horizontal="center"/>
    </xf>
    <xf numFmtId="0" fontId="0" fillId="32" borderId="32" xfId="0" applyFill="1" applyBorder="1" applyAlignment="1">
      <alignment horizontal="left"/>
    </xf>
    <xf numFmtId="0" fontId="0" fillId="32" borderId="29" xfId="0" applyFill="1" applyBorder="1" applyAlignment="1">
      <alignment horizontal="left"/>
    </xf>
    <xf numFmtId="0" fontId="85" fillId="32" borderId="18" xfId="0" applyFont="1" applyFill="1" applyBorder="1" applyAlignment="1">
      <alignment horizontal="center"/>
    </xf>
    <xf numFmtId="0" fontId="85" fillId="32" borderId="20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32" borderId="5" xfId="0" applyFill="1" applyBorder="1" applyAlignment="1">
      <alignment horizontal="left"/>
    </xf>
    <xf numFmtId="0" fontId="0" fillId="32" borderId="75" xfId="0" applyFill="1" applyBorder="1" applyAlignment="1">
      <alignment horizontal="left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14" fontId="65" fillId="0" borderId="3" xfId="0" applyNumberFormat="1" applyFont="1" applyBorder="1" applyAlignment="1">
      <alignment horizontal="center"/>
    </xf>
    <xf numFmtId="14" fontId="65" fillId="0" borderId="4" xfId="0" applyNumberFormat="1" applyFont="1" applyBorder="1" applyAlignment="1">
      <alignment horizontal="center"/>
    </xf>
    <xf numFmtId="0" fontId="22" fillId="0" borderId="47" xfId="0" applyNumberFormat="1" applyFont="1" applyBorder="1" applyAlignment="1">
      <alignment horizontal="left" vertical="top" wrapText="1"/>
    </xf>
    <xf numFmtId="0" fontId="22" fillId="0" borderId="51" xfId="0" applyNumberFormat="1" applyFont="1" applyBorder="1" applyAlignment="1">
      <alignment horizontal="left" vertical="top" wrapText="1"/>
    </xf>
    <xf numFmtId="0" fontId="22" fillId="0" borderId="49" xfId="0" applyNumberFormat="1" applyFont="1" applyBorder="1" applyAlignment="1">
      <alignment horizontal="left" vertical="top" wrapText="1"/>
    </xf>
    <xf numFmtId="0" fontId="22" fillId="0" borderId="21" xfId="0" applyNumberFormat="1" applyFont="1" applyBorder="1" applyAlignment="1">
      <alignment horizontal="left" vertical="top" wrapText="1"/>
    </xf>
    <xf numFmtId="0" fontId="22" fillId="0" borderId="0" xfId="0" applyNumberFormat="1" applyFont="1" applyBorder="1" applyAlignment="1">
      <alignment horizontal="left" vertical="top" wrapText="1"/>
    </xf>
    <xf numFmtId="0" fontId="22" fillId="0" borderId="31" xfId="0" applyNumberFormat="1" applyFont="1" applyBorder="1" applyAlignment="1">
      <alignment horizontal="left" vertical="top" wrapText="1"/>
    </xf>
    <xf numFmtId="0" fontId="22" fillId="0" borderId="48" xfId="0" applyNumberFormat="1" applyFont="1" applyBorder="1" applyAlignment="1">
      <alignment horizontal="left" vertical="top" wrapText="1"/>
    </xf>
    <xf numFmtId="0" fontId="22" fillId="0" borderId="56" xfId="0" applyNumberFormat="1" applyFont="1" applyBorder="1" applyAlignment="1">
      <alignment horizontal="left" vertical="top" wrapText="1"/>
    </xf>
    <xf numFmtId="0" fontId="22" fillId="0" borderId="58" xfId="0" applyNumberFormat="1" applyFont="1" applyBorder="1" applyAlignment="1">
      <alignment horizontal="left" vertical="top" wrapText="1"/>
    </xf>
    <xf numFmtId="0" fontId="16" fillId="0" borderId="2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77" fillId="0" borderId="15" xfId="0" applyFont="1" applyBorder="1" applyAlignment="1">
      <alignment horizontal="center"/>
    </xf>
    <xf numFmtId="0" fontId="77" fillId="0" borderId="8" xfId="0" applyFont="1" applyBorder="1" applyAlignment="1">
      <alignment horizontal="center"/>
    </xf>
    <xf numFmtId="0" fontId="77" fillId="0" borderId="9" xfId="0" applyFont="1" applyBorder="1" applyAlignment="1">
      <alignment horizontal="center"/>
    </xf>
    <xf numFmtId="0" fontId="77" fillId="0" borderId="18" xfId="0" applyFont="1" applyBorder="1" applyAlignment="1">
      <alignment horizontal="center"/>
    </xf>
    <xf numFmtId="0" fontId="77" fillId="0" borderId="19" xfId="0" applyFont="1" applyBorder="1" applyAlignment="1">
      <alignment horizontal="center"/>
    </xf>
    <xf numFmtId="0" fontId="77" fillId="0" borderId="20" xfId="0" applyFont="1" applyBorder="1" applyAlignment="1">
      <alignment horizontal="center"/>
    </xf>
    <xf numFmtId="0" fontId="42" fillId="0" borderId="47" xfId="0" applyFont="1" applyBorder="1" applyAlignment="1">
      <alignment horizontal="left" vertical="top" wrapText="1"/>
    </xf>
    <xf numFmtId="0" fontId="42" fillId="0" borderId="51" xfId="0" applyFont="1" applyBorder="1" applyAlignment="1">
      <alignment horizontal="left" vertical="top" wrapText="1"/>
    </xf>
    <xf numFmtId="0" fontId="42" fillId="0" borderId="49" xfId="0" applyFont="1" applyBorder="1" applyAlignment="1">
      <alignment horizontal="left" vertical="top" wrapText="1"/>
    </xf>
    <xf numFmtId="0" fontId="42" fillId="0" borderId="21" xfId="0" applyFont="1" applyBorder="1" applyAlignment="1">
      <alignment horizontal="left" vertical="top" wrapText="1"/>
    </xf>
    <xf numFmtId="0" fontId="42" fillId="0" borderId="0" xfId="0" applyFont="1" applyBorder="1" applyAlignment="1">
      <alignment horizontal="left" vertical="top" wrapText="1"/>
    </xf>
    <xf numFmtId="0" fontId="42" fillId="0" borderId="31" xfId="0" applyFont="1" applyBorder="1" applyAlignment="1">
      <alignment horizontal="left" vertical="top" wrapText="1"/>
    </xf>
    <xf numFmtId="0" fontId="42" fillId="0" borderId="48" xfId="0" applyFont="1" applyBorder="1" applyAlignment="1">
      <alignment horizontal="left" vertical="top" wrapText="1"/>
    </xf>
    <xf numFmtId="0" fontId="42" fillId="0" borderId="56" xfId="0" applyFont="1" applyBorder="1" applyAlignment="1">
      <alignment horizontal="left" vertical="top" wrapText="1"/>
    </xf>
    <xf numFmtId="0" fontId="42" fillId="0" borderId="58" xfId="0" applyFont="1" applyBorder="1" applyAlignment="1">
      <alignment horizontal="left" vertical="top" wrapText="1"/>
    </xf>
    <xf numFmtId="0" fontId="0" fillId="0" borderId="1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79" fillId="0" borderId="0" xfId="2" applyFont="1" applyAlignment="1">
      <alignment horizontal="left"/>
    </xf>
    <xf numFmtId="0" fontId="0" fillId="37" borderId="5" xfId="0" applyFill="1" applyBorder="1" applyAlignment="1">
      <alignment horizontal="center"/>
    </xf>
    <xf numFmtId="0" fontId="0" fillId="37" borderId="65" xfId="0" applyFill="1" applyBorder="1" applyAlignment="1">
      <alignment horizontal="center"/>
    </xf>
    <xf numFmtId="0" fontId="0" fillId="37" borderId="53" xfId="0" applyFill="1" applyBorder="1" applyAlignment="1">
      <alignment horizontal="center"/>
    </xf>
    <xf numFmtId="0" fontId="0" fillId="37" borderId="76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5" fillId="0" borderId="22" xfId="0" applyFont="1" applyBorder="1" applyAlignment="1">
      <alignment horizontal="center"/>
    </xf>
    <xf numFmtId="0" fontId="25" fillId="0" borderId="11" xfId="0" applyFont="1" applyBorder="1" applyAlignment="1">
      <alignment horizontal="center"/>
    </xf>
    <xf numFmtId="0" fontId="44" fillId="8" borderId="7" xfId="0" applyFont="1" applyFill="1" applyBorder="1" applyAlignment="1">
      <alignment horizontal="center"/>
    </xf>
    <xf numFmtId="0" fontId="44" fillId="8" borderId="0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0" fontId="25" fillId="26" borderId="5" xfId="0" applyFont="1" applyFill="1" applyBorder="1" applyAlignment="1">
      <alignment horizontal="center"/>
    </xf>
    <xf numFmtId="0" fontId="0" fillId="26" borderId="2" xfId="0" applyFill="1" applyBorder="1" applyAlignment="1">
      <alignment horizontal="center" vertical="center"/>
    </xf>
    <xf numFmtId="0" fontId="0" fillId="26" borderId="3" xfId="0" applyFill="1" applyBorder="1" applyAlignment="1">
      <alignment horizontal="center" vertical="center"/>
    </xf>
    <xf numFmtId="0" fontId="0" fillId="26" borderId="4" xfId="0" applyFill="1" applyBorder="1" applyAlignment="1">
      <alignment horizontal="center" vertical="center"/>
    </xf>
    <xf numFmtId="0" fontId="47" fillId="2" borderId="24" xfId="1" applyFont="1" applyBorder="1" applyAlignment="1" applyProtection="1">
      <alignment horizontal="center"/>
    </xf>
    <xf numFmtId="0" fontId="25" fillId="0" borderId="0" xfId="0" applyFont="1" applyBorder="1" applyAlignment="1">
      <alignment horizontal="center"/>
    </xf>
    <xf numFmtId="0" fontId="25" fillId="15" borderId="8" xfId="0" applyFont="1" applyFill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5" fillId="0" borderId="18" xfId="0" applyFont="1" applyBorder="1" applyAlignment="1">
      <alignment horizontal="center"/>
    </xf>
  </cellXfs>
  <cellStyles count="4">
    <cellStyle name="Excel Built-in Output" xfId="1" xr:uid="{00000000-0005-0000-0000-000006000000}"/>
    <cellStyle name="Гиперссылка" xfId="2" builtinId="8"/>
    <cellStyle name="Обычный" xfId="0" builtinId="0"/>
    <cellStyle name="Финансовый" xfId="3" builtinId="3"/>
  </cellStyles>
  <dxfs count="5">
    <dxf>
      <font>
        <color auto="1"/>
      </font>
      <fill>
        <patternFill patternType="solid">
          <bgColor rgb="FFFF0000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rgb="FFEC6114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DEADA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E6B9B8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558ED5"/>
      <rgbColor rgb="FFC4BD97"/>
      <rgbColor rgb="FF003366"/>
      <rgbColor rgb="FF339966"/>
      <rgbColor rgb="FF003300"/>
      <rgbColor rgb="FF333300"/>
      <rgbColor rgb="FF993300"/>
      <rgbColor rgb="FF993366"/>
      <rgbColor rgb="FF333399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C6114"/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CheckBox" fmlaLink="Данные!$F$33" lockText="1" noThreeD="1"/>
</file>

<file path=xl/ctrlProps/ctrlProp2.xml><?xml version="1.0" encoding="utf-8"?>
<formControlPr xmlns="http://schemas.microsoft.com/office/spreadsheetml/2009/9/main" objectType="CheckBox" fmlaLink="Данные!$F$34" lockText="1" noThreeD="1"/>
</file>

<file path=xl/ctrlProps/ctrlProp3.xml><?xml version="1.0" encoding="utf-8"?>
<formControlPr xmlns="http://schemas.microsoft.com/office/spreadsheetml/2009/9/main" objectType="CheckBox" fmlaLink="Данные!$C$37" lockText="1" noThreeD="1"/>
</file>

<file path=xl/ctrlProps/ctrlProp4.xml><?xml version="1.0" encoding="utf-8"?>
<formControlPr xmlns="http://schemas.microsoft.com/office/spreadsheetml/2009/9/main" objectType="CheckBox" fmlaLink="Данные!$K$203" lockText="1" noThreeD="1"/>
</file>

<file path=xl/ctrlProps/ctrlProp5.xml><?xml version="1.0" encoding="utf-8"?>
<formControlPr xmlns="http://schemas.microsoft.com/office/spreadsheetml/2009/9/main" objectType="CheckBox" fmlaLink="Данные!$R$156" lockText="1" noThreeD="1"/>
</file>

<file path=xl/ctrlProps/ctrlProp6.xml><?xml version="1.0" encoding="utf-8"?>
<formControlPr xmlns="http://schemas.microsoft.com/office/spreadsheetml/2009/9/main" objectType="CheckBox" fmlaLink="Данные!$B$38" lockText="1" noThreeD="1"/>
</file>

<file path=xl/ctrlProps/ctrlProp7.xml><?xml version="1.0" encoding="utf-8"?>
<formControlPr xmlns="http://schemas.microsoft.com/office/spreadsheetml/2009/9/main" objectType="CheckBox" checked="Checked" fmlaLink="Данные!$B$41" lockText="1" noThreeD="1"/>
</file>

<file path=xl/ctrlProps/ctrlProp8.xml><?xml version="1.0" encoding="utf-8"?>
<formControlPr xmlns="http://schemas.microsoft.com/office/spreadsheetml/2009/9/main" objectType="CheckBox" fmlaLink="Данные!$B$42" lockText="1" noThreeD="1"/>
</file>

<file path=xl/ctrlProps/ctrlProp9.xml><?xml version="1.0" encoding="utf-8"?>
<formControlPr xmlns="http://schemas.microsoft.com/office/spreadsheetml/2009/9/main" objectType="CheckBox" fmlaLink="$N$26" lockText="1" noThreeD="1"/>
</file>

<file path=xl/ctrlProps/ctrlProp10.xml><?xml version="1.0" encoding="utf-8"?>
<formControlPr xmlns="http://schemas.microsoft.com/office/spreadsheetml/2009/9/main" objectType="CheckBox" checked="Checked" fmlaLink="Сухарь!$B$77" lockText="1" noThreeD="1"/>
</file>

<file path=xl/ctrlProps/ctrlProp11.xml><?xml version="1.0" encoding="utf-8"?>
<formControlPr xmlns="http://schemas.microsoft.com/office/spreadsheetml/2009/9/main" objectType="CheckBox" checked="Checked" fmlaLink="$A$1" lockText="1" noThreeD="1"/>
</file>

<file path=xl/ctrlProps/ctrlProp12.xml><?xml version="1.0" encoding="utf-8"?>
<formControlPr xmlns="http://schemas.microsoft.com/office/spreadsheetml/2009/9/main" objectType="CheckBox" fmlaLink="$AB$25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png"/><Relationship Id="rId2" Type="http://schemas.openxmlformats.org/officeDocument/2006/relationships/image" Target="../media/image4.jpg"/><Relationship Id="rId1" Type="http://schemas.openxmlformats.org/officeDocument/2006/relationships/image" Target="../media/image3.jpeg"/><Relationship Id="rId6" Type="http://schemas.openxmlformats.org/officeDocument/2006/relationships/image" Target="../media/image8.jpg"/><Relationship Id="rId5" Type="http://schemas.openxmlformats.org/officeDocument/2006/relationships/image" Target="../media/image7.jpeg"/><Relationship Id="rId4" Type="http://schemas.openxmlformats.org/officeDocument/2006/relationships/image" Target="../media/image6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24</xdr:row>
      <xdr:rowOff>9359</xdr:rowOff>
    </xdr:from>
    <xdr:to>
      <xdr:col>7</xdr:col>
      <xdr:colOff>450574</xdr:colOff>
      <xdr:row>27</xdr:row>
      <xdr:rowOff>0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888435" y="4793394"/>
          <a:ext cx="2829339" cy="593615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0</xdr:colOff>
      <xdr:row>28</xdr:row>
      <xdr:rowOff>185739</xdr:rowOff>
    </xdr:from>
    <xdr:to>
      <xdr:col>7</xdr:col>
      <xdr:colOff>437760</xdr:colOff>
      <xdr:row>31</xdr:row>
      <xdr:rowOff>190081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885950" y="5795964"/>
          <a:ext cx="2814248" cy="609180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123840</xdr:colOff>
      <xdr:row>24</xdr:row>
      <xdr:rowOff>142920</xdr:rowOff>
    </xdr:from>
    <xdr:to>
      <xdr:col>7</xdr:col>
      <xdr:colOff>319087</xdr:colOff>
      <xdr:row>26</xdr:row>
      <xdr:rowOff>75960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009790" y="4943520"/>
          <a:ext cx="2571735" cy="33309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4</xdr:col>
      <xdr:colOff>104760</xdr:colOff>
      <xdr:row>29</xdr:row>
      <xdr:rowOff>142920</xdr:rowOff>
    </xdr:from>
    <xdr:to>
      <xdr:col>7</xdr:col>
      <xdr:colOff>323640</xdr:colOff>
      <xdr:row>31</xdr:row>
      <xdr:rowOff>75960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36331" y="5945006"/>
          <a:ext cx="2319823" cy="31404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587828</xdr:colOff>
      <xdr:row>23</xdr:row>
      <xdr:rowOff>53640</xdr:rowOff>
    </xdr:from>
    <xdr:to>
      <xdr:col>4</xdr:col>
      <xdr:colOff>3854</xdr:colOff>
      <xdr:row>32</xdr:row>
      <xdr:rowOff>170330</xdr:rowOff>
    </xdr:to>
    <xdr:sp macro="" textlink="">
      <xdr:nvSpPr>
        <xdr:cNvPr id="6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5400000">
          <a:off x="738239" y="5128372"/>
          <a:ext cx="1793090" cy="591683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7</xdr:col>
      <xdr:colOff>442912</xdr:colOff>
      <xdr:row>27</xdr:row>
      <xdr:rowOff>6114</xdr:rowOff>
    </xdr:from>
    <xdr:to>
      <xdr:col>7</xdr:col>
      <xdr:colOff>555128</xdr:colOff>
      <xdr:row>28</xdr:row>
      <xdr:rowOff>190504</xdr:rowOff>
    </xdr:to>
    <xdr:sp macro="" textlink="">
      <xdr:nvSpPr>
        <xdr:cNvPr id="7" name="Трапеция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 rot="5400000">
          <a:off x="4566869" y="5550033"/>
          <a:ext cx="389177" cy="112216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465908</xdr:colOff>
      <xdr:row>27</xdr:row>
      <xdr:rowOff>0</xdr:rowOff>
    </xdr:from>
    <xdr:to>
      <xdr:col>7</xdr:col>
      <xdr:colOff>447675</xdr:colOff>
      <xdr:row>28</xdr:row>
      <xdr:rowOff>190500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018358" y="5405438"/>
          <a:ext cx="3691755" cy="395287"/>
        </a:xfrm>
        <a:prstGeom prst="rect">
          <a:avLst/>
        </a:prstGeom>
        <a:solidFill>
          <a:srgbClr val="FFFFFF"/>
        </a:solidFill>
        <a:ln w="2857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5171</xdr:colOff>
      <xdr:row>26</xdr:row>
      <xdr:rowOff>179842</xdr:rowOff>
    </xdr:from>
    <xdr:to>
      <xdr:col>4</xdr:col>
      <xdr:colOff>5171</xdr:colOff>
      <xdr:row>28</xdr:row>
      <xdr:rowOff>175882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894931" y="5387568"/>
          <a:ext cx="0" cy="40534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4763</xdr:colOff>
      <xdr:row>26</xdr:row>
      <xdr:rowOff>171450</xdr:rowOff>
    </xdr:from>
    <xdr:to>
      <xdr:col>3</xdr:col>
      <xdr:colOff>4764</xdr:colOff>
      <xdr:row>29</xdr:row>
      <xdr:rowOff>14287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995363" y="5414963"/>
          <a:ext cx="1" cy="38576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5760</xdr:colOff>
      <xdr:row>22</xdr:row>
      <xdr:rowOff>0</xdr:rowOff>
    </xdr:from>
    <xdr:to>
      <xdr:col>4</xdr:col>
      <xdr:colOff>5760</xdr:colOff>
      <xdr:row>23</xdr:row>
      <xdr:rowOff>190440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2038320" y="428760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440280</xdr:colOff>
      <xdr:row>22</xdr:row>
      <xdr:rowOff>5760</xdr:rowOff>
    </xdr:from>
    <xdr:to>
      <xdr:col>7</xdr:col>
      <xdr:colOff>440280</xdr:colOff>
      <xdr:row>24</xdr:row>
      <xdr:rowOff>5760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4782240" y="429336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14724</xdr:colOff>
      <xdr:row>22</xdr:row>
      <xdr:rowOff>17641</xdr:rowOff>
    </xdr:from>
    <xdr:to>
      <xdr:col>7</xdr:col>
      <xdr:colOff>443484</xdr:colOff>
      <xdr:row>22</xdr:row>
      <xdr:rowOff>23761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>
          <a:off x="1583548" y="4535853"/>
          <a:ext cx="2580289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994</xdr:colOff>
      <xdr:row>22</xdr:row>
      <xdr:rowOff>0</xdr:rowOff>
    </xdr:from>
    <xdr:to>
      <xdr:col>3</xdr:col>
      <xdr:colOff>994</xdr:colOff>
      <xdr:row>23</xdr:row>
      <xdr:rowOff>182820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V="1">
          <a:off x="1339937" y="4288971"/>
          <a:ext cx="0" cy="3678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576943</xdr:colOff>
      <xdr:row>22</xdr:row>
      <xdr:rowOff>17640</xdr:rowOff>
    </xdr:from>
    <xdr:to>
      <xdr:col>4</xdr:col>
      <xdr:colOff>5760</xdr:colOff>
      <xdr:row>22</xdr:row>
      <xdr:rowOff>21772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1328057" y="4306611"/>
          <a:ext cx="604474" cy="41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399600</xdr:colOff>
      <xdr:row>24</xdr:row>
      <xdr:rowOff>2160</xdr:rowOff>
    </xdr:from>
    <xdr:to>
      <xdr:col>8</xdr:col>
      <xdr:colOff>662400</xdr:colOff>
      <xdr:row>24</xdr:row>
      <xdr:rowOff>3240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H="1">
          <a:off x="4741560" y="4670640"/>
          <a:ext cx="925560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566775</xdr:colOff>
      <xdr:row>25</xdr:row>
      <xdr:rowOff>46853</xdr:rowOff>
    </xdr:from>
    <xdr:to>
      <xdr:col>7</xdr:col>
      <xdr:colOff>566775</xdr:colOff>
      <xdr:row>27</xdr:row>
      <xdr:rowOff>46853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4829213" y="5047478"/>
          <a:ext cx="0" cy="40481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445477</xdr:colOff>
      <xdr:row>27</xdr:row>
      <xdr:rowOff>1</xdr:rowOff>
    </xdr:from>
    <xdr:to>
      <xdr:col>8</xdr:col>
      <xdr:colOff>132522</xdr:colOff>
      <xdr:row>27</xdr:row>
      <xdr:rowOff>6626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4202468" y="5565914"/>
          <a:ext cx="435793" cy="662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415440</xdr:colOff>
      <xdr:row>29</xdr:row>
      <xdr:rowOff>4320</xdr:rowOff>
    </xdr:from>
    <xdr:to>
      <xdr:col>8</xdr:col>
      <xdr:colOff>112320</xdr:colOff>
      <xdr:row>29</xdr:row>
      <xdr:rowOff>8640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4757400" y="5625360"/>
          <a:ext cx="359640" cy="46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416161</xdr:colOff>
      <xdr:row>31</xdr:row>
      <xdr:rowOff>192101</xdr:rowOff>
    </xdr:from>
    <xdr:to>
      <xdr:col>8</xdr:col>
      <xdr:colOff>569899</xdr:colOff>
      <xdr:row>31</xdr:row>
      <xdr:rowOff>192579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H="1">
          <a:off x="4665432" y="6350854"/>
          <a:ext cx="1121926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695739</xdr:colOff>
      <xdr:row>27</xdr:row>
      <xdr:rowOff>7991</xdr:rowOff>
    </xdr:from>
    <xdr:to>
      <xdr:col>7</xdr:col>
      <xdr:colOff>701944</xdr:colOff>
      <xdr:row>29</xdr:row>
      <xdr:rowOff>6626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 flipH="1">
          <a:off x="4962939" y="5395000"/>
          <a:ext cx="6205" cy="40282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8</xdr:col>
      <xdr:colOff>519480</xdr:colOff>
      <xdr:row>24</xdr:row>
      <xdr:rowOff>15120</xdr:rowOff>
    </xdr:from>
    <xdr:to>
      <xdr:col>8</xdr:col>
      <xdr:colOff>522720</xdr:colOff>
      <xdr:row>31</xdr:row>
      <xdr:rowOff>190440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5523840" y="4683600"/>
          <a:ext cx="3600" cy="1509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561653</xdr:colOff>
      <xdr:row>26</xdr:row>
      <xdr:rowOff>89337</xdr:rowOff>
    </xdr:from>
    <xdr:to>
      <xdr:col>8</xdr:col>
      <xdr:colOff>23812</xdr:colOff>
      <xdr:row>26</xdr:row>
      <xdr:rowOff>90361</xdr:rowOff>
    </xdr:to>
    <xdr:cxnSp macro="">
      <xdr:nvCxnSpPr>
        <xdr:cNvPr id="23" name="Прямая со стрелкой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H="1">
          <a:off x="4824091" y="5289987"/>
          <a:ext cx="428946" cy="1024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344520</xdr:colOff>
      <xdr:row>26</xdr:row>
      <xdr:rowOff>88920</xdr:rowOff>
    </xdr:from>
    <xdr:to>
      <xdr:col>7</xdr:col>
      <xdr:colOff>429480</xdr:colOff>
      <xdr:row>26</xdr:row>
      <xdr:rowOff>88920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4686480" y="5138280"/>
          <a:ext cx="85320" cy="36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437400</xdr:colOff>
      <xdr:row>26</xdr:row>
      <xdr:rowOff>88920</xdr:rowOff>
    </xdr:from>
    <xdr:to>
      <xdr:col>7</xdr:col>
      <xdr:colOff>566737</xdr:colOff>
      <xdr:row>26</xdr:row>
      <xdr:rowOff>90488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>
          <a:off x="4699838" y="5289570"/>
          <a:ext cx="129337" cy="156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47337</xdr:colOff>
      <xdr:row>23</xdr:row>
      <xdr:rowOff>34921</xdr:rowOff>
    </xdr:from>
    <xdr:to>
      <xdr:col>4</xdr:col>
      <xdr:colOff>490831</xdr:colOff>
      <xdr:row>23</xdr:row>
      <xdr:rowOff>36335</xdr:rowOff>
    </xdr:to>
    <xdr:cxnSp macro="">
      <xdr:nvCxnSpPr>
        <xdr:cNvPr id="29" name="Прямая соединительная линия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>
          <a:off x="1179451" y="4585150"/>
          <a:ext cx="1085751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310661</xdr:colOff>
      <xdr:row>23</xdr:row>
      <xdr:rowOff>35169</xdr:rowOff>
    </xdr:from>
    <xdr:to>
      <xdr:col>4</xdr:col>
      <xdr:colOff>311189</xdr:colOff>
      <xdr:row>24</xdr:row>
      <xdr:rowOff>19050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1887415" y="4747846"/>
          <a:ext cx="528" cy="16558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26</xdr:row>
          <xdr:rowOff>7620</xdr:rowOff>
        </xdr:from>
        <xdr:to>
          <xdr:col>14</xdr:col>
          <xdr:colOff>259080</xdr:colOff>
          <xdr:row>26</xdr:row>
          <xdr:rowOff>198120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26</xdr:row>
          <xdr:rowOff>198120</xdr:rowOff>
        </xdr:from>
        <xdr:to>
          <xdr:col>14</xdr:col>
          <xdr:colOff>358140</xdr:colOff>
          <xdr:row>27</xdr:row>
          <xdr:rowOff>198120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304800</xdr:colOff>
      <xdr:row>32</xdr:row>
      <xdr:rowOff>170330</xdr:rowOff>
    </xdr:from>
    <xdr:to>
      <xdr:col>3</xdr:col>
      <xdr:colOff>295841</xdr:colOff>
      <xdr:row>34</xdr:row>
      <xdr:rowOff>141514</xdr:rowOff>
    </xdr:to>
    <xdr:cxnSp macro="">
      <xdr:nvCxnSpPr>
        <xdr:cNvPr id="30" name="Прямая соединительная линия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6" idx="0"/>
        </xdr:cNvCxnSpPr>
      </xdr:nvCxnSpPr>
      <xdr:spPr>
        <a:xfrm flipH="1">
          <a:off x="1055914" y="6320759"/>
          <a:ext cx="578870" cy="34129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120457</xdr:colOff>
      <xdr:row>20</xdr:row>
      <xdr:rowOff>24336</xdr:rowOff>
    </xdr:from>
    <xdr:to>
      <xdr:col>23</xdr:col>
      <xdr:colOff>97602</xdr:colOff>
      <xdr:row>20</xdr:row>
      <xdr:rowOff>197766</xdr:rowOff>
    </xdr:to>
    <xdr:sp macro="" textlink="">
      <xdr:nvSpPr>
        <xdr:cNvPr id="35" name="Прямоугольни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223183">
          <a:off x="14756719" y="4021905"/>
          <a:ext cx="3400283" cy="17343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97899</xdr:colOff>
      <xdr:row>25</xdr:row>
      <xdr:rowOff>3637</xdr:rowOff>
    </xdr:from>
    <xdr:to>
      <xdr:col>23</xdr:col>
      <xdr:colOff>115148</xdr:colOff>
      <xdr:row>25</xdr:row>
      <xdr:rowOff>182287</xdr:rowOff>
    </xdr:to>
    <xdr:sp macro="" textlink="">
      <xdr:nvSpPr>
        <xdr:cNvPr id="36" name="Прямоугольни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 rot="21364796">
          <a:off x="14734161" y="4997668"/>
          <a:ext cx="3440387" cy="178650"/>
        </a:xfrm>
        <a:prstGeom prst="rect">
          <a:avLst/>
        </a:prstGeom>
        <a:pattFill prst="wdUpDiag">
          <a:fgClr>
            <a:schemeClr val="tx1"/>
          </a:fgClr>
          <a:bgClr>
            <a:schemeClr val="bg1"/>
          </a:bgClr>
        </a:pattFill>
        <a:ln w="9525" cmpd="thickThin">
          <a:solidFill>
            <a:schemeClr val="tx1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18</xdr:col>
      <xdr:colOff>6625</xdr:colOff>
      <xdr:row>18</xdr:row>
      <xdr:rowOff>54407</xdr:rowOff>
    </xdr:from>
    <xdr:to>
      <xdr:col>18</xdr:col>
      <xdr:colOff>567676</xdr:colOff>
      <xdr:row>27</xdr:row>
      <xdr:rowOff>171097</xdr:rowOff>
    </xdr:to>
    <xdr:sp macro="" textlink="">
      <xdr:nvSpPr>
        <xdr:cNvPr id="37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 rot="5400000">
          <a:off x="13623441" y="4321400"/>
          <a:ext cx="1912360" cy="561051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23</xdr:col>
      <xdr:colOff>319098</xdr:colOff>
      <xdr:row>22</xdr:row>
      <xdr:rowOff>12121</xdr:rowOff>
    </xdr:from>
    <xdr:to>
      <xdr:col>23</xdr:col>
      <xdr:colOff>414138</xdr:colOff>
      <xdr:row>23</xdr:row>
      <xdr:rowOff>175218</xdr:rowOff>
    </xdr:to>
    <xdr:sp macro="" textlink="">
      <xdr:nvSpPr>
        <xdr:cNvPr id="38" name="Трапеция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 rot="5400000">
          <a:off x="17889446" y="4679110"/>
          <a:ext cx="345977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5760</xdr:colOff>
      <xdr:row>17</xdr:row>
      <xdr:rowOff>0</xdr:rowOff>
    </xdr:from>
    <xdr:to>
      <xdr:col>19</xdr:col>
      <xdr:colOff>5760</xdr:colOff>
      <xdr:row>18</xdr:row>
      <xdr:rowOff>190440</xdr:rowOff>
    </xdr:to>
    <xdr:cxnSp macro="">
      <xdr:nvCxnSpPr>
        <xdr:cNvPr id="4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 flipV="1">
          <a:off x="1341501" y="4294094"/>
          <a:ext cx="0" cy="36211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317662</xdr:colOff>
      <xdr:row>17</xdr:row>
      <xdr:rowOff>12386</xdr:rowOff>
    </xdr:from>
    <xdr:to>
      <xdr:col>23</xdr:col>
      <xdr:colOff>327636</xdr:colOff>
      <xdr:row>20</xdr:row>
      <xdr:rowOff>78344</xdr:rowOff>
    </xdr:to>
    <xdr:cxnSp macro="">
      <xdr:nvCxnSpPr>
        <xdr:cNvPr id="43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V="1">
          <a:off x="17088288" y="3524212"/>
          <a:ext cx="9974" cy="68881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19</xdr:col>
      <xdr:colOff>5760</xdr:colOff>
      <xdr:row>17</xdr:row>
      <xdr:rowOff>17640</xdr:rowOff>
    </xdr:from>
    <xdr:to>
      <xdr:col>23</xdr:col>
      <xdr:colOff>318052</xdr:colOff>
      <xdr:row>17</xdr:row>
      <xdr:rowOff>26504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/>
      </xdr:nvCxnSpPr>
      <xdr:spPr>
        <a:xfrm>
          <a:off x="13463343" y="3529466"/>
          <a:ext cx="3625335" cy="886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18</xdr:col>
      <xdr:colOff>1570</xdr:colOff>
      <xdr:row>16</xdr:row>
      <xdr:rowOff>161364</xdr:rowOff>
    </xdr:from>
    <xdr:to>
      <xdr:col>18</xdr:col>
      <xdr:colOff>1570</xdr:colOff>
      <xdr:row>18</xdr:row>
      <xdr:rowOff>164890</xdr:rowOff>
    </xdr:to>
    <xdr:cxnSp macro="">
      <xdr:nvCxnSpPr>
        <xdr:cNvPr id="45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12856510" y="3422724"/>
          <a:ext cx="0" cy="43024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15240</xdr:colOff>
      <xdr:row>17</xdr:row>
      <xdr:rowOff>15240</xdr:rowOff>
    </xdr:from>
    <xdr:to>
      <xdr:col>18</xdr:col>
      <xdr:colOff>552607</xdr:colOff>
      <xdr:row>17</xdr:row>
      <xdr:rowOff>17640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/>
      </xdr:nvCxnSpPr>
      <xdr:spPr>
        <a:xfrm>
          <a:off x="12870180" y="3505200"/>
          <a:ext cx="537367" cy="240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315686</xdr:colOff>
      <xdr:row>20</xdr:row>
      <xdr:rowOff>10886</xdr:rowOff>
    </xdr:from>
    <xdr:to>
      <xdr:col>25</xdr:col>
      <xdr:colOff>65314</xdr:colOff>
      <xdr:row>20</xdr:row>
      <xdr:rowOff>10886</xdr:rowOff>
    </xdr:to>
    <xdr:cxnSp macro="">
      <xdr:nvCxnSpPr>
        <xdr:cNvPr id="47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H="1">
          <a:off x="17068800" y="4114800"/>
          <a:ext cx="1088571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438809</xdr:colOff>
      <xdr:row>20</xdr:row>
      <xdr:rowOff>76048</xdr:rowOff>
    </xdr:from>
    <xdr:to>
      <xdr:col>23</xdr:col>
      <xdr:colOff>438809</xdr:colOff>
      <xdr:row>22</xdr:row>
      <xdr:rowOff>76048</xdr:rowOff>
    </xdr:to>
    <xdr:cxnSp macro="">
      <xdr:nvCxnSpPr>
        <xdr:cNvPr id="48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 flipV="1">
          <a:off x="17209435" y="4210726"/>
          <a:ext cx="0" cy="37106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340080</xdr:colOff>
      <xdr:row>22</xdr:row>
      <xdr:rowOff>14726</xdr:rowOff>
    </xdr:from>
    <xdr:to>
      <xdr:col>24</xdr:col>
      <xdr:colOff>54240</xdr:colOff>
      <xdr:row>22</xdr:row>
      <xdr:rowOff>19046</xdr:rowOff>
    </xdr:to>
    <xdr:cxnSp macro="">
      <xdr:nvCxnSpPr>
        <xdr:cNvPr id="49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/>
      </xdr:nvCxnSpPr>
      <xdr:spPr>
        <a:xfrm>
          <a:off x="18035897" y="4556246"/>
          <a:ext cx="301989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241270</xdr:colOff>
      <xdr:row>23</xdr:row>
      <xdr:rowOff>169783</xdr:rowOff>
    </xdr:from>
    <xdr:to>
      <xdr:col>24</xdr:col>
      <xdr:colOff>57892</xdr:colOff>
      <xdr:row>23</xdr:row>
      <xdr:rowOff>174103</xdr:rowOff>
    </xdr:to>
    <xdr:cxnSp macro="">
      <xdr:nvCxnSpPr>
        <xdr:cNvPr id="50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/>
      </xdr:nvCxnSpPr>
      <xdr:spPr>
        <a:xfrm flipV="1">
          <a:off x="17937087" y="4894183"/>
          <a:ext cx="4044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304800</xdr:colOff>
      <xdr:row>26</xdr:row>
      <xdr:rowOff>0</xdr:rowOff>
    </xdr:from>
    <xdr:to>
      <xdr:col>25</xdr:col>
      <xdr:colOff>83858</xdr:colOff>
      <xdr:row>26</xdr:row>
      <xdr:rowOff>11844</xdr:rowOff>
    </xdr:to>
    <xdr:cxnSp macro="">
      <xdr:nvCxnSpPr>
        <xdr:cNvPr id="51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/>
      </xdr:nvCxnSpPr>
      <xdr:spPr>
        <a:xfrm flipH="1" flipV="1">
          <a:off x="18350753" y="5145741"/>
          <a:ext cx="1114799" cy="1184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24</xdr:col>
      <xdr:colOff>8331</xdr:colOff>
      <xdr:row>22</xdr:row>
      <xdr:rowOff>8503</xdr:rowOff>
    </xdr:from>
    <xdr:to>
      <xdr:col>24</xdr:col>
      <xdr:colOff>8331</xdr:colOff>
      <xdr:row>23</xdr:row>
      <xdr:rowOff>174103</xdr:rowOff>
    </xdr:to>
    <xdr:cxnSp macro="">
      <xdr:nvCxnSpPr>
        <xdr:cNvPr id="52" name="Прямая со стрелкой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>
          <a:off x="18291977" y="4550023"/>
          <a:ext cx="0" cy="34848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24</xdr:col>
      <xdr:colOff>710131</xdr:colOff>
      <xdr:row>20</xdr:row>
      <xdr:rowOff>7044</xdr:rowOff>
    </xdr:from>
    <xdr:to>
      <xdr:col>24</xdr:col>
      <xdr:colOff>710132</xdr:colOff>
      <xdr:row>25</xdr:row>
      <xdr:rowOff>174172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 flipH="1">
          <a:off x="18051074" y="4110958"/>
          <a:ext cx="1" cy="109241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438638</xdr:colOff>
      <xdr:row>21</xdr:row>
      <xdr:rowOff>97364</xdr:rowOff>
    </xdr:from>
    <xdr:to>
      <xdr:col>24</xdr:col>
      <xdr:colOff>310227</xdr:colOff>
      <xdr:row>21</xdr:row>
      <xdr:rowOff>97364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/>
      </xdr:nvCxnSpPr>
      <xdr:spPr>
        <a:xfrm flipH="1">
          <a:off x="17211347" y="4425524"/>
          <a:ext cx="459417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193431</xdr:colOff>
      <xdr:row>21</xdr:row>
      <xdr:rowOff>99646</xdr:rowOff>
    </xdr:from>
    <xdr:to>
      <xdr:col>23</xdr:col>
      <xdr:colOff>304800</xdr:colOff>
      <xdr:row>21</xdr:row>
      <xdr:rowOff>99646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18252831" y="4296508"/>
          <a:ext cx="111369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319566</xdr:colOff>
      <xdr:row>21</xdr:row>
      <xdr:rowOff>97119</xdr:rowOff>
    </xdr:from>
    <xdr:to>
      <xdr:col>23</xdr:col>
      <xdr:colOff>434417</xdr:colOff>
      <xdr:row>21</xdr:row>
      <xdr:rowOff>97234</xdr:rowOff>
    </xdr:to>
    <xdr:cxnSp macro="">
      <xdr:nvCxnSpPr>
        <xdr:cNvPr id="56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/>
      </xdr:nvCxnSpPr>
      <xdr:spPr>
        <a:xfrm>
          <a:off x="17092275" y="4425279"/>
          <a:ext cx="114851" cy="11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251516</xdr:colOff>
      <xdr:row>18</xdr:row>
      <xdr:rowOff>53921</xdr:rowOff>
    </xdr:from>
    <xdr:to>
      <xdr:col>19</xdr:col>
      <xdr:colOff>380741</xdr:colOff>
      <xdr:row>18</xdr:row>
      <xdr:rowOff>55171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/>
      </xdr:nvCxnSpPr>
      <xdr:spPr>
        <a:xfrm flipV="1">
          <a:off x="12891751" y="4527309"/>
          <a:ext cx="711931" cy="12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311189</xdr:colOff>
      <xdr:row>18</xdr:row>
      <xdr:rowOff>52388</xdr:rowOff>
    </xdr:from>
    <xdr:to>
      <xdr:col>19</xdr:col>
      <xdr:colOff>311189</xdr:colOff>
      <xdr:row>19</xdr:row>
      <xdr:rowOff>19050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/>
      </xdr:nvCxnSpPr>
      <xdr:spPr>
        <a:xfrm>
          <a:off x="1646930" y="4525776"/>
          <a:ext cx="0" cy="1459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287151</xdr:colOff>
      <xdr:row>27</xdr:row>
      <xdr:rowOff>171097</xdr:rowOff>
    </xdr:from>
    <xdr:to>
      <xdr:col>18</xdr:col>
      <xdr:colOff>429354</xdr:colOff>
      <xdr:row>29</xdr:row>
      <xdr:rowOff>171095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37" idx="0"/>
        </xdr:cNvCxnSpPr>
      </xdr:nvCxnSpPr>
      <xdr:spPr>
        <a:xfrm>
          <a:off x="14579621" y="5558106"/>
          <a:ext cx="142203" cy="39756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8965</xdr:colOff>
      <xdr:row>19</xdr:row>
      <xdr:rowOff>8965</xdr:rowOff>
    </xdr:from>
    <xdr:to>
      <xdr:col>23</xdr:col>
      <xdr:colOff>318052</xdr:colOff>
      <xdr:row>20</xdr:row>
      <xdr:rowOff>19879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13466548" y="3924982"/>
          <a:ext cx="3622130" cy="22957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26</xdr:row>
      <xdr:rowOff>0</xdr:rowOff>
    </xdr:from>
    <xdr:to>
      <xdr:col>23</xdr:col>
      <xdr:colOff>326572</xdr:colOff>
      <xdr:row>27</xdr:row>
      <xdr:rowOff>8965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/>
      </xdr:nvCxnSpPr>
      <xdr:spPr>
        <a:xfrm flipV="1">
          <a:off x="13443857" y="5214257"/>
          <a:ext cx="3635829" cy="1940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316523</xdr:colOff>
      <xdr:row>20</xdr:row>
      <xdr:rowOff>13252</xdr:rowOff>
    </xdr:from>
    <xdr:to>
      <xdr:col>23</xdr:col>
      <xdr:colOff>318052</xdr:colOff>
      <xdr:row>26</xdr:row>
      <xdr:rowOff>5862</xdr:rowOff>
    </xdr:to>
    <xdr:cxnSp macro="">
      <xdr:nvCxnSpPr>
        <xdr:cNvPr id="1034" name="Прямая соединительная линия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CxnSpPr/>
      </xdr:nvCxnSpPr>
      <xdr:spPr>
        <a:xfrm flipH="1">
          <a:off x="18375923" y="4010821"/>
          <a:ext cx="1529" cy="1188364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15765</xdr:colOff>
      <xdr:row>21</xdr:row>
      <xdr:rowOff>5255</xdr:rowOff>
    </xdr:from>
    <xdr:to>
      <xdr:col>23</xdr:col>
      <xdr:colOff>366618</xdr:colOff>
      <xdr:row>22</xdr:row>
      <xdr:rowOff>24001</xdr:rowOff>
    </xdr:to>
    <xdr:cxnSp macro="">
      <xdr:nvCxnSpPr>
        <xdr:cNvPr id="1040" name="Прямая соединительная линия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CxnSpPr>
          <a:stCxn id="38" idx="1"/>
        </xdr:cNvCxnSpPr>
      </xdr:nvCxnSpPr>
      <xdr:spPr>
        <a:xfrm flipH="1" flipV="1">
          <a:off x="14367641" y="4351283"/>
          <a:ext cx="3961156" cy="202677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579028</xdr:colOff>
      <xdr:row>23</xdr:row>
      <xdr:rowOff>163338</xdr:rowOff>
    </xdr:from>
    <xdr:to>
      <xdr:col>23</xdr:col>
      <xdr:colOff>366618</xdr:colOff>
      <xdr:row>25</xdr:row>
      <xdr:rowOff>2132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>
          <a:stCxn id="38" idx="3"/>
        </xdr:cNvCxnSpPr>
      </xdr:nvCxnSpPr>
      <xdr:spPr>
        <a:xfrm flipH="1">
          <a:off x="14369051" y="4887738"/>
          <a:ext cx="3693384" cy="2045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21</xdr:row>
      <xdr:rowOff>10512</xdr:rowOff>
    </xdr:from>
    <xdr:to>
      <xdr:col>19</xdr:col>
      <xdr:colOff>10510</xdr:colOff>
      <xdr:row>21</xdr:row>
      <xdr:rowOff>170330</xdr:rowOff>
    </xdr:to>
    <xdr:cxnSp macro="">
      <xdr:nvCxnSpPr>
        <xdr:cNvPr id="1044" name="Прямая соединительная линия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CxnSpPr/>
      </xdr:nvCxnSpPr>
      <xdr:spPr>
        <a:xfrm flipV="1">
          <a:off x="14244918" y="4179100"/>
          <a:ext cx="790439" cy="159818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24</xdr:row>
      <xdr:rowOff>8965</xdr:rowOff>
    </xdr:from>
    <xdr:to>
      <xdr:col>19</xdr:col>
      <xdr:colOff>5</xdr:colOff>
      <xdr:row>25</xdr:row>
      <xdr:rowOff>1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 flipH="1" flipV="1">
          <a:off x="14244918" y="4769224"/>
          <a:ext cx="779934" cy="18825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21</xdr:row>
      <xdr:rowOff>170330</xdr:rowOff>
    </xdr:from>
    <xdr:to>
      <xdr:col>17</xdr:col>
      <xdr:colOff>770965</xdr:colOff>
      <xdr:row>24</xdr:row>
      <xdr:rowOff>26894</xdr:rowOff>
    </xdr:to>
    <xdr:cxnSp macro="">
      <xdr:nvCxnSpPr>
        <xdr:cNvPr id="1051" name="Прямая соединительная линия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CxnSpPr/>
      </xdr:nvCxnSpPr>
      <xdr:spPr>
        <a:xfrm>
          <a:off x="14244918" y="4338918"/>
          <a:ext cx="0" cy="44823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690282</xdr:colOff>
      <xdr:row>23</xdr:row>
      <xdr:rowOff>0</xdr:rowOff>
    </xdr:from>
    <xdr:to>
      <xdr:col>23</xdr:col>
      <xdr:colOff>519546</xdr:colOff>
      <xdr:row>23</xdr:row>
      <xdr:rowOff>3463</xdr:rowOff>
    </xdr:to>
    <xdr:cxnSp macro="">
      <xdr:nvCxnSpPr>
        <xdr:cNvPr id="1055" name="Прямая соединительная линия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CxnSpPr/>
      </xdr:nvCxnSpPr>
      <xdr:spPr>
        <a:xfrm>
          <a:off x="13637355" y="4554682"/>
          <a:ext cx="4806509" cy="3463"/>
        </a:xfrm>
        <a:prstGeom prst="line">
          <a:avLst/>
        </a:prstGeom>
        <a:ln w="9525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54313</xdr:colOff>
      <xdr:row>19</xdr:row>
      <xdr:rowOff>18692</xdr:rowOff>
    </xdr:from>
    <xdr:to>
      <xdr:col>19</xdr:col>
      <xdr:colOff>57555</xdr:colOff>
      <xdr:row>27</xdr:row>
      <xdr:rowOff>3242</xdr:rowOff>
    </xdr:to>
    <xdr:cxnSp macro="">
      <xdr:nvCxnSpPr>
        <xdr:cNvPr id="1060" name="Прямая соединительная линия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CxnSpPr/>
      </xdr:nvCxnSpPr>
      <xdr:spPr>
        <a:xfrm flipH="1">
          <a:off x="14395153" y="3904892"/>
          <a:ext cx="3242" cy="1523790"/>
        </a:xfrm>
        <a:prstGeom prst="line">
          <a:avLst/>
        </a:prstGeom>
        <a:ln w="9525" cap="flat" cmpd="sng" algn="ctr">
          <a:solidFill>
            <a:schemeClr val="dk1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48127</xdr:colOff>
      <xdr:row>27</xdr:row>
      <xdr:rowOff>24063</xdr:rowOff>
    </xdr:from>
    <xdr:to>
      <xdr:col>20</xdr:col>
      <xdr:colOff>8965</xdr:colOff>
      <xdr:row>29</xdr:row>
      <xdr:rowOff>8964</xdr:rowOff>
    </xdr:to>
    <xdr:cxnSp macro="">
      <xdr:nvCxnSpPr>
        <xdr:cNvPr id="1064" name="Прямая соединительная линия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CxnSpPr/>
      </xdr:nvCxnSpPr>
      <xdr:spPr>
        <a:xfrm>
          <a:off x="13294895" y="6144126"/>
          <a:ext cx="919354" cy="3538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618565</xdr:colOff>
      <xdr:row>21</xdr:row>
      <xdr:rowOff>188259</xdr:rowOff>
    </xdr:from>
    <xdr:to>
      <xdr:col>17</xdr:col>
      <xdr:colOff>618565</xdr:colOff>
      <xdr:row>23</xdr:row>
      <xdr:rowOff>188259</xdr:rowOff>
    </xdr:to>
    <xdr:cxnSp macro="">
      <xdr:nvCxnSpPr>
        <xdr:cNvPr id="1077" name="Прямая со стрелкой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CxnSpPr/>
      </xdr:nvCxnSpPr>
      <xdr:spPr>
        <a:xfrm>
          <a:off x="14092518" y="4356847"/>
          <a:ext cx="0" cy="3944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1559</xdr:colOff>
      <xdr:row>24</xdr:row>
      <xdr:rowOff>9359</xdr:rowOff>
    </xdr:from>
    <xdr:to>
      <xdr:col>36</xdr:col>
      <xdr:colOff>439319</xdr:colOff>
      <xdr:row>26</xdr:row>
      <xdr:rowOff>195262</xdr:rowOff>
    </xdr:to>
    <xdr:sp macro="" textlink="">
      <xdr:nvSpPr>
        <xdr:cNvPr id="66" name="Прямоугольник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25123747" y="4809959"/>
          <a:ext cx="2776147" cy="585953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33</xdr:col>
      <xdr:colOff>0</xdr:colOff>
      <xdr:row>29</xdr:row>
      <xdr:rowOff>9360</xdr:rowOff>
    </xdr:from>
    <xdr:to>
      <xdr:col>36</xdr:col>
      <xdr:colOff>437760</xdr:colOff>
      <xdr:row>31</xdr:row>
      <xdr:rowOff>190080</xdr:rowOff>
    </xdr:to>
    <xdr:sp macro="" textlink="">
      <xdr:nvSpPr>
        <xdr:cNvPr id="67" name="Прямоугольник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1568824" y="5782631"/>
          <a:ext cx="2589289" cy="540653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587828</xdr:colOff>
      <xdr:row>23</xdr:row>
      <xdr:rowOff>53640</xdr:rowOff>
    </xdr:from>
    <xdr:to>
      <xdr:col>33</xdr:col>
      <xdr:colOff>3854</xdr:colOff>
      <xdr:row>32</xdr:row>
      <xdr:rowOff>170330</xdr:rowOff>
    </xdr:to>
    <xdr:sp macro="" textlink="">
      <xdr:nvSpPr>
        <xdr:cNvPr id="70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 rot="5400000">
          <a:off x="412308" y="5330078"/>
          <a:ext cx="1739302" cy="581438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36</xdr:col>
      <xdr:colOff>438150</xdr:colOff>
      <xdr:row>27</xdr:row>
      <xdr:rowOff>9524</xdr:rowOff>
    </xdr:from>
    <xdr:to>
      <xdr:col>36</xdr:col>
      <xdr:colOff>545603</xdr:colOff>
      <xdr:row>29</xdr:row>
      <xdr:rowOff>5</xdr:rowOff>
    </xdr:to>
    <xdr:sp macro="" textlink="">
      <xdr:nvSpPr>
        <xdr:cNvPr id="71" name="Трапеция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 rot="5400000">
          <a:off x="27754805" y="5558882"/>
          <a:ext cx="395293" cy="107453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386255</xdr:colOff>
      <xdr:row>26</xdr:row>
      <xdr:rowOff>195191</xdr:rowOff>
    </xdr:from>
    <xdr:to>
      <xdr:col>33</xdr:col>
      <xdr:colOff>0</xdr:colOff>
      <xdr:row>29</xdr:row>
      <xdr:rowOff>9524</xdr:rowOff>
    </xdr:to>
    <xdr:sp macro="" textlink="">
      <xdr:nvSpPr>
        <xdr:cNvPr id="72" name="Прямоугольник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4241618" y="5395841"/>
          <a:ext cx="880570" cy="423933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4763</xdr:colOff>
      <xdr:row>26</xdr:row>
      <xdr:rowOff>171450</xdr:rowOff>
    </xdr:from>
    <xdr:to>
      <xdr:col>32</xdr:col>
      <xdr:colOff>4764</xdr:colOff>
      <xdr:row>29</xdr:row>
      <xdr:rowOff>14287</xdr:rowOff>
    </xdr:to>
    <xdr:cxnSp macro="">
      <xdr:nvCxnSpPr>
        <xdr:cNvPr id="74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 flipH="1">
          <a:off x="990881" y="5406838"/>
          <a:ext cx="1" cy="3807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440280</xdr:colOff>
      <xdr:row>22</xdr:row>
      <xdr:rowOff>5760</xdr:rowOff>
    </xdr:from>
    <xdr:to>
      <xdr:col>36</xdr:col>
      <xdr:colOff>440280</xdr:colOff>
      <xdr:row>24</xdr:row>
      <xdr:rowOff>5760</xdr:rowOff>
    </xdr:to>
    <xdr:cxnSp macro="">
      <xdr:nvCxnSpPr>
        <xdr:cNvPr id="76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4160633" y="4523972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33</xdr:col>
      <xdr:colOff>17929</xdr:colOff>
      <xdr:row>22</xdr:row>
      <xdr:rowOff>6626</xdr:rowOff>
    </xdr:from>
    <xdr:to>
      <xdr:col>36</xdr:col>
      <xdr:colOff>404192</xdr:colOff>
      <xdr:row>22</xdr:row>
      <xdr:rowOff>8965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/>
      </xdr:nvCxnSpPr>
      <xdr:spPr>
        <a:xfrm flipV="1">
          <a:off x="25872141" y="4381402"/>
          <a:ext cx="2726051" cy="2339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31</xdr:col>
      <xdr:colOff>510988</xdr:colOff>
      <xdr:row>21</xdr:row>
      <xdr:rowOff>98612</xdr:rowOff>
    </xdr:from>
    <xdr:to>
      <xdr:col>32</xdr:col>
      <xdr:colOff>995</xdr:colOff>
      <xdr:row>23</xdr:row>
      <xdr:rowOff>182821</xdr:rowOff>
    </xdr:to>
    <xdr:cxnSp macro="">
      <xdr:nvCxnSpPr>
        <xdr:cNvPr id="78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/>
      </xdr:nvCxnSpPr>
      <xdr:spPr>
        <a:xfrm flipH="1" flipV="1">
          <a:off x="25101176" y="4276165"/>
          <a:ext cx="9960" cy="47865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399600</xdr:colOff>
      <xdr:row>24</xdr:row>
      <xdr:rowOff>2160</xdr:rowOff>
    </xdr:from>
    <xdr:to>
      <xdr:col>37</xdr:col>
      <xdr:colOff>662400</xdr:colOff>
      <xdr:row>24</xdr:row>
      <xdr:rowOff>3240</xdr:rowOff>
    </xdr:to>
    <xdr:cxnSp macro="">
      <xdr:nvCxnSpPr>
        <xdr:cNvPr id="80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 flipH="1">
          <a:off x="4119953" y="4878960"/>
          <a:ext cx="1006871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538200</xdr:colOff>
      <xdr:row>25</xdr:row>
      <xdr:rowOff>23040</xdr:rowOff>
    </xdr:from>
    <xdr:to>
      <xdr:col>36</xdr:col>
      <xdr:colOff>538200</xdr:colOff>
      <xdr:row>27</xdr:row>
      <xdr:rowOff>23040</xdr:rowOff>
    </xdr:to>
    <xdr:cxnSp macro="">
      <xdr:nvCxnSpPr>
        <xdr:cNvPr id="81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 flipV="1">
          <a:off x="4258553" y="5079134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445477</xdr:colOff>
      <xdr:row>27</xdr:row>
      <xdr:rowOff>0</xdr:rowOff>
    </xdr:from>
    <xdr:to>
      <xdr:col>37</xdr:col>
      <xdr:colOff>108858</xdr:colOff>
      <xdr:row>27</xdr:row>
      <xdr:rowOff>4354</xdr:rowOff>
    </xdr:to>
    <xdr:cxnSp macro="">
      <xdr:nvCxnSpPr>
        <xdr:cNvPr id="83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CxnSpPr/>
      </xdr:nvCxnSpPr>
      <xdr:spPr>
        <a:xfrm>
          <a:off x="29971888" y="5586549"/>
          <a:ext cx="303461" cy="435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415440</xdr:colOff>
      <xdr:row>29</xdr:row>
      <xdr:rowOff>4320</xdr:rowOff>
    </xdr:from>
    <xdr:to>
      <xdr:col>37</xdr:col>
      <xdr:colOff>112320</xdr:colOff>
      <xdr:row>29</xdr:row>
      <xdr:rowOff>8640</xdr:rowOff>
    </xdr:to>
    <xdr:cxnSp macro="">
      <xdr:nvCxnSpPr>
        <xdr:cNvPr id="84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CxnSpPr/>
      </xdr:nvCxnSpPr>
      <xdr:spPr>
        <a:xfrm flipV="1">
          <a:off x="4135793" y="5777591"/>
          <a:ext cx="4409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434090</xdr:colOff>
      <xdr:row>31</xdr:row>
      <xdr:rowOff>174171</xdr:rowOff>
    </xdr:from>
    <xdr:to>
      <xdr:col>37</xdr:col>
      <xdr:colOff>587828</xdr:colOff>
      <xdr:row>31</xdr:row>
      <xdr:rowOff>174649</xdr:rowOff>
    </xdr:to>
    <xdr:cxnSp macro="">
      <xdr:nvCxnSpPr>
        <xdr:cNvPr id="85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CxnSpPr/>
      </xdr:nvCxnSpPr>
      <xdr:spPr>
        <a:xfrm flipH="1">
          <a:off x="4154443" y="6314995"/>
          <a:ext cx="897809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701944</xdr:colOff>
      <xdr:row>27</xdr:row>
      <xdr:rowOff>7991</xdr:rowOff>
    </xdr:from>
    <xdr:to>
      <xdr:col>36</xdr:col>
      <xdr:colOff>704194</xdr:colOff>
      <xdr:row>29</xdr:row>
      <xdr:rowOff>5255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CxnSpPr/>
      </xdr:nvCxnSpPr>
      <xdr:spPr>
        <a:xfrm>
          <a:off x="30220247" y="5583729"/>
          <a:ext cx="2250" cy="39665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37</xdr:col>
      <xdr:colOff>519480</xdr:colOff>
      <xdr:row>24</xdr:row>
      <xdr:rowOff>15120</xdr:rowOff>
    </xdr:from>
    <xdr:to>
      <xdr:col>37</xdr:col>
      <xdr:colOff>522720</xdr:colOff>
      <xdr:row>31</xdr:row>
      <xdr:rowOff>190440</xdr:rowOff>
    </xdr:to>
    <xdr:cxnSp macro="">
      <xdr:nvCxnSpPr>
        <xdr:cNvPr id="88" name="Прямая со стрелкой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CxnSpPr/>
      </xdr:nvCxnSpPr>
      <xdr:spPr>
        <a:xfrm>
          <a:off x="4983904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36</xdr:col>
      <xdr:colOff>537840</xdr:colOff>
      <xdr:row>26</xdr:row>
      <xdr:rowOff>90360</xdr:rowOff>
    </xdr:from>
    <xdr:to>
      <xdr:col>37</xdr:col>
      <xdr:colOff>290160</xdr:colOff>
      <xdr:row>26</xdr:row>
      <xdr:rowOff>90360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CxnSpPr/>
      </xdr:nvCxnSpPr>
      <xdr:spPr>
        <a:xfrm flipH="1">
          <a:off x="4258193" y="5325748"/>
          <a:ext cx="496391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344520</xdr:colOff>
      <xdr:row>26</xdr:row>
      <xdr:rowOff>88920</xdr:rowOff>
    </xdr:from>
    <xdr:to>
      <xdr:col>36</xdr:col>
      <xdr:colOff>429480</xdr:colOff>
      <xdr:row>26</xdr:row>
      <xdr:rowOff>88920</xdr:rowOff>
    </xdr:to>
    <xdr:cxnSp macro="">
      <xdr:nvCxnSpPr>
        <xdr:cNvPr id="90" name="Прямая со стрелкой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CxnSpPr/>
      </xdr:nvCxnSpPr>
      <xdr:spPr>
        <a:xfrm>
          <a:off x="4064873" y="5324308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437400</xdr:colOff>
      <xdr:row>26</xdr:row>
      <xdr:rowOff>88920</xdr:rowOff>
    </xdr:from>
    <xdr:to>
      <xdr:col>36</xdr:col>
      <xdr:colOff>538920</xdr:colOff>
      <xdr:row>26</xdr:row>
      <xdr:rowOff>92880</xdr:rowOff>
    </xdr:to>
    <xdr:cxnSp macro="">
      <xdr:nvCxnSpPr>
        <xdr:cNvPr id="91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CxnSpPr/>
      </xdr:nvCxnSpPr>
      <xdr:spPr>
        <a:xfrm>
          <a:off x="4157753" y="5324308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3794</xdr:colOff>
      <xdr:row>23</xdr:row>
      <xdr:rowOff>34921</xdr:rowOff>
    </xdr:from>
    <xdr:to>
      <xdr:col>33</xdr:col>
      <xdr:colOff>447288</xdr:colOff>
      <xdr:row>23</xdr:row>
      <xdr:rowOff>36335</xdr:rowOff>
    </xdr:to>
    <xdr:cxnSp macro="">
      <xdr:nvCxnSpPr>
        <xdr:cNvPr id="92" name="Прямая соединительная линия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CxnSpPr/>
      </xdr:nvCxnSpPr>
      <xdr:spPr>
        <a:xfrm>
          <a:off x="989912" y="4732427"/>
          <a:ext cx="1026200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310661</xdr:colOff>
      <xdr:row>23</xdr:row>
      <xdr:rowOff>35169</xdr:rowOff>
    </xdr:from>
    <xdr:to>
      <xdr:col>33</xdr:col>
      <xdr:colOff>311189</xdr:colOff>
      <xdr:row>24</xdr:row>
      <xdr:rowOff>19050</xdr:rowOff>
    </xdr:to>
    <xdr:cxnSp macro="">
      <xdr:nvCxnSpPr>
        <xdr:cNvPr id="93" name="Прямая со стрелкой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CxnSpPr/>
      </xdr:nvCxnSpPr>
      <xdr:spPr>
        <a:xfrm>
          <a:off x="1879485" y="4732675"/>
          <a:ext cx="528" cy="16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304800</xdr:colOff>
      <xdr:row>32</xdr:row>
      <xdr:rowOff>170330</xdr:rowOff>
    </xdr:from>
    <xdr:to>
      <xdr:col>32</xdr:col>
      <xdr:colOff>295841</xdr:colOff>
      <xdr:row>34</xdr:row>
      <xdr:rowOff>141514</xdr:rowOff>
    </xdr:to>
    <xdr:cxnSp macro="">
      <xdr:nvCxnSpPr>
        <xdr:cNvPr id="94" name="Прямая соединительная линия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CxnSpPr>
          <a:stCxn id="70" idx="0"/>
        </xdr:cNvCxnSpPr>
      </xdr:nvCxnSpPr>
      <xdr:spPr>
        <a:xfrm flipH="1">
          <a:off x="708212" y="6490448"/>
          <a:ext cx="573747" cy="329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510988</xdr:colOff>
      <xdr:row>21</xdr:row>
      <xdr:rowOff>161365</xdr:rowOff>
    </xdr:from>
    <xdr:to>
      <xdr:col>17</xdr:col>
      <xdr:colOff>797859</xdr:colOff>
      <xdr:row>21</xdr:row>
      <xdr:rowOff>170330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/>
      </xdr:nvCxnSpPr>
      <xdr:spPr>
        <a:xfrm flipH="1">
          <a:off x="13984941" y="4329953"/>
          <a:ext cx="286871" cy="8965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529227</xdr:colOff>
      <xdr:row>24</xdr:row>
      <xdr:rowOff>17711</xdr:rowOff>
    </xdr:from>
    <xdr:to>
      <xdr:col>17</xdr:col>
      <xdr:colOff>760454</xdr:colOff>
      <xdr:row>24</xdr:row>
      <xdr:rowOff>17711</xdr:rowOff>
    </xdr:to>
    <xdr:cxnSp macro="">
      <xdr:nvCxnSpPr>
        <xdr:cNvPr id="114" name="Прямая соединительная линия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CxnSpPr/>
      </xdr:nvCxnSpPr>
      <xdr:spPr>
        <a:xfrm flipH="1">
          <a:off x="14003180" y="4777970"/>
          <a:ext cx="23122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112643</xdr:colOff>
      <xdr:row>24</xdr:row>
      <xdr:rowOff>168442</xdr:rowOff>
    </xdr:from>
    <xdr:to>
      <xdr:col>36</xdr:col>
      <xdr:colOff>342719</xdr:colOff>
      <xdr:row>26</xdr:row>
      <xdr:rowOff>32658</xdr:rowOff>
    </xdr:to>
    <xdr:sp macro="" textlink="">
      <xdr:nvSpPr>
        <xdr:cNvPr id="68" name="Прямоугольник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26000765" y="4952477"/>
          <a:ext cx="2569084" cy="261781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33</xdr:col>
      <xdr:colOff>119269</xdr:colOff>
      <xdr:row>29</xdr:row>
      <xdr:rowOff>130628</xdr:rowOff>
    </xdr:from>
    <xdr:to>
      <xdr:col>36</xdr:col>
      <xdr:colOff>323641</xdr:colOff>
      <xdr:row>31</xdr:row>
      <xdr:rowOff>28074</xdr:rowOff>
    </xdr:to>
    <xdr:sp macro="" textlink="">
      <xdr:nvSpPr>
        <xdr:cNvPr id="69" name="Прямоугольни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26007391" y="5921828"/>
          <a:ext cx="2543380" cy="301637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747649</xdr:colOff>
      <xdr:row>23</xdr:row>
      <xdr:rowOff>193599</xdr:rowOff>
    </xdr:from>
    <xdr:to>
      <xdr:col>32</xdr:col>
      <xdr:colOff>750515</xdr:colOff>
      <xdr:row>25</xdr:row>
      <xdr:rowOff>48596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 flipV="1">
          <a:off x="26621013" y="4935317"/>
          <a:ext cx="2866" cy="2498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786063</xdr:colOff>
      <xdr:row>32</xdr:row>
      <xdr:rowOff>32085</xdr:rowOff>
    </xdr:from>
    <xdr:to>
      <xdr:col>32</xdr:col>
      <xdr:colOff>1171073</xdr:colOff>
      <xdr:row>32</xdr:row>
      <xdr:rowOff>36095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CxnSpPr/>
      </xdr:nvCxnSpPr>
      <xdr:spPr>
        <a:xfrm flipV="1">
          <a:off x="26453431" y="6384759"/>
          <a:ext cx="385010" cy="40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1163053</xdr:colOff>
      <xdr:row>31</xdr:row>
      <xdr:rowOff>36095</xdr:rowOff>
    </xdr:from>
    <xdr:to>
      <xdr:col>32</xdr:col>
      <xdr:colOff>1164198</xdr:colOff>
      <xdr:row>32</xdr:row>
      <xdr:rowOff>32372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CxnSpPr/>
      </xdr:nvCxnSpPr>
      <xdr:spPr>
        <a:xfrm flipH="1" flipV="1">
          <a:off x="26830421" y="6204284"/>
          <a:ext cx="1145" cy="180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790075</xdr:colOff>
      <xdr:row>31</xdr:row>
      <xdr:rowOff>20054</xdr:rowOff>
    </xdr:from>
    <xdr:to>
      <xdr:col>32</xdr:col>
      <xdr:colOff>794085</xdr:colOff>
      <xdr:row>32</xdr:row>
      <xdr:rowOff>44115</xdr:rowOff>
    </xdr:to>
    <xdr:cxnSp macro="">
      <xdr:nvCxnSpPr>
        <xdr:cNvPr id="117" name="Прямая соединительная линия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/>
      </xdr:nvCxnSpPr>
      <xdr:spPr>
        <a:xfrm flipH="1" flipV="1">
          <a:off x="26457443" y="6188243"/>
          <a:ext cx="4010" cy="2085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21</xdr:row>
      <xdr:rowOff>35859</xdr:rowOff>
    </xdr:from>
    <xdr:to>
      <xdr:col>33</xdr:col>
      <xdr:colOff>5862</xdr:colOff>
      <xdr:row>24</xdr:row>
      <xdr:rowOff>0</xdr:rowOff>
    </xdr:to>
    <xdr:cxnSp macro="">
      <xdr:nvCxnSpPr>
        <xdr:cNvPr id="153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CxnSpPr/>
      </xdr:nvCxnSpPr>
      <xdr:spPr>
        <a:xfrm flipH="1" flipV="1">
          <a:off x="25854212" y="4213412"/>
          <a:ext cx="5862" cy="55581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31</xdr:col>
      <xdr:colOff>509954</xdr:colOff>
      <xdr:row>22</xdr:row>
      <xdr:rowOff>310</xdr:rowOff>
    </xdr:from>
    <xdr:to>
      <xdr:col>33</xdr:col>
      <xdr:colOff>0</xdr:colOff>
      <xdr:row>22</xdr:row>
      <xdr:rowOff>310</xdr:rowOff>
    </xdr:to>
    <xdr:cxnSp macro="">
      <xdr:nvCxnSpPr>
        <xdr:cNvPr id="155" name="Прямая со стрелкой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CxnSpPr/>
      </xdr:nvCxnSpPr>
      <xdr:spPr>
        <a:xfrm>
          <a:off x="25100142" y="4375086"/>
          <a:ext cx="75407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19</xdr:col>
      <xdr:colOff>128953</xdr:colOff>
      <xdr:row>21</xdr:row>
      <xdr:rowOff>17584</xdr:rowOff>
    </xdr:from>
    <xdr:to>
      <xdr:col>19</xdr:col>
      <xdr:colOff>134815</xdr:colOff>
      <xdr:row>24</xdr:row>
      <xdr:rowOff>193430</xdr:rowOff>
    </xdr:to>
    <xdr:cxnSp macro="">
      <xdr:nvCxnSpPr>
        <xdr:cNvPr id="118" name="Прямая со стрелкой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CxnSpPr/>
      </xdr:nvCxnSpPr>
      <xdr:spPr>
        <a:xfrm flipH="1">
          <a:off x="13850815" y="4378569"/>
          <a:ext cx="5862" cy="77372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28</xdr:row>
          <xdr:rowOff>0</xdr:rowOff>
        </xdr:from>
        <xdr:to>
          <xdr:col>14</xdr:col>
          <xdr:colOff>236220</xdr:colOff>
          <xdr:row>29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19</xdr:row>
          <xdr:rowOff>182880</xdr:rowOff>
        </xdr:from>
        <xdr:to>
          <xdr:col>14</xdr:col>
          <xdr:colOff>693420</xdr:colOff>
          <xdr:row>21</xdr:row>
          <xdr:rowOff>68580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  <a:extLst>
              <a:ext uri="{91240B29-F687-4F45-9708-019B960494DF}">
                <a14:hiddenLine w="1587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</a:t>
              </a:r>
            </a:p>
          </xdr:txBody>
        </xdr:sp>
        <xdr:clientData/>
      </xdr:twoCellAnchor>
    </mc:Choice>
    <mc:Fallback/>
  </mc:AlternateContent>
  <xdr:twoCellAnchor>
    <xdr:from>
      <xdr:col>8</xdr:col>
      <xdr:colOff>680037</xdr:colOff>
      <xdr:row>26</xdr:row>
      <xdr:rowOff>174172</xdr:rowOff>
    </xdr:from>
    <xdr:to>
      <xdr:col>9</xdr:col>
      <xdr:colOff>146637</xdr:colOff>
      <xdr:row>28</xdr:row>
      <xdr:rowOff>0</xdr:rowOff>
    </xdr:to>
    <xdr:sp macro="" textlink="">
      <xdr:nvSpPr>
        <xdr:cNvPr id="113" name="Rectangle 100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/>
      </xdr:nvSpPr>
      <xdr:spPr>
        <a:xfrm>
          <a:off x="5897496" y="5328878"/>
          <a:ext cx="309282" cy="220275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1400" b="1" strike="noStrike" spc="-1">
              <a:solidFill>
                <a:srgbClr val="000000"/>
              </a:solidFill>
              <a:latin typeface="+mn-lt"/>
              <a:cs typeface="Calibri" panose="020F0502020204030204" pitchFamily="34" charset="0"/>
            </a:rPr>
            <a:t>Ø</a:t>
          </a:r>
          <a:endParaRPr lang="ru-RU" sz="1400" b="0" strike="noStrike" spc="-1">
            <a:latin typeface="+mn-lt"/>
          </a:endParaRPr>
        </a:p>
      </xdr:txBody>
    </xdr:sp>
    <xdr:clientData/>
  </xdr:twoCellAnchor>
  <xdr:twoCellAnchor>
    <xdr:from>
      <xdr:col>7</xdr:col>
      <xdr:colOff>762000</xdr:colOff>
      <xdr:row>26</xdr:row>
      <xdr:rowOff>185057</xdr:rowOff>
    </xdr:from>
    <xdr:to>
      <xdr:col>8</xdr:col>
      <xdr:colOff>141515</xdr:colOff>
      <xdr:row>28</xdr:row>
      <xdr:rowOff>65314</xdr:rowOff>
    </xdr:to>
    <xdr:sp macro="" textlink="">
      <xdr:nvSpPr>
        <xdr:cNvPr id="119" name="Rectangle 100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/>
      </xdr:nvSpPr>
      <xdr:spPr>
        <a:xfrm>
          <a:off x="5029200" y="5334000"/>
          <a:ext cx="283029" cy="272143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en-US" sz="1400" b="1" strike="noStrike" spc="-1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400" b="1" strike="noStrike" spc="-1">
            <a:latin typeface="Times New Roman"/>
          </a:endParaRPr>
        </a:p>
      </xdr:txBody>
    </xdr:sp>
    <xdr:clientData/>
  </xdr:twoCellAnchor>
  <xdr:twoCellAnchor editAs="oneCell">
    <xdr:from>
      <xdr:col>26</xdr:col>
      <xdr:colOff>65318</xdr:colOff>
      <xdr:row>0</xdr:row>
      <xdr:rowOff>185055</xdr:rowOff>
    </xdr:from>
    <xdr:to>
      <xdr:col>29</xdr:col>
      <xdr:colOff>168016</xdr:colOff>
      <xdr:row>8</xdr:row>
      <xdr:rowOff>21770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21202295" y="-715379"/>
          <a:ext cx="1426029" cy="3226898"/>
        </a:xfrm>
        <a:prstGeom prst="rect">
          <a:avLst/>
        </a:prstGeom>
      </xdr:spPr>
    </xdr:pic>
    <xdr:clientData/>
  </xdr:twoCellAnchor>
  <xdr:twoCellAnchor>
    <xdr:from>
      <xdr:col>2</xdr:col>
      <xdr:colOff>416943</xdr:colOff>
      <xdr:row>28</xdr:row>
      <xdr:rowOff>2434</xdr:rowOff>
    </xdr:from>
    <xdr:to>
      <xdr:col>7</xdr:col>
      <xdr:colOff>606910</xdr:colOff>
      <xdr:row>28</xdr:row>
      <xdr:rowOff>2875</xdr:rowOff>
    </xdr:to>
    <xdr:cxnSp macro="">
      <xdr:nvCxnSpPr>
        <xdr:cNvPr id="103" name="Прямая соединительная линия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CxnSpPr/>
      </xdr:nvCxnSpPr>
      <xdr:spPr>
        <a:xfrm flipV="1">
          <a:off x="966158" y="5592351"/>
          <a:ext cx="3864820" cy="441"/>
        </a:xfrm>
        <a:prstGeom prst="line">
          <a:avLst/>
        </a:prstGeom>
        <a:ln w="12700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325503</xdr:colOff>
      <xdr:row>28</xdr:row>
      <xdr:rowOff>2434</xdr:rowOff>
    </xdr:from>
    <xdr:to>
      <xdr:col>36</xdr:col>
      <xdr:colOff>584050</xdr:colOff>
      <xdr:row>28</xdr:row>
      <xdr:rowOff>2875</xdr:rowOff>
    </xdr:to>
    <xdr:cxnSp macro="">
      <xdr:nvCxnSpPr>
        <xdr:cNvPr id="107" name="Прямая соединительная линия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CxnSpPr/>
      </xdr:nvCxnSpPr>
      <xdr:spPr>
        <a:xfrm flipV="1">
          <a:off x="24336123" y="5580274"/>
          <a:ext cx="3862807" cy="441"/>
        </a:xfrm>
        <a:prstGeom prst="line">
          <a:avLst/>
        </a:prstGeom>
        <a:ln w="12700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12240</xdr:colOff>
      <xdr:row>22</xdr:row>
      <xdr:rowOff>8966</xdr:rowOff>
    </xdr:from>
    <xdr:to>
      <xdr:col>2</xdr:col>
      <xdr:colOff>624660</xdr:colOff>
      <xdr:row>32</xdr:row>
      <xdr:rowOff>3</xdr:rowOff>
    </xdr:to>
    <xdr:sp macro="" textlink="">
      <xdr:nvSpPr>
        <xdr:cNvPr id="58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 rot="5400000">
          <a:off x="789096" y="5068133"/>
          <a:ext cx="1963272" cy="612420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6</xdr:col>
      <xdr:colOff>438840</xdr:colOff>
      <xdr:row>26</xdr:row>
      <xdr:rowOff>27360</xdr:rowOff>
    </xdr:from>
    <xdr:to>
      <xdr:col>6</xdr:col>
      <xdr:colOff>533880</xdr:colOff>
      <xdr:row>28</xdr:row>
      <xdr:rowOff>5400</xdr:rowOff>
    </xdr:to>
    <xdr:sp macro="" textlink="">
      <xdr:nvSpPr>
        <xdr:cNvPr id="59" name="Трапеция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 rot="5400000">
          <a:off x="4383540" y="5417160"/>
          <a:ext cx="359040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</xdr:col>
      <xdr:colOff>573740</xdr:colOff>
      <xdr:row>26</xdr:row>
      <xdr:rowOff>5861</xdr:rowOff>
    </xdr:from>
    <xdr:to>
      <xdr:col>6</xdr:col>
      <xdr:colOff>433799</xdr:colOff>
      <xdr:row>28</xdr:row>
      <xdr:rowOff>310</xdr:rowOff>
    </xdr:to>
    <xdr:sp macro="" textlink="">
      <xdr:nvSpPr>
        <xdr:cNvPr id="60" name="Прямоугольник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815787" y="5205390"/>
          <a:ext cx="3867283" cy="38889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</xdr:col>
      <xdr:colOff>0</xdr:colOff>
      <xdr:row>26</xdr:row>
      <xdr:rowOff>22680</xdr:rowOff>
    </xdr:from>
    <xdr:to>
      <xdr:col>3</xdr:col>
      <xdr:colOff>0</xdr:colOff>
      <xdr:row>28</xdr:row>
      <xdr:rowOff>18720</xdr:rowOff>
    </xdr:to>
    <xdr:cxnSp macro="">
      <xdr:nvCxnSpPr>
        <xdr:cNvPr id="61" name="Прямая соединительная линия 8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CxnSpPr/>
      </xdr:nvCxnSpPr>
      <xdr:spPr>
        <a:xfrm>
          <a:off x="1752600" y="5280480"/>
          <a:ext cx="0" cy="3770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11160</xdr:colOff>
      <xdr:row>26</xdr:row>
      <xdr:rowOff>34200</xdr:rowOff>
    </xdr:from>
    <xdr:to>
      <xdr:col>2</xdr:col>
      <xdr:colOff>11160</xdr:colOff>
      <xdr:row>27</xdr:row>
      <xdr:rowOff>190440</xdr:rowOff>
    </xdr:to>
    <xdr:cxnSp macro="">
      <xdr:nvCxnSpPr>
        <xdr:cNvPr id="62" name="Прямая соединительная линия 9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CxnSpPr/>
      </xdr:nvCxnSpPr>
      <xdr:spPr>
        <a:xfrm>
          <a:off x="1192260" y="5292000"/>
          <a:ext cx="0" cy="3467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0</xdr:rowOff>
    </xdr:from>
    <xdr:to>
      <xdr:col>3</xdr:col>
      <xdr:colOff>5760</xdr:colOff>
      <xdr:row>22</xdr:row>
      <xdr:rowOff>190440</xdr:rowOff>
    </xdr:to>
    <xdr:cxnSp macro="">
      <xdr:nvCxnSpPr>
        <xdr:cNvPr id="63" name="Прямая соединительная линия 10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75836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430255</xdr:colOff>
      <xdr:row>21</xdr:row>
      <xdr:rowOff>748</xdr:rowOff>
    </xdr:from>
    <xdr:to>
      <xdr:col>6</xdr:col>
      <xdr:colOff>436145</xdr:colOff>
      <xdr:row>23</xdr:row>
      <xdr:rowOff>180474</xdr:rowOff>
    </xdr:to>
    <xdr:cxnSp macro="">
      <xdr:nvCxnSpPr>
        <xdr:cNvPr id="64" name="Прямая соединительная линия 11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CxnSpPr/>
      </xdr:nvCxnSpPr>
      <xdr:spPr>
        <a:xfrm flipH="1" flipV="1">
          <a:off x="4099887" y="3991222"/>
          <a:ext cx="5890" cy="56072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17640</xdr:rowOff>
    </xdr:from>
    <xdr:to>
      <xdr:col>6</xdr:col>
      <xdr:colOff>434520</xdr:colOff>
      <xdr:row>21</xdr:row>
      <xdr:rowOff>23760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CxnSpPr/>
      </xdr:nvCxnSpPr>
      <xdr:spPr>
        <a:xfrm>
          <a:off x="1758360" y="4275315"/>
          <a:ext cx="2752860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</xdr:col>
      <xdr:colOff>11880</xdr:colOff>
      <xdr:row>21</xdr:row>
      <xdr:rowOff>0</xdr:rowOff>
    </xdr:from>
    <xdr:to>
      <xdr:col>2</xdr:col>
      <xdr:colOff>11880</xdr:colOff>
      <xdr:row>22</xdr:row>
      <xdr:rowOff>190440</xdr:rowOff>
    </xdr:to>
    <xdr:cxnSp macro="">
      <xdr:nvCxnSpPr>
        <xdr:cNvPr id="66" name="Прямая соединительная линия 13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CxnSpPr/>
      </xdr:nvCxnSpPr>
      <xdr:spPr>
        <a:xfrm flipV="1">
          <a:off x="119298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11880</xdr:colOff>
      <xdr:row>21</xdr:row>
      <xdr:rowOff>17640</xdr:rowOff>
    </xdr:from>
    <xdr:to>
      <xdr:col>3</xdr:col>
      <xdr:colOff>5760</xdr:colOff>
      <xdr:row>21</xdr:row>
      <xdr:rowOff>17640</xdr:rowOff>
    </xdr:to>
    <xdr:cxnSp macro="">
      <xdr:nvCxnSpPr>
        <xdr:cNvPr id="67" name="Прямая со стрелкой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192980" y="4275315"/>
          <a:ext cx="56538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419402</xdr:colOff>
      <xdr:row>24</xdr:row>
      <xdr:rowOff>1909</xdr:rowOff>
    </xdr:from>
    <xdr:to>
      <xdr:col>8</xdr:col>
      <xdr:colOff>13447</xdr:colOff>
      <xdr:row>24</xdr:row>
      <xdr:rowOff>2989</xdr:rowOff>
    </xdr:to>
    <xdr:cxnSp macro="">
      <xdr:nvCxnSpPr>
        <xdr:cNvPr id="68" name="Прямая соединительная линия 15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CxnSpPr/>
      </xdr:nvCxnSpPr>
      <xdr:spPr>
        <a:xfrm flipH="1">
          <a:off x="4791377" y="4950147"/>
          <a:ext cx="1656208" cy="1080"/>
        </a:xfrm>
        <a:prstGeom prst="straightConnector1">
          <a:avLst/>
        </a:prstGeom>
        <a:ln w="317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538200</xdr:colOff>
      <xdr:row>24</xdr:row>
      <xdr:rowOff>23040</xdr:rowOff>
    </xdr:from>
    <xdr:to>
      <xdr:col>6</xdr:col>
      <xdr:colOff>538200</xdr:colOff>
      <xdr:row>26</xdr:row>
      <xdr:rowOff>23040</xdr:rowOff>
    </xdr:to>
    <xdr:cxnSp macro="">
      <xdr:nvCxnSpPr>
        <xdr:cNvPr id="69" name="Прямая соединительная линия 16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CxnSpPr/>
      </xdr:nvCxnSpPr>
      <xdr:spPr>
        <a:xfrm flipV="1">
          <a:off x="4614900" y="4880790"/>
          <a:ext cx="0" cy="40005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433754</xdr:colOff>
      <xdr:row>26</xdr:row>
      <xdr:rowOff>11723</xdr:rowOff>
    </xdr:from>
    <xdr:to>
      <xdr:col>7</xdr:col>
      <xdr:colOff>64477</xdr:colOff>
      <xdr:row>26</xdr:row>
      <xdr:rowOff>11723</xdr:rowOff>
    </xdr:to>
    <xdr:cxnSp macro="">
      <xdr:nvCxnSpPr>
        <xdr:cNvPr id="70" name="Прямая соединительная линия 17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CxnSpPr/>
      </xdr:nvCxnSpPr>
      <xdr:spPr>
        <a:xfrm>
          <a:off x="4683369" y="5222631"/>
          <a:ext cx="445477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415440</xdr:colOff>
      <xdr:row>28</xdr:row>
      <xdr:rowOff>5862</xdr:rowOff>
    </xdr:from>
    <xdr:to>
      <xdr:col>7</xdr:col>
      <xdr:colOff>111369</xdr:colOff>
      <xdr:row>28</xdr:row>
      <xdr:rowOff>8640</xdr:rowOff>
    </xdr:to>
    <xdr:cxnSp macro="">
      <xdr:nvCxnSpPr>
        <xdr:cNvPr id="71" name="Прямая соединительная линия 18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 flipV="1">
          <a:off x="4665055" y="5615354"/>
          <a:ext cx="510683" cy="27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421173</xdr:colOff>
      <xdr:row>30</xdr:row>
      <xdr:rowOff>4320</xdr:rowOff>
    </xdr:from>
    <xdr:to>
      <xdr:col>8</xdr:col>
      <xdr:colOff>11723</xdr:colOff>
      <xdr:row>30</xdr:row>
      <xdr:rowOff>5862</xdr:rowOff>
    </xdr:to>
    <xdr:cxnSp macro="">
      <xdr:nvCxnSpPr>
        <xdr:cNvPr id="72" name="Прямая соединительная линия 1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CxnSpPr/>
      </xdr:nvCxnSpPr>
      <xdr:spPr>
        <a:xfrm flipH="1" flipV="1">
          <a:off x="4547696" y="6176520"/>
          <a:ext cx="1730012" cy="1542"/>
        </a:xfrm>
        <a:prstGeom prst="straightConnector1">
          <a:avLst/>
        </a:prstGeom>
        <a:ln w="317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1049843</xdr:colOff>
      <xdr:row>26</xdr:row>
      <xdr:rowOff>14197</xdr:rowOff>
    </xdr:from>
    <xdr:to>
      <xdr:col>6</xdr:col>
      <xdr:colOff>1049843</xdr:colOff>
      <xdr:row>27</xdr:row>
      <xdr:rowOff>202071</xdr:rowOff>
    </xdr:to>
    <xdr:cxnSp macro="">
      <xdr:nvCxnSpPr>
        <xdr:cNvPr id="73" name="Прямая со стрелкой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CxnSpPr/>
      </xdr:nvCxnSpPr>
      <xdr:spPr>
        <a:xfrm>
          <a:off x="5176366" y="5365782"/>
          <a:ext cx="0" cy="39302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766704</xdr:colOff>
      <xdr:row>24</xdr:row>
      <xdr:rowOff>0</xdr:rowOff>
    </xdr:from>
    <xdr:to>
      <xdr:col>7</xdr:col>
      <xdr:colOff>766763</xdr:colOff>
      <xdr:row>30</xdr:row>
      <xdr:rowOff>5013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H="1">
          <a:off x="6310254" y="4948238"/>
          <a:ext cx="59" cy="1233738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537840</xdr:colOff>
      <xdr:row>25</xdr:row>
      <xdr:rowOff>90360</xdr:rowOff>
    </xdr:from>
    <xdr:to>
      <xdr:col>7</xdr:col>
      <xdr:colOff>290160</xdr:colOff>
      <xdr:row>25</xdr:row>
      <xdr:rowOff>90360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/>
      </xdr:nvCxnSpPr>
      <xdr:spPr>
        <a:xfrm flipH="1">
          <a:off x="4614540" y="5148135"/>
          <a:ext cx="323820" cy="0"/>
        </a:xfrm>
        <a:prstGeom prst="straightConnector1">
          <a:avLst/>
        </a:prstGeom>
        <a:ln w="317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344520</xdr:colOff>
      <xdr:row>25</xdr:row>
      <xdr:rowOff>88920</xdr:rowOff>
    </xdr:from>
    <xdr:to>
      <xdr:col>6</xdr:col>
      <xdr:colOff>429480</xdr:colOff>
      <xdr:row>25</xdr:row>
      <xdr:rowOff>88920</xdr:rowOff>
    </xdr:to>
    <xdr:cxnSp macro="">
      <xdr:nvCxnSpPr>
        <xdr:cNvPr id="76" name="Прямая со стрелкой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CxnSpPr/>
      </xdr:nvCxnSpPr>
      <xdr:spPr>
        <a:xfrm>
          <a:off x="4421220" y="5146695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437400</xdr:colOff>
      <xdr:row>25</xdr:row>
      <xdr:rowOff>88920</xdr:rowOff>
    </xdr:from>
    <xdr:to>
      <xdr:col>6</xdr:col>
      <xdr:colOff>538920</xdr:colOff>
      <xdr:row>25</xdr:row>
      <xdr:rowOff>92880</xdr:rowOff>
    </xdr:to>
    <xdr:cxnSp macro="">
      <xdr:nvCxnSpPr>
        <xdr:cNvPr id="77" name="Прямая соединительная линия 24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CxnSpPr/>
      </xdr:nvCxnSpPr>
      <xdr:spPr>
        <a:xfrm>
          <a:off x="4514100" y="5146695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</xdr:col>
      <xdr:colOff>0</xdr:colOff>
      <xdr:row>36</xdr:row>
      <xdr:rowOff>8280</xdr:rowOff>
    </xdr:from>
    <xdr:to>
      <xdr:col>10</xdr:col>
      <xdr:colOff>0</xdr:colOff>
      <xdr:row>36</xdr:row>
      <xdr:rowOff>17930</xdr:rowOff>
    </xdr:to>
    <xdr:cxnSp macro="">
      <xdr:nvCxnSpPr>
        <xdr:cNvPr id="78" name="Прямая соединительная линия 25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/>
      </xdr:nvCxnSpPr>
      <xdr:spPr>
        <a:xfrm>
          <a:off x="609600" y="6247715"/>
          <a:ext cx="5809129" cy="9650"/>
        </a:xfrm>
        <a:prstGeom prst="straightConnector1">
          <a:avLst/>
        </a:prstGeom>
        <a:ln w="19050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281443</xdr:colOff>
      <xdr:row>34</xdr:row>
      <xdr:rowOff>9361</xdr:rowOff>
    </xdr:from>
    <xdr:to>
      <xdr:col>3</xdr:col>
      <xdr:colOff>369283</xdr:colOff>
      <xdr:row>35</xdr:row>
      <xdr:rowOff>98612</xdr:rowOff>
    </xdr:to>
    <xdr:sp macro="" textlink="">
      <xdr:nvSpPr>
        <xdr:cNvPr id="79" name="Выноска 1 (без границы) 27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>
          <a:off x="1500643" y="6293620"/>
          <a:ext cx="715369" cy="268545"/>
        </a:xfrm>
        <a:prstGeom prst="callout1">
          <a:avLst>
            <a:gd name="adj1" fmla="val -136476"/>
            <a:gd name="adj2" fmla="val -17240"/>
            <a:gd name="adj3" fmla="val 87132"/>
            <a:gd name="adj4" fmla="val 14334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en-US" sz="1100" b="0" u="sng" strike="noStrike" spc="-1">
              <a:solidFill>
                <a:schemeClr val="dk1"/>
              </a:solidFill>
              <a:uFillTx/>
              <a:latin typeface="Calibri"/>
            </a:rPr>
            <a:t>&lt;1:10</a:t>
          </a:r>
          <a:endParaRPr lang="ru-RU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1100" b="0" strike="noStrike" spc="-1">
            <a:latin typeface="Times New Roman"/>
          </a:endParaRPr>
        </a:p>
      </xdr:txBody>
    </xdr:sp>
    <xdr:clientData/>
  </xdr:twoCellAnchor>
  <xdr:twoCellAnchor>
    <xdr:from>
      <xdr:col>3</xdr:col>
      <xdr:colOff>8709</xdr:colOff>
      <xdr:row>22</xdr:row>
      <xdr:rowOff>196107</xdr:rowOff>
    </xdr:from>
    <xdr:to>
      <xdr:col>4</xdr:col>
      <xdr:colOff>725</xdr:colOff>
      <xdr:row>23</xdr:row>
      <xdr:rowOff>0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CxnSpPr>
          <a:endCxn id="83" idx="2"/>
        </xdr:cNvCxnSpPr>
      </xdr:nvCxnSpPr>
      <xdr:spPr>
        <a:xfrm flipV="1">
          <a:off x="2085703" y="4620061"/>
          <a:ext cx="640805" cy="854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154783</xdr:rowOff>
    </xdr:from>
    <xdr:to>
      <xdr:col>4</xdr:col>
      <xdr:colOff>434578</xdr:colOff>
      <xdr:row>24</xdr:row>
      <xdr:rowOff>2</xdr:rowOff>
    </xdr:to>
    <xdr:sp macro="" textlink="">
      <xdr:nvSpPr>
        <xdr:cNvPr id="83" name="Дуга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 rot="10800000">
          <a:off x="2438400" y="4166713"/>
          <a:ext cx="434578" cy="416719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211099</xdr:colOff>
      <xdr:row>23</xdr:row>
      <xdr:rowOff>204524</xdr:rowOff>
    </xdr:from>
    <xdr:to>
      <xdr:col>6</xdr:col>
      <xdr:colOff>429657</xdr:colOff>
      <xdr:row>23</xdr:row>
      <xdr:rowOff>204524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CxnSpPr/>
      </xdr:nvCxnSpPr>
      <xdr:spPr>
        <a:xfrm>
          <a:off x="3059074" y="4947974"/>
          <a:ext cx="1742558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434578</xdr:colOff>
      <xdr:row>24</xdr:row>
      <xdr:rowOff>0</xdr:rowOff>
    </xdr:from>
    <xdr:to>
      <xdr:col>6</xdr:col>
      <xdr:colOff>438150</xdr:colOff>
      <xdr:row>26</xdr:row>
      <xdr:rowOff>30480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CxnSpPr/>
      </xdr:nvCxnSpPr>
      <xdr:spPr>
        <a:xfrm>
          <a:off x="4092178" y="4583430"/>
          <a:ext cx="3572" cy="41148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31</xdr:row>
      <xdr:rowOff>0</xdr:rowOff>
    </xdr:from>
    <xdr:to>
      <xdr:col>4</xdr:col>
      <xdr:colOff>2802</xdr:colOff>
      <xdr:row>31</xdr:row>
      <xdr:rowOff>1</xdr:rowOff>
    </xdr:to>
    <xdr:cxnSp macro="">
      <xdr:nvCxnSpPr>
        <xdr:cNvPr id="113" name="Прямая соединительная линия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CxnSpPr/>
      </xdr:nvCxnSpPr>
      <xdr:spPr>
        <a:xfrm>
          <a:off x="2076994" y="6230983"/>
          <a:ext cx="651591" cy="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184934</xdr:colOff>
      <xdr:row>30</xdr:row>
      <xdr:rowOff>0</xdr:rowOff>
    </xdr:from>
    <xdr:to>
      <xdr:col>6</xdr:col>
      <xdr:colOff>451037</xdr:colOff>
      <xdr:row>30</xdr:row>
      <xdr:rowOff>5560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CxnSpPr>
          <a:stCxn id="124" idx="2"/>
        </xdr:cNvCxnSpPr>
      </xdr:nvCxnSpPr>
      <xdr:spPr>
        <a:xfrm flipV="1">
          <a:off x="2627816" y="5678581"/>
          <a:ext cx="1487545" cy="55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442633</xdr:colOff>
      <xdr:row>28</xdr:row>
      <xdr:rowOff>19611</xdr:rowOff>
    </xdr:from>
    <xdr:to>
      <xdr:col>6</xdr:col>
      <xdr:colOff>445434</xdr:colOff>
      <xdr:row>30</xdr:row>
      <xdr:rowOff>2802</xdr:rowOff>
    </xdr:to>
    <xdr:cxnSp macro="">
      <xdr:nvCxnSpPr>
        <xdr:cNvPr id="118" name="Прямая соединительная линия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CxnSpPr/>
      </xdr:nvCxnSpPr>
      <xdr:spPr>
        <a:xfrm>
          <a:off x="4106957" y="5317192"/>
          <a:ext cx="2801" cy="364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6041</xdr:colOff>
      <xdr:row>30</xdr:row>
      <xdr:rowOff>3975</xdr:rowOff>
    </xdr:from>
    <xdr:to>
      <xdr:col>4</xdr:col>
      <xdr:colOff>414163</xdr:colOff>
      <xdr:row>32</xdr:row>
      <xdr:rowOff>591</xdr:rowOff>
    </xdr:to>
    <xdr:sp macro="" textlink="">
      <xdr:nvSpPr>
        <xdr:cNvPr id="124" name="Дуга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/>
      </xdr:nvSpPr>
      <xdr:spPr>
        <a:xfrm rot="16034608">
          <a:off x="2464176" y="5667303"/>
          <a:ext cx="377616" cy="408122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8</xdr:col>
      <xdr:colOff>748295</xdr:colOff>
      <xdr:row>23</xdr:row>
      <xdr:rowOff>19786</xdr:rowOff>
    </xdr:from>
    <xdr:to>
      <xdr:col>8</xdr:col>
      <xdr:colOff>753309</xdr:colOff>
      <xdr:row>31</xdr:row>
      <xdr:rowOff>119</xdr:rowOff>
    </xdr:to>
    <xdr:cxnSp macro="">
      <xdr:nvCxnSpPr>
        <xdr:cNvPr id="141" name="Прямая со стрелкой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CxnSpPr/>
      </xdr:nvCxnSpPr>
      <xdr:spPr>
        <a:xfrm flipV="1">
          <a:off x="6938080" y="4755909"/>
          <a:ext cx="5014" cy="162156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5946</xdr:colOff>
      <xdr:row>22</xdr:row>
      <xdr:rowOff>195610</xdr:rowOff>
    </xdr:from>
    <xdr:to>
      <xdr:col>8</xdr:col>
      <xdr:colOff>846364</xdr:colOff>
      <xdr:row>22</xdr:row>
      <xdr:rowOff>206828</xdr:rowOff>
    </xdr:to>
    <xdr:cxnSp macro="">
      <xdr:nvCxnSpPr>
        <xdr:cNvPr id="144" name="Прямая соединительная линия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CxnSpPr/>
      </xdr:nvCxnSpPr>
      <xdr:spPr>
        <a:xfrm flipH="1" flipV="1">
          <a:off x="2727375" y="4607046"/>
          <a:ext cx="4552446" cy="11218"/>
        </a:xfrm>
        <a:prstGeom prst="line">
          <a:avLst/>
        </a:prstGeom>
        <a:ln w="31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13941</xdr:colOff>
      <xdr:row>31</xdr:row>
      <xdr:rowOff>2721</xdr:rowOff>
    </xdr:from>
    <xdr:to>
      <xdr:col>8</xdr:col>
      <xdr:colOff>846364</xdr:colOff>
      <xdr:row>31</xdr:row>
      <xdr:rowOff>5343</xdr:rowOff>
    </xdr:to>
    <xdr:cxnSp macro="">
      <xdr:nvCxnSpPr>
        <xdr:cNvPr id="146" name="Прямая соединительная линия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2735370" y="6210300"/>
          <a:ext cx="4544451" cy="26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7434</xdr:colOff>
      <xdr:row>33</xdr:row>
      <xdr:rowOff>0</xdr:rowOff>
    </xdr:from>
    <xdr:to>
      <xdr:col>4</xdr:col>
      <xdr:colOff>7434</xdr:colOff>
      <xdr:row>33</xdr:row>
      <xdr:rowOff>1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CxnSpPr/>
      </xdr:nvCxnSpPr>
      <xdr:spPr>
        <a:xfrm flipV="1">
          <a:off x="2081561" y="6545766"/>
          <a:ext cx="646771" cy="1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730</xdr:colOff>
      <xdr:row>31</xdr:row>
      <xdr:rowOff>143436</xdr:rowOff>
    </xdr:from>
    <xdr:to>
      <xdr:col>3</xdr:col>
      <xdr:colOff>730</xdr:colOff>
      <xdr:row>33</xdr:row>
      <xdr:rowOff>173855</xdr:rowOff>
    </xdr:to>
    <xdr:cxnSp macro="">
      <xdr:nvCxnSpPr>
        <xdr:cNvPr id="49" name="Прямая соединительная линия 13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/>
      </xdr:nvCxnSpPr>
      <xdr:spPr>
        <a:xfrm flipV="1">
          <a:off x="2074857" y="6295192"/>
          <a:ext cx="0" cy="424429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672353</xdr:colOff>
      <xdr:row>31</xdr:row>
      <xdr:rowOff>17930</xdr:rowOff>
    </xdr:from>
    <xdr:to>
      <xdr:col>3</xdr:col>
      <xdr:colOff>675270</xdr:colOff>
      <xdr:row>34</xdr:row>
      <xdr:rowOff>8965</xdr:rowOff>
    </xdr:to>
    <xdr:cxnSp macro="">
      <xdr:nvCxnSpPr>
        <xdr:cNvPr id="50" name="Прямая соединительная линия 13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 flipV="1">
          <a:off x="2519082" y="5764306"/>
          <a:ext cx="2917" cy="52891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125506</xdr:colOff>
      <xdr:row>23</xdr:row>
      <xdr:rowOff>98611</xdr:rowOff>
    </xdr:from>
    <xdr:to>
      <xdr:col>6</xdr:col>
      <xdr:colOff>224117</xdr:colOff>
      <xdr:row>25</xdr:row>
      <xdr:rowOff>143436</xdr:rowOff>
    </xdr:to>
    <xdr:sp macro="" textlink="">
      <xdr:nvSpPr>
        <xdr:cNvPr id="2" name="Фигура, имеющая форму буквы L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026024" y="4679576"/>
          <a:ext cx="2321858" cy="439272"/>
        </a:xfrm>
        <a:prstGeom prst="corner">
          <a:avLst>
            <a:gd name="adj1" fmla="val 50000"/>
            <a:gd name="adj2" fmla="val 72642"/>
          </a:avLst>
        </a:prstGeom>
        <a:pattFill prst="wdDnDiag">
          <a:fgClr>
            <a:schemeClr val="tx1"/>
          </a:fgClr>
          <a:bgClr>
            <a:schemeClr val="bg1"/>
          </a:bgClr>
        </a:patt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134471</xdr:colOff>
      <xdr:row>28</xdr:row>
      <xdr:rowOff>80682</xdr:rowOff>
    </xdr:from>
    <xdr:to>
      <xdr:col>6</xdr:col>
      <xdr:colOff>233082</xdr:colOff>
      <xdr:row>30</xdr:row>
      <xdr:rowOff>107576</xdr:rowOff>
    </xdr:to>
    <xdr:sp macro="" textlink="">
      <xdr:nvSpPr>
        <xdr:cNvPr id="51" name="Фигура, имеющая форму буквы L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 flipV="1">
          <a:off x="2034989" y="5647764"/>
          <a:ext cx="2321858" cy="421341"/>
        </a:xfrm>
        <a:prstGeom prst="corner">
          <a:avLst>
            <a:gd name="adj1" fmla="val 50000"/>
            <a:gd name="adj2" fmla="val 72642"/>
          </a:avLst>
        </a:prstGeom>
        <a:pattFill prst="wdDnDiag">
          <a:fgClr>
            <a:schemeClr val="tx1"/>
          </a:fgClr>
          <a:bgClr>
            <a:schemeClr val="bg1"/>
          </a:bgClr>
        </a:patt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492034</xdr:colOff>
      <xdr:row>22</xdr:row>
      <xdr:rowOff>4355</xdr:rowOff>
    </xdr:from>
    <xdr:to>
      <xdr:col>3</xdr:col>
      <xdr:colOff>433753</xdr:colOff>
      <xdr:row>22</xdr:row>
      <xdr:rowOff>5863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>
          <a:off x="1942011" y="4428309"/>
          <a:ext cx="568736" cy="1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158261</xdr:colOff>
      <xdr:row>22</xdr:row>
      <xdr:rowOff>5862</xdr:rowOff>
    </xdr:from>
    <xdr:to>
      <xdr:col>3</xdr:col>
      <xdr:colOff>158261</xdr:colOff>
      <xdr:row>22</xdr:row>
      <xdr:rowOff>193431</xdr:rowOff>
    </xdr:to>
    <xdr:cxnSp macro="">
      <xdr:nvCxnSpPr>
        <xdr:cNvPr id="10" name="Прямая со стрелко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>
          <a:off x="2233246" y="4419600"/>
          <a:ext cx="0" cy="18756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714487</xdr:colOff>
      <xdr:row>40</xdr:row>
      <xdr:rowOff>8964</xdr:rowOff>
    </xdr:from>
    <xdr:to>
      <xdr:col>4</xdr:col>
      <xdr:colOff>714489</xdr:colOff>
      <xdr:row>43</xdr:row>
      <xdr:rowOff>8964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H="1">
          <a:off x="1969546" y="7476564"/>
          <a:ext cx="2" cy="564776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8365</xdr:colOff>
      <xdr:row>16</xdr:row>
      <xdr:rowOff>157442</xdr:rowOff>
    </xdr:from>
    <xdr:to>
      <xdr:col>4</xdr:col>
      <xdr:colOff>12032</xdr:colOff>
      <xdr:row>21</xdr:row>
      <xdr:rowOff>152000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CxnSpPr/>
      </xdr:nvCxnSpPr>
      <xdr:spPr>
        <a:xfrm>
          <a:off x="1275691" y="3233516"/>
          <a:ext cx="3667" cy="95307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19</xdr:row>
      <xdr:rowOff>0</xdr:rowOff>
    </xdr:from>
    <xdr:to>
      <xdr:col>6</xdr:col>
      <xdr:colOff>129540</xdr:colOff>
      <xdr:row>19</xdr:row>
      <xdr:rowOff>7620</xdr:rowOff>
    </xdr:to>
    <xdr:cxnSp macro="">
      <xdr:nvCxnSpPr>
        <xdr:cNvPr id="70" name="Прямая соединительная линия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1173480" y="3596640"/>
          <a:ext cx="2270760" cy="7620"/>
        </a:xfrm>
        <a:prstGeom prst="line">
          <a:avLst/>
        </a:prstGeom>
        <a:ln w="12700" cap="flat" cmpd="sng" algn="ctr">
          <a:solidFill>
            <a:schemeClr val="dk1"/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17</xdr:row>
      <xdr:rowOff>4354</xdr:rowOff>
    </xdr:from>
    <xdr:to>
      <xdr:col>6</xdr:col>
      <xdr:colOff>11491</xdr:colOff>
      <xdr:row>21</xdr:row>
      <xdr:rowOff>173976</xdr:rowOff>
    </xdr:to>
    <xdr:cxnSp macro="">
      <xdr:nvCxnSpPr>
        <xdr:cNvPr id="77" name="Прямая соединительная линия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CxnSpPr/>
      </xdr:nvCxnSpPr>
      <xdr:spPr>
        <a:xfrm>
          <a:off x="3387634" y="3248297"/>
          <a:ext cx="11491" cy="94468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21</xdr:row>
      <xdr:rowOff>159385</xdr:rowOff>
    </xdr:from>
    <xdr:to>
      <xdr:col>6</xdr:col>
      <xdr:colOff>9844</xdr:colOff>
      <xdr:row>24</xdr:row>
      <xdr:rowOff>83820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CxnSpPr/>
      </xdr:nvCxnSpPr>
      <xdr:spPr>
        <a:xfrm flipH="1">
          <a:off x="3337560" y="40379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181181</xdr:rowOff>
    </xdr:from>
    <xdr:to>
      <xdr:col>4</xdr:col>
      <xdr:colOff>4128</xdr:colOff>
      <xdr:row>24</xdr:row>
      <xdr:rowOff>85613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CxnSpPr/>
      </xdr:nvCxnSpPr>
      <xdr:spPr>
        <a:xfrm flipH="1">
          <a:off x="1407459" y="4116687"/>
          <a:ext cx="4128" cy="4602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</xdr:row>
      <xdr:rowOff>0</xdr:rowOff>
    </xdr:from>
    <xdr:to>
      <xdr:col>6</xdr:col>
      <xdr:colOff>8964</xdr:colOff>
      <xdr:row>24</xdr:row>
      <xdr:rowOff>0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/>
      </xdr:nvCxnSpPr>
      <xdr:spPr>
        <a:xfrm>
          <a:off x="1443318" y="4392706"/>
          <a:ext cx="211567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725535</xdr:colOff>
      <xdr:row>17</xdr:row>
      <xdr:rowOff>91440</xdr:rowOff>
    </xdr:from>
    <xdr:to>
      <xdr:col>7</xdr:col>
      <xdr:colOff>175260</xdr:colOff>
      <xdr:row>17</xdr:row>
      <xdr:rowOff>95250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CxnSpPr/>
      </xdr:nvCxnSpPr>
      <xdr:spPr>
        <a:xfrm flipH="1">
          <a:off x="3156315" y="3329940"/>
          <a:ext cx="554625" cy="38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704306</xdr:colOff>
      <xdr:row>20</xdr:row>
      <xdr:rowOff>94706</xdr:rowOff>
    </xdr:from>
    <xdr:to>
      <xdr:col>7</xdr:col>
      <xdr:colOff>213360</xdr:colOff>
      <xdr:row>20</xdr:row>
      <xdr:rowOff>99060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CxnSpPr/>
      </xdr:nvCxnSpPr>
      <xdr:spPr>
        <a:xfrm flipH="1" flipV="1">
          <a:off x="3135086" y="3889466"/>
          <a:ext cx="613954" cy="435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78377</xdr:colOff>
      <xdr:row>17</xdr:row>
      <xdr:rowOff>104502</xdr:rowOff>
    </xdr:from>
    <xdr:to>
      <xdr:col>7</xdr:col>
      <xdr:colOff>78377</xdr:colOff>
      <xdr:row>20</xdr:row>
      <xdr:rowOff>91439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CxnSpPr/>
      </xdr:nvCxnSpPr>
      <xdr:spPr>
        <a:xfrm>
          <a:off x="3618411" y="3348445"/>
          <a:ext cx="0" cy="56170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544956</xdr:colOff>
      <xdr:row>16</xdr:row>
      <xdr:rowOff>0</xdr:rowOff>
    </xdr:from>
    <xdr:to>
      <xdr:col>4</xdr:col>
      <xdr:colOff>0</xdr:colOff>
      <xdr:row>16</xdr:row>
      <xdr:rowOff>5130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CxnSpPr/>
      </xdr:nvCxnSpPr>
      <xdr:spPr>
        <a:xfrm flipV="1">
          <a:off x="787003" y="3021106"/>
          <a:ext cx="620456" cy="513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14045</xdr:colOff>
      <xdr:row>21</xdr:row>
      <xdr:rowOff>179294</xdr:rowOff>
    </xdr:from>
    <xdr:to>
      <xdr:col>4</xdr:col>
      <xdr:colOff>17930</xdr:colOff>
      <xdr:row>21</xdr:row>
      <xdr:rowOff>183740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CxnSpPr/>
      </xdr:nvCxnSpPr>
      <xdr:spPr>
        <a:xfrm flipV="1">
          <a:off x="811904" y="4105835"/>
          <a:ext cx="461085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16</xdr:row>
      <xdr:rowOff>544</xdr:rowOff>
    </xdr:from>
    <xdr:to>
      <xdr:col>3</xdr:col>
      <xdr:colOff>180023</xdr:colOff>
      <xdr:row>21</xdr:row>
      <xdr:rowOff>175576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CxnSpPr/>
      </xdr:nvCxnSpPr>
      <xdr:spPr>
        <a:xfrm>
          <a:off x="1145177" y="29875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22</xdr:row>
      <xdr:rowOff>67628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>
        <a:xfrm>
          <a:off x="2520315" y="415956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17</xdr:row>
      <xdr:rowOff>5080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789940" y="31750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582183</xdr:colOff>
      <xdr:row>17</xdr:row>
      <xdr:rowOff>8741</xdr:rowOff>
    </xdr:from>
    <xdr:ext cx="287771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4078418" y="3200176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4</xdr:col>
      <xdr:colOff>691515</xdr:colOff>
      <xdr:row>149</xdr:row>
      <xdr:rowOff>0</xdr:rowOff>
    </xdr:from>
    <xdr:to>
      <xdr:col>4</xdr:col>
      <xdr:colOff>701040</xdr:colOff>
      <xdr:row>152</xdr:row>
      <xdr:rowOff>0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CxnSpPr/>
      </xdr:nvCxnSpPr>
      <xdr:spPr>
        <a:xfrm flipH="1">
          <a:off x="2131695" y="7033260"/>
          <a:ext cx="9525" cy="58102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11</xdr:row>
          <xdr:rowOff>0</xdr:rowOff>
        </xdr:from>
        <xdr:to>
          <xdr:col>14</xdr:col>
          <xdr:colOff>548640</xdr:colOff>
          <xdr:row>12</xdr:row>
          <xdr:rowOff>30480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2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3300"/>
            </a:solidFill>
            <a:ln w="19050">
              <a:solidFill>
                <a:srgbClr val="FFFF00"/>
              </a:solidFill>
              <a:miter lim="800000"/>
              <a:headEnd/>
              <a:tailEnd/>
            </a:ln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 ошибки</a:t>
              </a:r>
            </a:p>
          </xdr:txBody>
        </xdr:sp>
        <xdr:clientData/>
      </xdr:twoCellAnchor>
    </mc:Choice>
    <mc:Fallback/>
  </mc:AlternateContent>
  <xdr:twoCellAnchor>
    <xdr:from>
      <xdr:col>4</xdr:col>
      <xdr:colOff>4354</xdr:colOff>
      <xdr:row>16</xdr:row>
      <xdr:rowOff>10510</xdr:rowOff>
    </xdr:from>
    <xdr:to>
      <xdr:col>6</xdr:col>
      <xdr:colOff>5255</xdr:colOff>
      <xdr:row>17</xdr:row>
      <xdr:rowOff>91439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265595" y="3042744"/>
          <a:ext cx="2113481" cy="264861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8709</xdr:colOff>
      <xdr:row>20</xdr:row>
      <xdr:rowOff>91440</xdr:rowOff>
    </xdr:from>
    <xdr:to>
      <xdr:col>6</xdr:col>
      <xdr:colOff>13064</xdr:colOff>
      <xdr:row>21</xdr:row>
      <xdr:rowOff>165463</xdr:rowOff>
    </xdr:to>
    <xdr:sp macro="" textlink="">
      <xdr:nvSpPr>
        <xdr:cNvPr id="47" name="Прямоугольник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1275806" y="3910149"/>
          <a:ext cx="2116184" cy="27432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0</xdr:colOff>
      <xdr:row>125</xdr:row>
      <xdr:rowOff>142435</xdr:rowOff>
    </xdr:from>
    <xdr:to>
      <xdr:col>4</xdr:col>
      <xdr:colOff>4354</xdr:colOff>
      <xdr:row>131</xdr:row>
      <xdr:rowOff>7620</xdr:rowOff>
    </xdr:to>
    <xdr:cxnSp macro="">
      <xdr:nvCxnSpPr>
        <xdr:cNvPr id="49" name="Прямая соединительная линия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>
          <a:stCxn id="64" idx="1"/>
        </xdr:cNvCxnSpPr>
      </xdr:nvCxnSpPr>
      <xdr:spPr>
        <a:xfrm flipH="1">
          <a:off x="10023231" y="3600743"/>
          <a:ext cx="4354" cy="99646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128</xdr:row>
      <xdr:rowOff>0</xdr:rowOff>
    </xdr:from>
    <xdr:to>
      <xdr:col>6</xdr:col>
      <xdr:colOff>89647</xdr:colOff>
      <xdr:row>128</xdr:row>
      <xdr:rowOff>0</xdr:rowOff>
    </xdr:to>
    <xdr:cxnSp macro="">
      <xdr:nvCxnSpPr>
        <xdr:cNvPr id="50" name="Прямая соединительная линия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>
          <a:off x="1171239" y="3567953"/>
          <a:ext cx="2289137" cy="0"/>
        </a:xfrm>
        <a:prstGeom prst="line">
          <a:avLst/>
        </a:prstGeom>
        <a:ln w="12700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126</xdr:row>
      <xdr:rowOff>4354</xdr:rowOff>
    </xdr:from>
    <xdr:to>
      <xdr:col>6</xdr:col>
      <xdr:colOff>11491</xdr:colOff>
      <xdr:row>130</xdr:row>
      <xdr:rowOff>173976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3370729" y="3195789"/>
          <a:ext cx="11491" cy="9316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130</xdr:row>
      <xdr:rowOff>159385</xdr:rowOff>
    </xdr:from>
    <xdr:to>
      <xdr:col>6</xdr:col>
      <xdr:colOff>9844</xdr:colOff>
      <xdr:row>133</xdr:row>
      <xdr:rowOff>83820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H="1">
          <a:off x="3378349" y="4112820"/>
          <a:ext cx="2224" cy="4623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498230</xdr:colOff>
      <xdr:row>130</xdr:row>
      <xdr:rowOff>130151</xdr:rowOff>
    </xdr:from>
    <xdr:to>
      <xdr:col>3</xdr:col>
      <xdr:colOff>502358</xdr:colOff>
      <xdr:row>133</xdr:row>
      <xdr:rowOff>34583</xdr:rowOff>
    </xdr:to>
    <xdr:cxnSp macro="">
      <xdr:nvCxnSpPr>
        <xdr:cNvPr id="53" name="Прямая соединительная линия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 flipH="1">
          <a:off x="9947030" y="4538028"/>
          <a:ext cx="4128" cy="46127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133</xdr:row>
      <xdr:rowOff>0</xdr:rowOff>
    </xdr:from>
    <xdr:to>
      <xdr:col>6</xdr:col>
      <xdr:colOff>8964</xdr:colOff>
      <xdr:row>133</xdr:row>
      <xdr:rowOff>0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>
          <a:off x="1264024" y="4491318"/>
          <a:ext cx="2115669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725534</xdr:colOff>
      <xdr:row>126</xdr:row>
      <xdr:rowOff>93785</xdr:rowOff>
    </xdr:from>
    <xdr:to>
      <xdr:col>7</xdr:col>
      <xdr:colOff>169985</xdr:colOff>
      <xdr:row>126</xdr:row>
      <xdr:rowOff>95250</xdr:rowOff>
    </xdr:to>
    <xdr:cxnSp macro="">
      <xdr:nvCxnSpPr>
        <xdr:cNvPr id="55" name="Прямая соединительная линия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H="1">
          <a:off x="11956242" y="3733800"/>
          <a:ext cx="364712" cy="146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704307</xdr:colOff>
      <xdr:row>129</xdr:row>
      <xdr:rowOff>94706</xdr:rowOff>
    </xdr:from>
    <xdr:to>
      <xdr:col>7</xdr:col>
      <xdr:colOff>216877</xdr:colOff>
      <xdr:row>129</xdr:row>
      <xdr:rowOff>99646</xdr:rowOff>
    </xdr:to>
    <xdr:cxnSp macro="">
      <xdr:nvCxnSpPr>
        <xdr:cNvPr id="56" name="Прямая соединительная линия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/>
      </xdr:nvCxnSpPr>
      <xdr:spPr>
        <a:xfrm flipH="1" flipV="1">
          <a:off x="11935015" y="4315014"/>
          <a:ext cx="432831" cy="49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78377</xdr:colOff>
      <xdr:row>126</xdr:row>
      <xdr:rowOff>104502</xdr:rowOff>
    </xdr:from>
    <xdr:to>
      <xdr:col>7</xdr:col>
      <xdr:colOff>78377</xdr:colOff>
      <xdr:row>129</xdr:row>
      <xdr:rowOff>91439</xdr:rowOff>
    </xdr:to>
    <xdr:cxnSp macro="">
      <xdr:nvCxnSpPr>
        <xdr:cNvPr id="57" name="Прямая со стрелкой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/>
      </xdr:nvCxnSpPr>
      <xdr:spPr>
        <a:xfrm>
          <a:off x="3610471" y="3295937"/>
          <a:ext cx="0" cy="55171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3935</xdr:colOff>
      <xdr:row>124</xdr:row>
      <xdr:rowOff>178526</xdr:rowOff>
    </xdr:from>
    <xdr:to>
      <xdr:col>4</xdr:col>
      <xdr:colOff>123093</xdr:colOff>
      <xdr:row>124</xdr:row>
      <xdr:rowOff>181708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/>
      </xdr:nvCxnSpPr>
      <xdr:spPr>
        <a:xfrm>
          <a:off x="9452735" y="3443403"/>
          <a:ext cx="623250" cy="318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29308</xdr:colOff>
      <xdr:row>131</xdr:row>
      <xdr:rowOff>0</xdr:rowOff>
    </xdr:from>
    <xdr:to>
      <xdr:col>4</xdr:col>
      <xdr:colOff>357554</xdr:colOff>
      <xdr:row>131</xdr:row>
      <xdr:rowOff>0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/>
      </xdr:nvCxnSpPr>
      <xdr:spPr>
        <a:xfrm>
          <a:off x="9478108" y="4589585"/>
          <a:ext cx="8323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125</xdr:row>
      <xdr:rowOff>544</xdr:rowOff>
    </xdr:from>
    <xdr:to>
      <xdr:col>3</xdr:col>
      <xdr:colOff>180023</xdr:colOff>
      <xdr:row>130</xdr:row>
      <xdr:rowOff>175576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967676" y="3012685"/>
          <a:ext cx="10206" cy="111632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131</xdr:row>
      <xdr:rowOff>67628</xdr:rowOff>
    </xdr:from>
    <xdr:ext cx="287771" cy="217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2344159" y="420035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126</xdr:row>
      <xdr:rowOff>5080</xdr:rowOff>
    </xdr:from>
    <xdr:ext cx="287771" cy="342786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612887" y="3196515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616697</xdr:colOff>
      <xdr:row>126</xdr:row>
      <xdr:rowOff>17706</xdr:rowOff>
    </xdr:from>
    <xdr:ext cx="287771" cy="342786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4087831" y="320914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4</xdr:col>
      <xdr:colOff>4354</xdr:colOff>
      <xdr:row>125</xdr:row>
      <xdr:rowOff>0</xdr:rowOff>
    </xdr:from>
    <xdr:to>
      <xdr:col>6</xdr:col>
      <xdr:colOff>8709</xdr:colOff>
      <xdr:row>126</xdr:row>
      <xdr:rowOff>91440</xdr:rowOff>
    </xdr:to>
    <xdr:sp macro="" textlink="">
      <xdr:nvSpPr>
        <xdr:cNvPr id="64" name="Прямоугольник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1268378" y="3012141"/>
          <a:ext cx="2111060" cy="270734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8709</xdr:colOff>
      <xdr:row>129</xdr:row>
      <xdr:rowOff>91440</xdr:rowOff>
    </xdr:from>
    <xdr:to>
      <xdr:col>6</xdr:col>
      <xdr:colOff>13064</xdr:colOff>
      <xdr:row>131</xdr:row>
      <xdr:rowOff>0</xdr:rowOff>
    </xdr:to>
    <xdr:sp macro="" textlink="">
      <xdr:nvSpPr>
        <xdr:cNvPr id="65" name="Прямоугольник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9958825" y="4310514"/>
          <a:ext cx="1885292" cy="277528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691515</xdr:colOff>
      <xdr:row>43</xdr:row>
      <xdr:rowOff>0</xdr:rowOff>
    </xdr:from>
    <xdr:to>
      <xdr:col>4</xdr:col>
      <xdr:colOff>701040</xdr:colOff>
      <xdr:row>46</xdr:row>
      <xdr:rowOff>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 flipH="1">
          <a:off x="8700135" y="7871460"/>
          <a:ext cx="9525" cy="55816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627529</xdr:colOff>
      <xdr:row>21</xdr:row>
      <xdr:rowOff>0</xdr:rowOff>
    </xdr:from>
    <xdr:to>
      <xdr:col>8</xdr:col>
      <xdr:colOff>107576</xdr:colOff>
      <xdr:row>21</xdr:row>
      <xdr:rowOff>17929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flipV="1">
          <a:off x="2545976" y="4114800"/>
          <a:ext cx="2142565" cy="17929"/>
        </a:xfrm>
        <a:prstGeom prst="line">
          <a:avLst/>
        </a:prstGeom>
        <a:ln w="19050" cap="flat" cmpd="sng" algn="ctr">
          <a:solidFill>
            <a:schemeClr val="dk1"/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9181</xdr:colOff>
      <xdr:row>23</xdr:row>
      <xdr:rowOff>143151</xdr:rowOff>
    </xdr:from>
    <xdr:to>
      <xdr:col>8</xdr:col>
      <xdr:colOff>10768</xdr:colOff>
      <xdr:row>26</xdr:row>
      <xdr:rowOff>61054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>
          <a:off x="4342642" y="4436855"/>
          <a:ext cx="1587" cy="47449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715107</xdr:colOff>
      <xdr:row>25</xdr:row>
      <xdr:rowOff>7110</xdr:rowOff>
    </xdr:from>
    <xdr:to>
      <xdr:col>4</xdr:col>
      <xdr:colOff>715107</xdr:colOff>
      <xdr:row>26</xdr:row>
      <xdr:rowOff>35685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/>
      </xdr:nvCxnSpPr>
      <xdr:spPr>
        <a:xfrm>
          <a:off x="2636672" y="4671875"/>
          <a:ext cx="0" cy="21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26</xdr:row>
      <xdr:rowOff>8021</xdr:rowOff>
    </xdr:from>
    <xdr:to>
      <xdr:col>8</xdr:col>
      <xdr:colOff>8021</xdr:colOff>
      <xdr:row>26</xdr:row>
      <xdr:rowOff>13254</xdr:rowOff>
    </xdr:to>
    <xdr:cxnSp macro="">
      <xdr:nvCxnSpPr>
        <xdr:cNvPr id="16" name="Прямая со стрелкой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2643286" y="4993105"/>
          <a:ext cx="189261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723214</xdr:colOff>
      <xdr:row>15</xdr:row>
      <xdr:rowOff>155949</xdr:rowOff>
    </xdr:from>
    <xdr:to>
      <xdr:col>4</xdr:col>
      <xdr:colOff>723214</xdr:colOff>
      <xdr:row>17</xdr:row>
      <xdr:rowOff>38928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/>
      </xdr:nvCxnSpPr>
      <xdr:spPr>
        <a:xfrm flipV="1">
          <a:off x="2644779" y="2965410"/>
          <a:ext cx="0" cy="2540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4689</xdr:colOff>
      <xdr:row>15</xdr:row>
      <xdr:rowOff>152400</xdr:rowOff>
    </xdr:from>
    <xdr:to>
      <xdr:col>5</xdr:col>
      <xdr:colOff>5985</xdr:colOff>
      <xdr:row>17</xdr:row>
      <xdr:rowOff>14949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 flipH="1" flipV="1">
          <a:off x="3266049" y="3155852"/>
          <a:ext cx="1296" cy="22830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719899</xdr:colOff>
      <xdr:row>15</xdr:row>
      <xdr:rowOff>182066</xdr:rowOff>
    </xdr:from>
    <xdr:to>
      <xdr:col>5</xdr:col>
      <xdr:colOff>2345</xdr:colOff>
      <xdr:row>15</xdr:row>
      <xdr:rowOff>182880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>
          <a:off x="2640139" y="3185518"/>
          <a:ext cx="623566" cy="81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409439</xdr:colOff>
      <xdr:row>20</xdr:row>
      <xdr:rowOff>3274</xdr:rowOff>
    </xdr:from>
    <xdr:to>
      <xdr:col>4</xdr:col>
      <xdr:colOff>749431</xdr:colOff>
      <xdr:row>20</xdr:row>
      <xdr:rowOff>4648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 flipH="1" flipV="1">
          <a:off x="2326162" y="3895336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371061</xdr:colOff>
      <xdr:row>22</xdr:row>
      <xdr:rowOff>4138</xdr:rowOff>
    </xdr:from>
    <xdr:to>
      <xdr:col>4</xdr:col>
      <xdr:colOff>726141</xdr:colOff>
      <xdr:row>22</xdr:row>
      <xdr:rowOff>7646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 flipH="1">
          <a:off x="2287784" y="4259615"/>
          <a:ext cx="355080" cy="3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539262</xdr:colOff>
      <xdr:row>20</xdr:row>
      <xdr:rowOff>5861</xdr:rowOff>
    </xdr:from>
    <xdr:to>
      <xdr:col>4</xdr:col>
      <xdr:colOff>545124</xdr:colOff>
      <xdr:row>22</xdr:row>
      <xdr:rowOff>5861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 flipH="1">
          <a:off x="2455985" y="3897923"/>
          <a:ext cx="5862" cy="36341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205408</xdr:colOff>
      <xdr:row>17</xdr:row>
      <xdr:rowOff>4488</xdr:rowOff>
    </xdr:from>
    <xdr:to>
      <xdr:col>4</xdr:col>
      <xdr:colOff>792019</xdr:colOff>
      <xdr:row>17</xdr:row>
      <xdr:rowOff>6626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636643" y="3185010"/>
          <a:ext cx="107694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212035</xdr:colOff>
      <xdr:row>25</xdr:row>
      <xdr:rowOff>5444</xdr:rowOff>
    </xdr:from>
    <xdr:to>
      <xdr:col>4</xdr:col>
      <xdr:colOff>746603</xdr:colOff>
      <xdr:row>25</xdr:row>
      <xdr:rowOff>6626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 flipH="1">
          <a:off x="1643270" y="4670209"/>
          <a:ext cx="102489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297857</xdr:colOff>
      <xdr:row>17</xdr:row>
      <xdr:rowOff>8531</xdr:rowOff>
    </xdr:from>
    <xdr:to>
      <xdr:col>3</xdr:col>
      <xdr:colOff>300351</xdr:colOff>
      <xdr:row>24</xdr:row>
      <xdr:rowOff>172089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CxnSpPr/>
      </xdr:nvCxnSpPr>
      <xdr:spPr>
        <a:xfrm>
          <a:off x="1729092" y="3189053"/>
          <a:ext cx="2494" cy="146227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602500</xdr:colOff>
      <xdr:row>18</xdr:row>
      <xdr:rowOff>1538</xdr:rowOff>
    </xdr:from>
    <xdr:to>
      <xdr:col>9</xdr:col>
      <xdr:colOff>46793</xdr:colOff>
      <xdr:row>18</xdr:row>
      <xdr:rowOff>4260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CxnSpPr/>
      </xdr:nvCxnSpPr>
      <xdr:spPr>
        <a:xfrm flipV="1">
          <a:off x="4326361" y="3367590"/>
          <a:ext cx="6634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603623</xdr:colOff>
      <xdr:row>23</xdr:row>
      <xdr:rowOff>180659</xdr:rowOff>
    </xdr:from>
    <xdr:to>
      <xdr:col>9</xdr:col>
      <xdr:colOff>35752</xdr:colOff>
      <xdr:row>24</xdr:row>
      <xdr:rowOff>5579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CxnSpPr/>
      </xdr:nvCxnSpPr>
      <xdr:spPr>
        <a:xfrm>
          <a:off x="4327484" y="4474363"/>
          <a:ext cx="651329" cy="1045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424591</xdr:colOff>
      <xdr:row>18</xdr:row>
      <xdr:rowOff>8164</xdr:rowOff>
    </xdr:from>
    <xdr:to>
      <xdr:col>8</xdr:col>
      <xdr:colOff>434797</xdr:colOff>
      <xdr:row>24</xdr:row>
      <xdr:rowOff>316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CxnSpPr/>
      </xdr:nvCxnSpPr>
      <xdr:spPr>
        <a:xfrm>
          <a:off x="4758052" y="3374216"/>
          <a:ext cx="10206" cy="11053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539115</xdr:colOff>
      <xdr:row>24</xdr:row>
      <xdr:rowOff>90488</xdr:rowOff>
    </xdr:from>
    <xdr:ext cx="287771" cy="217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751695" y="46853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5</xdr:col>
      <xdr:colOff>22226</xdr:colOff>
      <xdr:row>14</xdr:row>
      <xdr:rowOff>96837</xdr:rowOff>
    </xdr:from>
    <xdr:ext cx="287771" cy="217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9234806" y="30152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9</xdr:col>
      <xdr:colOff>230698</xdr:colOff>
      <xdr:row>19</xdr:row>
      <xdr:rowOff>30259</xdr:rowOff>
    </xdr:from>
    <xdr:ext cx="287771" cy="342786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/>
      </xdr:nvSpPr>
      <xdr:spPr>
        <a:xfrm>
          <a:off x="5306281" y="3581842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4</xdr:col>
      <xdr:colOff>177101</xdr:colOff>
      <xdr:row>18</xdr:row>
      <xdr:rowOff>173200</xdr:rowOff>
    </xdr:from>
    <xdr:ext cx="293392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/>
      </xdr:nvSpPr>
      <xdr:spPr>
        <a:xfrm>
          <a:off x="2095548" y="3660471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2</xdr:col>
      <xdr:colOff>588893</xdr:colOff>
      <xdr:row>18</xdr:row>
      <xdr:rowOff>181279</xdr:rowOff>
    </xdr:from>
    <xdr:ext cx="287771" cy="34278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1410528" y="354733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20</xdr:col>
      <xdr:colOff>649475</xdr:colOff>
      <xdr:row>42</xdr:row>
      <xdr:rowOff>183931</xdr:rowOff>
    </xdr:from>
    <xdr:to>
      <xdr:col>20</xdr:col>
      <xdr:colOff>651642</xdr:colOff>
      <xdr:row>46</xdr:row>
      <xdr:rowOff>0</xdr:rowOff>
    </xdr:to>
    <xdr:cxnSp macro="">
      <xdr:nvCxnSpPr>
        <xdr:cNvPr id="38" name="Прямая соединительная линия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CxnSpPr/>
      </xdr:nvCxnSpPr>
      <xdr:spPr>
        <a:xfrm flipH="1">
          <a:off x="15011861" y="8150772"/>
          <a:ext cx="2167" cy="57281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717175</xdr:colOff>
      <xdr:row>17</xdr:row>
      <xdr:rowOff>9525</xdr:rowOff>
    </xdr:from>
    <xdr:to>
      <xdr:col>8</xdr:col>
      <xdr:colOff>3243</xdr:colOff>
      <xdr:row>20</xdr:row>
      <xdr:rowOff>0</xdr:rowOff>
    </xdr:to>
    <xdr:sp macro="" textlink="">
      <xdr:nvSpPr>
        <xdr:cNvPr id="34" name="Фигура, имеющая форму буквы L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2169457" y="3389219"/>
          <a:ext cx="1957551" cy="564216"/>
        </a:xfrm>
        <a:prstGeom prst="corner">
          <a:avLst>
            <a:gd name="adj1" fmla="val 69521"/>
            <a:gd name="adj2" fmla="val 85951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717884</xdr:colOff>
      <xdr:row>22</xdr:row>
      <xdr:rowOff>11722</xdr:rowOff>
    </xdr:from>
    <xdr:to>
      <xdr:col>8</xdr:col>
      <xdr:colOff>8963</xdr:colOff>
      <xdr:row>24</xdr:row>
      <xdr:rowOff>176463</xdr:rowOff>
    </xdr:to>
    <xdr:sp macro="" textlink="">
      <xdr:nvSpPr>
        <xdr:cNvPr id="74" name="Фигура, имеющая форму буквы L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 flipV="1">
          <a:off x="2170166" y="4377534"/>
          <a:ext cx="1962562" cy="532294"/>
        </a:xfrm>
        <a:prstGeom prst="corner">
          <a:avLst>
            <a:gd name="adj1" fmla="val 64754"/>
            <a:gd name="adj2" fmla="val 90989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719847</xdr:colOff>
      <xdr:row>19</xdr:row>
      <xdr:rowOff>152400</xdr:rowOff>
    </xdr:from>
    <xdr:to>
      <xdr:col>4</xdr:col>
      <xdr:colOff>720970</xdr:colOff>
      <xdr:row>22</xdr:row>
      <xdr:rowOff>51881</xdr:rowOff>
    </xdr:to>
    <xdr:cxnSp macro="">
      <xdr:nvCxnSpPr>
        <xdr:cNvPr id="57" name="Прямая соединительная линия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/>
      </xdr:nvCxnSpPr>
      <xdr:spPr>
        <a:xfrm flipH="1">
          <a:off x="2639438" y="3842426"/>
          <a:ext cx="1123" cy="444229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7609</xdr:colOff>
      <xdr:row>19</xdr:row>
      <xdr:rowOff>163499</xdr:rowOff>
    </xdr:from>
    <xdr:to>
      <xdr:col>8</xdr:col>
      <xdr:colOff>10477</xdr:colOff>
      <xdr:row>22</xdr:row>
      <xdr:rowOff>28684</xdr:rowOff>
    </xdr:to>
    <xdr:cxnSp macro="">
      <xdr:nvCxnSpPr>
        <xdr:cNvPr id="75" name="Прямая соединительная линия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/>
      </xdr:nvCxnSpPr>
      <xdr:spPr>
        <a:xfrm>
          <a:off x="4579609" y="3909022"/>
          <a:ext cx="2868" cy="46306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9181</xdr:colOff>
      <xdr:row>23</xdr:row>
      <xdr:rowOff>143151</xdr:rowOff>
    </xdr:from>
    <xdr:to>
      <xdr:col>24</xdr:col>
      <xdr:colOff>10768</xdr:colOff>
      <xdr:row>26</xdr:row>
      <xdr:rowOff>61054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>
          <a:off x="4777124" y="4606294"/>
          <a:ext cx="1587" cy="4730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715107</xdr:colOff>
      <xdr:row>25</xdr:row>
      <xdr:rowOff>7110</xdr:rowOff>
    </xdr:from>
    <xdr:to>
      <xdr:col>20</xdr:col>
      <xdr:colOff>715107</xdr:colOff>
      <xdr:row>26</xdr:row>
      <xdr:rowOff>35685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>
          <a:off x="2641878" y="4840367"/>
          <a:ext cx="0" cy="21363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722244</xdr:colOff>
      <xdr:row>26</xdr:row>
      <xdr:rowOff>8021</xdr:rowOff>
    </xdr:from>
    <xdr:to>
      <xdr:col>24</xdr:col>
      <xdr:colOff>8021</xdr:colOff>
      <xdr:row>26</xdr:row>
      <xdr:rowOff>13254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CxnSpPr/>
      </xdr:nvCxnSpPr>
      <xdr:spPr>
        <a:xfrm flipV="1">
          <a:off x="2649015" y="5026335"/>
          <a:ext cx="212694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723214</xdr:colOff>
      <xdr:row>15</xdr:row>
      <xdr:rowOff>155949</xdr:rowOff>
    </xdr:from>
    <xdr:to>
      <xdr:col>20</xdr:col>
      <xdr:colOff>723214</xdr:colOff>
      <xdr:row>17</xdr:row>
      <xdr:rowOff>38928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2649985" y="3138635"/>
          <a:ext cx="0" cy="2530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1164467</xdr:colOff>
      <xdr:row>15</xdr:row>
      <xdr:rowOff>141246</xdr:rowOff>
    </xdr:from>
    <xdr:to>
      <xdr:col>21</xdr:col>
      <xdr:colOff>5985</xdr:colOff>
      <xdr:row>17</xdr:row>
      <xdr:rowOff>14947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CxnSpPr/>
      </xdr:nvCxnSpPr>
      <xdr:spPr>
        <a:xfrm flipH="1" flipV="1">
          <a:off x="3091238" y="3123932"/>
          <a:ext cx="6290" cy="2438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717481</xdr:colOff>
      <xdr:row>15</xdr:row>
      <xdr:rowOff>179939</xdr:rowOff>
    </xdr:from>
    <xdr:to>
      <xdr:col>20</xdr:col>
      <xdr:colOff>1109082</xdr:colOff>
      <xdr:row>15</xdr:row>
      <xdr:rowOff>179940</xdr:rowOff>
    </xdr:to>
    <xdr:cxnSp macro="">
      <xdr:nvCxnSpPr>
        <xdr:cNvPr id="83" name="Прямая со стрелкой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CxnSpPr/>
      </xdr:nvCxnSpPr>
      <xdr:spPr>
        <a:xfrm flipV="1">
          <a:off x="12999969" y="3156502"/>
          <a:ext cx="391601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409439</xdr:colOff>
      <xdr:row>20</xdr:row>
      <xdr:rowOff>3274</xdr:rowOff>
    </xdr:from>
    <xdr:to>
      <xdr:col>20</xdr:col>
      <xdr:colOff>749431</xdr:colOff>
      <xdr:row>20</xdr:row>
      <xdr:rowOff>4648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CxnSpPr/>
      </xdr:nvCxnSpPr>
      <xdr:spPr>
        <a:xfrm flipH="1" flipV="1">
          <a:off x="2336210" y="3911245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371061</xdr:colOff>
      <xdr:row>22</xdr:row>
      <xdr:rowOff>4138</xdr:rowOff>
    </xdr:from>
    <xdr:to>
      <xdr:col>20</xdr:col>
      <xdr:colOff>726141</xdr:colOff>
      <xdr:row>22</xdr:row>
      <xdr:rowOff>7646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2297832" y="4282224"/>
          <a:ext cx="355080" cy="3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539262</xdr:colOff>
      <xdr:row>20</xdr:row>
      <xdr:rowOff>5861</xdr:rowOff>
    </xdr:from>
    <xdr:to>
      <xdr:col>20</xdr:col>
      <xdr:colOff>545124</xdr:colOff>
      <xdr:row>22</xdr:row>
      <xdr:rowOff>5861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/>
      </xdr:nvCxnSpPr>
      <xdr:spPr>
        <a:xfrm flipH="1">
          <a:off x="2466033" y="3913832"/>
          <a:ext cx="5862" cy="37011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205408</xdr:colOff>
      <xdr:row>17</xdr:row>
      <xdr:rowOff>4488</xdr:rowOff>
    </xdr:from>
    <xdr:to>
      <xdr:col>20</xdr:col>
      <xdr:colOff>792019</xdr:colOff>
      <xdr:row>17</xdr:row>
      <xdr:rowOff>6626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/>
      </xdr:nvCxnSpPr>
      <xdr:spPr>
        <a:xfrm flipH="1">
          <a:off x="1642322" y="3357288"/>
          <a:ext cx="1076468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212035</xdr:colOff>
      <xdr:row>25</xdr:row>
      <xdr:rowOff>5444</xdr:rowOff>
    </xdr:from>
    <xdr:to>
      <xdr:col>20</xdr:col>
      <xdr:colOff>746603</xdr:colOff>
      <xdr:row>25</xdr:row>
      <xdr:rowOff>6626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/>
      </xdr:nvCxnSpPr>
      <xdr:spPr>
        <a:xfrm flipH="1">
          <a:off x="1648949" y="4838701"/>
          <a:ext cx="1024425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297857</xdr:colOff>
      <xdr:row>17</xdr:row>
      <xdr:rowOff>8531</xdr:rowOff>
    </xdr:from>
    <xdr:to>
      <xdr:col>19</xdr:col>
      <xdr:colOff>300351</xdr:colOff>
      <xdr:row>24</xdr:row>
      <xdr:rowOff>172089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CxnSpPr/>
      </xdr:nvCxnSpPr>
      <xdr:spPr>
        <a:xfrm>
          <a:off x="1734771" y="3361331"/>
          <a:ext cx="2494" cy="145895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602500</xdr:colOff>
      <xdr:row>18</xdr:row>
      <xdr:rowOff>1538</xdr:rowOff>
    </xdr:from>
    <xdr:to>
      <xdr:col>25</xdr:col>
      <xdr:colOff>46793</xdr:colOff>
      <xdr:row>18</xdr:row>
      <xdr:rowOff>4260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CxnSpPr/>
      </xdr:nvCxnSpPr>
      <xdr:spPr>
        <a:xfrm flipV="1">
          <a:off x="4764109" y="3539395"/>
          <a:ext cx="573141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603623</xdr:colOff>
      <xdr:row>23</xdr:row>
      <xdr:rowOff>180659</xdr:rowOff>
    </xdr:from>
    <xdr:to>
      <xdr:col>25</xdr:col>
      <xdr:colOff>35752</xdr:colOff>
      <xdr:row>24</xdr:row>
      <xdr:rowOff>5579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CxnSpPr/>
      </xdr:nvCxnSpPr>
      <xdr:spPr>
        <a:xfrm>
          <a:off x="4765232" y="4643802"/>
          <a:ext cx="560977" cy="9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424591</xdr:colOff>
      <xdr:row>18</xdr:row>
      <xdr:rowOff>8164</xdr:rowOff>
    </xdr:from>
    <xdr:to>
      <xdr:col>24</xdr:col>
      <xdr:colOff>434797</xdr:colOff>
      <xdr:row>24</xdr:row>
      <xdr:rowOff>316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CxnSpPr/>
      </xdr:nvCxnSpPr>
      <xdr:spPr>
        <a:xfrm>
          <a:off x="5192534" y="3546021"/>
          <a:ext cx="10206" cy="110249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54206</xdr:colOff>
      <xdr:row>24</xdr:row>
      <xdr:rowOff>81829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/>
      </xdr:nvSpPr>
      <xdr:spPr>
        <a:xfrm>
          <a:off x="14038638" y="47663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21</xdr:col>
      <xdr:colOff>22226</xdr:colOff>
      <xdr:row>14</xdr:row>
      <xdr:rowOff>96837</xdr:rowOff>
    </xdr:from>
    <xdr:ext cx="287771" cy="217560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/>
      </xdr:nvSpPr>
      <xdr:spPr>
        <a:xfrm>
          <a:off x="3113769" y="2883580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25</xdr:col>
      <xdr:colOff>230698</xdr:colOff>
      <xdr:row>19</xdr:row>
      <xdr:rowOff>30259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/>
      </xdr:nvSpPr>
      <xdr:spPr>
        <a:xfrm>
          <a:off x="5521155" y="3753173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20</xdr:col>
      <xdr:colOff>177101</xdr:colOff>
      <xdr:row>18</xdr:row>
      <xdr:rowOff>173200</xdr:rowOff>
    </xdr:from>
    <xdr:ext cx="293392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/>
      </xdr:nvSpPr>
      <xdr:spPr>
        <a:xfrm>
          <a:off x="2103872" y="3711057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18</xdr:col>
      <xdr:colOff>588893</xdr:colOff>
      <xdr:row>18</xdr:row>
      <xdr:rowOff>181279</xdr:rowOff>
    </xdr:from>
    <xdr:ext cx="287771" cy="342786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/>
      </xdr:nvSpPr>
      <xdr:spPr>
        <a:xfrm>
          <a:off x="1416207" y="3719136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20</xdr:col>
      <xdr:colOff>717175</xdr:colOff>
      <xdr:row>17</xdr:row>
      <xdr:rowOff>9525</xdr:rowOff>
    </xdr:from>
    <xdr:to>
      <xdr:col>24</xdr:col>
      <xdr:colOff>3243</xdr:colOff>
      <xdr:row>20</xdr:row>
      <xdr:rowOff>0</xdr:rowOff>
    </xdr:to>
    <xdr:sp macro="" textlink="">
      <xdr:nvSpPr>
        <xdr:cNvPr id="98" name="Фигура, имеющая форму буквы L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2997098" y="3374048"/>
          <a:ext cx="2029268" cy="570767"/>
        </a:xfrm>
        <a:prstGeom prst="corner">
          <a:avLst>
            <a:gd name="adj1" fmla="val 68862"/>
            <a:gd name="adj2" fmla="val 71247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20</xdr:col>
      <xdr:colOff>719846</xdr:colOff>
      <xdr:row>22</xdr:row>
      <xdr:rowOff>11722</xdr:rowOff>
    </xdr:from>
    <xdr:to>
      <xdr:col>24</xdr:col>
      <xdr:colOff>8963</xdr:colOff>
      <xdr:row>24</xdr:row>
      <xdr:rowOff>170327</xdr:rowOff>
    </xdr:to>
    <xdr:sp macro="" textlink="">
      <xdr:nvSpPr>
        <xdr:cNvPr id="99" name="Фигура, имеющая форму буквы L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/>
      </xdr:nvSpPr>
      <xdr:spPr>
        <a:xfrm flipV="1">
          <a:off x="13010458" y="4225134"/>
          <a:ext cx="2023352" cy="517193"/>
        </a:xfrm>
        <a:prstGeom prst="corner">
          <a:avLst>
            <a:gd name="adj1" fmla="val 64754"/>
            <a:gd name="adj2" fmla="val 75695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20</xdr:col>
      <xdr:colOff>719847</xdr:colOff>
      <xdr:row>19</xdr:row>
      <xdr:rowOff>152400</xdr:rowOff>
    </xdr:from>
    <xdr:to>
      <xdr:col>20</xdr:col>
      <xdr:colOff>720970</xdr:colOff>
      <xdr:row>22</xdr:row>
      <xdr:rowOff>51881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/>
      </xdr:nvCxnSpPr>
      <xdr:spPr>
        <a:xfrm flipH="1">
          <a:off x="2646618" y="3875314"/>
          <a:ext cx="1123" cy="454653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4615</xdr:colOff>
      <xdr:row>20</xdr:row>
      <xdr:rowOff>0</xdr:rowOff>
    </xdr:from>
    <xdr:to>
      <xdr:col>24</xdr:col>
      <xdr:colOff>7620</xdr:colOff>
      <xdr:row>22</xdr:row>
      <xdr:rowOff>34546</xdr:rowOff>
    </xdr:to>
    <xdr:cxnSp macro="">
      <xdr:nvCxnSpPr>
        <xdr:cNvPr id="101" name="Прямая соединительная линия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541795" y="3886200"/>
          <a:ext cx="3005" cy="400306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636494</xdr:colOff>
      <xdr:row>21</xdr:row>
      <xdr:rowOff>8966</xdr:rowOff>
    </xdr:from>
    <xdr:to>
      <xdr:col>24</xdr:col>
      <xdr:colOff>98612</xdr:colOff>
      <xdr:row>21</xdr:row>
      <xdr:rowOff>17929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/>
      </xdr:nvCxnSpPr>
      <xdr:spPr>
        <a:xfrm>
          <a:off x="12738847" y="4123766"/>
          <a:ext cx="2205318" cy="8963"/>
        </a:xfrm>
        <a:prstGeom prst="line">
          <a:avLst/>
        </a:prstGeom>
        <a:ln w="19050" cap="flat" cmpd="sng" algn="ctr">
          <a:solidFill>
            <a:schemeClr val="dk1"/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9360</xdr:colOff>
      <xdr:row>20</xdr:row>
      <xdr:rowOff>0</xdr:rowOff>
    </xdr:from>
    <xdr:to>
      <xdr:col>4</xdr:col>
      <xdr:colOff>9360</xdr:colOff>
      <xdr:row>26</xdr:row>
      <xdr:rowOff>9360</xdr:rowOff>
    </xdr:to>
    <xdr:sp macro="" textlink="">
      <xdr:nvSpPr>
        <xdr:cNvPr id="32" name="Line 65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2350440" y="4229280"/>
          <a:ext cx="0" cy="11998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18720</xdr:colOff>
      <xdr:row>32</xdr:row>
      <xdr:rowOff>0</xdr:rowOff>
    </xdr:from>
    <xdr:to>
      <xdr:col>4</xdr:col>
      <xdr:colOff>18720</xdr:colOff>
      <xdr:row>35</xdr:row>
      <xdr:rowOff>190440</xdr:rowOff>
    </xdr:to>
    <xdr:sp macro="" textlink="">
      <xdr:nvSpPr>
        <xdr:cNvPr id="45" name="Line 81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2359800" y="6943680"/>
          <a:ext cx="0" cy="7621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3249</xdr:colOff>
      <xdr:row>20</xdr:row>
      <xdr:rowOff>6739</xdr:rowOff>
    </xdr:from>
    <xdr:to>
      <xdr:col>8</xdr:col>
      <xdr:colOff>15849</xdr:colOff>
      <xdr:row>20</xdr:row>
      <xdr:rowOff>6739</xdr:rowOff>
    </xdr:to>
    <xdr:sp macro="" textlink="">
      <xdr:nvSpPr>
        <xdr:cNvPr id="47" name="Line 83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059434" y="3722954"/>
          <a:ext cx="52841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403413</xdr:colOff>
      <xdr:row>20</xdr:row>
      <xdr:rowOff>8965</xdr:rowOff>
    </xdr:from>
    <xdr:to>
      <xdr:col>7</xdr:col>
      <xdr:colOff>412773</xdr:colOff>
      <xdr:row>26</xdr:row>
      <xdr:rowOff>18325</xdr:rowOff>
    </xdr:to>
    <xdr:sp macro="" textlink="">
      <xdr:nvSpPr>
        <xdr:cNvPr id="48" name="Line 84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231342" y="3666565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457459</xdr:colOff>
      <xdr:row>26</xdr:row>
      <xdr:rowOff>1635</xdr:rowOff>
    </xdr:from>
    <xdr:to>
      <xdr:col>8</xdr:col>
      <xdr:colOff>58994</xdr:colOff>
      <xdr:row>26</xdr:row>
      <xdr:rowOff>1635</xdr:rowOff>
    </xdr:to>
    <xdr:sp macro="" textlink="">
      <xdr:nvSpPr>
        <xdr:cNvPr id="49" name="Line 85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038859" y="4913604"/>
          <a:ext cx="59213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573741</xdr:colOff>
      <xdr:row>25</xdr:row>
      <xdr:rowOff>142561</xdr:rowOff>
    </xdr:from>
    <xdr:to>
      <xdr:col>3</xdr:col>
      <xdr:colOff>0</xdr:colOff>
      <xdr:row>29</xdr:row>
      <xdr:rowOff>143436</xdr:rowOff>
    </xdr:to>
    <xdr:sp macro="" textlink="">
      <xdr:nvSpPr>
        <xdr:cNvPr id="50" name="Line 86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 flipH="1">
          <a:off x="1299882" y="4777314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0</xdr:colOff>
      <xdr:row>26</xdr:row>
      <xdr:rowOff>18720</xdr:rowOff>
    </xdr:from>
    <xdr:to>
      <xdr:col>4</xdr:col>
      <xdr:colOff>9360</xdr:colOff>
      <xdr:row>28</xdr:row>
      <xdr:rowOff>9360</xdr:rowOff>
    </xdr:to>
    <xdr:sp macro="" textlink="">
      <xdr:nvSpPr>
        <xdr:cNvPr id="51" name="Line 87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 flipH="1">
          <a:off x="2341080" y="5438520"/>
          <a:ext cx="9360" cy="371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27</xdr:row>
      <xdr:rowOff>152280</xdr:rowOff>
    </xdr:from>
    <xdr:to>
      <xdr:col>4</xdr:col>
      <xdr:colOff>266400</xdr:colOff>
      <xdr:row>27</xdr:row>
      <xdr:rowOff>152280</xdr:rowOff>
    </xdr:to>
    <xdr:sp macro="" textlink="">
      <xdr:nvSpPr>
        <xdr:cNvPr id="52" name="Line 88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 flipH="1">
          <a:off x="2350440" y="5762520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218880</xdr:colOff>
      <xdr:row>27</xdr:row>
      <xdr:rowOff>152280</xdr:rowOff>
    </xdr:from>
    <xdr:to>
      <xdr:col>3</xdr:col>
      <xdr:colOff>18720</xdr:colOff>
      <xdr:row>27</xdr:row>
      <xdr:rowOff>152280</xdr:rowOff>
    </xdr:to>
    <xdr:sp macro="" textlink="">
      <xdr:nvSpPr>
        <xdr:cNvPr id="53" name="Line 89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1543320" y="5762520"/>
          <a:ext cx="4622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27</xdr:row>
      <xdr:rowOff>152280</xdr:rowOff>
    </xdr:from>
    <xdr:to>
      <xdr:col>4</xdr:col>
      <xdr:colOff>9360</xdr:colOff>
      <xdr:row>27</xdr:row>
      <xdr:rowOff>152280</xdr:rowOff>
    </xdr:to>
    <xdr:sp macro="" textlink="">
      <xdr:nvSpPr>
        <xdr:cNvPr id="54" name="Line 90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2005560" y="5762520"/>
          <a:ext cx="3448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8965</xdr:colOff>
      <xdr:row>25</xdr:row>
      <xdr:rowOff>142560</xdr:rowOff>
    </xdr:from>
    <xdr:to>
      <xdr:col>7</xdr:col>
      <xdr:colOff>9360</xdr:colOff>
      <xdr:row>30</xdr:row>
      <xdr:rowOff>0</xdr:rowOff>
    </xdr:to>
    <xdr:sp macro="" textlink="">
      <xdr:nvSpPr>
        <xdr:cNvPr id="55" name="Line 92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 flipH="1">
          <a:off x="3836894" y="4777313"/>
          <a:ext cx="395" cy="80769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29</xdr:row>
      <xdr:rowOff>9754</xdr:rowOff>
    </xdr:from>
    <xdr:to>
      <xdr:col>7</xdr:col>
      <xdr:colOff>2817</xdr:colOff>
      <xdr:row>29</xdr:row>
      <xdr:rowOff>9754</xdr:rowOff>
    </xdr:to>
    <xdr:sp macro="" textlink="">
      <xdr:nvSpPr>
        <xdr:cNvPr id="56" name="Line 93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1327567" y="5415472"/>
          <a:ext cx="2503179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25200</xdr:colOff>
      <xdr:row>31</xdr:row>
      <xdr:rowOff>183960</xdr:rowOff>
    </xdr:from>
    <xdr:to>
      <xdr:col>8</xdr:col>
      <xdr:colOff>56880</xdr:colOff>
      <xdr:row>31</xdr:row>
      <xdr:rowOff>190440</xdr:rowOff>
    </xdr:to>
    <xdr:sp macro="" textlink="">
      <xdr:nvSpPr>
        <xdr:cNvPr id="57" name="Line 94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 flipV="1">
          <a:off x="4856400" y="6937200"/>
          <a:ext cx="507240" cy="64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595190</xdr:colOff>
      <xdr:row>35</xdr:row>
      <xdr:rowOff>178132</xdr:rowOff>
    </xdr:from>
    <xdr:to>
      <xdr:col>8</xdr:col>
      <xdr:colOff>49962</xdr:colOff>
      <xdr:row>35</xdr:row>
      <xdr:rowOff>178132</xdr:rowOff>
    </xdr:to>
    <xdr:sp macro="" textlink="">
      <xdr:nvSpPr>
        <xdr:cNvPr id="58" name="Line 95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305799" y="7016254"/>
          <a:ext cx="567954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8</xdr:col>
      <xdr:colOff>18720</xdr:colOff>
      <xdr:row>31</xdr:row>
      <xdr:rowOff>180720</xdr:rowOff>
    </xdr:from>
    <xdr:to>
      <xdr:col>8</xdr:col>
      <xdr:colOff>18720</xdr:colOff>
      <xdr:row>35</xdr:row>
      <xdr:rowOff>190440</xdr:rowOff>
    </xdr:to>
    <xdr:sp macro="" textlink="">
      <xdr:nvSpPr>
        <xdr:cNvPr id="59" name="Line 96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5325480" y="6933960"/>
          <a:ext cx="0" cy="77184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452270</xdr:colOff>
      <xdr:row>26</xdr:row>
      <xdr:rowOff>77940</xdr:rowOff>
    </xdr:from>
    <xdr:to>
      <xdr:col>1</xdr:col>
      <xdr:colOff>453300</xdr:colOff>
      <xdr:row>29</xdr:row>
      <xdr:rowOff>53340</xdr:rowOff>
    </xdr:to>
    <xdr:sp macro="" textlink="">
      <xdr:nvSpPr>
        <xdr:cNvPr id="60" name="Line 97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 flipH="1">
          <a:off x="597050" y="4969980"/>
          <a:ext cx="1030" cy="554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449580</xdr:colOff>
      <xdr:row>29</xdr:row>
      <xdr:rowOff>9754</xdr:rowOff>
    </xdr:from>
    <xdr:to>
      <xdr:col>3</xdr:col>
      <xdr:colOff>9360</xdr:colOff>
      <xdr:row>29</xdr:row>
      <xdr:rowOff>15239</xdr:rowOff>
    </xdr:to>
    <xdr:sp macro="" textlink="">
      <xdr:nvSpPr>
        <xdr:cNvPr id="61" name="Line 98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 flipV="1">
          <a:off x="594360" y="5480914"/>
          <a:ext cx="618960" cy="5485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9</xdr:col>
      <xdr:colOff>9360</xdr:colOff>
      <xdr:row>20</xdr:row>
      <xdr:rowOff>104760</xdr:rowOff>
    </xdr:from>
    <xdr:to>
      <xdr:col>9</xdr:col>
      <xdr:colOff>294840</xdr:colOff>
      <xdr:row>23</xdr:row>
      <xdr:rowOff>9000</xdr:rowOff>
    </xdr:to>
    <xdr:sp macro="" textlink="">
      <xdr:nvSpPr>
        <xdr:cNvPr id="62" name="Rectangle 99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5978520" y="4334040"/>
          <a:ext cx="285480" cy="50400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9</xdr:col>
      <xdr:colOff>164061</xdr:colOff>
      <xdr:row>31</xdr:row>
      <xdr:rowOff>50972</xdr:rowOff>
    </xdr:from>
    <xdr:to>
      <xdr:col>9</xdr:col>
      <xdr:colOff>449541</xdr:colOff>
      <xdr:row>33</xdr:row>
      <xdr:rowOff>136292</xdr:rowOff>
    </xdr:to>
    <xdr:sp macro="" textlink="">
      <xdr:nvSpPr>
        <xdr:cNvPr id="63" name="Rectangle 100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5471167" y="5860101"/>
          <a:ext cx="285480" cy="44390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5</xdr:col>
      <xdr:colOff>163285</xdr:colOff>
      <xdr:row>27</xdr:row>
      <xdr:rowOff>18690</xdr:rowOff>
    </xdr:from>
    <xdr:to>
      <xdr:col>5</xdr:col>
      <xdr:colOff>448765</xdr:colOff>
      <xdr:row>29</xdr:row>
      <xdr:rowOff>121664</xdr:rowOff>
    </xdr:to>
    <xdr:sp macro="" textlink="">
      <xdr:nvSpPr>
        <xdr:cNvPr id="64" name="Rectangle 101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2939142" y="5069661"/>
          <a:ext cx="285480" cy="483974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4</xdr:col>
      <xdr:colOff>196920</xdr:colOff>
      <xdr:row>26</xdr:row>
      <xdr:rowOff>19080</xdr:rowOff>
    </xdr:from>
    <xdr:to>
      <xdr:col>4</xdr:col>
      <xdr:colOff>482400</xdr:colOff>
      <xdr:row>28</xdr:row>
      <xdr:rowOff>95040</xdr:rowOff>
    </xdr:to>
    <xdr:sp macro="" textlink="">
      <xdr:nvSpPr>
        <xdr:cNvPr id="65" name="Rectangle 102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2538000" y="5438880"/>
          <a:ext cx="285480" cy="4568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28</xdr:row>
          <xdr:rowOff>15240</xdr:rowOff>
        </xdr:from>
        <xdr:to>
          <xdr:col>14</xdr:col>
          <xdr:colOff>83820</xdr:colOff>
          <xdr:row>29</xdr:row>
          <xdr:rowOff>38100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322730</xdr:colOff>
      <xdr:row>19</xdr:row>
      <xdr:rowOff>8964</xdr:rowOff>
    </xdr:from>
    <xdr:to>
      <xdr:col>3</xdr:col>
      <xdr:colOff>8965</xdr:colOff>
      <xdr:row>19</xdr:row>
      <xdr:rowOff>107576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V="1">
          <a:off x="1048871" y="3460376"/>
          <a:ext cx="268941" cy="9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19</xdr:row>
      <xdr:rowOff>8964</xdr:rowOff>
    </xdr:from>
    <xdr:to>
      <xdr:col>4</xdr:col>
      <xdr:colOff>0</xdr:colOff>
      <xdr:row>19</xdr:row>
      <xdr:rowOff>8964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CxnSpPr/>
      </xdr:nvCxnSpPr>
      <xdr:spPr>
        <a:xfrm>
          <a:off x="1308847" y="3460376"/>
          <a:ext cx="31376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37</xdr:row>
      <xdr:rowOff>179293</xdr:rowOff>
    </xdr:from>
    <xdr:to>
      <xdr:col>3</xdr:col>
      <xdr:colOff>53788</xdr:colOff>
      <xdr:row>38</xdr:row>
      <xdr:rowOff>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860612" y="7046258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161365</xdr:colOff>
      <xdr:row>36</xdr:row>
      <xdr:rowOff>35860</xdr:rowOff>
    </xdr:from>
    <xdr:to>
      <xdr:col>2</xdr:col>
      <xdr:colOff>367553</xdr:colOff>
      <xdr:row>38</xdr:row>
      <xdr:rowOff>8965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CxnSpPr/>
      </xdr:nvCxnSpPr>
      <xdr:spPr>
        <a:xfrm flipV="1">
          <a:off x="887506" y="6723531"/>
          <a:ext cx="206188" cy="3316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38100</xdr:colOff>
          <xdr:row>26</xdr:row>
          <xdr:rowOff>175260</xdr:rowOff>
        </xdr:from>
        <xdr:to>
          <xdr:col>13</xdr:col>
          <xdr:colOff>266700</xdr:colOff>
          <xdr:row>28</xdr:row>
          <xdr:rowOff>38100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4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213360</xdr:colOff>
          <xdr:row>28</xdr:row>
          <xdr:rowOff>22860</xdr:rowOff>
        </xdr:from>
        <xdr:to>
          <xdr:col>13</xdr:col>
          <xdr:colOff>457200</xdr:colOff>
          <xdr:row>29</xdr:row>
          <xdr:rowOff>30480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4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19</xdr:col>
      <xdr:colOff>9360</xdr:colOff>
      <xdr:row>20</xdr:row>
      <xdr:rowOff>0</xdr:rowOff>
    </xdr:from>
    <xdr:to>
      <xdr:col>19</xdr:col>
      <xdr:colOff>9360</xdr:colOff>
      <xdr:row>26</xdr:row>
      <xdr:rowOff>9360</xdr:rowOff>
    </xdr:to>
    <xdr:sp macro="" textlink="">
      <xdr:nvSpPr>
        <xdr:cNvPr id="76" name="Line 6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1425784" y="3693459"/>
          <a:ext cx="0" cy="1192701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18720</xdr:colOff>
      <xdr:row>32</xdr:row>
      <xdr:rowOff>0</xdr:rowOff>
    </xdr:from>
    <xdr:to>
      <xdr:col>19</xdr:col>
      <xdr:colOff>18720</xdr:colOff>
      <xdr:row>35</xdr:row>
      <xdr:rowOff>190440</xdr:rowOff>
    </xdr:to>
    <xdr:sp macro="" textlink="">
      <xdr:nvSpPr>
        <xdr:cNvPr id="89" name="Line 81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/>
      </xdr:nvSpPr>
      <xdr:spPr>
        <a:xfrm>
          <a:off x="1435144" y="6024282"/>
          <a:ext cx="0" cy="756562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3249</xdr:colOff>
      <xdr:row>20</xdr:row>
      <xdr:rowOff>6739</xdr:rowOff>
    </xdr:from>
    <xdr:to>
      <xdr:col>23</xdr:col>
      <xdr:colOff>15849</xdr:colOff>
      <xdr:row>20</xdr:row>
      <xdr:rowOff>6739</xdr:rowOff>
    </xdr:to>
    <xdr:sp macro="" textlink="">
      <xdr:nvSpPr>
        <xdr:cNvPr id="91" name="Line 83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/>
      </xdr:nvSpPr>
      <xdr:spPr>
        <a:xfrm>
          <a:off x="4306308" y="3700198"/>
          <a:ext cx="53255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403413</xdr:colOff>
      <xdr:row>20</xdr:row>
      <xdr:rowOff>8965</xdr:rowOff>
    </xdr:from>
    <xdr:to>
      <xdr:col>22</xdr:col>
      <xdr:colOff>412773</xdr:colOff>
      <xdr:row>26</xdr:row>
      <xdr:rowOff>18325</xdr:rowOff>
    </xdr:to>
    <xdr:sp macro="" textlink="">
      <xdr:nvSpPr>
        <xdr:cNvPr id="92" name="Line 84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/>
      </xdr:nvSpPr>
      <xdr:spPr>
        <a:xfrm>
          <a:off x="4706472" y="3702424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21</xdr:col>
      <xdr:colOff>457459</xdr:colOff>
      <xdr:row>26</xdr:row>
      <xdr:rowOff>1635</xdr:rowOff>
    </xdr:from>
    <xdr:to>
      <xdr:col>23</xdr:col>
      <xdr:colOff>58994</xdr:colOff>
      <xdr:row>26</xdr:row>
      <xdr:rowOff>1635</xdr:rowOff>
    </xdr:to>
    <xdr:sp macro="" textlink="">
      <xdr:nvSpPr>
        <xdr:cNvPr id="93" name="Line 85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/>
      </xdr:nvSpPr>
      <xdr:spPr>
        <a:xfrm>
          <a:off x="4168847" y="4878435"/>
          <a:ext cx="713159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17</xdr:col>
      <xdr:colOff>573741</xdr:colOff>
      <xdr:row>25</xdr:row>
      <xdr:rowOff>142561</xdr:rowOff>
    </xdr:from>
    <xdr:to>
      <xdr:col>18</xdr:col>
      <xdr:colOff>0</xdr:colOff>
      <xdr:row>29</xdr:row>
      <xdr:rowOff>143436</xdr:rowOff>
    </xdr:to>
    <xdr:sp macro="" textlink="">
      <xdr:nvSpPr>
        <xdr:cNvPr id="94" name="Line 86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/>
      </xdr:nvSpPr>
      <xdr:spPr>
        <a:xfrm flipH="1">
          <a:off x="1192306" y="4822137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0</xdr:colOff>
      <xdr:row>26</xdr:row>
      <xdr:rowOff>18720</xdr:rowOff>
    </xdr:from>
    <xdr:to>
      <xdr:col>19</xdr:col>
      <xdr:colOff>9360</xdr:colOff>
      <xdr:row>28</xdr:row>
      <xdr:rowOff>9360</xdr:rowOff>
    </xdr:to>
    <xdr:sp macro="" textlink="">
      <xdr:nvSpPr>
        <xdr:cNvPr id="95" name="Line 87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/>
      </xdr:nvSpPr>
      <xdr:spPr>
        <a:xfrm flipH="1">
          <a:off x="1416424" y="4895520"/>
          <a:ext cx="9360" cy="367158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9360</xdr:colOff>
      <xdr:row>27</xdr:row>
      <xdr:rowOff>152280</xdr:rowOff>
    </xdr:from>
    <xdr:to>
      <xdr:col>19</xdr:col>
      <xdr:colOff>266400</xdr:colOff>
      <xdr:row>27</xdr:row>
      <xdr:rowOff>152280</xdr:rowOff>
    </xdr:to>
    <xdr:sp macro="" textlink="">
      <xdr:nvSpPr>
        <xdr:cNvPr id="96" name="Line 88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/>
      </xdr:nvSpPr>
      <xdr:spPr>
        <a:xfrm flipH="1">
          <a:off x="1425784" y="5226304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17</xdr:col>
      <xdr:colOff>218880</xdr:colOff>
      <xdr:row>27</xdr:row>
      <xdr:rowOff>152280</xdr:rowOff>
    </xdr:from>
    <xdr:to>
      <xdr:col>18</xdr:col>
      <xdr:colOff>18720</xdr:colOff>
      <xdr:row>27</xdr:row>
      <xdr:rowOff>152280</xdr:rowOff>
    </xdr:to>
    <xdr:sp macro="" textlink="">
      <xdr:nvSpPr>
        <xdr:cNvPr id="97" name="Line 89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/>
      </xdr:nvSpPr>
      <xdr:spPr>
        <a:xfrm>
          <a:off x="837445" y="5226304"/>
          <a:ext cx="382546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18</xdr:col>
      <xdr:colOff>18720</xdr:colOff>
      <xdr:row>27</xdr:row>
      <xdr:rowOff>152280</xdr:rowOff>
    </xdr:from>
    <xdr:to>
      <xdr:col>19</xdr:col>
      <xdr:colOff>9360</xdr:colOff>
      <xdr:row>27</xdr:row>
      <xdr:rowOff>152280</xdr:rowOff>
    </xdr:to>
    <xdr:sp macro="" textlink="">
      <xdr:nvSpPr>
        <xdr:cNvPr id="98" name="Line 90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/>
      </xdr:nvSpPr>
      <xdr:spPr>
        <a:xfrm>
          <a:off x="1219991" y="5226304"/>
          <a:ext cx="20579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8965</xdr:colOff>
      <xdr:row>25</xdr:row>
      <xdr:rowOff>142560</xdr:rowOff>
    </xdr:from>
    <xdr:to>
      <xdr:col>22</xdr:col>
      <xdr:colOff>9360</xdr:colOff>
      <xdr:row>30</xdr:row>
      <xdr:rowOff>0</xdr:rowOff>
    </xdr:to>
    <xdr:sp macro="" textlink="">
      <xdr:nvSpPr>
        <xdr:cNvPr id="99" name="Line 92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/>
      </xdr:nvSpPr>
      <xdr:spPr>
        <a:xfrm flipH="1">
          <a:off x="4312024" y="4822136"/>
          <a:ext cx="395" cy="82562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18</xdr:col>
      <xdr:colOff>18720</xdr:colOff>
      <xdr:row>29</xdr:row>
      <xdr:rowOff>9754</xdr:rowOff>
    </xdr:from>
    <xdr:to>
      <xdr:col>22</xdr:col>
      <xdr:colOff>2817</xdr:colOff>
      <xdr:row>29</xdr:row>
      <xdr:rowOff>9754</xdr:rowOff>
    </xdr:to>
    <xdr:sp macro="" textlink="">
      <xdr:nvSpPr>
        <xdr:cNvPr id="100" name="Line 93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/>
      </xdr:nvSpPr>
      <xdr:spPr>
        <a:xfrm>
          <a:off x="1219991" y="5460295"/>
          <a:ext cx="3085885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25200</xdr:colOff>
      <xdr:row>31</xdr:row>
      <xdr:rowOff>183960</xdr:rowOff>
    </xdr:from>
    <xdr:to>
      <xdr:col>23</xdr:col>
      <xdr:colOff>56880</xdr:colOff>
      <xdr:row>31</xdr:row>
      <xdr:rowOff>190440</xdr:rowOff>
    </xdr:to>
    <xdr:sp macro="" textlink="">
      <xdr:nvSpPr>
        <xdr:cNvPr id="101" name="Line 94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/>
      </xdr:nvSpPr>
      <xdr:spPr>
        <a:xfrm flipV="1">
          <a:off x="4328259" y="6028948"/>
          <a:ext cx="55163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18720</xdr:colOff>
      <xdr:row>36</xdr:row>
      <xdr:rowOff>5854</xdr:rowOff>
    </xdr:from>
    <xdr:to>
      <xdr:col>23</xdr:col>
      <xdr:colOff>69840</xdr:colOff>
      <xdr:row>36</xdr:row>
      <xdr:rowOff>5854</xdr:rowOff>
    </xdr:to>
    <xdr:sp macro="" textlink="">
      <xdr:nvSpPr>
        <xdr:cNvPr id="102" name="Line 95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/>
      </xdr:nvSpPr>
      <xdr:spPr>
        <a:xfrm>
          <a:off x="15020181" y="7029506"/>
          <a:ext cx="488442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23</xdr:col>
      <xdr:colOff>18720</xdr:colOff>
      <xdr:row>31</xdr:row>
      <xdr:rowOff>180720</xdr:rowOff>
    </xdr:from>
    <xdr:to>
      <xdr:col>23</xdr:col>
      <xdr:colOff>18720</xdr:colOff>
      <xdr:row>35</xdr:row>
      <xdr:rowOff>190440</xdr:rowOff>
    </xdr:to>
    <xdr:sp macro="" textlink="">
      <xdr:nvSpPr>
        <xdr:cNvPr id="103" name="Line 96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/>
      </xdr:nvSpPr>
      <xdr:spPr>
        <a:xfrm>
          <a:off x="4841732" y="6025708"/>
          <a:ext cx="0" cy="755136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16</xdr:col>
      <xdr:colOff>285660</xdr:colOff>
      <xdr:row>26</xdr:row>
      <xdr:rowOff>108420</xdr:rowOff>
    </xdr:from>
    <xdr:to>
      <xdr:col>16</xdr:col>
      <xdr:colOff>289560</xdr:colOff>
      <xdr:row>29</xdr:row>
      <xdr:rowOff>68580</xdr:rowOff>
    </xdr:to>
    <xdr:sp macro="" textlink="">
      <xdr:nvSpPr>
        <xdr:cNvPr id="104" name="Line 97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/>
      </xdr:nvSpPr>
      <xdr:spPr>
        <a:xfrm>
          <a:off x="11540400" y="5000460"/>
          <a:ext cx="3900" cy="5392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16</xdr:col>
      <xdr:colOff>304800</xdr:colOff>
      <xdr:row>29</xdr:row>
      <xdr:rowOff>0</xdr:rowOff>
    </xdr:from>
    <xdr:to>
      <xdr:col>18</xdr:col>
      <xdr:colOff>9360</xdr:colOff>
      <xdr:row>29</xdr:row>
      <xdr:rowOff>9755</xdr:rowOff>
    </xdr:to>
    <xdr:sp macro="" textlink="">
      <xdr:nvSpPr>
        <xdr:cNvPr id="105" name="Line 98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/>
      </xdr:nvSpPr>
      <xdr:spPr>
        <a:xfrm>
          <a:off x="11559540" y="5471160"/>
          <a:ext cx="458940" cy="9755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24</xdr:col>
      <xdr:colOff>9360</xdr:colOff>
      <xdr:row>20</xdr:row>
      <xdr:rowOff>104760</xdr:rowOff>
    </xdr:from>
    <xdr:to>
      <xdr:col>24</xdr:col>
      <xdr:colOff>294840</xdr:colOff>
      <xdr:row>23</xdr:row>
      <xdr:rowOff>9000</xdr:rowOff>
    </xdr:to>
    <xdr:sp macro="" textlink="">
      <xdr:nvSpPr>
        <xdr:cNvPr id="106" name="Rectangle 99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/>
      </xdr:nvSpPr>
      <xdr:spPr>
        <a:xfrm>
          <a:off x="5558513" y="3798219"/>
          <a:ext cx="285480" cy="49591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24</xdr:col>
      <xdr:colOff>164061</xdr:colOff>
      <xdr:row>31</xdr:row>
      <xdr:rowOff>50972</xdr:rowOff>
    </xdr:from>
    <xdr:to>
      <xdr:col>24</xdr:col>
      <xdr:colOff>449541</xdr:colOff>
      <xdr:row>33</xdr:row>
      <xdr:rowOff>136292</xdr:rowOff>
    </xdr:to>
    <xdr:sp macro="" textlink="">
      <xdr:nvSpPr>
        <xdr:cNvPr id="107" name="Rectangle 100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/>
      </xdr:nvSpPr>
      <xdr:spPr>
        <a:xfrm>
          <a:off x="5713214" y="5895960"/>
          <a:ext cx="285480" cy="461838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20</xdr:col>
      <xdr:colOff>0</xdr:colOff>
      <xdr:row>27</xdr:row>
      <xdr:rowOff>40461</xdr:rowOff>
    </xdr:from>
    <xdr:to>
      <xdr:col>20</xdr:col>
      <xdr:colOff>285480</xdr:colOff>
      <xdr:row>29</xdr:row>
      <xdr:rowOff>143435</xdr:rowOff>
    </xdr:to>
    <xdr:sp macro="" textlink="">
      <xdr:nvSpPr>
        <xdr:cNvPr id="108" name="Rectangle 101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/>
      </xdr:nvSpPr>
      <xdr:spPr>
        <a:xfrm>
          <a:off x="2770094" y="5114485"/>
          <a:ext cx="285480" cy="479491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19</xdr:col>
      <xdr:colOff>196920</xdr:colOff>
      <xdr:row>26</xdr:row>
      <xdr:rowOff>19080</xdr:rowOff>
    </xdr:from>
    <xdr:to>
      <xdr:col>19</xdr:col>
      <xdr:colOff>482400</xdr:colOff>
      <xdr:row>28</xdr:row>
      <xdr:rowOff>95040</xdr:rowOff>
    </xdr:to>
    <xdr:sp macro="" textlink="">
      <xdr:nvSpPr>
        <xdr:cNvPr id="109" name="Rectangle 102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/>
      </xdr:nvSpPr>
      <xdr:spPr>
        <a:xfrm>
          <a:off x="1613344" y="4895880"/>
          <a:ext cx="285480" cy="452478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17</xdr:col>
      <xdr:colOff>241738</xdr:colOff>
      <xdr:row>19</xdr:row>
      <xdr:rowOff>8964</xdr:rowOff>
    </xdr:from>
    <xdr:to>
      <xdr:col>18</xdr:col>
      <xdr:colOff>8965</xdr:colOff>
      <xdr:row>19</xdr:row>
      <xdr:rowOff>162910</xdr:rowOff>
    </xdr:to>
    <xdr:cxnSp macro="">
      <xdr:nvCxnSpPr>
        <xdr:cNvPr id="111" name="Прямая соединительная линия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CxnSpPr/>
      </xdr:nvCxnSpPr>
      <xdr:spPr>
        <a:xfrm flipV="1">
          <a:off x="12086897" y="3724371"/>
          <a:ext cx="187640" cy="1539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19</xdr:row>
      <xdr:rowOff>8964</xdr:rowOff>
    </xdr:from>
    <xdr:to>
      <xdr:col>19</xdr:col>
      <xdr:colOff>0</xdr:colOff>
      <xdr:row>19</xdr:row>
      <xdr:rowOff>8964</xdr:rowOff>
    </xdr:to>
    <xdr:cxnSp macro="">
      <xdr:nvCxnSpPr>
        <xdr:cNvPr id="112" name="Прямая соединительная линия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CxnSpPr/>
      </xdr:nvCxnSpPr>
      <xdr:spPr>
        <a:xfrm>
          <a:off x="1201271" y="3505199"/>
          <a:ext cx="21515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134471</xdr:colOff>
      <xdr:row>37</xdr:row>
      <xdr:rowOff>179293</xdr:rowOff>
    </xdr:from>
    <xdr:to>
      <xdr:col>18</xdr:col>
      <xdr:colOff>53788</xdr:colOff>
      <xdr:row>38</xdr:row>
      <xdr:rowOff>0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CxnSpPr/>
      </xdr:nvCxnSpPr>
      <xdr:spPr>
        <a:xfrm>
          <a:off x="753036" y="7135905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108857</xdr:colOff>
      <xdr:row>36</xdr:row>
      <xdr:rowOff>35860</xdr:rowOff>
    </xdr:from>
    <xdr:to>
      <xdr:col>17</xdr:col>
      <xdr:colOff>367553</xdr:colOff>
      <xdr:row>37</xdr:row>
      <xdr:rowOff>174171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11963400" y="6991831"/>
          <a:ext cx="258696" cy="32336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1039906</xdr:colOff>
      <xdr:row>15</xdr:row>
      <xdr:rowOff>35858</xdr:rowOff>
    </xdr:from>
    <xdr:to>
      <xdr:col>12</xdr:col>
      <xdr:colOff>1111623</xdr:colOff>
      <xdr:row>15</xdr:row>
      <xdr:rowOff>215153</xdr:rowOff>
    </xdr:to>
    <xdr:sp macro="" textlink="">
      <xdr:nvSpPr>
        <xdr:cNvPr id="2" name="Стрелка: вверх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9206753" y="2698376"/>
          <a:ext cx="71717" cy="17929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11</xdr:col>
      <xdr:colOff>8269</xdr:colOff>
      <xdr:row>40</xdr:row>
      <xdr:rowOff>82260</xdr:rowOff>
    </xdr:from>
    <xdr:to>
      <xdr:col>14</xdr:col>
      <xdr:colOff>19050</xdr:colOff>
      <xdr:row>59</xdr:row>
      <xdr:rowOff>160566</xdr:rowOff>
    </xdr:to>
    <xdr:pic>
      <xdr:nvPicPr>
        <xdr:cNvPr id="66" name="Рисунок 84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713869" y="7576754"/>
          <a:ext cx="3247040" cy="3585427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16</xdr:col>
      <xdr:colOff>297179</xdr:colOff>
      <xdr:row>19</xdr:row>
      <xdr:rowOff>32657</xdr:rowOff>
    </xdr:from>
    <xdr:to>
      <xdr:col>18</xdr:col>
      <xdr:colOff>10884</xdr:colOff>
      <xdr:row>26</xdr:row>
      <xdr:rowOff>174174</xdr:rowOff>
    </xdr:to>
    <xdr:sp macro="" textlink="">
      <xdr:nvSpPr>
        <xdr:cNvPr id="4" name="Трапеция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 rot="5400000">
          <a:off x="11175816" y="4110991"/>
          <a:ext cx="1513117" cy="715191"/>
        </a:xfrm>
        <a:prstGeom prst="trapezoid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16</xdr:col>
      <xdr:colOff>312419</xdr:colOff>
      <xdr:row>31</xdr:row>
      <xdr:rowOff>10889</xdr:rowOff>
    </xdr:from>
    <xdr:to>
      <xdr:col>18</xdr:col>
      <xdr:colOff>21771</xdr:colOff>
      <xdr:row>36</xdr:row>
      <xdr:rowOff>174172</xdr:rowOff>
    </xdr:to>
    <xdr:sp macro="" textlink="">
      <xdr:nvSpPr>
        <xdr:cNvPr id="117" name="Трапеция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/>
      </xdr:nvSpPr>
      <xdr:spPr>
        <a:xfrm rot="5400000">
          <a:off x="11390268" y="6219554"/>
          <a:ext cx="1110340" cy="710838"/>
        </a:xfrm>
        <a:prstGeom prst="trapezoid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30480</xdr:colOff>
      <xdr:row>31</xdr:row>
      <xdr:rowOff>67056</xdr:rowOff>
    </xdr:from>
    <xdr:to>
      <xdr:col>3</xdr:col>
      <xdr:colOff>7620</xdr:colOff>
      <xdr:row>36</xdr:row>
      <xdr:rowOff>129540</xdr:rowOff>
    </xdr:to>
    <xdr:sp macro="" textlink="">
      <xdr:nvSpPr>
        <xdr:cNvPr id="120" name="Трапеция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/>
      </xdr:nvSpPr>
      <xdr:spPr>
        <a:xfrm rot="5400000">
          <a:off x="425958" y="6140958"/>
          <a:ext cx="1007364" cy="563880"/>
        </a:xfrm>
        <a:prstGeom prst="trapezoid">
          <a:avLst>
            <a:gd name="adj" fmla="val 20946"/>
          </a:avLst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</xdr:col>
      <xdr:colOff>464820</xdr:colOff>
      <xdr:row>19</xdr:row>
      <xdr:rowOff>74676</xdr:rowOff>
    </xdr:from>
    <xdr:to>
      <xdr:col>3</xdr:col>
      <xdr:colOff>0</xdr:colOff>
      <xdr:row>26</xdr:row>
      <xdr:rowOff>121920</xdr:rowOff>
    </xdr:to>
    <xdr:sp macro="" textlink="">
      <xdr:nvSpPr>
        <xdr:cNvPr id="121" name="Трапеция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/>
      </xdr:nvSpPr>
      <xdr:spPr>
        <a:xfrm rot="5400000">
          <a:off x="189738" y="3999738"/>
          <a:ext cx="1434084" cy="594360"/>
        </a:xfrm>
        <a:prstGeom prst="trapezoid">
          <a:avLst>
            <a:gd name="adj" fmla="val 21154"/>
          </a:avLst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576943</xdr:colOff>
      <xdr:row>20</xdr:row>
      <xdr:rowOff>0</xdr:rowOff>
    </xdr:from>
    <xdr:to>
      <xdr:col>7</xdr:col>
      <xdr:colOff>10886</xdr:colOff>
      <xdr:row>25</xdr:row>
      <xdr:rowOff>185057</xdr:rowOff>
    </xdr:to>
    <xdr:sp macro="" textlink="">
      <xdr:nvSpPr>
        <xdr:cNvPr id="6" name="Прямоугольни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1186543" y="3875314"/>
          <a:ext cx="3135086" cy="1164772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185057</xdr:colOff>
      <xdr:row>21</xdr:row>
      <xdr:rowOff>10886</xdr:rowOff>
    </xdr:from>
    <xdr:to>
      <xdr:col>6</xdr:col>
      <xdr:colOff>0</xdr:colOff>
      <xdr:row>25</xdr:row>
      <xdr:rowOff>0</xdr:rowOff>
    </xdr:to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1600200" y="4082143"/>
          <a:ext cx="2111829" cy="772886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10885</xdr:colOff>
      <xdr:row>32</xdr:row>
      <xdr:rowOff>0</xdr:rowOff>
    </xdr:from>
    <xdr:to>
      <xdr:col>6</xdr:col>
      <xdr:colOff>598713</xdr:colOff>
      <xdr:row>36</xdr:row>
      <xdr:rowOff>10886</xdr:rowOff>
    </xdr:to>
    <xdr:sp macro="" textlink="">
      <xdr:nvSpPr>
        <xdr:cNvPr id="113" name="Прямоугольник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/>
      </xdr:nvSpPr>
      <xdr:spPr>
        <a:xfrm>
          <a:off x="1208314" y="6193971"/>
          <a:ext cx="3102428" cy="772886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174171</xdr:colOff>
      <xdr:row>33</xdr:row>
      <xdr:rowOff>21770</xdr:rowOff>
    </xdr:from>
    <xdr:to>
      <xdr:col>5</xdr:col>
      <xdr:colOff>925286</xdr:colOff>
      <xdr:row>35</xdr:row>
      <xdr:rowOff>21771</xdr:rowOff>
    </xdr:to>
    <xdr:sp macro="" textlink="">
      <xdr:nvSpPr>
        <xdr:cNvPr id="114" name="Прямоугольник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/>
      </xdr:nvSpPr>
      <xdr:spPr>
        <a:xfrm>
          <a:off x="1589314" y="6411684"/>
          <a:ext cx="2111829" cy="381001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19</xdr:col>
      <xdr:colOff>130630</xdr:colOff>
      <xdr:row>21</xdr:row>
      <xdr:rowOff>21772</xdr:rowOff>
    </xdr:from>
    <xdr:to>
      <xdr:col>21</xdr:col>
      <xdr:colOff>21772</xdr:colOff>
      <xdr:row>25</xdr:row>
      <xdr:rowOff>10886</xdr:rowOff>
    </xdr:to>
    <xdr:sp macro="" textlink="">
      <xdr:nvSpPr>
        <xdr:cNvPr id="79" name="Прямоугольник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/>
      </xdr:nvSpPr>
      <xdr:spPr>
        <a:xfrm>
          <a:off x="12573001" y="4093029"/>
          <a:ext cx="1970314" cy="772886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18</xdr:col>
      <xdr:colOff>21771</xdr:colOff>
      <xdr:row>20</xdr:row>
      <xdr:rowOff>10886</xdr:rowOff>
    </xdr:from>
    <xdr:to>
      <xdr:col>22</xdr:col>
      <xdr:colOff>32658</xdr:colOff>
      <xdr:row>26</xdr:row>
      <xdr:rowOff>1</xdr:rowOff>
    </xdr:to>
    <xdr:sp macro="" textlink="">
      <xdr:nvSpPr>
        <xdr:cNvPr id="90" name="Прямоугольник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/>
      </xdr:nvSpPr>
      <xdr:spPr>
        <a:xfrm>
          <a:off x="12300857" y="3886200"/>
          <a:ext cx="2764972" cy="1164772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18</xdr:col>
      <xdr:colOff>21770</xdr:colOff>
      <xdr:row>32</xdr:row>
      <xdr:rowOff>0</xdr:rowOff>
    </xdr:from>
    <xdr:to>
      <xdr:col>22</xdr:col>
      <xdr:colOff>3264</xdr:colOff>
      <xdr:row>36</xdr:row>
      <xdr:rowOff>10886</xdr:rowOff>
    </xdr:to>
    <xdr:sp macro="" textlink="">
      <xdr:nvSpPr>
        <xdr:cNvPr id="118" name="Прямоугольник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/>
      </xdr:nvSpPr>
      <xdr:spPr>
        <a:xfrm>
          <a:off x="12300856" y="6193971"/>
          <a:ext cx="2735579" cy="772886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19</xdr:col>
      <xdr:colOff>152400</xdr:colOff>
      <xdr:row>33</xdr:row>
      <xdr:rowOff>10884</xdr:rowOff>
    </xdr:from>
    <xdr:to>
      <xdr:col>21</xdr:col>
      <xdr:colOff>0</xdr:colOff>
      <xdr:row>35</xdr:row>
      <xdr:rowOff>10885</xdr:rowOff>
    </xdr:to>
    <xdr:sp macro="" textlink="">
      <xdr:nvSpPr>
        <xdr:cNvPr id="119" name="Прямоугольник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/>
      </xdr:nvSpPr>
      <xdr:spPr>
        <a:xfrm>
          <a:off x="12594771" y="6400798"/>
          <a:ext cx="1926772" cy="381001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326571</xdr:colOff>
      <xdr:row>22</xdr:row>
      <xdr:rowOff>16120</xdr:rowOff>
    </xdr:from>
    <xdr:to>
      <xdr:col>3</xdr:col>
      <xdr:colOff>335468</xdr:colOff>
      <xdr:row>30</xdr:row>
      <xdr:rowOff>97971</xdr:rowOff>
    </xdr:to>
    <xdr:sp macro="" textlink="">
      <xdr:nvSpPr>
        <xdr:cNvPr id="8" name="Line 20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>
          <a:spLocks noChangeShapeType="1"/>
        </xdr:cNvSpPr>
      </xdr:nvSpPr>
      <xdr:spPr bwMode="auto">
        <a:xfrm flipH="1">
          <a:off x="1360714" y="4305091"/>
          <a:ext cx="8897" cy="166028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319453</xdr:colOff>
      <xdr:row>35</xdr:row>
      <xdr:rowOff>0</xdr:rowOff>
    </xdr:from>
    <xdr:to>
      <xdr:col>3</xdr:col>
      <xdr:colOff>319453</xdr:colOff>
      <xdr:row>39</xdr:row>
      <xdr:rowOff>0</xdr:rowOff>
    </xdr:to>
    <xdr:sp macro="" textlink="">
      <xdr:nvSpPr>
        <xdr:cNvPr id="22" name="Line 34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>
          <a:spLocks noChangeShapeType="1"/>
        </xdr:cNvSpPr>
      </xdr:nvSpPr>
      <xdr:spPr bwMode="auto">
        <a:xfrm>
          <a:off x="20946793" y="6690360"/>
          <a:ext cx="0" cy="7391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22</xdr:row>
      <xdr:rowOff>0</xdr:rowOff>
    </xdr:from>
    <xdr:to>
      <xdr:col>8</xdr:col>
      <xdr:colOff>107950</xdr:colOff>
      <xdr:row>22</xdr:row>
      <xdr:rowOff>6350</xdr:rowOff>
    </xdr:to>
    <xdr:sp macro="" textlink="">
      <xdr:nvSpPr>
        <xdr:cNvPr id="24" name="Line 36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>
          <a:spLocks noChangeShapeType="1"/>
        </xdr:cNvSpPr>
      </xdr:nvSpPr>
      <xdr:spPr bwMode="auto">
        <a:xfrm>
          <a:off x="3756660" y="4198620"/>
          <a:ext cx="717550" cy="6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22</xdr:row>
      <xdr:rowOff>0</xdr:rowOff>
    </xdr:from>
    <xdr:to>
      <xdr:col>8</xdr:col>
      <xdr:colOff>9525</xdr:colOff>
      <xdr:row>28</xdr:row>
      <xdr:rowOff>9525</xdr:rowOff>
    </xdr:to>
    <xdr:sp macro="" textlink="">
      <xdr:nvSpPr>
        <xdr:cNvPr id="25" name="Line 37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>
          <a:spLocks noChangeShapeType="1"/>
        </xdr:cNvSpPr>
      </xdr:nvSpPr>
      <xdr:spPr bwMode="auto">
        <a:xfrm>
          <a:off x="23797260" y="4282440"/>
          <a:ext cx="9525" cy="1114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7620</xdr:colOff>
      <xdr:row>28</xdr:row>
      <xdr:rowOff>0</xdr:rowOff>
    </xdr:from>
    <xdr:to>
      <xdr:col>8</xdr:col>
      <xdr:colOff>124558</xdr:colOff>
      <xdr:row>28</xdr:row>
      <xdr:rowOff>0</xdr:rowOff>
    </xdr:to>
    <xdr:sp macro="" textlink="">
      <xdr:nvSpPr>
        <xdr:cNvPr id="26" name="Line 38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>
          <a:spLocks noChangeShapeType="1"/>
        </xdr:cNvSpPr>
      </xdr:nvSpPr>
      <xdr:spPr bwMode="auto">
        <a:xfrm>
          <a:off x="3764280" y="5372100"/>
          <a:ext cx="72653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27</xdr:row>
      <xdr:rowOff>142875</xdr:rowOff>
    </xdr:from>
    <xdr:to>
      <xdr:col>3</xdr:col>
      <xdr:colOff>9525</xdr:colOff>
      <xdr:row>32</xdr:row>
      <xdr:rowOff>66675</xdr:rowOff>
    </xdr:to>
    <xdr:sp macro="" textlink="">
      <xdr:nvSpPr>
        <xdr:cNvPr id="27" name="Line 39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>
          <a:spLocks noChangeShapeType="1"/>
        </xdr:cNvSpPr>
      </xdr:nvSpPr>
      <xdr:spPr bwMode="auto">
        <a:xfrm>
          <a:off x="20627340" y="5339715"/>
          <a:ext cx="9525" cy="8534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328861</xdr:colOff>
      <xdr:row>29</xdr:row>
      <xdr:rowOff>180472</xdr:rowOff>
    </xdr:from>
    <xdr:to>
      <xdr:col>4</xdr:col>
      <xdr:colOff>8020</xdr:colOff>
      <xdr:row>29</xdr:row>
      <xdr:rowOff>184483</xdr:rowOff>
    </xdr:to>
    <xdr:sp macro="" textlink="">
      <xdr:nvSpPr>
        <xdr:cNvPr id="29" name="Line 41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>
          <a:spLocks noChangeShapeType="1"/>
        </xdr:cNvSpPr>
      </xdr:nvSpPr>
      <xdr:spPr bwMode="auto">
        <a:xfrm flipH="1" flipV="1">
          <a:off x="1359566" y="5795209"/>
          <a:ext cx="288759" cy="401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201529</xdr:colOff>
      <xdr:row>29</xdr:row>
      <xdr:rowOff>181143</xdr:rowOff>
    </xdr:from>
    <xdr:to>
      <xdr:col>2</xdr:col>
      <xdr:colOff>608906</xdr:colOff>
      <xdr:row>30</xdr:row>
      <xdr:rowOff>77</xdr:rowOff>
    </xdr:to>
    <xdr:sp macro="" textlink="">
      <xdr:nvSpPr>
        <xdr:cNvPr id="30" name="Line 42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>
          <a:spLocks noChangeShapeType="1"/>
        </xdr:cNvSpPr>
      </xdr:nvSpPr>
      <xdr:spPr bwMode="auto">
        <a:xfrm>
          <a:off x="622634" y="5795880"/>
          <a:ext cx="40737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605589</xdr:colOff>
      <xdr:row>29</xdr:row>
      <xdr:rowOff>180473</xdr:rowOff>
    </xdr:from>
    <xdr:to>
      <xdr:col>3</xdr:col>
      <xdr:colOff>332874</xdr:colOff>
      <xdr:row>29</xdr:row>
      <xdr:rowOff>180550</xdr:rowOff>
    </xdr:to>
    <xdr:sp macro="" textlink="">
      <xdr:nvSpPr>
        <xdr:cNvPr id="31" name="Line 43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>
          <a:spLocks noChangeShapeType="1"/>
        </xdr:cNvSpPr>
      </xdr:nvSpPr>
      <xdr:spPr bwMode="auto">
        <a:xfrm flipV="1">
          <a:off x="1026694" y="5795210"/>
          <a:ext cx="336885" cy="77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9525</xdr:colOff>
      <xdr:row>27</xdr:row>
      <xdr:rowOff>142875</xdr:rowOff>
    </xdr:from>
    <xdr:to>
      <xdr:col>7</xdr:col>
      <xdr:colOff>9525</xdr:colOff>
      <xdr:row>33</xdr:row>
      <xdr:rowOff>0</xdr:rowOff>
    </xdr:to>
    <xdr:sp macro="" textlink="">
      <xdr:nvSpPr>
        <xdr:cNvPr id="32" name="Line 44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>
          <a:spLocks noChangeShapeType="1"/>
        </xdr:cNvSpPr>
      </xdr:nvSpPr>
      <xdr:spPr bwMode="auto">
        <a:xfrm>
          <a:off x="23281005" y="5339715"/>
          <a:ext cx="0" cy="9696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19050</xdr:rowOff>
    </xdr:from>
    <xdr:to>
      <xdr:col>7</xdr:col>
      <xdr:colOff>0</xdr:colOff>
      <xdr:row>32</xdr:row>
      <xdr:rowOff>19050</xdr:rowOff>
    </xdr:to>
    <xdr:sp macro="" textlink="">
      <xdr:nvSpPr>
        <xdr:cNvPr id="33" name="Line 45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>
          <a:spLocks noChangeShapeType="1"/>
        </xdr:cNvSpPr>
      </xdr:nvSpPr>
      <xdr:spPr bwMode="auto">
        <a:xfrm>
          <a:off x="20646390" y="6145530"/>
          <a:ext cx="262509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21981</xdr:colOff>
      <xdr:row>35</xdr:row>
      <xdr:rowOff>0</xdr:rowOff>
    </xdr:from>
    <xdr:to>
      <xdr:col>8</xdr:col>
      <xdr:colOff>47625</xdr:colOff>
      <xdr:row>35</xdr:row>
      <xdr:rowOff>0</xdr:rowOff>
    </xdr:to>
    <xdr:sp macro="" textlink="">
      <xdr:nvSpPr>
        <xdr:cNvPr id="34" name="Line 46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>
          <a:spLocks noChangeShapeType="1"/>
        </xdr:cNvSpPr>
      </xdr:nvSpPr>
      <xdr:spPr bwMode="auto">
        <a:xfrm>
          <a:off x="23293461" y="6690360"/>
          <a:ext cx="55142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</xdr:colOff>
      <xdr:row>38</xdr:row>
      <xdr:rowOff>190499</xdr:rowOff>
    </xdr:from>
    <xdr:to>
      <xdr:col>8</xdr:col>
      <xdr:colOff>28575</xdr:colOff>
      <xdr:row>38</xdr:row>
      <xdr:rowOff>190499</xdr:rowOff>
    </xdr:to>
    <xdr:sp macro="" textlink="">
      <xdr:nvSpPr>
        <xdr:cNvPr id="35" name="Line 47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>
          <a:spLocks noChangeShapeType="1"/>
        </xdr:cNvSpPr>
      </xdr:nvSpPr>
      <xdr:spPr bwMode="auto">
        <a:xfrm flipV="1">
          <a:off x="3762375" y="7310437"/>
          <a:ext cx="633413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590550</xdr:colOff>
      <xdr:row>35</xdr:row>
      <xdr:rowOff>0</xdr:rowOff>
    </xdr:from>
    <xdr:to>
      <xdr:col>7</xdr:col>
      <xdr:colOff>590550</xdr:colOff>
      <xdr:row>39</xdr:row>
      <xdr:rowOff>9525</xdr:rowOff>
    </xdr:to>
    <xdr:sp macro="" textlink="">
      <xdr:nvSpPr>
        <xdr:cNvPr id="36" name="Line 48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>
          <a:spLocks noChangeShapeType="1"/>
        </xdr:cNvSpPr>
      </xdr:nvSpPr>
      <xdr:spPr bwMode="auto">
        <a:xfrm>
          <a:off x="23793450" y="6690360"/>
          <a:ext cx="0" cy="748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232410</xdr:colOff>
      <xdr:row>28</xdr:row>
      <xdr:rowOff>93345</xdr:rowOff>
    </xdr:from>
    <xdr:to>
      <xdr:col>1</xdr:col>
      <xdr:colOff>232410</xdr:colOff>
      <xdr:row>32</xdr:row>
      <xdr:rowOff>70485</xdr:rowOff>
    </xdr:to>
    <xdr:sp macro="" textlink="">
      <xdr:nvSpPr>
        <xdr:cNvPr id="37" name="Line 49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>
          <a:spLocks noChangeShapeType="1"/>
        </xdr:cNvSpPr>
      </xdr:nvSpPr>
      <xdr:spPr bwMode="auto">
        <a:xfrm>
          <a:off x="415290" y="5465445"/>
          <a:ext cx="0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236219</xdr:colOff>
      <xdr:row>32</xdr:row>
      <xdr:rowOff>15240</xdr:rowOff>
    </xdr:from>
    <xdr:to>
      <xdr:col>3</xdr:col>
      <xdr:colOff>9524</xdr:colOff>
      <xdr:row>32</xdr:row>
      <xdr:rowOff>19050</xdr:rowOff>
    </xdr:to>
    <xdr:sp macro="" textlink="">
      <xdr:nvSpPr>
        <xdr:cNvPr id="38" name="Line 50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>
          <a:spLocks noChangeShapeType="1"/>
        </xdr:cNvSpPr>
      </xdr:nvSpPr>
      <xdr:spPr bwMode="auto">
        <a:xfrm>
          <a:off x="419099" y="6141720"/>
          <a:ext cx="619125" cy="381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54348</xdr:colOff>
      <xdr:row>22</xdr:row>
      <xdr:rowOff>50987</xdr:rowOff>
    </xdr:from>
    <xdr:to>
      <xdr:col>9</xdr:col>
      <xdr:colOff>331694</xdr:colOff>
      <xdr:row>23</xdr:row>
      <xdr:rowOff>170330</xdr:rowOff>
    </xdr:to>
    <xdr:sp macro="" textlink="">
      <xdr:nvSpPr>
        <xdr:cNvPr id="39" name="Rectangle 51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>
          <a:spLocks noChangeArrowheads="1"/>
        </xdr:cNvSpPr>
      </xdr:nvSpPr>
      <xdr:spPr bwMode="auto">
        <a:xfrm>
          <a:off x="5020795" y="4156822"/>
          <a:ext cx="277346" cy="3076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--5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9</xdr:col>
      <xdr:colOff>47625</xdr:colOff>
      <xdr:row>34</xdr:row>
      <xdr:rowOff>104775</xdr:rowOff>
    </xdr:from>
    <xdr:to>
      <xdr:col>9</xdr:col>
      <xdr:colOff>333375</xdr:colOff>
      <xdr:row>37</xdr:row>
      <xdr:rowOff>0</xdr:rowOff>
    </xdr:to>
    <xdr:sp macro="" textlink="">
      <xdr:nvSpPr>
        <xdr:cNvPr id="40" name="Rectangle 52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>
          <a:spLocks noChangeArrowheads="1"/>
        </xdr:cNvSpPr>
      </xdr:nvSpPr>
      <xdr:spPr bwMode="auto">
        <a:xfrm>
          <a:off x="24317325" y="6604635"/>
          <a:ext cx="285750" cy="451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5</xdr:col>
      <xdr:colOff>0</xdr:colOff>
      <xdr:row>30</xdr:row>
      <xdr:rowOff>76200</xdr:rowOff>
    </xdr:from>
    <xdr:to>
      <xdr:col>5</xdr:col>
      <xdr:colOff>285750</xdr:colOff>
      <xdr:row>33</xdr:row>
      <xdr:rowOff>66675</xdr:rowOff>
    </xdr:to>
    <xdr:sp macro="" textlink="">
      <xdr:nvSpPr>
        <xdr:cNvPr id="41" name="Rectangle 53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>
          <a:spLocks noChangeArrowheads="1"/>
        </xdr:cNvSpPr>
      </xdr:nvSpPr>
      <xdr:spPr bwMode="auto">
        <a:xfrm>
          <a:off x="22105620" y="5836920"/>
          <a:ext cx="285750" cy="539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4</xdr:col>
      <xdr:colOff>58616</xdr:colOff>
      <xdr:row>28</xdr:row>
      <xdr:rowOff>29306</xdr:rowOff>
    </xdr:from>
    <xdr:to>
      <xdr:col>4</xdr:col>
      <xdr:colOff>366347</xdr:colOff>
      <xdr:row>30</xdr:row>
      <xdr:rowOff>38099</xdr:rowOff>
    </xdr:to>
    <xdr:sp macro="" textlink="">
      <xdr:nvSpPr>
        <xdr:cNvPr id="42" name="Rectangle 54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>
          <a:spLocks noChangeArrowheads="1"/>
        </xdr:cNvSpPr>
      </xdr:nvSpPr>
      <xdr:spPr bwMode="auto">
        <a:xfrm>
          <a:off x="21295556" y="5416646"/>
          <a:ext cx="307731" cy="3821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45720</xdr:colOff>
          <xdr:row>24</xdr:row>
          <xdr:rowOff>175260</xdr:rowOff>
        </xdr:from>
        <xdr:to>
          <xdr:col>14</xdr:col>
          <xdr:colOff>7620</xdr:colOff>
          <xdr:row>26</xdr:row>
          <xdr:rowOff>53340</xdr:rowOff>
        </xdr:to>
        <xdr:sp macro="" textlink="">
          <xdr:nvSpPr>
            <xdr:cNvPr id="8193" name="Check Box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5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605882</xdr:colOff>
      <xdr:row>23</xdr:row>
      <xdr:rowOff>0</xdr:rowOff>
    </xdr:from>
    <xdr:to>
      <xdr:col>6</xdr:col>
      <xdr:colOff>7619</xdr:colOff>
      <xdr:row>26</xdr:row>
      <xdr:rowOff>185854</xdr:rowOff>
    </xdr:to>
    <xdr:sp macro="" textlink="">
      <xdr:nvSpPr>
        <xdr:cNvPr id="43" name="Прямоугольник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34582" y="3924300"/>
          <a:ext cx="1733457" cy="757354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0</xdr:colOff>
      <xdr:row>36</xdr:row>
      <xdr:rowOff>5255</xdr:rowOff>
    </xdr:from>
    <xdr:to>
      <xdr:col>6</xdr:col>
      <xdr:colOff>5255</xdr:colOff>
      <xdr:row>38</xdr:row>
      <xdr:rowOff>0</xdr:rowOff>
    </xdr:to>
    <xdr:sp macro="" textlink="">
      <xdr:nvSpPr>
        <xdr:cNvPr id="44" name="Прямоугольник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39614" y="6353503"/>
          <a:ext cx="1686910" cy="362607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25</xdr:col>
      <xdr:colOff>180975</xdr:colOff>
      <xdr:row>18</xdr:row>
      <xdr:rowOff>152400</xdr:rowOff>
    </xdr:from>
    <xdr:to>
      <xdr:col>27</xdr:col>
      <xdr:colOff>14654</xdr:colOff>
      <xdr:row>20</xdr:row>
      <xdr:rowOff>7327</xdr:rowOff>
    </xdr:to>
    <xdr:sp macro="" textlink="">
      <xdr:nvSpPr>
        <xdr:cNvPr id="46" name="Line 14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>
          <a:spLocks noChangeShapeType="1"/>
        </xdr:cNvSpPr>
      </xdr:nvSpPr>
      <xdr:spPr bwMode="auto">
        <a:xfrm>
          <a:off x="360269" y="3478306"/>
          <a:ext cx="676361" cy="21351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180975</xdr:colOff>
      <xdr:row>26</xdr:row>
      <xdr:rowOff>0</xdr:rowOff>
    </xdr:from>
    <xdr:to>
      <xdr:col>27</xdr:col>
      <xdr:colOff>9525</xdr:colOff>
      <xdr:row>27</xdr:row>
      <xdr:rowOff>0</xdr:rowOff>
    </xdr:to>
    <xdr:sp macro="" textlink="">
      <xdr:nvSpPr>
        <xdr:cNvPr id="47" name="Line 15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>
          <a:spLocks noChangeShapeType="1"/>
        </xdr:cNvSpPr>
      </xdr:nvSpPr>
      <xdr:spPr bwMode="auto">
        <a:xfrm flipV="1">
          <a:off x="360269" y="4805082"/>
          <a:ext cx="671232" cy="17929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20</xdr:row>
      <xdr:rowOff>0</xdr:rowOff>
    </xdr:from>
    <xdr:to>
      <xdr:col>31</xdr:col>
      <xdr:colOff>0</xdr:colOff>
      <xdr:row>20</xdr:row>
      <xdr:rowOff>0</xdr:rowOff>
    </xdr:to>
    <xdr:sp macro="" textlink="">
      <xdr:nvSpPr>
        <xdr:cNvPr id="48" name="Line 16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>
          <a:spLocks noChangeShapeType="1"/>
        </xdr:cNvSpPr>
      </xdr:nvSpPr>
      <xdr:spPr bwMode="auto">
        <a:xfrm flipV="1">
          <a:off x="1021976" y="3684494"/>
          <a:ext cx="2725271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9525</xdr:colOff>
      <xdr:row>26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9" name="Line 17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>
          <a:spLocks noChangeShapeType="1"/>
        </xdr:cNvSpPr>
      </xdr:nvSpPr>
      <xdr:spPr bwMode="auto">
        <a:xfrm flipV="1">
          <a:off x="1031501" y="4805082"/>
          <a:ext cx="2715746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20</xdr:row>
      <xdr:rowOff>0</xdr:rowOff>
    </xdr:from>
    <xdr:to>
      <xdr:col>27</xdr:col>
      <xdr:colOff>9525</xdr:colOff>
      <xdr:row>26</xdr:row>
      <xdr:rowOff>0</xdr:rowOff>
    </xdr:to>
    <xdr:sp macro="" textlink="">
      <xdr:nvSpPr>
        <xdr:cNvPr id="50" name="Line 18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>
          <a:spLocks noChangeShapeType="1"/>
        </xdr:cNvSpPr>
      </xdr:nvSpPr>
      <xdr:spPr bwMode="auto">
        <a:xfrm>
          <a:off x="1021976" y="3684494"/>
          <a:ext cx="9525" cy="112058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180975</xdr:colOff>
      <xdr:row>18</xdr:row>
      <xdr:rowOff>133350</xdr:rowOff>
    </xdr:from>
    <xdr:to>
      <xdr:col>25</xdr:col>
      <xdr:colOff>180975</xdr:colOff>
      <xdr:row>27</xdr:row>
      <xdr:rowOff>9525</xdr:rowOff>
    </xdr:to>
    <xdr:sp macro="" textlink="">
      <xdr:nvSpPr>
        <xdr:cNvPr id="51" name="Line 19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>
          <a:spLocks noChangeShapeType="1"/>
        </xdr:cNvSpPr>
      </xdr:nvSpPr>
      <xdr:spPr bwMode="auto">
        <a:xfrm>
          <a:off x="360269" y="3459256"/>
          <a:ext cx="0" cy="153464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324583</xdr:colOff>
      <xdr:row>19</xdr:row>
      <xdr:rowOff>168519</xdr:rowOff>
    </xdr:from>
    <xdr:to>
      <xdr:col>27</xdr:col>
      <xdr:colOff>324583</xdr:colOff>
      <xdr:row>25</xdr:row>
      <xdr:rowOff>178044</xdr:rowOff>
    </xdr:to>
    <xdr:sp macro="" textlink="">
      <xdr:nvSpPr>
        <xdr:cNvPr id="52" name="Line 20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>
          <a:spLocks noChangeShapeType="1"/>
        </xdr:cNvSpPr>
      </xdr:nvSpPr>
      <xdr:spPr bwMode="auto">
        <a:xfrm>
          <a:off x="1346559" y="3673719"/>
          <a:ext cx="0" cy="11211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7327</xdr:colOff>
      <xdr:row>20</xdr:row>
      <xdr:rowOff>0</xdr:rowOff>
    </xdr:from>
    <xdr:to>
      <xdr:col>31</xdr:col>
      <xdr:colOff>9525</xdr:colOff>
      <xdr:row>26</xdr:row>
      <xdr:rowOff>0</xdr:rowOff>
    </xdr:to>
    <xdr:sp macro="" textlink="">
      <xdr:nvSpPr>
        <xdr:cNvPr id="53" name="Line 21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>
          <a:spLocks noChangeShapeType="1"/>
        </xdr:cNvSpPr>
      </xdr:nvSpPr>
      <xdr:spPr bwMode="auto">
        <a:xfrm>
          <a:off x="3754574" y="3684494"/>
          <a:ext cx="2198" cy="112058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190500</xdr:colOff>
      <xdr:row>33</xdr:row>
      <xdr:rowOff>0</xdr:rowOff>
    </xdr:from>
    <xdr:to>
      <xdr:col>31</xdr:col>
      <xdr:colOff>0</xdr:colOff>
      <xdr:row>33</xdr:row>
      <xdr:rowOff>21980</xdr:rowOff>
    </xdr:to>
    <xdr:sp macro="" textlink="">
      <xdr:nvSpPr>
        <xdr:cNvPr id="54" name="Line 22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>
          <a:spLocks noChangeShapeType="1"/>
        </xdr:cNvSpPr>
      </xdr:nvSpPr>
      <xdr:spPr bwMode="auto">
        <a:xfrm flipV="1">
          <a:off x="369794" y="6104965"/>
          <a:ext cx="3377453" cy="2198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190500</xdr:colOff>
      <xdr:row>36</xdr:row>
      <xdr:rowOff>161924</xdr:rowOff>
    </xdr:from>
    <xdr:to>
      <xdr:col>31</xdr:col>
      <xdr:colOff>19050</xdr:colOff>
      <xdr:row>36</xdr:row>
      <xdr:rowOff>175845</xdr:rowOff>
    </xdr:to>
    <xdr:sp macro="" textlink="">
      <xdr:nvSpPr>
        <xdr:cNvPr id="55" name="Line 23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>
          <a:spLocks noChangeShapeType="1"/>
        </xdr:cNvSpPr>
      </xdr:nvSpPr>
      <xdr:spPr bwMode="auto">
        <a:xfrm flipV="1">
          <a:off x="369794" y="6804771"/>
          <a:ext cx="3396503" cy="13921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185371</xdr:colOff>
      <xdr:row>33</xdr:row>
      <xdr:rowOff>0</xdr:rowOff>
    </xdr:from>
    <xdr:to>
      <xdr:col>25</xdr:col>
      <xdr:colOff>185371</xdr:colOff>
      <xdr:row>37</xdr:row>
      <xdr:rowOff>9525</xdr:rowOff>
    </xdr:to>
    <xdr:sp macro="" textlink="">
      <xdr:nvSpPr>
        <xdr:cNvPr id="56" name="Line 24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>
          <a:spLocks noChangeShapeType="1"/>
        </xdr:cNvSpPr>
      </xdr:nvSpPr>
      <xdr:spPr bwMode="auto">
        <a:xfrm>
          <a:off x="364665" y="6104965"/>
          <a:ext cx="0" cy="735666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7327</xdr:colOff>
      <xdr:row>33</xdr:row>
      <xdr:rowOff>0</xdr:rowOff>
    </xdr:from>
    <xdr:to>
      <xdr:col>31</xdr:col>
      <xdr:colOff>9525</xdr:colOff>
      <xdr:row>36</xdr:row>
      <xdr:rowOff>161925</xdr:rowOff>
    </xdr:to>
    <xdr:sp macro="" textlink="">
      <xdr:nvSpPr>
        <xdr:cNvPr id="57" name="Line 25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>
          <a:spLocks noChangeShapeType="1"/>
        </xdr:cNvSpPr>
      </xdr:nvSpPr>
      <xdr:spPr bwMode="auto">
        <a:xfrm>
          <a:off x="3754574" y="6104965"/>
          <a:ext cx="2198" cy="69980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319453</xdr:colOff>
      <xdr:row>33</xdr:row>
      <xdr:rowOff>0</xdr:rowOff>
    </xdr:from>
    <xdr:to>
      <xdr:col>27</xdr:col>
      <xdr:colOff>319453</xdr:colOff>
      <xdr:row>37</xdr:row>
      <xdr:rowOff>0</xdr:rowOff>
    </xdr:to>
    <xdr:sp macro="" textlink="">
      <xdr:nvSpPr>
        <xdr:cNvPr id="58" name="Line 34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>
          <a:spLocks noChangeShapeType="1"/>
        </xdr:cNvSpPr>
      </xdr:nvSpPr>
      <xdr:spPr bwMode="auto">
        <a:xfrm>
          <a:off x="1341429" y="6104965"/>
          <a:ext cx="0" cy="72614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9525</xdr:colOff>
      <xdr:row>33</xdr:row>
      <xdr:rowOff>19050</xdr:rowOff>
    </xdr:from>
    <xdr:to>
      <xdr:col>27</xdr:col>
      <xdr:colOff>9525</xdr:colOff>
      <xdr:row>36</xdr:row>
      <xdr:rowOff>161925</xdr:rowOff>
    </xdr:to>
    <xdr:sp macro="" textlink="">
      <xdr:nvSpPr>
        <xdr:cNvPr id="59" name="Line 35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>
          <a:spLocks noChangeShapeType="1"/>
        </xdr:cNvSpPr>
      </xdr:nvSpPr>
      <xdr:spPr bwMode="auto">
        <a:xfrm>
          <a:off x="1031501" y="6124015"/>
          <a:ext cx="0" cy="68075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9526</xdr:colOff>
      <xdr:row>20</xdr:row>
      <xdr:rowOff>6350</xdr:rowOff>
    </xdr:from>
    <xdr:to>
      <xdr:col>32</xdr:col>
      <xdr:colOff>107950</xdr:colOff>
      <xdr:row>20</xdr:row>
      <xdr:rowOff>9525</xdr:rowOff>
    </xdr:to>
    <xdr:sp macro="" textlink="">
      <xdr:nvSpPr>
        <xdr:cNvPr id="60" name="Line 36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>
          <a:spLocks noChangeShapeType="1"/>
        </xdr:cNvSpPr>
      </xdr:nvSpPr>
      <xdr:spPr bwMode="auto">
        <a:xfrm flipV="1">
          <a:off x="3756773" y="3690844"/>
          <a:ext cx="708024" cy="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0</xdr:colOff>
      <xdr:row>20</xdr:row>
      <xdr:rowOff>0</xdr:rowOff>
    </xdr:from>
    <xdr:to>
      <xdr:col>32</xdr:col>
      <xdr:colOff>9525</xdr:colOff>
      <xdr:row>26</xdr:row>
      <xdr:rowOff>9525</xdr:rowOff>
    </xdr:to>
    <xdr:sp macro="" textlink="">
      <xdr:nvSpPr>
        <xdr:cNvPr id="61" name="Line 37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>
          <a:spLocks noChangeShapeType="1"/>
        </xdr:cNvSpPr>
      </xdr:nvSpPr>
      <xdr:spPr bwMode="auto">
        <a:xfrm>
          <a:off x="4356847" y="3684494"/>
          <a:ext cx="9525" cy="113011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14654</xdr:colOff>
      <xdr:row>25</xdr:row>
      <xdr:rowOff>183173</xdr:rowOff>
    </xdr:from>
    <xdr:to>
      <xdr:col>32</xdr:col>
      <xdr:colOff>124558</xdr:colOff>
      <xdr:row>26</xdr:row>
      <xdr:rowOff>0</xdr:rowOff>
    </xdr:to>
    <xdr:sp macro="" textlink="">
      <xdr:nvSpPr>
        <xdr:cNvPr id="62" name="Line 38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>
          <a:spLocks noChangeShapeType="1"/>
        </xdr:cNvSpPr>
      </xdr:nvSpPr>
      <xdr:spPr bwMode="auto">
        <a:xfrm>
          <a:off x="3761901" y="4799997"/>
          <a:ext cx="719504" cy="508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25</xdr:row>
      <xdr:rowOff>142875</xdr:rowOff>
    </xdr:from>
    <xdr:to>
      <xdr:col>27</xdr:col>
      <xdr:colOff>9525</xdr:colOff>
      <xdr:row>30</xdr:row>
      <xdr:rowOff>66675</xdr:rowOff>
    </xdr:to>
    <xdr:sp macro="" textlink="">
      <xdr:nvSpPr>
        <xdr:cNvPr id="63" name="Line 39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>
          <a:spLocks noChangeShapeType="1"/>
        </xdr:cNvSpPr>
      </xdr:nvSpPr>
      <xdr:spPr bwMode="auto">
        <a:xfrm>
          <a:off x="1021976" y="4759699"/>
          <a:ext cx="9525" cy="85612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324853</xdr:colOff>
      <xdr:row>26</xdr:row>
      <xdr:rowOff>16043</xdr:rowOff>
    </xdr:from>
    <xdr:to>
      <xdr:col>27</xdr:col>
      <xdr:colOff>329711</xdr:colOff>
      <xdr:row>28</xdr:row>
      <xdr:rowOff>16853</xdr:rowOff>
    </xdr:to>
    <xdr:sp macro="" textlink="">
      <xdr:nvSpPr>
        <xdr:cNvPr id="64" name="Line 40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>
          <a:spLocks noChangeShapeType="1"/>
        </xdr:cNvSpPr>
      </xdr:nvSpPr>
      <xdr:spPr bwMode="auto">
        <a:xfrm>
          <a:off x="24359937" y="4977064"/>
          <a:ext cx="4858" cy="377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329711</xdr:colOff>
      <xdr:row>27</xdr:row>
      <xdr:rowOff>168519</xdr:rowOff>
    </xdr:from>
    <xdr:to>
      <xdr:col>28</xdr:col>
      <xdr:colOff>6350</xdr:colOff>
      <xdr:row>27</xdr:row>
      <xdr:rowOff>171450</xdr:rowOff>
    </xdr:to>
    <xdr:sp macro="" textlink="">
      <xdr:nvSpPr>
        <xdr:cNvPr id="65" name="Line 41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>
          <a:spLocks noChangeShapeType="1"/>
        </xdr:cNvSpPr>
      </xdr:nvSpPr>
      <xdr:spPr bwMode="auto">
        <a:xfrm flipH="1" flipV="1">
          <a:off x="1351687" y="5152895"/>
          <a:ext cx="286239" cy="293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27</xdr:row>
      <xdr:rowOff>165100</xdr:rowOff>
    </xdr:from>
    <xdr:to>
      <xdr:col>27</xdr:col>
      <xdr:colOff>7327</xdr:colOff>
      <xdr:row>27</xdr:row>
      <xdr:rowOff>168518</xdr:rowOff>
    </xdr:to>
    <xdr:sp macro="" textlink="">
      <xdr:nvSpPr>
        <xdr:cNvPr id="66" name="Line 42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>
          <a:spLocks noChangeShapeType="1"/>
        </xdr:cNvSpPr>
      </xdr:nvSpPr>
      <xdr:spPr bwMode="auto">
        <a:xfrm>
          <a:off x="621926" y="5149476"/>
          <a:ext cx="40737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27</xdr:row>
      <xdr:rowOff>168518</xdr:rowOff>
    </xdr:from>
    <xdr:to>
      <xdr:col>27</xdr:col>
      <xdr:colOff>329711</xdr:colOff>
      <xdr:row>27</xdr:row>
      <xdr:rowOff>168519</xdr:rowOff>
    </xdr:to>
    <xdr:sp macro="" textlink="">
      <xdr:nvSpPr>
        <xdr:cNvPr id="67" name="Line 43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>
          <a:spLocks noChangeShapeType="1"/>
        </xdr:cNvSpPr>
      </xdr:nvSpPr>
      <xdr:spPr bwMode="auto">
        <a:xfrm flipV="1">
          <a:off x="1021976" y="5152894"/>
          <a:ext cx="329711" cy="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9525</xdr:colOff>
      <xdr:row>25</xdr:row>
      <xdr:rowOff>142875</xdr:rowOff>
    </xdr:from>
    <xdr:to>
      <xdr:col>31</xdr:col>
      <xdr:colOff>9525</xdr:colOff>
      <xdr:row>31</xdr:row>
      <xdr:rowOff>0</xdr:rowOff>
    </xdr:to>
    <xdr:sp macro="" textlink="">
      <xdr:nvSpPr>
        <xdr:cNvPr id="68" name="Line 44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>
          <a:spLocks noChangeShapeType="1"/>
        </xdr:cNvSpPr>
      </xdr:nvSpPr>
      <xdr:spPr bwMode="auto">
        <a:xfrm>
          <a:off x="3756772" y="4759699"/>
          <a:ext cx="0" cy="97771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19050</xdr:colOff>
      <xdr:row>30</xdr:row>
      <xdr:rowOff>19050</xdr:rowOff>
    </xdr:from>
    <xdr:to>
      <xdr:col>31</xdr:col>
      <xdr:colOff>0</xdr:colOff>
      <xdr:row>30</xdr:row>
      <xdr:rowOff>19050</xdr:rowOff>
    </xdr:to>
    <xdr:sp macro="" textlink="">
      <xdr:nvSpPr>
        <xdr:cNvPr id="69" name="Line 45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>
          <a:spLocks noChangeShapeType="1"/>
        </xdr:cNvSpPr>
      </xdr:nvSpPr>
      <xdr:spPr bwMode="auto">
        <a:xfrm>
          <a:off x="1041026" y="5568203"/>
          <a:ext cx="2706221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21981</xdr:colOff>
      <xdr:row>33</xdr:row>
      <xdr:rowOff>0</xdr:rowOff>
    </xdr:from>
    <xdr:to>
      <xdr:col>32</xdr:col>
      <xdr:colOff>47625</xdr:colOff>
      <xdr:row>33</xdr:row>
      <xdr:rowOff>0</xdr:rowOff>
    </xdr:to>
    <xdr:sp macro="" textlink="">
      <xdr:nvSpPr>
        <xdr:cNvPr id="70" name="Line 46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>
          <a:spLocks noChangeShapeType="1"/>
        </xdr:cNvSpPr>
      </xdr:nvSpPr>
      <xdr:spPr bwMode="auto">
        <a:xfrm>
          <a:off x="3769228" y="6104965"/>
          <a:ext cx="63524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21980</xdr:colOff>
      <xdr:row>36</xdr:row>
      <xdr:rowOff>161924</xdr:rowOff>
    </xdr:from>
    <xdr:to>
      <xdr:col>32</xdr:col>
      <xdr:colOff>47624</xdr:colOff>
      <xdr:row>36</xdr:row>
      <xdr:rowOff>175845</xdr:rowOff>
    </xdr:to>
    <xdr:sp macro="" textlink="">
      <xdr:nvSpPr>
        <xdr:cNvPr id="71" name="Line 47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>
          <a:spLocks noChangeShapeType="1"/>
        </xdr:cNvSpPr>
      </xdr:nvSpPr>
      <xdr:spPr bwMode="auto">
        <a:xfrm flipV="1">
          <a:off x="3769227" y="6804771"/>
          <a:ext cx="635244" cy="1392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590550</xdr:colOff>
      <xdr:row>33</xdr:row>
      <xdr:rowOff>0</xdr:rowOff>
    </xdr:from>
    <xdr:to>
      <xdr:col>31</xdr:col>
      <xdr:colOff>590550</xdr:colOff>
      <xdr:row>37</xdr:row>
      <xdr:rowOff>9525</xdr:rowOff>
    </xdr:to>
    <xdr:sp macro="" textlink="">
      <xdr:nvSpPr>
        <xdr:cNvPr id="72" name="Line 48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>
          <a:spLocks noChangeShapeType="1"/>
        </xdr:cNvSpPr>
      </xdr:nvSpPr>
      <xdr:spPr bwMode="auto">
        <a:xfrm>
          <a:off x="4337797" y="6104965"/>
          <a:ext cx="0" cy="73566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171450</xdr:colOff>
      <xdr:row>27</xdr:row>
      <xdr:rowOff>9525</xdr:rowOff>
    </xdr:from>
    <xdr:to>
      <xdr:col>25</xdr:col>
      <xdr:colOff>171450</xdr:colOff>
      <xdr:row>31</xdr:row>
      <xdr:rowOff>9525</xdr:rowOff>
    </xdr:to>
    <xdr:sp macro="" textlink="">
      <xdr:nvSpPr>
        <xdr:cNvPr id="73" name="Line 49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>
          <a:spLocks noChangeShapeType="1"/>
        </xdr:cNvSpPr>
      </xdr:nvSpPr>
      <xdr:spPr bwMode="auto">
        <a:xfrm>
          <a:off x="350744" y="4993901"/>
          <a:ext cx="0" cy="75303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180975</xdr:colOff>
      <xdr:row>30</xdr:row>
      <xdr:rowOff>19050</xdr:rowOff>
    </xdr:from>
    <xdr:to>
      <xdr:col>27</xdr:col>
      <xdr:colOff>9525</xdr:colOff>
      <xdr:row>30</xdr:row>
      <xdr:rowOff>19050</xdr:rowOff>
    </xdr:to>
    <xdr:sp macro="" textlink="">
      <xdr:nvSpPr>
        <xdr:cNvPr id="74" name="Line 50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ShapeType="1"/>
        </xdr:cNvSpPr>
      </xdr:nvSpPr>
      <xdr:spPr bwMode="auto">
        <a:xfrm>
          <a:off x="360269" y="5568203"/>
          <a:ext cx="671232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27454</xdr:colOff>
      <xdr:row>20</xdr:row>
      <xdr:rowOff>24093</xdr:rowOff>
    </xdr:from>
    <xdr:to>
      <xdr:col>33</xdr:col>
      <xdr:colOff>313204</xdr:colOff>
      <xdr:row>22</xdr:row>
      <xdr:rowOff>117102</xdr:rowOff>
    </xdr:to>
    <xdr:sp macro="" textlink="">
      <xdr:nvSpPr>
        <xdr:cNvPr id="75" name="Rectangle 51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>
          <a:spLocks noChangeArrowheads="1"/>
        </xdr:cNvSpPr>
      </xdr:nvSpPr>
      <xdr:spPr bwMode="auto">
        <a:xfrm>
          <a:off x="28490395" y="3753411"/>
          <a:ext cx="285750" cy="4695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33</xdr:col>
      <xdr:colOff>47625</xdr:colOff>
      <xdr:row>32</xdr:row>
      <xdr:rowOff>104775</xdr:rowOff>
    </xdr:from>
    <xdr:to>
      <xdr:col>33</xdr:col>
      <xdr:colOff>333375</xdr:colOff>
      <xdr:row>35</xdr:row>
      <xdr:rowOff>0</xdr:rowOff>
    </xdr:to>
    <xdr:sp macro="" textlink="">
      <xdr:nvSpPr>
        <xdr:cNvPr id="76" name="Rectangle 52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>
          <a:spLocks noChangeArrowheads="1"/>
        </xdr:cNvSpPr>
      </xdr:nvSpPr>
      <xdr:spPr bwMode="auto">
        <a:xfrm>
          <a:off x="5014072" y="6030446"/>
          <a:ext cx="285750" cy="433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29</xdr:col>
      <xdr:colOff>0</xdr:colOff>
      <xdr:row>28</xdr:row>
      <xdr:rowOff>76200</xdr:rowOff>
    </xdr:from>
    <xdr:to>
      <xdr:col>29</xdr:col>
      <xdr:colOff>285750</xdr:colOff>
      <xdr:row>31</xdr:row>
      <xdr:rowOff>66675</xdr:rowOff>
    </xdr:to>
    <xdr:sp macro="" textlink="">
      <xdr:nvSpPr>
        <xdr:cNvPr id="77" name="Rectangle 53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>
          <a:spLocks noChangeArrowheads="1"/>
        </xdr:cNvSpPr>
      </xdr:nvSpPr>
      <xdr:spPr bwMode="auto">
        <a:xfrm>
          <a:off x="2528047" y="5248835"/>
          <a:ext cx="285750" cy="5552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28</xdr:col>
      <xdr:colOff>58616</xdr:colOff>
      <xdr:row>26</xdr:row>
      <xdr:rowOff>29306</xdr:rowOff>
    </xdr:from>
    <xdr:to>
      <xdr:col>28</xdr:col>
      <xdr:colOff>366347</xdr:colOff>
      <xdr:row>28</xdr:row>
      <xdr:rowOff>38099</xdr:rowOff>
    </xdr:to>
    <xdr:sp macro="" textlink="">
      <xdr:nvSpPr>
        <xdr:cNvPr id="78" name="Rectangle 54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>
          <a:spLocks noChangeArrowheads="1"/>
        </xdr:cNvSpPr>
      </xdr:nvSpPr>
      <xdr:spPr bwMode="auto">
        <a:xfrm>
          <a:off x="1690192" y="4834388"/>
          <a:ext cx="307731" cy="3763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27</xdr:col>
      <xdr:colOff>605882</xdr:colOff>
      <xdr:row>21</xdr:row>
      <xdr:rowOff>0</xdr:rowOff>
    </xdr:from>
    <xdr:to>
      <xdr:col>30</xdr:col>
      <xdr:colOff>7619</xdr:colOff>
      <xdr:row>24</xdr:row>
      <xdr:rowOff>185854</xdr:rowOff>
    </xdr:to>
    <xdr:sp macro="" textlink="">
      <xdr:nvSpPr>
        <xdr:cNvPr id="79" name="Прямоугольник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1627858" y="3872753"/>
          <a:ext cx="1786349" cy="7506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28</xdr:col>
      <xdr:colOff>0</xdr:colOff>
      <xdr:row>34</xdr:row>
      <xdr:rowOff>5255</xdr:rowOff>
    </xdr:from>
    <xdr:to>
      <xdr:col>30</xdr:col>
      <xdr:colOff>5255</xdr:colOff>
      <xdr:row>36</xdr:row>
      <xdr:rowOff>0</xdr:rowOff>
    </xdr:to>
    <xdr:sp macro="" textlink="">
      <xdr:nvSpPr>
        <xdr:cNvPr id="80" name="Прямоугольник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631576" y="6289514"/>
          <a:ext cx="1780267" cy="353333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10885</xdr:colOff>
      <xdr:row>21</xdr:row>
      <xdr:rowOff>54430</xdr:rowOff>
    </xdr:from>
    <xdr:to>
      <xdr:col>2</xdr:col>
      <xdr:colOff>598714</xdr:colOff>
      <xdr:row>28</xdr:row>
      <xdr:rowOff>152402</xdr:rowOff>
    </xdr:to>
    <xdr:sp macro="" textlink="">
      <xdr:nvSpPr>
        <xdr:cNvPr id="14" name="Трапеция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 rot="5400000">
          <a:off x="-10886" y="4593773"/>
          <a:ext cx="1480457" cy="587829"/>
        </a:xfrm>
        <a:prstGeom prst="trapezoid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598714</xdr:colOff>
      <xdr:row>22</xdr:row>
      <xdr:rowOff>10886</xdr:rowOff>
    </xdr:from>
    <xdr:to>
      <xdr:col>7</xdr:col>
      <xdr:colOff>0</xdr:colOff>
      <xdr:row>28</xdr:row>
      <xdr:rowOff>0</xdr:rowOff>
    </xdr:to>
    <xdr:sp macro="" textlink="">
      <xdr:nvSpPr>
        <xdr:cNvPr id="15" name="Прямоугольник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023257" y="4299857"/>
          <a:ext cx="2754086" cy="1175657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598714</xdr:colOff>
      <xdr:row>35</xdr:row>
      <xdr:rowOff>10885</xdr:rowOff>
    </xdr:from>
    <xdr:to>
      <xdr:col>7</xdr:col>
      <xdr:colOff>0</xdr:colOff>
      <xdr:row>38</xdr:row>
      <xdr:rowOff>185057</xdr:rowOff>
    </xdr:to>
    <xdr:sp macro="" textlink="">
      <xdr:nvSpPr>
        <xdr:cNvPr id="81" name="Прямоугольник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1023257" y="6803571"/>
          <a:ext cx="2754086" cy="740229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21771</xdr:colOff>
      <xdr:row>35</xdr:row>
      <xdr:rowOff>10885</xdr:rowOff>
    </xdr:from>
    <xdr:to>
      <xdr:col>2</xdr:col>
      <xdr:colOff>598714</xdr:colOff>
      <xdr:row>38</xdr:row>
      <xdr:rowOff>185057</xdr:rowOff>
    </xdr:to>
    <xdr:sp macro="" textlink="">
      <xdr:nvSpPr>
        <xdr:cNvPr id="82" name="Прямоугольник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446314" y="6803571"/>
          <a:ext cx="576943" cy="740229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62</xdr:col>
      <xdr:colOff>38100</xdr:colOff>
      <xdr:row>15</xdr:row>
      <xdr:rowOff>0</xdr:rowOff>
    </xdr:from>
    <xdr:to>
      <xdr:col>67</xdr:col>
      <xdr:colOff>507273</xdr:colOff>
      <xdr:row>34</xdr:row>
      <xdr:rowOff>126940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2225040"/>
          <a:ext cx="3512819" cy="3754829"/>
        </a:xfrm>
        <a:prstGeom prst="rect">
          <a:avLst/>
        </a:prstGeom>
      </xdr:spPr>
    </xdr:pic>
    <xdr:clientData/>
  </xdr:twoCellAnchor>
  <xdr:twoCellAnchor editAs="oneCell">
    <xdr:from>
      <xdr:col>71</xdr:col>
      <xdr:colOff>249382</xdr:colOff>
      <xdr:row>14</xdr:row>
      <xdr:rowOff>138546</xdr:rowOff>
    </xdr:from>
    <xdr:to>
      <xdr:col>79</xdr:col>
      <xdr:colOff>578532</xdr:colOff>
      <xdr:row>33</xdr:row>
      <xdr:rowOff>75411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891" y="2535382"/>
          <a:ext cx="5208820" cy="3422073"/>
        </a:xfrm>
        <a:prstGeom prst="rect">
          <a:avLst/>
        </a:prstGeom>
      </xdr:spPr>
    </xdr:pic>
    <xdr:clientData/>
  </xdr:twoCellAnchor>
  <xdr:twoCellAnchor editAs="oneCell">
    <xdr:from>
      <xdr:col>11</xdr:col>
      <xdr:colOff>40277</xdr:colOff>
      <xdr:row>13</xdr:row>
      <xdr:rowOff>111034</xdr:rowOff>
    </xdr:from>
    <xdr:to>
      <xdr:col>16</xdr:col>
      <xdr:colOff>225334</xdr:colOff>
      <xdr:row>33</xdr:row>
      <xdr:rowOff>178650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5037" y="2518954"/>
          <a:ext cx="3507377" cy="3802184"/>
        </a:xfrm>
        <a:prstGeom prst="rect">
          <a:avLst/>
        </a:prstGeom>
      </xdr:spPr>
    </xdr:pic>
    <xdr:clientData/>
  </xdr:twoCellAnchor>
  <xdr:twoCellAnchor editAs="oneCell">
    <xdr:from>
      <xdr:col>22</xdr:col>
      <xdr:colOff>110837</xdr:colOff>
      <xdr:row>12</xdr:row>
      <xdr:rowOff>0</xdr:rowOff>
    </xdr:from>
    <xdr:to>
      <xdr:col>29</xdr:col>
      <xdr:colOff>1</xdr:colOff>
      <xdr:row>30</xdr:row>
      <xdr:rowOff>118757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8328" y="2216727"/>
          <a:ext cx="4668982" cy="3426827"/>
        </a:xfrm>
        <a:prstGeom prst="rect">
          <a:avLst/>
        </a:prstGeom>
      </xdr:spPr>
    </xdr:pic>
    <xdr:clientData/>
  </xdr:twoCellAnchor>
  <xdr:twoCellAnchor editAs="oneCell">
    <xdr:from>
      <xdr:col>31</xdr:col>
      <xdr:colOff>195941</xdr:colOff>
      <xdr:row>14</xdr:row>
      <xdr:rowOff>130627</xdr:rowOff>
    </xdr:from>
    <xdr:to>
      <xdr:col>39</xdr:col>
      <xdr:colOff>96060</xdr:colOff>
      <xdr:row>33</xdr:row>
      <xdr:rowOff>13061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94598" y="2775856"/>
          <a:ext cx="4929319" cy="3461657"/>
        </a:xfrm>
        <a:prstGeom prst="rect">
          <a:avLst/>
        </a:prstGeom>
      </xdr:spPr>
    </xdr:pic>
    <xdr:clientData/>
  </xdr:twoCellAnchor>
  <xdr:twoCellAnchor editAs="oneCell">
    <xdr:from>
      <xdr:col>41</xdr:col>
      <xdr:colOff>185057</xdr:colOff>
      <xdr:row>14</xdr:row>
      <xdr:rowOff>43543</xdr:rowOff>
    </xdr:from>
    <xdr:to>
      <xdr:col>49</xdr:col>
      <xdr:colOff>129362</xdr:colOff>
      <xdr:row>31</xdr:row>
      <xdr:rowOff>121920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32114" y="2688772"/>
          <a:ext cx="5278305" cy="3265714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23</xdr:row>
      <xdr:rowOff>65311</xdr:rowOff>
    </xdr:from>
    <xdr:to>
      <xdr:col>57</xdr:col>
      <xdr:colOff>598713</xdr:colOff>
      <xdr:row>27</xdr:row>
      <xdr:rowOff>185530</xdr:rowOff>
    </xdr:to>
    <xdr:sp macro="" textlink="">
      <xdr:nvSpPr>
        <xdr:cNvPr id="11" name="Блок-схема: задержка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 rot="16200000">
          <a:off x="50842673" y="2973455"/>
          <a:ext cx="862341" cy="3646713"/>
        </a:xfrm>
        <a:prstGeom prst="flowChartDelay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53</xdr:col>
      <xdr:colOff>601977</xdr:colOff>
      <xdr:row>16</xdr:row>
      <xdr:rowOff>166687</xdr:rowOff>
    </xdr:from>
    <xdr:to>
      <xdr:col>56</xdr:col>
      <xdr:colOff>22859</xdr:colOff>
      <xdr:row>23</xdr:row>
      <xdr:rowOff>62265</xdr:rowOff>
    </xdr:to>
    <xdr:sp macro="" textlink="">
      <xdr:nvSpPr>
        <xdr:cNvPr id="12" name="Трапеция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 rot="10800000">
          <a:off x="50650137" y="3130867"/>
          <a:ext cx="1463042" cy="1190978"/>
        </a:xfrm>
        <a:prstGeom prst="trapezoid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55</xdr:col>
      <xdr:colOff>0</xdr:colOff>
      <xdr:row>15</xdr:row>
      <xdr:rowOff>76200</xdr:rowOff>
    </xdr:from>
    <xdr:to>
      <xdr:col>55</xdr:col>
      <xdr:colOff>10886</xdr:colOff>
      <xdr:row>29</xdr:row>
      <xdr:rowOff>108857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CxnSpPr/>
      </xdr:nvCxnSpPr>
      <xdr:spPr>
        <a:xfrm flipH="1">
          <a:off x="51293486" y="2906486"/>
          <a:ext cx="10886" cy="2623457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15</xdr:row>
      <xdr:rowOff>8965</xdr:rowOff>
    </xdr:from>
    <xdr:to>
      <xdr:col>54</xdr:col>
      <xdr:colOff>8964</xdr:colOff>
      <xdr:row>16</xdr:row>
      <xdr:rowOff>160976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CxnSpPr/>
      </xdr:nvCxnSpPr>
      <xdr:spPr>
        <a:xfrm flipH="1">
          <a:off x="50641624" y="2743200"/>
          <a:ext cx="8964" cy="3313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0</xdr:colOff>
      <xdr:row>28</xdr:row>
      <xdr:rowOff>13252</xdr:rowOff>
    </xdr:from>
    <xdr:to>
      <xdr:col>58</xdr:col>
      <xdr:colOff>0</xdr:colOff>
      <xdr:row>31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/>
      </xdr:nvCxnSpPr>
      <xdr:spPr>
        <a:xfrm>
          <a:off x="53108087" y="5241235"/>
          <a:ext cx="0" cy="54333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397565</xdr:colOff>
      <xdr:row>23</xdr:row>
      <xdr:rowOff>53008</xdr:rowOff>
    </xdr:from>
    <xdr:to>
      <xdr:col>57</xdr:col>
      <xdr:colOff>19878</xdr:colOff>
      <xdr:row>23</xdr:row>
      <xdr:rowOff>59635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CxnSpPr/>
      </xdr:nvCxnSpPr>
      <xdr:spPr>
        <a:xfrm flipH="1" flipV="1">
          <a:off x="51676852" y="4353338"/>
          <a:ext cx="841513" cy="66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554131</xdr:colOff>
      <xdr:row>16</xdr:row>
      <xdr:rowOff>160536</xdr:rowOff>
    </xdr:from>
    <xdr:to>
      <xdr:col>56</xdr:col>
      <xdr:colOff>580635</xdr:colOff>
      <xdr:row>16</xdr:row>
      <xdr:rowOff>160536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CxnSpPr/>
      </xdr:nvCxnSpPr>
      <xdr:spPr>
        <a:xfrm flipH="1">
          <a:off x="51930860" y="3074065"/>
          <a:ext cx="7167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533400</xdr:colOff>
      <xdr:row>16</xdr:row>
      <xdr:rowOff>157163</xdr:rowOff>
    </xdr:from>
    <xdr:to>
      <xdr:col>56</xdr:col>
      <xdr:colOff>536713</xdr:colOff>
      <xdr:row>23</xdr:row>
      <xdr:rowOff>59635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CxnSpPr/>
      </xdr:nvCxnSpPr>
      <xdr:spPr>
        <a:xfrm>
          <a:off x="52406550" y="3100388"/>
          <a:ext cx="3313" cy="116929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176955</xdr:colOff>
      <xdr:row>25</xdr:row>
      <xdr:rowOff>116541</xdr:rowOff>
    </xdr:from>
    <xdr:to>
      <xdr:col>58</xdr:col>
      <xdr:colOff>188259</xdr:colOff>
      <xdr:row>28</xdr:row>
      <xdr:rowOff>26895</xdr:rowOff>
    </xdr:to>
    <xdr:cxnSp macro="">
      <xdr:nvCxnSpPr>
        <xdr:cNvPr id="33" name="Прямая со стрелкой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CxnSpPr/>
      </xdr:nvCxnSpPr>
      <xdr:spPr>
        <a:xfrm flipH="1">
          <a:off x="53463167" y="4661647"/>
          <a:ext cx="11304" cy="44823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0</xdr:colOff>
      <xdr:row>29</xdr:row>
      <xdr:rowOff>185530</xdr:rowOff>
    </xdr:from>
    <xdr:to>
      <xdr:col>58</xdr:col>
      <xdr:colOff>1</xdr:colOff>
      <xdr:row>30</xdr:row>
      <xdr:rowOff>6627</xdr:rowOff>
    </xdr:to>
    <xdr:cxnSp macro="">
      <xdr:nvCxnSpPr>
        <xdr:cNvPr id="36" name="Прямая со стрелкой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CxnSpPr/>
      </xdr:nvCxnSpPr>
      <xdr:spPr>
        <a:xfrm flipH="1" flipV="1">
          <a:off x="49450487" y="5599043"/>
          <a:ext cx="3657601" cy="662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277905</xdr:colOff>
      <xdr:row>23</xdr:row>
      <xdr:rowOff>0</xdr:rowOff>
    </xdr:from>
    <xdr:to>
      <xdr:col>55</xdr:col>
      <xdr:colOff>421342</xdr:colOff>
      <xdr:row>23</xdr:row>
      <xdr:rowOff>0</xdr:rowOff>
    </xdr:to>
    <xdr:cxnSp macro="">
      <xdr:nvCxnSpPr>
        <xdr:cNvPr id="39" name="Прямая со стрелкой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CxnSpPr/>
      </xdr:nvCxnSpPr>
      <xdr:spPr>
        <a:xfrm flipH="1">
          <a:off x="50919529" y="4186518"/>
          <a:ext cx="878542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0</xdr:colOff>
      <xdr:row>23</xdr:row>
      <xdr:rowOff>0</xdr:rowOff>
    </xdr:from>
    <xdr:to>
      <xdr:col>54</xdr:col>
      <xdr:colOff>284921</xdr:colOff>
      <xdr:row>23</xdr:row>
      <xdr:rowOff>6625</xdr:rowOff>
    </xdr:to>
    <xdr:cxnSp macro="">
      <xdr:nvCxnSpPr>
        <xdr:cNvPr id="45" name="Прямая соединительная линия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CxnSpPr/>
      </xdr:nvCxnSpPr>
      <xdr:spPr>
        <a:xfrm flipH="1" flipV="1">
          <a:off x="50060087" y="4300330"/>
          <a:ext cx="894521" cy="66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13166</xdr:colOff>
      <xdr:row>15</xdr:row>
      <xdr:rowOff>14288</xdr:rowOff>
    </xdr:from>
    <xdr:to>
      <xdr:col>56</xdr:col>
      <xdr:colOff>14288</xdr:colOff>
      <xdr:row>16</xdr:row>
      <xdr:rowOff>167980</xdr:rowOff>
    </xdr:to>
    <xdr:cxnSp macro="">
      <xdr:nvCxnSpPr>
        <xdr:cNvPr id="48" name="Прямая соединительная линия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CxnSpPr/>
      </xdr:nvCxnSpPr>
      <xdr:spPr>
        <a:xfrm flipH="1">
          <a:off x="51886316" y="2776538"/>
          <a:ext cx="1122" cy="33466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4763</xdr:colOff>
      <xdr:row>15</xdr:row>
      <xdr:rowOff>4763</xdr:rowOff>
    </xdr:from>
    <xdr:to>
      <xdr:col>56</xdr:col>
      <xdr:colOff>14288</xdr:colOff>
      <xdr:row>15</xdr:row>
      <xdr:rowOff>4763</xdr:rowOff>
    </xdr:to>
    <xdr:cxnSp macro="">
      <xdr:nvCxnSpPr>
        <xdr:cNvPr id="51" name="Прямая со стрелкой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CxnSpPr/>
      </xdr:nvCxnSpPr>
      <xdr:spPr>
        <a:xfrm flipH="1">
          <a:off x="50658713" y="2767013"/>
          <a:ext cx="12287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7620</xdr:colOff>
      <xdr:row>27</xdr:row>
      <xdr:rowOff>170330</xdr:rowOff>
    </xdr:from>
    <xdr:to>
      <xdr:col>52</xdr:col>
      <xdr:colOff>8964</xdr:colOff>
      <xdr:row>30</xdr:row>
      <xdr:rowOff>175260</xdr:rowOff>
    </xdr:to>
    <xdr:cxnSp macro="">
      <xdr:nvCxnSpPr>
        <xdr:cNvPr id="54" name="Прямая соединительная линия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CxnSpPr/>
      </xdr:nvCxnSpPr>
      <xdr:spPr>
        <a:xfrm flipH="1">
          <a:off x="49446180" y="5146190"/>
          <a:ext cx="1344" cy="5535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589990</xdr:colOff>
      <xdr:row>25</xdr:row>
      <xdr:rowOff>133642</xdr:rowOff>
    </xdr:from>
    <xdr:to>
      <xdr:col>58</xdr:col>
      <xdr:colOff>367553</xdr:colOff>
      <xdr:row>25</xdr:row>
      <xdr:rowOff>134470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CxnSpPr/>
      </xdr:nvCxnSpPr>
      <xdr:spPr>
        <a:xfrm flipH="1" flipV="1">
          <a:off x="53266602" y="4678748"/>
          <a:ext cx="387163" cy="82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589990</xdr:colOff>
      <xdr:row>28</xdr:row>
      <xdr:rowOff>0</xdr:rowOff>
    </xdr:from>
    <xdr:to>
      <xdr:col>58</xdr:col>
      <xdr:colOff>376517</xdr:colOff>
      <xdr:row>28</xdr:row>
      <xdr:rowOff>8137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CxnSpPr/>
      </xdr:nvCxnSpPr>
      <xdr:spPr>
        <a:xfrm flipH="1">
          <a:off x="53266602" y="5082988"/>
          <a:ext cx="396127" cy="813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169161</xdr:colOff>
      <xdr:row>23</xdr:row>
      <xdr:rowOff>89647</xdr:rowOff>
    </xdr:from>
    <xdr:to>
      <xdr:col>55</xdr:col>
      <xdr:colOff>170330</xdr:colOff>
      <xdr:row>27</xdr:row>
      <xdr:rowOff>167212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CxnSpPr/>
      </xdr:nvCxnSpPr>
      <xdr:spPr>
        <a:xfrm flipH="1">
          <a:off x="51545890" y="4276165"/>
          <a:ext cx="1169" cy="79474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391885</xdr:colOff>
      <xdr:row>13</xdr:row>
      <xdr:rowOff>108858</xdr:rowOff>
    </xdr:from>
    <xdr:to>
      <xdr:col>8</xdr:col>
      <xdr:colOff>413657</xdr:colOff>
      <xdr:row>31</xdr:row>
      <xdr:rowOff>108858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5514" y="2569029"/>
          <a:ext cx="4615543" cy="3374571"/>
        </a:xfrm>
        <a:prstGeom prst="rect">
          <a:avLst/>
        </a:prstGeom>
      </xdr:spPr>
    </xdr:pic>
    <xdr:clientData/>
  </xdr:twoCellAnchor>
  <xdr:twoCellAnchor>
    <xdr:from>
      <xdr:col>3</xdr:col>
      <xdr:colOff>272143</xdr:colOff>
      <xdr:row>21</xdr:row>
      <xdr:rowOff>65315</xdr:rowOff>
    </xdr:from>
    <xdr:to>
      <xdr:col>4</xdr:col>
      <xdr:colOff>21771</xdr:colOff>
      <xdr:row>22</xdr:row>
      <xdr:rowOff>10886</xdr:rowOff>
    </xdr:to>
    <xdr:cxnSp macro="">
      <xdr:nvCxnSpPr>
        <xdr:cNvPr id="5" name="Соединитель: уступ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CxnSpPr/>
      </xdr:nvCxnSpPr>
      <xdr:spPr>
        <a:xfrm rot="10800000" flipV="1">
          <a:off x="17308286" y="4016829"/>
          <a:ext cx="359228" cy="130628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348342</xdr:colOff>
      <xdr:row>21</xdr:row>
      <xdr:rowOff>87086</xdr:rowOff>
    </xdr:from>
    <xdr:to>
      <xdr:col>7</xdr:col>
      <xdr:colOff>293914</xdr:colOff>
      <xdr:row>22</xdr:row>
      <xdr:rowOff>21772</xdr:rowOff>
    </xdr:to>
    <xdr:cxnSp macro="">
      <xdr:nvCxnSpPr>
        <xdr:cNvPr id="30" name="Соединитель: уступ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CxnSpPr/>
      </xdr:nvCxnSpPr>
      <xdr:spPr>
        <a:xfrm>
          <a:off x="19757571" y="4038600"/>
          <a:ext cx="337457" cy="119743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17</xdr:row>
      <xdr:rowOff>15240</xdr:rowOff>
    </xdr:from>
    <xdr:to>
      <xdr:col>3</xdr:col>
      <xdr:colOff>0</xdr:colOff>
      <xdr:row>19</xdr:row>
      <xdr:rowOff>7620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>
          <a:off x="1828800" y="315468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17</xdr:row>
      <xdr:rowOff>7620</xdr:rowOff>
    </xdr:from>
    <xdr:to>
      <xdr:col>7</xdr:col>
      <xdr:colOff>7620</xdr:colOff>
      <xdr:row>19</xdr:row>
      <xdr:rowOff>0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>
          <a:off x="4274820" y="314706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19</xdr:row>
      <xdr:rowOff>7620</xdr:rowOff>
    </xdr:from>
    <xdr:to>
      <xdr:col>3</xdr:col>
      <xdr:colOff>7620</xdr:colOff>
      <xdr:row>22</xdr:row>
      <xdr:rowOff>15240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>
        <a:xfrm>
          <a:off x="1836420" y="351282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18</xdr:row>
      <xdr:rowOff>167640</xdr:rowOff>
    </xdr:from>
    <xdr:to>
      <xdr:col>7</xdr:col>
      <xdr:colOff>7620</xdr:colOff>
      <xdr:row>21</xdr:row>
      <xdr:rowOff>175260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CxnSpPr/>
      </xdr:nvCxnSpPr>
      <xdr:spPr>
        <a:xfrm>
          <a:off x="4274820" y="348996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19</xdr:row>
      <xdr:rowOff>7620</xdr:rowOff>
    </xdr:from>
    <xdr:to>
      <xdr:col>2</xdr:col>
      <xdr:colOff>0</xdr:colOff>
      <xdr:row>24</xdr:row>
      <xdr:rowOff>7620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/>
      </xdr:nvCxnSpPr>
      <xdr:spPr>
        <a:xfrm>
          <a:off x="1219200" y="351282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19</xdr:row>
      <xdr:rowOff>38100</xdr:rowOff>
    </xdr:from>
    <xdr:to>
      <xdr:col>8</xdr:col>
      <xdr:colOff>0</xdr:colOff>
      <xdr:row>24</xdr:row>
      <xdr:rowOff>38100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/>
      </xdr:nvCxnSpPr>
      <xdr:spPr>
        <a:xfrm>
          <a:off x="4876800" y="354330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21</xdr:row>
      <xdr:rowOff>0</xdr:rowOff>
    </xdr:from>
    <xdr:to>
      <xdr:col>7</xdr:col>
      <xdr:colOff>15240</xdr:colOff>
      <xdr:row>21</xdr:row>
      <xdr:rowOff>7620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>
          <a:off x="1828800" y="3870960"/>
          <a:ext cx="245364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320040</xdr:colOff>
      <xdr:row>24</xdr:row>
      <xdr:rowOff>0</xdr:rowOff>
    </xdr:from>
    <xdr:to>
      <xdr:col>8</xdr:col>
      <xdr:colOff>8965</xdr:colOff>
      <xdr:row>24</xdr:row>
      <xdr:rowOff>0</xdr:rowOff>
    </xdr:to>
    <xdr:cxnSp macro="">
      <xdr:nvCxnSpPr>
        <xdr:cNvPr id="20" name="Прямая со стрелкой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/>
      </xdr:nvCxnSpPr>
      <xdr:spPr>
        <a:xfrm>
          <a:off x="562087" y="4482353"/>
          <a:ext cx="4135419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637674</xdr:colOff>
      <xdr:row>17</xdr:row>
      <xdr:rowOff>0</xdr:rowOff>
    </xdr:from>
    <xdr:to>
      <xdr:col>8</xdr:col>
      <xdr:colOff>441960</xdr:colOff>
      <xdr:row>17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>
          <a:off x="4752474" y="3420979"/>
          <a:ext cx="44597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</xdr:colOff>
      <xdr:row>19</xdr:row>
      <xdr:rowOff>0</xdr:rowOff>
    </xdr:from>
    <xdr:to>
      <xdr:col>8</xdr:col>
      <xdr:colOff>449580</xdr:colOff>
      <xdr:row>19</xdr:row>
      <xdr:rowOff>0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CxnSpPr/>
      </xdr:nvCxnSpPr>
      <xdr:spPr>
        <a:xfrm>
          <a:off x="5128260" y="3505200"/>
          <a:ext cx="4191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411480</xdr:colOff>
      <xdr:row>16</xdr:row>
      <xdr:rowOff>175260</xdr:rowOff>
    </xdr:from>
    <xdr:to>
      <xdr:col>8</xdr:col>
      <xdr:colOff>411480</xdr:colOff>
      <xdr:row>19</xdr:row>
      <xdr:rowOff>0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CxnSpPr/>
      </xdr:nvCxnSpPr>
      <xdr:spPr>
        <a:xfrm>
          <a:off x="5509260" y="3131820"/>
          <a:ext cx="0" cy="37338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</xdr:colOff>
      <xdr:row>17</xdr:row>
      <xdr:rowOff>1</xdr:rowOff>
    </xdr:from>
    <xdr:to>
      <xdr:col>3</xdr:col>
      <xdr:colOff>4355</xdr:colOff>
      <xdr:row>19</xdr:row>
      <xdr:rowOff>8965</xdr:rowOff>
    </xdr:to>
    <xdr:sp macro="" textlink="">
      <xdr:nvSpPr>
        <xdr:cNvPr id="14" name="Прямоугольник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566058" y="3239590"/>
          <a:ext cx="722811" cy="400849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6</xdr:col>
      <xdr:colOff>700391</xdr:colOff>
      <xdr:row>17</xdr:row>
      <xdr:rowOff>8965</xdr:rowOff>
    </xdr:from>
    <xdr:to>
      <xdr:col>7</xdr:col>
      <xdr:colOff>732817</xdr:colOff>
      <xdr:row>19</xdr:row>
      <xdr:rowOff>4011</xdr:rowOff>
    </xdr:to>
    <xdr:sp macro="" textlink="">
      <xdr:nvSpPr>
        <xdr:cNvPr id="16" name="Прямоугольник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3946187" y="3232063"/>
          <a:ext cx="732817" cy="384152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8709</xdr:colOff>
      <xdr:row>17</xdr:row>
      <xdr:rowOff>4354</xdr:rowOff>
    </xdr:from>
    <xdr:to>
      <xdr:col>6</xdr:col>
      <xdr:colOff>701040</xdr:colOff>
      <xdr:row>17</xdr:row>
      <xdr:rowOff>8965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CxnSpPr/>
      </xdr:nvCxnSpPr>
      <xdr:spPr>
        <a:xfrm>
          <a:off x="1293223" y="3243943"/>
          <a:ext cx="2660468" cy="461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8964</xdr:colOff>
      <xdr:row>19</xdr:row>
      <xdr:rowOff>4011</xdr:rowOff>
    </xdr:from>
    <xdr:to>
      <xdr:col>7</xdr:col>
      <xdr:colOff>366409</xdr:colOff>
      <xdr:row>19</xdr:row>
      <xdr:rowOff>17931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CxnSpPr>
          <a:endCxn id="16" idx="2"/>
        </xdr:cNvCxnSpPr>
      </xdr:nvCxnSpPr>
      <xdr:spPr>
        <a:xfrm flipV="1">
          <a:off x="1289773" y="3616215"/>
          <a:ext cx="3022823" cy="139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16</xdr:row>
      <xdr:rowOff>44824</xdr:rowOff>
    </xdr:from>
    <xdr:to>
      <xdr:col>5</xdr:col>
      <xdr:colOff>8965</xdr:colOff>
      <xdr:row>20</xdr:row>
      <xdr:rowOff>3048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>
        <a:xfrm flipH="1">
          <a:off x="2935224" y="3272656"/>
          <a:ext cx="8965" cy="738512"/>
        </a:xfrm>
        <a:prstGeom prst="line">
          <a:avLst/>
        </a:prstGeom>
        <a:ln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170330</xdr:colOff>
      <xdr:row>19</xdr:row>
      <xdr:rowOff>152401</xdr:rowOff>
    </xdr:from>
    <xdr:ext cx="286810" cy="280205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2241177" y="3890683"/>
          <a:ext cx="286810" cy="28020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oneCellAnchor>
    <xdr:from>
      <xdr:col>21</xdr:col>
      <xdr:colOff>367553</xdr:colOff>
      <xdr:row>13</xdr:row>
      <xdr:rowOff>170329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2882282" y="276112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4</xdr:col>
      <xdr:colOff>170331</xdr:colOff>
      <xdr:row>22</xdr:row>
      <xdr:rowOff>152401</xdr:rowOff>
    </xdr:from>
    <xdr:ext cx="286810" cy="280205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2241178" y="4446495"/>
          <a:ext cx="286810" cy="28020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twoCellAnchor>
    <xdr:from>
      <xdr:col>7</xdr:col>
      <xdr:colOff>6485</xdr:colOff>
      <xdr:row>19</xdr:row>
      <xdr:rowOff>17929</xdr:rowOff>
    </xdr:from>
    <xdr:to>
      <xdr:col>7</xdr:col>
      <xdr:colOff>729575</xdr:colOff>
      <xdr:row>19</xdr:row>
      <xdr:rowOff>194010</xdr:rowOff>
    </xdr:to>
    <xdr:sp macro="" textlink="">
      <xdr:nvSpPr>
        <xdr:cNvPr id="22" name="Прямоугольник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3952672" y="3630133"/>
          <a:ext cx="723090" cy="176081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</xdr:col>
      <xdr:colOff>320039</xdr:colOff>
      <xdr:row>19</xdr:row>
      <xdr:rowOff>17929</xdr:rowOff>
    </xdr:from>
    <xdr:to>
      <xdr:col>3</xdr:col>
      <xdr:colOff>4355</xdr:colOff>
      <xdr:row>19</xdr:row>
      <xdr:rowOff>194010</xdr:rowOff>
    </xdr:to>
    <xdr:sp macro="" textlink="">
      <xdr:nvSpPr>
        <xdr:cNvPr id="25" name="Прямоугольник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563879" y="3649403"/>
          <a:ext cx="724990" cy="176081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383628</xdr:colOff>
      <xdr:row>19</xdr:row>
      <xdr:rowOff>9984</xdr:rowOff>
    </xdr:from>
    <xdr:to>
      <xdr:col>12</xdr:col>
      <xdr:colOff>304800</xdr:colOff>
      <xdr:row>32</xdr:row>
      <xdr:rowOff>2364</xdr:rowOff>
    </xdr:to>
    <xdr:sp macro="" textlink="">
      <xdr:nvSpPr>
        <xdr:cNvPr id="26" name="Круг: прозрачная заливка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/>
      </xdr:nvSpPr>
      <xdr:spPr>
        <a:xfrm>
          <a:off x="3198546" y="3515184"/>
          <a:ext cx="2305783" cy="2323204"/>
        </a:xfrm>
        <a:prstGeom prst="donut">
          <a:avLst>
            <a:gd name="adj" fmla="val 25000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323528</xdr:colOff>
      <xdr:row>18</xdr:row>
      <xdr:rowOff>5256</xdr:rowOff>
    </xdr:from>
    <xdr:to>
      <xdr:col>12</xdr:col>
      <xdr:colOff>383008</xdr:colOff>
      <xdr:row>24</xdr:row>
      <xdr:rowOff>167979</xdr:rowOff>
    </xdr:to>
    <xdr:sp macro="" textlink="">
      <xdr:nvSpPr>
        <xdr:cNvPr id="28" name="Арка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SpPr/>
      </xdr:nvSpPr>
      <xdr:spPr>
        <a:xfrm>
          <a:off x="3138446" y="3331162"/>
          <a:ext cx="2444091" cy="1238488"/>
        </a:xfrm>
        <a:custGeom>
          <a:avLst/>
          <a:gdLst>
            <a:gd name="connsiteX0" fmla="*/ 71858 w 2241177"/>
            <a:gd name="connsiteY0" fmla="*/ 708351 h 2187388"/>
            <a:gd name="connsiteX1" fmla="*/ 1135496 w 2241177"/>
            <a:gd name="connsiteY1" fmla="*/ 97 h 2187388"/>
            <a:gd name="connsiteX2" fmla="*/ 2179882 w 2241177"/>
            <a:gd name="connsiteY2" fmla="*/ 736928 h 2187388"/>
            <a:gd name="connsiteX3" fmla="*/ 1565365 w 2241177"/>
            <a:gd name="connsiteY3" fmla="*/ 943894 h 2187388"/>
            <a:gd name="connsiteX4" fmla="*/ 1126659 w 2241177"/>
            <a:gd name="connsiteY4" fmla="*/ 648334 h 2187388"/>
            <a:gd name="connsiteX5" fmla="*/ 680521 w 2241177"/>
            <a:gd name="connsiteY5" fmla="*/ 931996 h 2187388"/>
            <a:gd name="connsiteX6" fmla="*/ 71858 w 2241177"/>
            <a:gd name="connsiteY6" fmla="*/ 708351 h 2187388"/>
            <a:gd name="connsiteX0" fmla="*/ 0 w 2108024"/>
            <a:gd name="connsiteY0" fmla="*/ 708351 h 952859"/>
            <a:gd name="connsiteX1" fmla="*/ 1063638 w 2108024"/>
            <a:gd name="connsiteY1" fmla="*/ 97 h 952859"/>
            <a:gd name="connsiteX2" fmla="*/ 2108024 w 2108024"/>
            <a:gd name="connsiteY2" fmla="*/ 736928 h 952859"/>
            <a:gd name="connsiteX3" fmla="*/ 1511436 w 2108024"/>
            <a:gd name="connsiteY3" fmla="*/ 952859 h 952859"/>
            <a:gd name="connsiteX4" fmla="*/ 1054801 w 2108024"/>
            <a:gd name="connsiteY4" fmla="*/ 648334 h 952859"/>
            <a:gd name="connsiteX5" fmla="*/ 608663 w 2108024"/>
            <a:gd name="connsiteY5" fmla="*/ 931996 h 952859"/>
            <a:gd name="connsiteX6" fmla="*/ 0 w 2108024"/>
            <a:gd name="connsiteY6" fmla="*/ 708351 h 952859"/>
            <a:gd name="connsiteX0" fmla="*/ 0 w 2108024"/>
            <a:gd name="connsiteY0" fmla="*/ 708351 h 952859"/>
            <a:gd name="connsiteX1" fmla="*/ 1063638 w 2108024"/>
            <a:gd name="connsiteY1" fmla="*/ 97 h 952859"/>
            <a:gd name="connsiteX2" fmla="*/ 2108024 w 2108024"/>
            <a:gd name="connsiteY2" fmla="*/ 736928 h 952859"/>
            <a:gd name="connsiteX3" fmla="*/ 1511436 w 2108024"/>
            <a:gd name="connsiteY3" fmla="*/ 952859 h 952859"/>
            <a:gd name="connsiteX4" fmla="*/ 1054801 w 2108024"/>
            <a:gd name="connsiteY4" fmla="*/ 648334 h 952859"/>
            <a:gd name="connsiteX5" fmla="*/ 608663 w 2108024"/>
            <a:gd name="connsiteY5" fmla="*/ 931996 h 952859"/>
            <a:gd name="connsiteX6" fmla="*/ 0 w 2108024"/>
            <a:gd name="connsiteY6" fmla="*/ 708351 h 952859"/>
            <a:gd name="connsiteX0" fmla="*/ 0 w 2108024"/>
            <a:gd name="connsiteY0" fmla="*/ 708351 h 993526"/>
            <a:gd name="connsiteX1" fmla="*/ 1063638 w 2108024"/>
            <a:gd name="connsiteY1" fmla="*/ 97 h 993526"/>
            <a:gd name="connsiteX2" fmla="*/ 2108024 w 2108024"/>
            <a:gd name="connsiteY2" fmla="*/ 736928 h 993526"/>
            <a:gd name="connsiteX3" fmla="*/ 1511436 w 2108024"/>
            <a:gd name="connsiteY3" fmla="*/ 952859 h 993526"/>
            <a:gd name="connsiteX4" fmla="*/ 1054801 w 2108024"/>
            <a:gd name="connsiteY4" fmla="*/ 648334 h 993526"/>
            <a:gd name="connsiteX5" fmla="*/ 608663 w 2108024"/>
            <a:gd name="connsiteY5" fmla="*/ 931996 h 993526"/>
            <a:gd name="connsiteX6" fmla="*/ 0 w 2108024"/>
            <a:gd name="connsiteY6" fmla="*/ 708351 h 993526"/>
            <a:gd name="connsiteX0" fmla="*/ 0 w 2108024"/>
            <a:gd name="connsiteY0" fmla="*/ 708351 h 993526"/>
            <a:gd name="connsiteX1" fmla="*/ 1063638 w 2108024"/>
            <a:gd name="connsiteY1" fmla="*/ 97 h 993526"/>
            <a:gd name="connsiteX2" fmla="*/ 2108024 w 2108024"/>
            <a:gd name="connsiteY2" fmla="*/ 736928 h 993526"/>
            <a:gd name="connsiteX3" fmla="*/ 1511436 w 2108024"/>
            <a:gd name="connsiteY3" fmla="*/ 952859 h 993526"/>
            <a:gd name="connsiteX4" fmla="*/ 1054801 w 2108024"/>
            <a:gd name="connsiteY4" fmla="*/ 648334 h 993526"/>
            <a:gd name="connsiteX5" fmla="*/ 608663 w 2108024"/>
            <a:gd name="connsiteY5" fmla="*/ 931996 h 993526"/>
            <a:gd name="connsiteX6" fmla="*/ 0 w 2108024"/>
            <a:gd name="connsiteY6" fmla="*/ 708351 h 993526"/>
            <a:gd name="connsiteX0" fmla="*/ 0 w 2108024"/>
            <a:gd name="connsiteY0" fmla="*/ 708351 h 993526"/>
            <a:gd name="connsiteX1" fmla="*/ 1063638 w 2108024"/>
            <a:gd name="connsiteY1" fmla="*/ 97 h 993526"/>
            <a:gd name="connsiteX2" fmla="*/ 2108024 w 2108024"/>
            <a:gd name="connsiteY2" fmla="*/ 736928 h 993526"/>
            <a:gd name="connsiteX3" fmla="*/ 1511436 w 2108024"/>
            <a:gd name="connsiteY3" fmla="*/ 952859 h 993526"/>
            <a:gd name="connsiteX4" fmla="*/ 1054801 w 2108024"/>
            <a:gd name="connsiteY4" fmla="*/ 648334 h 993526"/>
            <a:gd name="connsiteX5" fmla="*/ 608663 w 2108024"/>
            <a:gd name="connsiteY5" fmla="*/ 931996 h 993526"/>
            <a:gd name="connsiteX6" fmla="*/ 0 w 2108024"/>
            <a:gd name="connsiteY6" fmla="*/ 708351 h 993526"/>
            <a:gd name="connsiteX0" fmla="*/ 0 w 2099059"/>
            <a:gd name="connsiteY0" fmla="*/ 708255 h 986491"/>
            <a:gd name="connsiteX1" fmla="*/ 1063638 w 2099059"/>
            <a:gd name="connsiteY1" fmla="*/ 1 h 986491"/>
            <a:gd name="connsiteX2" fmla="*/ 2099059 w 2099059"/>
            <a:gd name="connsiteY2" fmla="*/ 710364 h 986491"/>
            <a:gd name="connsiteX3" fmla="*/ 1511436 w 2099059"/>
            <a:gd name="connsiteY3" fmla="*/ 952763 h 986491"/>
            <a:gd name="connsiteX4" fmla="*/ 1054801 w 2099059"/>
            <a:gd name="connsiteY4" fmla="*/ 648238 h 986491"/>
            <a:gd name="connsiteX5" fmla="*/ 608663 w 2099059"/>
            <a:gd name="connsiteY5" fmla="*/ 931900 h 986491"/>
            <a:gd name="connsiteX6" fmla="*/ 0 w 2099059"/>
            <a:gd name="connsiteY6" fmla="*/ 708255 h 986491"/>
            <a:gd name="connsiteX0" fmla="*/ 0 w 2099334"/>
            <a:gd name="connsiteY0" fmla="*/ 708255 h 986492"/>
            <a:gd name="connsiteX1" fmla="*/ 1063638 w 2099334"/>
            <a:gd name="connsiteY1" fmla="*/ 1 h 986492"/>
            <a:gd name="connsiteX2" fmla="*/ 2099059 w 2099334"/>
            <a:gd name="connsiteY2" fmla="*/ 710364 h 986492"/>
            <a:gd name="connsiteX3" fmla="*/ 1511436 w 2099334"/>
            <a:gd name="connsiteY3" fmla="*/ 952763 h 986492"/>
            <a:gd name="connsiteX4" fmla="*/ 1054801 w 2099334"/>
            <a:gd name="connsiteY4" fmla="*/ 648238 h 986492"/>
            <a:gd name="connsiteX5" fmla="*/ 608663 w 2099334"/>
            <a:gd name="connsiteY5" fmla="*/ 931900 h 986492"/>
            <a:gd name="connsiteX6" fmla="*/ 0 w 2099334"/>
            <a:gd name="connsiteY6" fmla="*/ 708255 h 986492"/>
            <a:gd name="connsiteX0" fmla="*/ 0 w 2099334"/>
            <a:gd name="connsiteY0" fmla="*/ 708255 h 976159"/>
            <a:gd name="connsiteX1" fmla="*/ 1063638 w 2099334"/>
            <a:gd name="connsiteY1" fmla="*/ 1 h 976159"/>
            <a:gd name="connsiteX2" fmla="*/ 2099059 w 2099334"/>
            <a:gd name="connsiteY2" fmla="*/ 710364 h 976159"/>
            <a:gd name="connsiteX3" fmla="*/ 1511436 w 2099334"/>
            <a:gd name="connsiteY3" fmla="*/ 952763 h 976159"/>
            <a:gd name="connsiteX4" fmla="*/ 1054801 w 2099334"/>
            <a:gd name="connsiteY4" fmla="*/ 648238 h 976159"/>
            <a:gd name="connsiteX5" fmla="*/ 608663 w 2099334"/>
            <a:gd name="connsiteY5" fmla="*/ 931900 h 976159"/>
            <a:gd name="connsiteX6" fmla="*/ 0 w 2099334"/>
            <a:gd name="connsiteY6" fmla="*/ 708255 h 976159"/>
            <a:gd name="connsiteX0" fmla="*/ 0 w 2099334"/>
            <a:gd name="connsiteY0" fmla="*/ 708255 h 994396"/>
            <a:gd name="connsiteX1" fmla="*/ 1063638 w 2099334"/>
            <a:gd name="connsiteY1" fmla="*/ 1 h 994396"/>
            <a:gd name="connsiteX2" fmla="*/ 2099059 w 2099334"/>
            <a:gd name="connsiteY2" fmla="*/ 710364 h 994396"/>
            <a:gd name="connsiteX3" fmla="*/ 1511436 w 2099334"/>
            <a:gd name="connsiteY3" fmla="*/ 952763 h 994396"/>
            <a:gd name="connsiteX4" fmla="*/ 1054801 w 2099334"/>
            <a:gd name="connsiteY4" fmla="*/ 648238 h 994396"/>
            <a:gd name="connsiteX5" fmla="*/ 608663 w 2099334"/>
            <a:gd name="connsiteY5" fmla="*/ 931900 h 994396"/>
            <a:gd name="connsiteX6" fmla="*/ 0 w 2099334"/>
            <a:gd name="connsiteY6" fmla="*/ 708255 h 994396"/>
            <a:gd name="connsiteX0" fmla="*/ 0 w 2099059"/>
            <a:gd name="connsiteY0" fmla="*/ 708255 h 994396"/>
            <a:gd name="connsiteX1" fmla="*/ 1063638 w 2099059"/>
            <a:gd name="connsiteY1" fmla="*/ 1 h 994396"/>
            <a:gd name="connsiteX2" fmla="*/ 2099059 w 2099059"/>
            <a:gd name="connsiteY2" fmla="*/ 710364 h 994396"/>
            <a:gd name="connsiteX3" fmla="*/ 1511436 w 2099059"/>
            <a:gd name="connsiteY3" fmla="*/ 952763 h 994396"/>
            <a:gd name="connsiteX4" fmla="*/ 1054801 w 2099059"/>
            <a:gd name="connsiteY4" fmla="*/ 648238 h 994396"/>
            <a:gd name="connsiteX5" fmla="*/ 608663 w 2099059"/>
            <a:gd name="connsiteY5" fmla="*/ 931900 h 994396"/>
            <a:gd name="connsiteX6" fmla="*/ 0 w 2099059"/>
            <a:gd name="connsiteY6" fmla="*/ 708255 h 994396"/>
            <a:gd name="connsiteX0" fmla="*/ 0 w 2099059"/>
            <a:gd name="connsiteY0" fmla="*/ 646496 h 932637"/>
            <a:gd name="connsiteX1" fmla="*/ 1063638 w 2099059"/>
            <a:gd name="connsiteY1" fmla="*/ 1 h 932637"/>
            <a:gd name="connsiteX2" fmla="*/ 2099059 w 2099059"/>
            <a:gd name="connsiteY2" fmla="*/ 648605 h 932637"/>
            <a:gd name="connsiteX3" fmla="*/ 1511436 w 2099059"/>
            <a:gd name="connsiteY3" fmla="*/ 891004 h 932637"/>
            <a:gd name="connsiteX4" fmla="*/ 1054801 w 2099059"/>
            <a:gd name="connsiteY4" fmla="*/ 586479 h 932637"/>
            <a:gd name="connsiteX5" fmla="*/ 608663 w 2099059"/>
            <a:gd name="connsiteY5" fmla="*/ 870141 h 932637"/>
            <a:gd name="connsiteX6" fmla="*/ 0 w 2099059"/>
            <a:gd name="connsiteY6" fmla="*/ 646496 h 932637"/>
            <a:gd name="connsiteX0" fmla="*/ 0 w 2054235"/>
            <a:gd name="connsiteY0" fmla="*/ 646496 h 932637"/>
            <a:gd name="connsiteX1" fmla="*/ 1018814 w 2054235"/>
            <a:gd name="connsiteY1" fmla="*/ 1 h 932637"/>
            <a:gd name="connsiteX2" fmla="*/ 2054235 w 2054235"/>
            <a:gd name="connsiteY2" fmla="*/ 648605 h 932637"/>
            <a:gd name="connsiteX3" fmla="*/ 1466612 w 2054235"/>
            <a:gd name="connsiteY3" fmla="*/ 891004 h 932637"/>
            <a:gd name="connsiteX4" fmla="*/ 1009977 w 2054235"/>
            <a:gd name="connsiteY4" fmla="*/ 586479 h 932637"/>
            <a:gd name="connsiteX5" fmla="*/ 563839 w 2054235"/>
            <a:gd name="connsiteY5" fmla="*/ 870141 h 932637"/>
            <a:gd name="connsiteX6" fmla="*/ 0 w 2054235"/>
            <a:gd name="connsiteY6" fmla="*/ 646496 h 932637"/>
            <a:gd name="connsiteX0" fmla="*/ 0 w 2108023"/>
            <a:gd name="connsiteY0" fmla="*/ 646496 h 932637"/>
            <a:gd name="connsiteX1" fmla="*/ 1072602 w 2108023"/>
            <a:gd name="connsiteY1" fmla="*/ 1 h 932637"/>
            <a:gd name="connsiteX2" fmla="*/ 2108023 w 2108023"/>
            <a:gd name="connsiteY2" fmla="*/ 648605 h 932637"/>
            <a:gd name="connsiteX3" fmla="*/ 1520400 w 2108023"/>
            <a:gd name="connsiteY3" fmla="*/ 891004 h 932637"/>
            <a:gd name="connsiteX4" fmla="*/ 1063765 w 2108023"/>
            <a:gd name="connsiteY4" fmla="*/ 586479 h 932637"/>
            <a:gd name="connsiteX5" fmla="*/ 617627 w 2108023"/>
            <a:gd name="connsiteY5" fmla="*/ 870141 h 932637"/>
            <a:gd name="connsiteX6" fmla="*/ 0 w 2108023"/>
            <a:gd name="connsiteY6" fmla="*/ 646496 h 932637"/>
            <a:gd name="connsiteX0" fmla="*/ 14956 w 2122979"/>
            <a:gd name="connsiteY0" fmla="*/ 646496 h 932637"/>
            <a:gd name="connsiteX1" fmla="*/ 1087558 w 2122979"/>
            <a:gd name="connsiteY1" fmla="*/ 1 h 932637"/>
            <a:gd name="connsiteX2" fmla="*/ 2122979 w 2122979"/>
            <a:gd name="connsiteY2" fmla="*/ 648605 h 932637"/>
            <a:gd name="connsiteX3" fmla="*/ 1535356 w 2122979"/>
            <a:gd name="connsiteY3" fmla="*/ 891004 h 932637"/>
            <a:gd name="connsiteX4" fmla="*/ 1078721 w 2122979"/>
            <a:gd name="connsiteY4" fmla="*/ 586479 h 932637"/>
            <a:gd name="connsiteX5" fmla="*/ 632583 w 2122979"/>
            <a:gd name="connsiteY5" fmla="*/ 870141 h 932637"/>
            <a:gd name="connsiteX6" fmla="*/ 14956 w 2122979"/>
            <a:gd name="connsiteY6" fmla="*/ 646496 h 932637"/>
            <a:gd name="connsiteX0" fmla="*/ 14956 w 2122979"/>
            <a:gd name="connsiteY0" fmla="*/ 646496 h 933566"/>
            <a:gd name="connsiteX1" fmla="*/ 1087558 w 2122979"/>
            <a:gd name="connsiteY1" fmla="*/ 1 h 933566"/>
            <a:gd name="connsiteX2" fmla="*/ 2122979 w 2122979"/>
            <a:gd name="connsiteY2" fmla="*/ 648605 h 933566"/>
            <a:gd name="connsiteX3" fmla="*/ 1535356 w 2122979"/>
            <a:gd name="connsiteY3" fmla="*/ 891004 h 933566"/>
            <a:gd name="connsiteX4" fmla="*/ 1078721 w 2122979"/>
            <a:gd name="connsiteY4" fmla="*/ 586479 h 933566"/>
            <a:gd name="connsiteX5" fmla="*/ 632583 w 2122979"/>
            <a:gd name="connsiteY5" fmla="*/ 870141 h 933566"/>
            <a:gd name="connsiteX6" fmla="*/ 14956 w 2122979"/>
            <a:gd name="connsiteY6" fmla="*/ 646496 h 933566"/>
            <a:gd name="connsiteX0" fmla="*/ 15369 w 2123392"/>
            <a:gd name="connsiteY0" fmla="*/ 654679 h 941749"/>
            <a:gd name="connsiteX1" fmla="*/ 1087971 w 2123392"/>
            <a:gd name="connsiteY1" fmla="*/ 8184 h 941749"/>
            <a:gd name="connsiteX2" fmla="*/ 2123392 w 2123392"/>
            <a:gd name="connsiteY2" fmla="*/ 656788 h 941749"/>
            <a:gd name="connsiteX3" fmla="*/ 1535769 w 2123392"/>
            <a:gd name="connsiteY3" fmla="*/ 899187 h 941749"/>
            <a:gd name="connsiteX4" fmla="*/ 1079134 w 2123392"/>
            <a:gd name="connsiteY4" fmla="*/ 594662 h 941749"/>
            <a:gd name="connsiteX5" fmla="*/ 632996 w 2123392"/>
            <a:gd name="connsiteY5" fmla="*/ 878324 h 941749"/>
            <a:gd name="connsiteX6" fmla="*/ 15369 w 2123392"/>
            <a:gd name="connsiteY6" fmla="*/ 654679 h 941749"/>
            <a:gd name="connsiteX0" fmla="*/ 15500 w 2123523"/>
            <a:gd name="connsiteY0" fmla="*/ 646614 h 933684"/>
            <a:gd name="connsiteX1" fmla="*/ 1088102 w 2123523"/>
            <a:gd name="connsiteY1" fmla="*/ 119 h 933684"/>
            <a:gd name="connsiteX2" fmla="*/ 2123523 w 2123523"/>
            <a:gd name="connsiteY2" fmla="*/ 648723 h 933684"/>
            <a:gd name="connsiteX3" fmla="*/ 1535900 w 2123523"/>
            <a:gd name="connsiteY3" fmla="*/ 891122 h 933684"/>
            <a:gd name="connsiteX4" fmla="*/ 1079265 w 2123523"/>
            <a:gd name="connsiteY4" fmla="*/ 586597 h 933684"/>
            <a:gd name="connsiteX5" fmla="*/ 633127 w 2123523"/>
            <a:gd name="connsiteY5" fmla="*/ 870259 h 933684"/>
            <a:gd name="connsiteX6" fmla="*/ 15500 w 2123523"/>
            <a:gd name="connsiteY6" fmla="*/ 646614 h 933684"/>
            <a:gd name="connsiteX0" fmla="*/ 15500 w 2123523"/>
            <a:gd name="connsiteY0" fmla="*/ 646627 h 933697"/>
            <a:gd name="connsiteX1" fmla="*/ 1088102 w 2123523"/>
            <a:gd name="connsiteY1" fmla="*/ 132 h 933697"/>
            <a:gd name="connsiteX2" fmla="*/ 2123523 w 2123523"/>
            <a:gd name="connsiteY2" fmla="*/ 648736 h 933697"/>
            <a:gd name="connsiteX3" fmla="*/ 1535900 w 2123523"/>
            <a:gd name="connsiteY3" fmla="*/ 891135 h 933697"/>
            <a:gd name="connsiteX4" fmla="*/ 1079265 w 2123523"/>
            <a:gd name="connsiteY4" fmla="*/ 586610 h 933697"/>
            <a:gd name="connsiteX5" fmla="*/ 633127 w 2123523"/>
            <a:gd name="connsiteY5" fmla="*/ 870272 h 933697"/>
            <a:gd name="connsiteX6" fmla="*/ 15500 w 2123523"/>
            <a:gd name="connsiteY6" fmla="*/ 646627 h 933697"/>
            <a:gd name="connsiteX0" fmla="*/ 15500 w 2123523"/>
            <a:gd name="connsiteY0" fmla="*/ 593709 h 880779"/>
            <a:gd name="connsiteX1" fmla="*/ 1088102 w 2123523"/>
            <a:gd name="connsiteY1" fmla="*/ 150 h 880779"/>
            <a:gd name="connsiteX2" fmla="*/ 2123523 w 2123523"/>
            <a:gd name="connsiteY2" fmla="*/ 595818 h 880779"/>
            <a:gd name="connsiteX3" fmla="*/ 1535900 w 2123523"/>
            <a:gd name="connsiteY3" fmla="*/ 838217 h 880779"/>
            <a:gd name="connsiteX4" fmla="*/ 1079265 w 2123523"/>
            <a:gd name="connsiteY4" fmla="*/ 533692 h 880779"/>
            <a:gd name="connsiteX5" fmla="*/ 633127 w 2123523"/>
            <a:gd name="connsiteY5" fmla="*/ 817354 h 880779"/>
            <a:gd name="connsiteX6" fmla="*/ 15500 w 2123523"/>
            <a:gd name="connsiteY6" fmla="*/ 593709 h 880779"/>
            <a:gd name="connsiteX0" fmla="*/ 16115 w 2124138"/>
            <a:gd name="connsiteY0" fmla="*/ 611348 h 898418"/>
            <a:gd name="connsiteX1" fmla="*/ 1052858 w 2124138"/>
            <a:gd name="connsiteY1" fmla="*/ 143 h 898418"/>
            <a:gd name="connsiteX2" fmla="*/ 2124138 w 2124138"/>
            <a:gd name="connsiteY2" fmla="*/ 613457 h 898418"/>
            <a:gd name="connsiteX3" fmla="*/ 1536515 w 2124138"/>
            <a:gd name="connsiteY3" fmla="*/ 855856 h 898418"/>
            <a:gd name="connsiteX4" fmla="*/ 1079880 w 2124138"/>
            <a:gd name="connsiteY4" fmla="*/ 551331 h 898418"/>
            <a:gd name="connsiteX5" fmla="*/ 633742 w 2124138"/>
            <a:gd name="connsiteY5" fmla="*/ 834993 h 898418"/>
            <a:gd name="connsiteX6" fmla="*/ 16115 w 2124138"/>
            <a:gd name="connsiteY6" fmla="*/ 611348 h 898418"/>
            <a:gd name="connsiteX0" fmla="*/ 16115 w 2124138"/>
            <a:gd name="connsiteY0" fmla="*/ 611348 h 909608"/>
            <a:gd name="connsiteX1" fmla="*/ 1052858 w 2124138"/>
            <a:gd name="connsiteY1" fmla="*/ 143 h 909608"/>
            <a:gd name="connsiteX2" fmla="*/ 2124138 w 2124138"/>
            <a:gd name="connsiteY2" fmla="*/ 613457 h 909608"/>
            <a:gd name="connsiteX3" fmla="*/ 1536515 w 2124138"/>
            <a:gd name="connsiteY3" fmla="*/ 855856 h 909608"/>
            <a:gd name="connsiteX4" fmla="*/ 1079880 w 2124138"/>
            <a:gd name="connsiteY4" fmla="*/ 551331 h 909608"/>
            <a:gd name="connsiteX5" fmla="*/ 633742 w 2124138"/>
            <a:gd name="connsiteY5" fmla="*/ 834993 h 909608"/>
            <a:gd name="connsiteX6" fmla="*/ 16115 w 2124138"/>
            <a:gd name="connsiteY6" fmla="*/ 611348 h 909608"/>
            <a:gd name="connsiteX0" fmla="*/ 12655 w 2120678"/>
            <a:gd name="connsiteY0" fmla="*/ 611335 h 909595"/>
            <a:gd name="connsiteX1" fmla="*/ 1049398 w 2120678"/>
            <a:gd name="connsiteY1" fmla="*/ 130 h 909595"/>
            <a:gd name="connsiteX2" fmla="*/ 2120678 w 2120678"/>
            <a:gd name="connsiteY2" fmla="*/ 613444 h 909595"/>
            <a:gd name="connsiteX3" fmla="*/ 1533055 w 2120678"/>
            <a:gd name="connsiteY3" fmla="*/ 855843 h 909595"/>
            <a:gd name="connsiteX4" fmla="*/ 1076420 w 2120678"/>
            <a:gd name="connsiteY4" fmla="*/ 551318 h 909595"/>
            <a:gd name="connsiteX5" fmla="*/ 630282 w 2120678"/>
            <a:gd name="connsiteY5" fmla="*/ 834980 h 909595"/>
            <a:gd name="connsiteX6" fmla="*/ 12655 w 2120678"/>
            <a:gd name="connsiteY6" fmla="*/ 611335 h 909595"/>
            <a:gd name="connsiteX0" fmla="*/ 12655 w 2120678"/>
            <a:gd name="connsiteY0" fmla="*/ 611335 h 926616"/>
            <a:gd name="connsiteX1" fmla="*/ 1049398 w 2120678"/>
            <a:gd name="connsiteY1" fmla="*/ 130 h 926616"/>
            <a:gd name="connsiteX2" fmla="*/ 2120678 w 2120678"/>
            <a:gd name="connsiteY2" fmla="*/ 613444 h 926616"/>
            <a:gd name="connsiteX3" fmla="*/ 1533055 w 2120678"/>
            <a:gd name="connsiteY3" fmla="*/ 855843 h 926616"/>
            <a:gd name="connsiteX4" fmla="*/ 1076420 w 2120678"/>
            <a:gd name="connsiteY4" fmla="*/ 551318 h 926616"/>
            <a:gd name="connsiteX5" fmla="*/ 630282 w 2120678"/>
            <a:gd name="connsiteY5" fmla="*/ 834980 h 926616"/>
            <a:gd name="connsiteX6" fmla="*/ 12655 w 2120678"/>
            <a:gd name="connsiteY6" fmla="*/ 611335 h 926616"/>
            <a:gd name="connsiteX0" fmla="*/ 12487 w 2093616"/>
            <a:gd name="connsiteY0" fmla="*/ 673218 h 956118"/>
            <a:gd name="connsiteX1" fmla="*/ 1022336 w 2093616"/>
            <a:gd name="connsiteY1" fmla="*/ 253 h 956118"/>
            <a:gd name="connsiteX2" fmla="*/ 2093616 w 2093616"/>
            <a:gd name="connsiteY2" fmla="*/ 613567 h 956118"/>
            <a:gd name="connsiteX3" fmla="*/ 1505993 w 2093616"/>
            <a:gd name="connsiteY3" fmla="*/ 855966 h 956118"/>
            <a:gd name="connsiteX4" fmla="*/ 1049358 w 2093616"/>
            <a:gd name="connsiteY4" fmla="*/ 551441 h 956118"/>
            <a:gd name="connsiteX5" fmla="*/ 603220 w 2093616"/>
            <a:gd name="connsiteY5" fmla="*/ 835103 h 956118"/>
            <a:gd name="connsiteX6" fmla="*/ 12487 w 2093616"/>
            <a:gd name="connsiteY6" fmla="*/ 673218 h 956118"/>
            <a:gd name="connsiteX0" fmla="*/ 19624 w 2100753"/>
            <a:gd name="connsiteY0" fmla="*/ 673218 h 956118"/>
            <a:gd name="connsiteX1" fmla="*/ 1029473 w 2100753"/>
            <a:gd name="connsiteY1" fmla="*/ 253 h 956118"/>
            <a:gd name="connsiteX2" fmla="*/ 2100753 w 2100753"/>
            <a:gd name="connsiteY2" fmla="*/ 613567 h 956118"/>
            <a:gd name="connsiteX3" fmla="*/ 1513130 w 2100753"/>
            <a:gd name="connsiteY3" fmla="*/ 855966 h 956118"/>
            <a:gd name="connsiteX4" fmla="*/ 1056495 w 2100753"/>
            <a:gd name="connsiteY4" fmla="*/ 551441 h 956118"/>
            <a:gd name="connsiteX5" fmla="*/ 610357 w 2100753"/>
            <a:gd name="connsiteY5" fmla="*/ 835103 h 956118"/>
            <a:gd name="connsiteX6" fmla="*/ 19624 w 2100753"/>
            <a:gd name="connsiteY6" fmla="*/ 673218 h 956118"/>
            <a:gd name="connsiteX0" fmla="*/ 515 w 2081644"/>
            <a:gd name="connsiteY0" fmla="*/ 673218 h 956118"/>
            <a:gd name="connsiteX1" fmla="*/ 1010364 w 2081644"/>
            <a:gd name="connsiteY1" fmla="*/ 253 h 956118"/>
            <a:gd name="connsiteX2" fmla="*/ 2081644 w 2081644"/>
            <a:gd name="connsiteY2" fmla="*/ 613567 h 956118"/>
            <a:gd name="connsiteX3" fmla="*/ 1494021 w 2081644"/>
            <a:gd name="connsiteY3" fmla="*/ 855966 h 956118"/>
            <a:gd name="connsiteX4" fmla="*/ 1037386 w 2081644"/>
            <a:gd name="connsiteY4" fmla="*/ 551441 h 956118"/>
            <a:gd name="connsiteX5" fmla="*/ 591248 w 2081644"/>
            <a:gd name="connsiteY5" fmla="*/ 835103 h 956118"/>
            <a:gd name="connsiteX6" fmla="*/ 515 w 2081644"/>
            <a:gd name="connsiteY6" fmla="*/ 673218 h 956118"/>
            <a:gd name="connsiteX0" fmla="*/ 515 w 2081644"/>
            <a:gd name="connsiteY0" fmla="*/ 673218 h 933045"/>
            <a:gd name="connsiteX1" fmla="*/ 1010364 w 2081644"/>
            <a:gd name="connsiteY1" fmla="*/ 253 h 933045"/>
            <a:gd name="connsiteX2" fmla="*/ 2081644 w 2081644"/>
            <a:gd name="connsiteY2" fmla="*/ 613567 h 933045"/>
            <a:gd name="connsiteX3" fmla="*/ 1494021 w 2081644"/>
            <a:gd name="connsiteY3" fmla="*/ 855966 h 933045"/>
            <a:gd name="connsiteX4" fmla="*/ 1037386 w 2081644"/>
            <a:gd name="connsiteY4" fmla="*/ 551441 h 933045"/>
            <a:gd name="connsiteX5" fmla="*/ 591248 w 2081644"/>
            <a:gd name="connsiteY5" fmla="*/ 835103 h 933045"/>
            <a:gd name="connsiteX6" fmla="*/ 515 w 2081644"/>
            <a:gd name="connsiteY6" fmla="*/ 673218 h 933045"/>
            <a:gd name="connsiteX0" fmla="*/ 515 w 2081644"/>
            <a:gd name="connsiteY0" fmla="*/ 673418 h 933245"/>
            <a:gd name="connsiteX1" fmla="*/ 1010364 w 2081644"/>
            <a:gd name="connsiteY1" fmla="*/ 453 h 933245"/>
            <a:gd name="connsiteX2" fmla="*/ 2081644 w 2081644"/>
            <a:gd name="connsiteY2" fmla="*/ 613767 h 933245"/>
            <a:gd name="connsiteX3" fmla="*/ 1494021 w 2081644"/>
            <a:gd name="connsiteY3" fmla="*/ 856166 h 933245"/>
            <a:gd name="connsiteX4" fmla="*/ 1037386 w 2081644"/>
            <a:gd name="connsiteY4" fmla="*/ 551641 h 933245"/>
            <a:gd name="connsiteX5" fmla="*/ 591248 w 2081644"/>
            <a:gd name="connsiteY5" fmla="*/ 835303 h 933245"/>
            <a:gd name="connsiteX6" fmla="*/ 515 w 2081644"/>
            <a:gd name="connsiteY6" fmla="*/ 673418 h 933245"/>
            <a:gd name="connsiteX0" fmla="*/ 515 w 2081644"/>
            <a:gd name="connsiteY0" fmla="*/ 673418 h 933245"/>
            <a:gd name="connsiteX1" fmla="*/ 1010364 w 2081644"/>
            <a:gd name="connsiteY1" fmla="*/ 453 h 933245"/>
            <a:gd name="connsiteX2" fmla="*/ 2081644 w 2081644"/>
            <a:gd name="connsiteY2" fmla="*/ 613767 h 933245"/>
            <a:gd name="connsiteX3" fmla="*/ 1494021 w 2081644"/>
            <a:gd name="connsiteY3" fmla="*/ 856166 h 933245"/>
            <a:gd name="connsiteX4" fmla="*/ 1037386 w 2081644"/>
            <a:gd name="connsiteY4" fmla="*/ 551641 h 933245"/>
            <a:gd name="connsiteX5" fmla="*/ 591248 w 2081644"/>
            <a:gd name="connsiteY5" fmla="*/ 835303 h 933245"/>
            <a:gd name="connsiteX6" fmla="*/ 515 w 2081644"/>
            <a:gd name="connsiteY6" fmla="*/ 673418 h 933245"/>
            <a:gd name="connsiteX0" fmla="*/ 515 w 2081644"/>
            <a:gd name="connsiteY0" fmla="*/ 673418 h 933245"/>
            <a:gd name="connsiteX1" fmla="*/ 1010364 w 2081644"/>
            <a:gd name="connsiteY1" fmla="*/ 453 h 933245"/>
            <a:gd name="connsiteX2" fmla="*/ 2081644 w 2081644"/>
            <a:gd name="connsiteY2" fmla="*/ 613767 h 933245"/>
            <a:gd name="connsiteX3" fmla="*/ 1494021 w 2081644"/>
            <a:gd name="connsiteY3" fmla="*/ 856166 h 933245"/>
            <a:gd name="connsiteX4" fmla="*/ 1037386 w 2081644"/>
            <a:gd name="connsiteY4" fmla="*/ 551641 h 933245"/>
            <a:gd name="connsiteX5" fmla="*/ 591248 w 2081644"/>
            <a:gd name="connsiteY5" fmla="*/ 835303 h 933245"/>
            <a:gd name="connsiteX6" fmla="*/ 515 w 2081644"/>
            <a:gd name="connsiteY6" fmla="*/ 673418 h 933245"/>
            <a:gd name="connsiteX0" fmla="*/ 510 w 2036816"/>
            <a:gd name="connsiteY0" fmla="*/ 673093 h 932920"/>
            <a:gd name="connsiteX1" fmla="*/ 1010359 w 2036816"/>
            <a:gd name="connsiteY1" fmla="*/ 128 h 932920"/>
            <a:gd name="connsiteX2" fmla="*/ 2036816 w 2036816"/>
            <a:gd name="connsiteY2" fmla="*/ 639911 h 932920"/>
            <a:gd name="connsiteX3" fmla="*/ 1494016 w 2036816"/>
            <a:gd name="connsiteY3" fmla="*/ 855841 h 932920"/>
            <a:gd name="connsiteX4" fmla="*/ 1037381 w 2036816"/>
            <a:gd name="connsiteY4" fmla="*/ 551316 h 932920"/>
            <a:gd name="connsiteX5" fmla="*/ 591243 w 2036816"/>
            <a:gd name="connsiteY5" fmla="*/ 834978 h 932920"/>
            <a:gd name="connsiteX6" fmla="*/ 510 w 2036816"/>
            <a:gd name="connsiteY6" fmla="*/ 673093 h 932920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23863"/>
            <a:gd name="connsiteX1" fmla="*/ 1010358 w 2027850"/>
            <a:gd name="connsiteY1" fmla="*/ 453 h 923863"/>
            <a:gd name="connsiteX2" fmla="*/ 2027850 w 2027850"/>
            <a:gd name="connsiteY2" fmla="*/ 613768 h 923863"/>
            <a:gd name="connsiteX3" fmla="*/ 1494015 w 2027850"/>
            <a:gd name="connsiteY3" fmla="*/ 856166 h 923863"/>
            <a:gd name="connsiteX4" fmla="*/ 1037380 w 2027850"/>
            <a:gd name="connsiteY4" fmla="*/ 551641 h 923863"/>
            <a:gd name="connsiteX5" fmla="*/ 591242 w 2027850"/>
            <a:gd name="connsiteY5" fmla="*/ 835303 h 923863"/>
            <a:gd name="connsiteX6" fmla="*/ 509 w 2027850"/>
            <a:gd name="connsiteY6" fmla="*/ 673418 h 923863"/>
            <a:gd name="connsiteX0" fmla="*/ 509 w 2027850"/>
            <a:gd name="connsiteY0" fmla="*/ 673418 h 917826"/>
            <a:gd name="connsiteX1" fmla="*/ 1010358 w 2027850"/>
            <a:gd name="connsiteY1" fmla="*/ 453 h 917826"/>
            <a:gd name="connsiteX2" fmla="*/ 2027850 w 2027850"/>
            <a:gd name="connsiteY2" fmla="*/ 613768 h 917826"/>
            <a:gd name="connsiteX3" fmla="*/ 1494015 w 2027850"/>
            <a:gd name="connsiteY3" fmla="*/ 856166 h 917826"/>
            <a:gd name="connsiteX4" fmla="*/ 1037380 w 2027850"/>
            <a:gd name="connsiteY4" fmla="*/ 551641 h 917826"/>
            <a:gd name="connsiteX5" fmla="*/ 591242 w 2027850"/>
            <a:gd name="connsiteY5" fmla="*/ 835303 h 917826"/>
            <a:gd name="connsiteX6" fmla="*/ 509 w 2027850"/>
            <a:gd name="connsiteY6" fmla="*/ 673418 h 917826"/>
            <a:gd name="connsiteX0" fmla="*/ 699 w 2028040"/>
            <a:gd name="connsiteY0" fmla="*/ 673458 h 917866"/>
            <a:gd name="connsiteX1" fmla="*/ 1010548 w 2028040"/>
            <a:gd name="connsiteY1" fmla="*/ 493 h 917866"/>
            <a:gd name="connsiteX2" fmla="*/ 2028040 w 2028040"/>
            <a:gd name="connsiteY2" fmla="*/ 613808 h 917866"/>
            <a:gd name="connsiteX3" fmla="*/ 1494205 w 2028040"/>
            <a:gd name="connsiteY3" fmla="*/ 856206 h 917866"/>
            <a:gd name="connsiteX4" fmla="*/ 1037570 w 2028040"/>
            <a:gd name="connsiteY4" fmla="*/ 551681 h 917866"/>
            <a:gd name="connsiteX5" fmla="*/ 591432 w 2028040"/>
            <a:gd name="connsiteY5" fmla="*/ 835343 h 917866"/>
            <a:gd name="connsiteX6" fmla="*/ 699 w 2028040"/>
            <a:gd name="connsiteY6" fmla="*/ 673458 h 917866"/>
            <a:gd name="connsiteX0" fmla="*/ 700 w 2028041"/>
            <a:gd name="connsiteY0" fmla="*/ 672983 h 917391"/>
            <a:gd name="connsiteX1" fmla="*/ 1010549 w 2028041"/>
            <a:gd name="connsiteY1" fmla="*/ 18 h 917391"/>
            <a:gd name="connsiteX2" fmla="*/ 2028041 w 2028041"/>
            <a:gd name="connsiteY2" fmla="*/ 613333 h 917391"/>
            <a:gd name="connsiteX3" fmla="*/ 1494206 w 2028041"/>
            <a:gd name="connsiteY3" fmla="*/ 855731 h 917391"/>
            <a:gd name="connsiteX4" fmla="*/ 1037571 w 2028041"/>
            <a:gd name="connsiteY4" fmla="*/ 551206 h 917391"/>
            <a:gd name="connsiteX5" fmla="*/ 591433 w 2028041"/>
            <a:gd name="connsiteY5" fmla="*/ 834868 h 917391"/>
            <a:gd name="connsiteX6" fmla="*/ 700 w 2028041"/>
            <a:gd name="connsiteY6" fmla="*/ 672983 h 917391"/>
            <a:gd name="connsiteX0" fmla="*/ 712 w 2028053"/>
            <a:gd name="connsiteY0" fmla="*/ 614403 h 858811"/>
            <a:gd name="connsiteX1" fmla="*/ 1001628 w 2028053"/>
            <a:gd name="connsiteY1" fmla="*/ 22 h 858811"/>
            <a:gd name="connsiteX2" fmla="*/ 2028053 w 2028053"/>
            <a:gd name="connsiteY2" fmla="*/ 554753 h 858811"/>
            <a:gd name="connsiteX3" fmla="*/ 1494218 w 2028053"/>
            <a:gd name="connsiteY3" fmla="*/ 797151 h 858811"/>
            <a:gd name="connsiteX4" fmla="*/ 1037583 w 2028053"/>
            <a:gd name="connsiteY4" fmla="*/ 492626 h 858811"/>
            <a:gd name="connsiteX5" fmla="*/ 591445 w 2028053"/>
            <a:gd name="connsiteY5" fmla="*/ 776288 h 858811"/>
            <a:gd name="connsiteX6" fmla="*/ 712 w 2028053"/>
            <a:gd name="connsiteY6" fmla="*/ 614403 h 858811"/>
            <a:gd name="connsiteX0" fmla="*/ 678 w 2028019"/>
            <a:gd name="connsiteY0" fmla="*/ 640438 h 884846"/>
            <a:gd name="connsiteX1" fmla="*/ 1028394 w 2028019"/>
            <a:gd name="connsiteY1" fmla="*/ 19 h 884846"/>
            <a:gd name="connsiteX2" fmla="*/ 2028019 w 2028019"/>
            <a:gd name="connsiteY2" fmla="*/ 580788 h 884846"/>
            <a:gd name="connsiteX3" fmla="*/ 1494184 w 2028019"/>
            <a:gd name="connsiteY3" fmla="*/ 823186 h 884846"/>
            <a:gd name="connsiteX4" fmla="*/ 1037549 w 2028019"/>
            <a:gd name="connsiteY4" fmla="*/ 518661 h 884846"/>
            <a:gd name="connsiteX5" fmla="*/ 591411 w 2028019"/>
            <a:gd name="connsiteY5" fmla="*/ 802323 h 884846"/>
            <a:gd name="connsiteX6" fmla="*/ 678 w 2028019"/>
            <a:gd name="connsiteY6" fmla="*/ 640438 h 884846"/>
            <a:gd name="connsiteX0" fmla="*/ 712 w 2028053"/>
            <a:gd name="connsiteY0" fmla="*/ 666474 h 910882"/>
            <a:gd name="connsiteX1" fmla="*/ 1001628 w 2028053"/>
            <a:gd name="connsiteY1" fmla="*/ 17 h 910882"/>
            <a:gd name="connsiteX2" fmla="*/ 2028053 w 2028053"/>
            <a:gd name="connsiteY2" fmla="*/ 606824 h 910882"/>
            <a:gd name="connsiteX3" fmla="*/ 1494218 w 2028053"/>
            <a:gd name="connsiteY3" fmla="*/ 849222 h 910882"/>
            <a:gd name="connsiteX4" fmla="*/ 1037583 w 2028053"/>
            <a:gd name="connsiteY4" fmla="*/ 544697 h 910882"/>
            <a:gd name="connsiteX5" fmla="*/ 591445 w 2028053"/>
            <a:gd name="connsiteY5" fmla="*/ 828359 h 910882"/>
            <a:gd name="connsiteX6" fmla="*/ 712 w 2028053"/>
            <a:gd name="connsiteY6" fmla="*/ 666474 h 910882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494172 w 2028007"/>
            <a:gd name="connsiteY3" fmla="*/ 82969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494172 w 2028007"/>
            <a:gd name="connsiteY3" fmla="*/ 82969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512039 w 2028007"/>
            <a:gd name="connsiteY3" fmla="*/ 82318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512039 w 2028007"/>
            <a:gd name="connsiteY3" fmla="*/ 82318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932"/>
            <a:gd name="connsiteY0" fmla="*/ 646948 h 891356"/>
            <a:gd name="connsiteX1" fmla="*/ 1037315 w 2028932"/>
            <a:gd name="connsiteY1" fmla="*/ 19 h 891356"/>
            <a:gd name="connsiteX2" fmla="*/ 2028007 w 2028932"/>
            <a:gd name="connsiteY2" fmla="*/ 587298 h 891356"/>
            <a:gd name="connsiteX3" fmla="*/ 1512039 w 2028932"/>
            <a:gd name="connsiteY3" fmla="*/ 823186 h 891356"/>
            <a:gd name="connsiteX4" fmla="*/ 1037537 w 2028932"/>
            <a:gd name="connsiteY4" fmla="*/ 525171 h 891356"/>
            <a:gd name="connsiteX5" fmla="*/ 591399 w 2028932"/>
            <a:gd name="connsiteY5" fmla="*/ 808833 h 891356"/>
            <a:gd name="connsiteX6" fmla="*/ 666 w 2028932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512039 w 2028007"/>
            <a:gd name="connsiteY3" fmla="*/ 82318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1280 w 2028621"/>
            <a:gd name="connsiteY0" fmla="*/ 646948 h 891356"/>
            <a:gd name="connsiteX1" fmla="*/ 1037929 w 2028621"/>
            <a:gd name="connsiteY1" fmla="*/ 19 h 891356"/>
            <a:gd name="connsiteX2" fmla="*/ 2028621 w 2028621"/>
            <a:gd name="connsiteY2" fmla="*/ 587298 h 891356"/>
            <a:gd name="connsiteX3" fmla="*/ 1512653 w 2028621"/>
            <a:gd name="connsiteY3" fmla="*/ 823186 h 891356"/>
            <a:gd name="connsiteX4" fmla="*/ 1038151 w 2028621"/>
            <a:gd name="connsiteY4" fmla="*/ 525171 h 891356"/>
            <a:gd name="connsiteX5" fmla="*/ 592013 w 2028621"/>
            <a:gd name="connsiteY5" fmla="*/ 808833 h 891356"/>
            <a:gd name="connsiteX6" fmla="*/ 1280 w 2028621"/>
            <a:gd name="connsiteY6" fmla="*/ 646948 h 891356"/>
            <a:gd name="connsiteX0" fmla="*/ 1280 w 2028621"/>
            <a:gd name="connsiteY0" fmla="*/ 646948 h 878741"/>
            <a:gd name="connsiteX1" fmla="*/ 1037929 w 2028621"/>
            <a:gd name="connsiteY1" fmla="*/ 19 h 878741"/>
            <a:gd name="connsiteX2" fmla="*/ 2028621 w 2028621"/>
            <a:gd name="connsiteY2" fmla="*/ 587298 h 878741"/>
            <a:gd name="connsiteX3" fmla="*/ 1512653 w 2028621"/>
            <a:gd name="connsiteY3" fmla="*/ 823186 h 878741"/>
            <a:gd name="connsiteX4" fmla="*/ 1038151 w 2028621"/>
            <a:gd name="connsiteY4" fmla="*/ 525171 h 878741"/>
            <a:gd name="connsiteX5" fmla="*/ 592013 w 2028621"/>
            <a:gd name="connsiteY5" fmla="*/ 808833 h 878741"/>
            <a:gd name="connsiteX6" fmla="*/ 1280 w 2028621"/>
            <a:gd name="connsiteY6" fmla="*/ 646948 h 878741"/>
            <a:gd name="connsiteX0" fmla="*/ 1280 w 2028621"/>
            <a:gd name="connsiteY0" fmla="*/ 646948 h 862293"/>
            <a:gd name="connsiteX1" fmla="*/ 1037929 w 2028621"/>
            <a:gd name="connsiteY1" fmla="*/ 19 h 862293"/>
            <a:gd name="connsiteX2" fmla="*/ 2028621 w 2028621"/>
            <a:gd name="connsiteY2" fmla="*/ 587298 h 862293"/>
            <a:gd name="connsiteX3" fmla="*/ 1512653 w 2028621"/>
            <a:gd name="connsiteY3" fmla="*/ 823186 h 862293"/>
            <a:gd name="connsiteX4" fmla="*/ 1038151 w 2028621"/>
            <a:gd name="connsiteY4" fmla="*/ 525171 h 862293"/>
            <a:gd name="connsiteX5" fmla="*/ 592013 w 2028621"/>
            <a:gd name="connsiteY5" fmla="*/ 808833 h 862293"/>
            <a:gd name="connsiteX6" fmla="*/ 1280 w 2028621"/>
            <a:gd name="connsiteY6" fmla="*/ 646948 h 862293"/>
            <a:gd name="connsiteX0" fmla="*/ 1280 w 2028621"/>
            <a:gd name="connsiteY0" fmla="*/ 646948 h 862293"/>
            <a:gd name="connsiteX1" fmla="*/ 1037929 w 2028621"/>
            <a:gd name="connsiteY1" fmla="*/ 19 h 862293"/>
            <a:gd name="connsiteX2" fmla="*/ 2028621 w 2028621"/>
            <a:gd name="connsiteY2" fmla="*/ 587298 h 862293"/>
            <a:gd name="connsiteX3" fmla="*/ 1539453 w 2028621"/>
            <a:gd name="connsiteY3" fmla="*/ 803658 h 862293"/>
            <a:gd name="connsiteX4" fmla="*/ 1038151 w 2028621"/>
            <a:gd name="connsiteY4" fmla="*/ 525171 h 862293"/>
            <a:gd name="connsiteX5" fmla="*/ 592013 w 2028621"/>
            <a:gd name="connsiteY5" fmla="*/ 808833 h 862293"/>
            <a:gd name="connsiteX6" fmla="*/ 1280 w 2028621"/>
            <a:gd name="connsiteY6" fmla="*/ 646948 h 86229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539453 w 2028621"/>
            <a:gd name="connsiteY3" fmla="*/ 80365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476920 w 2028621"/>
            <a:gd name="connsiteY3" fmla="*/ 79714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476920 w 2028621"/>
            <a:gd name="connsiteY3" fmla="*/ 79714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476920 w 2028621"/>
            <a:gd name="connsiteY3" fmla="*/ 79714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36692"/>
            <a:gd name="connsiteX1" fmla="*/ 1037929 w 2028621"/>
            <a:gd name="connsiteY1" fmla="*/ 19 h 836692"/>
            <a:gd name="connsiteX2" fmla="*/ 2028621 w 2028621"/>
            <a:gd name="connsiteY2" fmla="*/ 587298 h 836692"/>
            <a:gd name="connsiteX3" fmla="*/ 1476920 w 2028621"/>
            <a:gd name="connsiteY3" fmla="*/ 797148 h 836692"/>
            <a:gd name="connsiteX4" fmla="*/ 1038151 w 2028621"/>
            <a:gd name="connsiteY4" fmla="*/ 525171 h 836692"/>
            <a:gd name="connsiteX5" fmla="*/ 574411 w 2028621"/>
            <a:gd name="connsiteY5" fmla="*/ 769942 h 836692"/>
            <a:gd name="connsiteX6" fmla="*/ 1280 w 2028621"/>
            <a:gd name="connsiteY6" fmla="*/ 646948 h 836692"/>
            <a:gd name="connsiteX0" fmla="*/ 951 w 2028292"/>
            <a:gd name="connsiteY0" fmla="*/ 614658 h 825453"/>
            <a:gd name="connsiteX1" fmla="*/ 1037600 w 2028292"/>
            <a:gd name="connsiteY1" fmla="*/ 69 h 825453"/>
            <a:gd name="connsiteX2" fmla="*/ 2028292 w 2028292"/>
            <a:gd name="connsiteY2" fmla="*/ 587348 h 825453"/>
            <a:gd name="connsiteX3" fmla="*/ 1476591 w 2028292"/>
            <a:gd name="connsiteY3" fmla="*/ 797198 h 825453"/>
            <a:gd name="connsiteX4" fmla="*/ 1037822 w 2028292"/>
            <a:gd name="connsiteY4" fmla="*/ 525221 h 825453"/>
            <a:gd name="connsiteX5" fmla="*/ 574082 w 2028292"/>
            <a:gd name="connsiteY5" fmla="*/ 769992 h 825453"/>
            <a:gd name="connsiteX6" fmla="*/ 951 w 2028292"/>
            <a:gd name="connsiteY6" fmla="*/ 614658 h 825453"/>
            <a:gd name="connsiteX0" fmla="*/ 972 w 2028313"/>
            <a:gd name="connsiteY0" fmla="*/ 582331 h 793126"/>
            <a:gd name="connsiteX1" fmla="*/ 1020282 w 2028313"/>
            <a:gd name="connsiteY1" fmla="*/ 82 h 793126"/>
            <a:gd name="connsiteX2" fmla="*/ 2028313 w 2028313"/>
            <a:gd name="connsiteY2" fmla="*/ 555021 h 793126"/>
            <a:gd name="connsiteX3" fmla="*/ 1476612 w 2028313"/>
            <a:gd name="connsiteY3" fmla="*/ 764871 h 793126"/>
            <a:gd name="connsiteX4" fmla="*/ 1037843 w 2028313"/>
            <a:gd name="connsiteY4" fmla="*/ 492894 h 793126"/>
            <a:gd name="connsiteX5" fmla="*/ 574103 w 2028313"/>
            <a:gd name="connsiteY5" fmla="*/ 737665 h 793126"/>
            <a:gd name="connsiteX6" fmla="*/ 972 w 2028313"/>
            <a:gd name="connsiteY6" fmla="*/ 582331 h 793126"/>
            <a:gd name="connsiteX0" fmla="*/ 962 w 2028303"/>
            <a:gd name="connsiteY0" fmla="*/ 608192 h 818987"/>
            <a:gd name="connsiteX1" fmla="*/ 1028941 w 2028303"/>
            <a:gd name="connsiteY1" fmla="*/ 71 h 818987"/>
            <a:gd name="connsiteX2" fmla="*/ 2028303 w 2028303"/>
            <a:gd name="connsiteY2" fmla="*/ 580882 h 818987"/>
            <a:gd name="connsiteX3" fmla="*/ 1476602 w 2028303"/>
            <a:gd name="connsiteY3" fmla="*/ 790732 h 818987"/>
            <a:gd name="connsiteX4" fmla="*/ 1037833 w 2028303"/>
            <a:gd name="connsiteY4" fmla="*/ 518755 h 818987"/>
            <a:gd name="connsiteX5" fmla="*/ 574093 w 2028303"/>
            <a:gd name="connsiteY5" fmla="*/ 763526 h 818987"/>
            <a:gd name="connsiteX6" fmla="*/ 962 w 2028303"/>
            <a:gd name="connsiteY6" fmla="*/ 608192 h 818987"/>
            <a:gd name="connsiteX0" fmla="*/ 962 w 2028303"/>
            <a:gd name="connsiteY0" fmla="*/ 608192 h 824659"/>
            <a:gd name="connsiteX1" fmla="*/ 1028941 w 2028303"/>
            <a:gd name="connsiteY1" fmla="*/ 71 h 824659"/>
            <a:gd name="connsiteX2" fmla="*/ 2028303 w 2028303"/>
            <a:gd name="connsiteY2" fmla="*/ 580882 h 824659"/>
            <a:gd name="connsiteX3" fmla="*/ 1476602 w 2028303"/>
            <a:gd name="connsiteY3" fmla="*/ 790732 h 824659"/>
            <a:gd name="connsiteX4" fmla="*/ 1037833 w 2028303"/>
            <a:gd name="connsiteY4" fmla="*/ 518755 h 824659"/>
            <a:gd name="connsiteX5" fmla="*/ 574093 w 2028303"/>
            <a:gd name="connsiteY5" fmla="*/ 763526 h 824659"/>
            <a:gd name="connsiteX6" fmla="*/ 962 w 2028303"/>
            <a:gd name="connsiteY6" fmla="*/ 608192 h 824659"/>
            <a:gd name="connsiteX0" fmla="*/ 955 w 1996185"/>
            <a:gd name="connsiteY0" fmla="*/ 608151 h 827499"/>
            <a:gd name="connsiteX1" fmla="*/ 1028934 w 1996185"/>
            <a:gd name="connsiteY1" fmla="*/ 30 h 827499"/>
            <a:gd name="connsiteX2" fmla="*/ 1996185 w 1996185"/>
            <a:gd name="connsiteY2" fmla="*/ 590419 h 827499"/>
            <a:gd name="connsiteX3" fmla="*/ 1476595 w 1996185"/>
            <a:gd name="connsiteY3" fmla="*/ 790691 h 827499"/>
            <a:gd name="connsiteX4" fmla="*/ 1037826 w 1996185"/>
            <a:gd name="connsiteY4" fmla="*/ 518714 h 827499"/>
            <a:gd name="connsiteX5" fmla="*/ 574086 w 1996185"/>
            <a:gd name="connsiteY5" fmla="*/ 763485 h 827499"/>
            <a:gd name="connsiteX6" fmla="*/ 955 w 1996185"/>
            <a:gd name="connsiteY6" fmla="*/ 608151 h 827499"/>
            <a:gd name="connsiteX0" fmla="*/ 951 w 1980125"/>
            <a:gd name="connsiteY0" fmla="*/ 608145 h 839400"/>
            <a:gd name="connsiteX1" fmla="*/ 1028930 w 1980125"/>
            <a:gd name="connsiteY1" fmla="*/ 24 h 839400"/>
            <a:gd name="connsiteX2" fmla="*/ 1980125 w 1980125"/>
            <a:gd name="connsiteY2" fmla="*/ 623939 h 839400"/>
            <a:gd name="connsiteX3" fmla="*/ 1476591 w 1980125"/>
            <a:gd name="connsiteY3" fmla="*/ 790685 h 839400"/>
            <a:gd name="connsiteX4" fmla="*/ 1037822 w 1980125"/>
            <a:gd name="connsiteY4" fmla="*/ 518708 h 839400"/>
            <a:gd name="connsiteX5" fmla="*/ 574082 w 1980125"/>
            <a:gd name="connsiteY5" fmla="*/ 763479 h 839400"/>
            <a:gd name="connsiteX6" fmla="*/ 951 w 1980125"/>
            <a:gd name="connsiteY6" fmla="*/ 608145 h 839400"/>
            <a:gd name="connsiteX0" fmla="*/ 951 w 1980125"/>
            <a:gd name="connsiteY0" fmla="*/ 608145 h 818940"/>
            <a:gd name="connsiteX1" fmla="*/ 1028930 w 1980125"/>
            <a:gd name="connsiteY1" fmla="*/ 24 h 818940"/>
            <a:gd name="connsiteX2" fmla="*/ 1980125 w 1980125"/>
            <a:gd name="connsiteY2" fmla="*/ 623939 h 818940"/>
            <a:gd name="connsiteX3" fmla="*/ 1476591 w 1980125"/>
            <a:gd name="connsiteY3" fmla="*/ 790685 h 818940"/>
            <a:gd name="connsiteX4" fmla="*/ 1037822 w 1980125"/>
            <a:gd name="connsiteY4" fmla="*/ 518708 h 818940"/>
            <a:gd name="connsiteX5" fmla="*/ 574082 w 1980125"/>
            <a:gd name="connsiteY5" fmla="*/ 763479 h 818940"/>
            <a:gd name="connsiteX6" fmla="*/ 951 w 1980125"/>
            <a:gd name="connsiteY6" fmla="*/ 608145 h 818940"/>
            <a:gd name="connsiteX0" fmla="*/ 951 w 1980125"/>
            <a:gd name="connsiteY0" fmla="*/ 608145 h 824240"/>
            <a:gd name="connsiteX1" fmla="*/ 1028930 w 1980125"/>
            <a:gd name="connsiteY1" fmla="*/ 24 h 824240"/>
            <a:gd name="connsiteX2" fmla="*/ 1980125 w 1980125"/>
            <a:gd name="connsiteY2" fmla="*/ 623939 h 824240"/>
            <a:gd name="connsiteX3" fmla="*/ 1476591 w 1980125"/>
            <a:gd name="connsiteY3" fmla="*/ 790685 h 824240"/>
            <a:gd name="connsiteX4" fmla="*/ 1037822 w 1980125"/>
            <a:gd name="connsiteY4" fmla="*/ 518708 h 824240"/>
            <a:gd name="connsiteX5" fmla="*/ 574082 w 1980125"/>
            <a:gd name="connsiteY5" fmla="*/ 763479 h 824240"/>
            <a:gd name="connsiteX6" fmla="*/ 951 w 1980125"/>
            <a:gd name="connsiteY6" fmla="*/ 608145 h 824240"/>
            <a:gd name="connsiteX0" fmla="*/ 951 w 1980125"/>
            <a:gd name="connsiteY0" fmla="*/ 608145 h 823040"/>
            <a:gd name="connsiteX1" fmla="*/ 1028930 w 1980125"/>
            <a:gd name="connsiteY1" fmla="*/ 24 h 823040"/>
            <a:gd name="connsiteX2" fmla="*/ 1980125 w 1980125"/>
            <a:gd name="connsiteY2" fmla="*/ 623939 h 823040"/>
            <a:gd name="connsiteX3" fmla="*/ 1476591 w 1980125"/>
            <a:gd name="connsiteY3" fmla="*/ 790685 h 823040"/>
            <a:gd name="connsiteX4" fmla="*/ 1037822 w 1980125"/>
            <a:gd name="connsiteY4" fmla="*/ 518708 h 823040"/>
            <a:gd name="connsiteX5" fmla="*/ 574082 w 1980125"/>
            <a:gd name="connsiteY5" fmla="*/ 763479 h 823040"/>
            <a:gd name="connsiteX6" fmla="*/ 951 w 1980125"/>
            <a:gd name="connsiteY6" fmla="*/ 608145 h 823040"/>
            <a:gd name="connsiteX0" fmla="*/ 951 w 1980125"/>
            <a:gd name="connsiteY0" fmla="*/ 608145 h 823040"/>
            <a:gd name="connsiteX1" fmla="*/ 1028930 w 1980125"/>
            <a:gd name="connsiteY1" fmla="*/ 24 h 823040"/>
            <a:gd name="connsiteX2" fmla="*/ 1980125 w 1980125"/>
            <a:gd name="connsiteY2" fmla="*/ 623939 h 823040"/>
            <a:gd name="connsiteX3" fmla="*/ 1476591 w 1980125"/>
            <a:gd name="connsiteY3" fmla="*/ 790685 h 823040"/>
            <a:gd name="connsiteX4" fmla="*/ 1037822 w 1980125"/>
            <a:gd name="connsiteY4" fmla="*/ 518708 h 823040"/>
            <a:gd name="connsiteX5" fmla="*/ 574082 w 1980125"/>
            <a:gd name="connsiteY5" fmla="*/ 763479 h 823040"/>
            <a:gd name="connsiteX6" fmla="*/ 951 w 1980125"/>
            <a:gd name="connsiteY6" fmla="*/ 608145 h 823040"/>
            <a:gd name="connsiteX0" fmla="*/ 975 w 1958742"/>
            <a:gd name="connsiteY0" fmla="*/ 680206 h 851069"/>
            <a:gd name="connsiteX1" fmla="*/ 1007547 w 1958742"/>
            <a:gd name="connsiteY1" fmla="*/ 244 h 851069"/>
            <a:gd name="connsiteX2" fmla="*/ 1958742 w 1958742"/>
            <a:gd name="connsiteY2" fmla="*/ 624159 h 851069"/>
            <a:gd name="connsiteX3" fmla="*/ 1455208 w 1958742"/>
            <a:gd name="connsiteY3" fmla="*/ 790905 h 851069"/>
            <a:gd name="connsiteX4" fmla="*/ 1016439 w 1958742"/>
            <a:gd name="connsiteY4" fmla="*/ 518928 h 851069"/>
            <a:gd name="connsiteX5" fmla="*/ 552699 w 1958742"/>
            <a:gd name="connsiteY5" fmla="*/ 763699 h 851069"/>
            <a:gd name="connsiteX6" fmla="*/ 975 w 1958742"/>
            <a:gd name="connsiteY6" fmla="*/ 680206 h 851069"/>
            <a:gd name="connsiteX0" fmla="*/ 975 w 1958742"/>
            <a:gd name="connsiteY0" fmla="*/ 680206 h 844093"/>
            <a:gd name="connsiteX1" fmla="*/ 1007547 w 1958742"/>
            <a:gd name="connsiteY1" fmla="*/ 244 h 844093"/>
            <a:gd name="connsiteX2" fmla="*/ 1958742 w 1958742"/>
            <a:gd name="connsiteY2" fmla="*/ 624159 h 844093"/>
            <a:gd name="connsiteX3" fmla="*/ 1455208 w 1958742"/>
            <a:gd name="connsiteY3" fmla="*/ 790905 h 844093"/>
            <a:gd name="connsiteX4" fmla="*/ 1016439 w 1958742"/>
            <a:gd name="connsiteY4" fmla="*/ 518928 h 844093"/>
            <a:gd name="connsiteX5" fmla="*/ 552699 w 1958742"/>
            <a:gd name="connsiteY5" fmla="*/ 763699 h 844093"/>
            <a:gd name="connsiteX6" fmla="*/ 975 w 1958742"/>
            <a:gd name="connsiteY6" fmla="*/ 680206 h 844093"/>
            <a:gd name="connsiteX0" fmla="*/ 975 w 1958742"/>
            <a:gd name="connsiteY0" fmla="*/ 680206 h 851662"/>
            <a:gd name="connsiteX1" fmla="*/ 1007547 w 1958742"/>
            <a:gd name="connsiteY1" fmla="*/ 244 h 851662"/>
            <a:gd name="connsiteX2" fmla="*/ 1958742 w 1958742"/>
            <a:gd name="connsiteY2" fmla="*/ 624159 h 851662"/>
            <a:gd name="connsiteX3" fmla="*/ 1455208 w 1958742"/>
            <a:gd name="connsiteY3" fmla="*/ 790905 h 851662"/>
            <a:gd name="connsiteX4" fmla="*/ 1016439 w 1958742"/>
            <a:gd name="connsiteY4" fmla="*/ 518928 h 851662"/>
            <a:gd name="connsiteX5" fmla="*/ 552699 w 1958742"/>
            <a:gd name="connsiteY5" fmla="*/ 763699 h 851662"/>
            <a:gd name="connsiteX6" fmla="*/ 975 w 1958742"/>
            <a:gd name="connsiteY6" fmla="*/ 680206 h 851662"/>
            <a:gd name="connsiteX0" fmla="*/ 975 w 1958742"/>
            <a:gd name="connsiteY0" fmla="*/ 680206 h 849755"/>
            <a:gd name="connsiteX1" fmla="*/ 1007547 w 1958742"/>
            <a:gd name="connsiteY1" fmla="*/ 244 h 849755"/>
            <a:gd name="connsiteX2" fmla="*/ 1958742 w 1958742"/>
            <a:gd name="connsiteY2" fmla="*/ 624159 h 849755"/>
            <a:gd name="connsiteX3" fmla="*/ 1455208 w 1958742"/>
            <a:gd name="connsiteY3" fmla="*/ 790905 h 849755"/>
            <a:gd name="connsiteX4" fmla="*/ 1016439 w 1958742"/>
            <a:gd name="connsiteY4" fmla="*/ 518928 h 849755"/>
            <a:gd name="connsiteX5" fmla="*/ 552699 w 1958742"/>
            <a:gd name="connsiteY5" fmla="*/ 763699 h 849755"/>
            <a:gd name="connsiteX6" fmla="*/ 975 w 1958742"/>
            <a:gd name="connsiteY6" fmla="*/ 680206 h 849755"/>
            <a:gd name="connsiteX0" fmla="*/ 975 w 1958742"/>
            <a:gd name="connsiteY0" fmla="*/ 680206 h 845970"/>
            <a:gd name="connsiteX1" fmla="*/ 1007547 w 1958742"/>
            <a:gd name="connsiteY1" fmla="*/ 244 h 845970"/>
            <a:gd name="connsiteX2" fmla="*/ 1958742 w 1958742"/>
            <a:gd name="connsiteY2" fmla="*/ 624159 h 845970"/>
            <a:gd name="connsiteX3" fmla="*/ 1455208 w 1958742"/>
            <a:gd name="connsiteY3" fmla="*/ 790905 h 845970"/>
            <a:gd name="connsiteX4" fmla="*/ 1016439 w 1958742"/>
            <a:gd name="connsiteY4" fmla="*/ 518928 h 845970"/>
            <a:gd name="connsiteX5" fmla="*/ 552699 w 1958742"/>
            <a:gd name="connsiteY5" fmla="*/ 763699 h 845970"/>
            <a:gd name="connsiteX6" fmla="*/ 975 w 1958742"/>
            <a:gd name="connsiteY6" fmla="*/ 680206 h 845970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978 w 1979978"/>
            <a:gd name="connsiteY0" fmla="*/ 679967 h 849741"/>
            <a:gd name="connsiteX1" fmla="*/ 1007550 w 1979978"/>
            <a:gd name="connsiteY1" fmla="*/ 5 h 849741"/>
            <a:gd name="connsiteX2" fmla="*/ 1979978 w 1979978"/>
            <a:gd name="connsiteY2" fmla="*/ 671814 h 849741"/>
            <a:gd name="connsiteX3" fmla="*/ 1455211 w 1979978"/>
            <a:gd name="connsiteY3" fmla="*/ 790666 h 849741"/>
            <a:gd name="connsiteX4" fmla="*/ 1016442 w 1979978"/>
            <a:gd name="connsiteY4" fmla="*/ 518689 h 849741"/>
            <a:gd name="connsiteX5" fmla="*/ 552702 w 1979978"/>
            <a:gd name="connsiteY5" fmla="*/ 763460 h 849741"/>
            <a:gd name="connsiteX6" fmla="*/ 978 w 1979978"/>
            <a:gd name="connsiteY6" fmla="*/ 679967 h 849741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1162 w 1980162"/>
            <a:gd name="connsiteY0" fmla="*/ 681111 h 846875"/>
            <a:gd name="connsiteX1" fmla="*/ 1007734 w 1980162"/>
            <a:gd name="connsiteY1" fmla="*/ 1149 h 846875"/>
            <a:gd name="connsiteX2" fmla="*/ 1980162 w 1980162"/>
            <a:gd name="connsiteY2" fmla="*/ 672958 h 846875"/>
            <a:gd name="connsiteX3" fmla="*/ 1455395 w 1980162"/>
            <a:gd name="connsiteY3" fmla="*/ 791810 h 846875"/>
            <a:gd name="connsiteX4" fmla="*/ 1016626 w 1980162"/>
            <a:gd name="connsiteY4" fmla="*/ 519833 h 846875"/>
            <a:gd name="connsiteX5" fmla="*/ 552886 w 1980162"/>
            <a:gd name="connsiteY5" fmla="*/ 764604 h 846875"/>
            <a:gd name="connsiteX6" fmla="*/ 1162 w 1980162"/>
            <a:gd name="connsiteY6" fmla="*/ 681111 h 846875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55396 w 1980163"/>
            <a:gd name="connsiteY3" fmla="*/ 790675 h 845740"/>
            <a:gd name="connsiteX4" fmla="*/ 1016627 w 1980163"/>
            <a:gd name="connsiteY4" fmla="*/ 518698 h 845740"/>
            <a:gd name="connsiteX5" fmla="*/ 552887 w 1980163"/>
            <a:gd name="connsiteY5" fmla="*/ 763469 h 845740"/>
            <a:gd name="connsiteX6" fmla="*/ 1163 w 1980163"/>
            <a:gd name="connsiteY6" fmla="*/ 679976 h 845740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18920 w 1980163"/>
            <a:gd name="connsiteY3" fmla="*/ 790675 h 845740"/>
            <a:gd name="connsiteX4" fmla="*/ 1016627 w 1980163"/>
            <a:gd name="connsiteY4" fmla="*/ 518698 h 845740"/>
            <a:gd name="connsiteX5" fmla="*/ 552887 w 1980163"/>
            <a:gd name="connsiteY5" fmla="*/ 763469 h 845740"/>
            <a:gd name="connsiteX6" fmla="*/ 1163 w 1980163"/>
            <a:gd name="connsiteY6" fmla="*/ 679976 h 845740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18920 w 1980163"/>
            <a:gd name="connsiteY3" fmla="*/ 790675 h 845740"/>
            <a:gd name="connsiteX4" fmla="*/ 1016627 w 1980163"/>
            <a:gd name="connsiteY4" fmla="*/ 518698 h 845740"/>
            <a:gd name="connsiteX5" fmla="*/ 594574 w 1980163"/>
            <a:gd name="connsiteY5" fmla="*/ 763469 h 845740"/>
            <a:gd name="connsiteX6" fmla="*/ 1163 w 1980163"/>
            <a:gd name="connsiteY6" fmla="*/ 679976 h 845740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18920 w 1980163"/>
            <a:gd name="connsiteY3" fmla="*/ 790675 h 845740"/>
            <a:gd name="connsiteX4" fmla="*/ 1016627 w 1980163"/>
            <a:gd name="connsiteY4" fmla="*/ 518698 h 845740"/>
            <a:gd name="connsiteX5" fmla="*/ 615417 w 1980163"/>
            <a:gd name="connsiteY5" fmla="*/ 763469 h 845740"/>
            <a:gd name="connsiteX6" fmla="*/ 1163 w 1980163"/>
            <a:gd name="connsiteY6" fmla="*/ 679976 h 845740"/>
            <a:gd name="connsiteX0" fmla="*/ 1003 w 1959159"/>
            <a:gd name="connsiteY0" fmla="*/ 709906 h 860638"/>
            <a:gd name="connsiteX1" fmla="*/ 986731 w 1959159"/>
            <a:gd name="connsiteY1" fmla="*/ 97 h 860638"/>
            <a:gd name="connsiteX2" fmla="*/ 1959159 w 1959159"/>
            <a:gd name="connsiteY2" fmla="*/ 671906 h 860638"/>
            <a:gd name="connsiteX3" fmla="*/ 1397916 w 1959159"/>
            <a:gd name="connsiteY3" fmla="*/ 790758 h 860638"/>
            <a:gd name="connsiteX4" fmla="*/ 995623 w 1959159"/>
            <a:gd name="connsiteY4" fmla="*/ 518781 h 860638"/>
            <a:gd name="connsiteX5" fmla="*/ 594413 w 1959159"/>
            <a:gd name="connsiteY5" fmla="*/ 763552 h 860638"/>
            <a:gd name="connsiteX6" fmla="*/ 1003 w 1959159"/>
            <a:gd name="connsiteY6" fmla="*/ 709906 h 860638"/>
            <a:gd name="connsiteX0" fmla="*/ 1028 w 1938340"/>
            <a:gd name="connsiteY0" fmla="*/ 705622 h 858378"/>
            <a:gd name="connsiteX1" fmla="*/ 965912 w 1938340"/>
            <a:gd name="connsiteY1" fmla="*/ 77 h 858378"/>
            <a:gd name="connsiteX2" fmla="*/ 1938340 w 1938340"/>
            <a:gd name="connsiteY2" fmla="*/ 671886 h 858378"/>
            <a:gd name="connsiteX3" fmla="*/ 1377097 w 1938340"/>
            <a:gd name="connsiteY3" fmla="*/ 790738 h 858378"/>
            <a:gd name="connsiteX4" fmla="*/ 974804 w 1938340"/>
            <a:gd name="connsiteY4" fmla="*/ 518761 h 858378"/>
            <a:gd name="connsiteX5" fmla="*/ 573594 w 1938340"/>
            <a:gd name="connsiteY5" fmla="*/ 763532 h 858378"/>
            <a:gd name="connsiteX6" fmla="*/ 1028 w 1938340"/>
            <a:gd name="connsiteY6" fmla="*/ 705622 h 858378"/>
            <a:gd name="connsiteX0" fmla="*/ 1028 w 1938340"/>
            <a:gd name="connsiteY0" fmla="*/ 705622 h 850518"/>
            <a:gd name="connsiteX1" fmla="*/ 965912 w 1938340"/>
            <a:gd name="connsiteY1" fmla="*/ 77 h 850518"/>
            <a:gd name="connsiteX2" fmla="*/ 1938340 w 1938340"/>
            <a:gd name="connsiteY2" fmla="*/ 671886 h 850518"/>
            <a:gd name="connsiteX3" fmla="*/ 1377097 w 1938340"/>
            <a:gd name="connsiteY3" fmla="*/ 790738 h 850518"/>
            <a:gd name="connsiteX4" fmla="*/ 974804 w 1938340"/>
            <a:gd name="connsiteY4" fmla="*/ 518761 h 850518"/>
            <a:gd name="connsiteX5" fmla="*/ 568383 w 1938340"/>
            <a:gd name="connsiteY5" fmla="*/ 746477 h 850518"/>
            <a:gd name="connsiteX6" fmla="*/ 1028 w 1938340"/>
            <a:gd name="connsiteY6" fmla="*/ 705622 h 850518"/>
            <a:gd name="connsiteX0" fmla="*/ 1103 w 1881095"/>
            <a:gd name="connsiteY0" fmla="*/ 624718 h 845858"/>
            <a:gd name="connsiteX1" fmla="*/ 908667 w 1881095"/>
            <a:gd name="connsiteY1" fmla="*/ 186 h 845858"/>
            <a:gd name="connsiteX2" fmla="*/ 1881095 w 1881095"/>
            <a:gd name="connsiteY2" fmla="*/ 671995 h 845858"/>
            <a:gd name="connsiteX3" fmla="*/ 1319852 w 1881095"/>
            <a:gd name="connsiteY3" fmla="*/ 790847 h 845858"/>
            <a:gd name="connsiteX4" fmla="*/ 917559 w 1881095"/>
            <a:gd name="connsiteY4" fmla="*/ 518870 h 845858"/>
            <a:gd name="connsiteX5" fmla="*/ 511138 w 1881095"/>
            <a:gd name="connsiteY5" fmla="*/ 746586 h 845858"/>
            <a:gd name="connsiteX6" fmla="*/ 1103 w 1881095"/>
            <a:gd name="connsiteY6" fmla="*/ 624718 h 845858"/>
            <a:gd name="connsiteX0" fmla="*/ 1118 w 1870688"/>
            <a:gd name="connsiteY0" fmla="*/ 595222 h 846210"/>
            <a:gd name="connsiteX1" fmla="*/ 898260 w 1870688"/>
            <a:gd name="connsiteY1" fmla="*/ 537 h 846210"/>
            <a:gd name="connsiteX2" fmla="*/ 1870688 w 1870688"/>
            <a:gd name="connsiteY2" fmla="*/ 672346 h 846210"/>
            <a:gd name="connsiteX3" fmla="*/ 1309445 w 1870688"/>
            <a:gd name="connsiteY3" fmla="*/ 791198 h 846210"/>
            <a:gd name="connsiteX4" fmla="*/ 907152 w 1870688"/>
            <a:gd name="connsiteY4" fmla="*/ 519221 h 846210"/>
            <a:gd name="connsiteX5" fmla="*/ 500731 w 1870688"/>
            <a:gd name="connsiteY5" fmla="*/ 746937 h 846210"/>
            <a:gd name="connsiteX6" fmla="*/ 1118 w 1870688"/>
            <a:gd name="connsiteY6" fmla="*/ 595222 h 846210"/>
            <a:gd name="connsiteX0" fmla="*/ 1102 w 1881093"/>
            <a:gd name="connsiteY0" fmla="*/ 628949 h 845826"/>
            <a:gd name="connsiteX1" fmla="*/ 908665 w 1881093"/>
            <a:gd name="connsiteY1" fmla="*/ 153 h 845826"/>
            <a:gd name="connsiteX2" fmla="*/ 1881093 w 1881093"/>
            <a:gd name="connsiteY2" fmla="*/ 671962 h 845826"/>
            <a:gd name="connsiteX3" fmla="*/ 1319850 w 1881093"/>
            <a:gd name="connsiteY3" fmla="*/ 790814 h 845826"/>
            <a:gd name="connsiteX4" fmla="*/ 917557 w 1881093"/>
            <a:gd name="connsiteY4" fmla="*/ 518837 h 845826"/>
            <a:gd name="connsiteX5" fmla="*/ 511136 w 1881093"/>
            <a:gd name="connsiteY5" fmla="*/ 746553 h 845826"/>
            <a:gd name="connsiteX6" fmla="*/ 1102 w 1881093"/>
            <a:gd name="connsiteY6" fmla="*/ 628949 h 845826"/>
            <a:gd name="connsiteX0" fmla="*/ 1099 w 1865457"/>
            <a:gd name="connsiteY0" fmla="*/ 628797 h 831678"/>
            <a:gd name="connsiteX1" fmla="*/ 908662 w 1865457"/>
            <a:gd name="connsiteY1" fmla="*/ 1 h 831678"/>
            <a:gd name="connsiteX2" fmla="*/ 1865457 w 1865457"/>
            <a:gd name="connsiteY2" fmla="*/ 629172 h 831678"/>
            <a:gd name="connsiteX3" fmla="*/ 1319847 w 1865457"/>
            <a:gd name="connsiteY3" fmla="*/ 790662 h 831678"/>
            <a:gd name="connsiteX4" fmla="*/ 917554 w 1865457"/>
            <a:gd name="connsiteY4" fmla="*/ 518685 h 831678"/>
            <a:gd name="connsiteX5" fmla="*/ 511133 w 1865457"/>
            <a:gd name="connsiteY5" fmla="*/ 746401 h 831678"/>
            <a:gd name="connsiteX6" fmla="*/ 1099 w 1865457"/>
            <a:gd name="connsiteY6" fmla="*/ 628797 h 831678"/>
            <a:gd name="connsiteX0" fmla="*/ 1099 w 1865457"/>
            <a:gd name="connsiteY0" fmla="*/ 628797 h 814289"/>
            <a:gd name="connsiteX1" fmla="*/ 908662 w 1865457"/>
            <a:gd name="connsiteY1" fmla="*/ 1 h 814289"/>
            <a:gd name="connsiteX2" fmla="*/ 1865457 w 1865457"/>
            <a:gd name="connsiteY2" fmla="*/ 629172 h 814289"/>
            <a:gd name="connsiteX3" fmla="*/ 1304215 w 1865457"/>
            <a:gd name="connsiteY3" fmla="*/ 735232 h 814289"/>
            <a:gd name="connsiteX4" fmla="*/ 917554 w 1865457"/>
            <a:gd name="connsiteY4" fmla="*/ 518685 h 814289"/>
            <a:gd name="connsiteX5" fmla="*/ 511133 w 1865457"/>
            <a:gd name="connsiteY5" fmla="*/ 746401 h 814289"/>
            <a:gd name="connsiteX6" fmla="*/ 1099 w 1865457"/>
            <a:gd name="connsiteY6" fmla="*/ 628797 h 814289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89 w 1834181"/>
            <a:gd name="connsiteY0" fmla="*/ 629934 h 814416"/>
            <a:gd name="connsiteX1" fmla="*/ 908652 w 1834181"/>
            <a:gd name="connsiteY1" fmla="*/ 1138 h 814416"/>
            <a:gd name="connsiteX2" fmla="*/ 1834181 w 1834181"/>
            <a:gd name="connsiteY2" fmla="*/ 651628 h 814416"/>
            <a:gd name="connsiteX3" fmla="*/ 1304205 w 1834181"/>
            <a:gd name="connsiteY3" fmla="*/ 736369 h 814416"/>
            <a:gd name="connsiteX4" fmla="*/ 917544 w 1834181"/>
            <a:gd name="connsiteY4" fmla="*/ 519822 h 814416"/>
            <a:gd name="connsiteX5" fmla="*/ 511123 w 1834181"/>
            <a:gd name="connsiteY5" fmla="*/ 747538 h 814416"/>
            <a:gd name="connsiteX6" fmla="*/ 1089 w 1834181"/>
            <a:gd name="connsiteY6" fmla="*/ 629934 h 814416"/>
            <a:gd name="connsiteX0" fmla="*/ 1089 w 1834181"/>
            <a:gd name="connsiteY0" fmla="*/ 629011 h 813493"/>
            <a:gd name="connsiteX1" fmla="*/ 908652 w 1834181"/>
            <a:gd name="connsiteY1" fmla="*/ 215 h 813493"/>
            <a:gd name="connsiteX2" fmla="*/ 1834181 w 1834181"/>
            <a:gd name="connsiteY2" fmla="*/ 650705 h 813493"/>
            <a:gd name="connsiteX3" fmla="*/ 1304205 w 1834181"/>
            <a:gd name="connsiteY3" fmla="*/ 735446 h 813493"/>
            <a:gd name="connsiteX4" fmla="*/ 917544 w 1834181"/>
            <a:gd name="connsiteY4" fmla="*/ 518899 h 813493"/>
            <a:gd name="connsiteX5" fmla="*/ 511123 w 1834181"/>
            <a:gd name="connsiteY5" fmla="*/ 746615 h 813493"/>
            <a:gd name="connsiteX6" fmla="*/ 1089 w 1834181"/>
            <a:gd name="connsiteY6" fmla="*/ 629011 h 813493"/>
            <a:gd name="connsiteX0" fmla="*/ 1090 w 1834182"/>
            <a:gd name="connsiteY0" fmla="*/ 628798 h 813280"/>
            <a:gd name="connsiteX1" fmla="*/ 908653 w 1834182"/>
            <a:gd name="connsiteY1" fmla="*/ 2 h 813280"/>
            <a:gd name="connsiteX2" fmla="*/ 1834182 w 1834182"/>
            <a:gd name="connsiteY2" fmla="*/ 650492 h 813280"/>
            <a:gd name="connsiteX3" fmla="*/ 1304206 w 1834182"/>
            <a:gd name="connsiteY3" fmla="*/ 735233 h 813280"/>
            <a:gd name="connsiteX4" fmla="*/ 917545 w 1834182"/>
            <a:gd name="connsiteY4" fmla="*/ 518686 h 813280"/>
            <a:gd name="connsiteX5" fmla="*/ 511124 w 1834182"/>
            <a:gd name="connsiteY5" fmla="*/ 746402 h 813280"/>
            <a:gd name="connsiteX6" fmla="*/ 1090 w 1834182"/>
            <a:gd name="connsiteY6" fmla="*/ 628798 h 813280"/>
            <a:gd name="connsiteX0" fmla="*/ 1082 w 1834174"/>
            <a:gd name="connsiteY0" fmla="*/ 586159 h 770641"/>
            <a:gd name="connsiteX1" fmla="*/ 913856 w 1834174"/>
            <a:gd name="connsiteY1" fmla="*/ 2 h 770641"/>
            <a:gd name="connsiteX2" fmla="*/ 1834174 w 1834174"/>
            <a:gd name="connsiteY2" fmla="*/ 607853 h 770641"/>
            <a:gd name="connsiteX3" fmla="*/ 1304198 w 1834174"/>
            <a:gd name="connsiteY3" fmla="*/ 692594 h 770641"/>
            <a:gd name="connsiteX4" fmla="*/ 917537 w 1834174"/>
            <a:gd name="connsiteY4" fmla="*/ 476047 h 770641"/>
            <a:gd name="connsiteX5" fmla="*/ 511116 w 1834174"/>
            <a:gd name="connsiteY5" fmla="*/ 703763 h 770641"/>
            <a:gd name="connsiteX6" fmla="*/ 1082 w 1834174"/>
            <a:gd name="connsiteY6" fmla="*/ 586159 h 770641"/>
            <a:gd name="connsiteX0" fmla="*/ 1081 w 1834173"/>
            <a:gd name="connsiteY0" fmla="*/ 586678 h 771160"/>
            <a:gd name="connsiteX1" fmla="*/ 913855 w 1834173"/>
            <a:gd name="connsiteY1" fmla="*/ 521 h 771160"/>
            <a:gd name="connsiteX2" fmla="*/ 1834173 w 1834173"/>
            <a:gd name="connsiteY2" fmla="*/ 608372 h 771160"/>
            <a:gd name="connsiteX3" fmla="*/ 1304197 w 1834173"/>
            <a:gd name="connsiteY3" fmla="*/ 693113 h 771160"/>
            <a:gd name="connsiteX4" fmla="*/ 917536 w 1834173"/>
            <a:gd name="connsiteY4" fmla="*/ 476566 h 771160"/>
            <a:gd name="connsiteX5" fmla="*/ 511115 w 1834173"/>
            <a:gd name="connsiteY5" fmla="*/ 704282 h 771160"/>
            <a:gd name="connsiteX6" fmla="*/ 1081 w 1834173"/>
            <a:gd name="connsiteY6" fmla="*/ 586678 h 771160"/>
            <a:gd name="connsiteX0" fmla="*/ 1081 w 1834173"/>
            <a:gd name="connsiteY0" fmla="*/ 586232 h 770714"/>
            <a:gd name="connsiteX1" fmla="*/ 913855 w 1834173"/>
            <a:gd name="connsiteY1" fmla="*/ 75 h 770714"/>
            <a:gd name="connsiteX2" fmla="*/ 1834173 w 1834173"/>
            <a:gd name="connsiteY2" fmla="*/ 607926 h 770714"/>
            <a:gd name="connsiteX3" fmla="*/ 1304197 w 1834173"/>
            <a:gd name="connsiteY3" fmla="*/ 692667 h 770714"/>
            <a:gd name="connsiteX4" fmla="*/ 917536 w 1834173"/>
            <a:gd name="connsiteY4" fmla="*/ 476120 h 770714"/>
            <a:gd name="connsiteX5" fmla="*/ 511115 w 1834173"/>
            <a:gd name="connsiteY5" fmla="*/ 703836 h 770714"/>
            <a:gd name="connsiteX6" fmla="*/ 1081 w 1834173"/>
            <a:gd name="connsiteY6" fmla="*/ 586232 h 770714"/>
            <a:gd name="connsiteX0" fmla="*/ 1341 w 1834433"/>
            <a:gd name="connsiteY0" fmla="*/ 586194 h 770676"/>
            <a:gd name="connsiteX1" fmla="*/ 914115 w 1834433"/>
            <a:gd name="connsiteY1" fmla="*/ 37 h 770676"/>
            <a:gd name="connsiteX2" fmla="*/ 1834433 w 1834433"/>
            <a:gd name="connsiteY2" fmla="*/ 607888 h 770676"/>
            <a:gd name="connsiteX3" fmla="*/ 1304457 w 1834433"/>
            <a:gd name="connsiteY3" fmla="*/ 692629 h 770676"/>
            <a:gd name="connsiteX4" fmla="*/ 917796 w 1834433"/>
            <a:gd name="connsiteY4" fmla="*/ 476082 h 770676"/>
            <a:gd name="connsiteX5" fmla="*/ 511375 w 1834433"/>
            <a:gd name="connsiteY5" fmla="*/ 703798 h 770676"/>
            <a:gd name="connsiteX6" fmla="*/ 1341 w 1834433"/>
            <a:gd name="connsiteY6" fmla="*/ 586194 h 770676"/>
            <a:gd name="connsiteX0" fmla="*/ 1341 w 1834433"/>
            <a:gd name="connsiteY0" fmla="*/ 586162 h 770644"/>
            <a:gd name="connsiteX1" fmla="*/ 914115 w 1834433"/>
            <a:gd name="connsiteY1" fmla="*/ 5 h 770644"/>
            <a:gd name="connsiteX2" fmla="*/ 1834433 w 1834433"/>
            <a:gd name="connsiteY2" fmla="*/ 607856 h 770644"/>
            <a:gd name="connsiteX3" fmla="*/ 1304457 w 1834433"/>
            <a:gd name="connsiteY3" fmla="*/ 692597 h 770644"/>
            <a:gd name="connsiteX4" fmla="*/ 917796 w 1834433"/>
            <a:gd name="connsiteY4" fmla="*/ 476050 h 770644"/>
            <a:gd name="connsiteX5" fmla="*/ 511375 w 1834433"/>
            <a:gd name="connsiteY5" fmla="*/ 703766 h 770644"/>
            <a:gd name="connsiteX6" fmla="*/ 1341 w 1834433"/>
            <a:gd name="connsiteY6" fmla="*/ 586162 h 770644"/>
            <a:gd name="connsiteX0" fmla="*/ 1355 w 1834447"/>
            <a:gd name="connsiteY0" fmla="*/ 586478 h 770960"/>
            <a:gd name="connsiteX1" fmla="*/ 914129 w 1834447"/>
            <a:gd name="connsiteY1" fmla="*/ 321 h 770960"/>
            <a:gd name="connsiteX2" fmla="*/ 1834447 w 1834447"/>
            <a:gd name="connsiteY2" fmla="*/ 608172 h 770960"/>
            <a:gd name="connsiteX3" fmla="*/ 1304471 w 1834447"/>
            <a:gd name="connsiteY3" fmla="*/ 692913 h 770960"/>
            <a:gd name="connsiteX4" fmla="*/ 917810 w 1834447"/>
            <a:gd name="connsiteY4" fmla="*/ 476366 h 770960"/>
            <a:gd name="connsiteX5" fmla="*/ 511389 w 1834447"/>
            <a:gd name="connsiteY5" fmla="*/ 704082 h 770960"/>
            <a:gd name="connsiteX6" fmla="*/ 1355 w 1834447"/>
            <a:gd name="connsiteY6" fmla="*/ 586478 h 770960"/>
            <a:gd name="connsiteX0" fmla="*/ 1355 w 1834447"/>
            <a:gd name="connsiteY0" fmla="*/ 586177 h 770659"/>
            <a:gd name="connsiteX1" fmla="*/ 914129 w 1834447"/>
            <a:gd name="connsiteY1" fmla="*/ 20 h 770659"/>
            <a:gd name="connsiteX2" fmla="*/ 1834447 w 1834447"/>
            <a:gd name="connsiteY2" fmla="*/ 607871 h 770659"/>
            <a:gd name="connsiteX3" fmla="*/ 1304471 w 1834447"/>
            <a:gd name="connsiteY3" fmla="*/ 692612 h 770659"/>
            <a:gd name="connsiteX4" fmla="*/ 917810 w 1834447"/>
            <a:gd name="connsiteY4" fmla="*/ 476065 h 770659"/>
            <a:gd name="connsiteX5" fmla="*/ 511389 w 1834447"/>
            <a:gd name="connsiteY5" fmla="*/ 703781 h 770659"/>
            <a:gd name="connsiteX6" fmla="*/ 1355 w 1834447"/>
            <a:gd name="connsiteY6" fmla="*/ 586177 h 770659"/>
            <a:gd name="connsiteX0" fmla="*/ 1355 w 1834447"/>
            <a:gd name="connsiteY0" fmla="*/ 586177 h 770659"/>
            <a:gd name="connsiteX1" fmla="*/ 914129 w 1834447"/>
            <a:gd name="connsiteY1" fmla="*/ 20 h 770659"/>
            <a:gd name="connsiteX2" fmla="*/ 1834447 w 1834447"/>
            <a:gd name="connsiteY2" fmla="*/ 607871 h 770659"/>
            <a:gd name="connsiteX3" fmla="*/ 1304471 w 1834447"/>
            <a:gd name="connsiteY3" fmla="*/ 692612 h 770659"/>
            <a:gd name="connsiteX4" fmla="*/ 917810 w 1834447"/>
            <a:gd name="connsiteY4" fmla="*/ 476065 h 770659"/>
            <a:gd name="connsiteX5" fmla="*/ 553590 w 1834447"/>
            <a:gd name="connsiteY5" fmla="*/ 625950 h 770659"/>
            <a:gd name="connsiteX6" fmla="*/ 1355 w 1834447"/>
            <a:gd name="connsiteY6" fmla="*/ 586177 h 770659"/>
            <a:gd name="connsiteX0" fmla="*/ 1143 w 1792033"/>
            <a:gd name="connsiteY0" fmla="*/ 562439 h 770869"/>
            <a:gd name="connsiteX1" fmla="*/ 871715 w 1792033"/>
            <a:gd name="connsiteY1" fmla="*/ 230 h 770869"/>
            <a:gd name="connsiteX2" fmla="*/ 1792033 w 1792033"/>
            <a:gd name="connsiteY2" fmla="*/ 608081 h 770869"/>
            <a:gd name="connsiteX3" fmla="*/ 1262057 w 1792033"/>
            <a:gd name="connsiteY3" fmla="*/ 692822 h 770869"/>
            <a:gd name="connsiteX4" fmla="*/ 875396 w 1792033"/>
            <a:gd name="connsiteY4" fmla="*/ 476275 h 770869"/>
            <a:gd name="connsiteX5" fmla="*/ 511176 w 1792033"/>
            <a:gd name="connsiteY5" fmla="*/ 626160 h 770869"/>
            <a:gd name="connsiteX6" fmla="*/ 1143 w 1792033"/>
            <a:gd name="connsiteY6" fmla="*/ 562439 h 770869"/>
            <a:gd name="connsiteX0" fmla="*/ 353 w 1791243"/>
            <a:gd name="connsiteY0" fmla="*/ 562389 h 770819"/>
            <a:gd name="connsiteX1" fmla="*/ 870925 w 1791243"/>
            <a:gd name="connsiteY1" fmla="*/ 180 h 770819"/>
            <a:gd name="connsiteX2" fmla="*/ 1791243 w 1791243"/>
            <a:gd name="connsiteY2" fmla="*/ 608031 h 770819"/>
            <a:gd name="connsiteX3" fmla="*/ 1261267 w 1791243"/>
            <a:gd name="connsiteY3" fmla="*/ 692772 h 770819"/>
            <a:gd name="connsiteX4" fmla="*/ 874606 w 1791243"/>
            <a:gd name="connsiteY4" fmla="*/ 476225 h 770819"/>
            <a:gd name="connsiteX5" fmla="*/ 510386 w 1791243"/>
            <a:gd name="connsiteY5" fmla="*/ 626110 h 770819"/>
            <a:gd name="connsiteX6" fmla="*/ 353 w 1791243"/>
            <a:gd name="connsiteY6" fmla="*/ 562389 h 770819"/>
            <a:gd name="connsiteX0" fmla="*/ 122 w 1791012"/>
            <a:gd name="connsiteY0" fmla="*/ 562414 h 770844"/>
            <a:gd name="connsiteX1" fmla="*/ 870694 w 1791012"/>
            <a:gd name="connsiteY1" fmla="*/ 205 h 770844"/>
            <a:gd name="connsiteX2" fmla="*/ 1791012 w 1791012"/>
            <a:gd name="connsiteY2" fmla="*/ 608056 h 770844"/>
            <a:gd name="connsiteX3" fmla="*/ 1261036 w 1791012"/>
            <a:gd name="connsiteY3" fmla="*/ 692797 h 770844"/>
            <a:gd name="connsiteX4" fmla="*/ 874375 w 1791012"/>
            <a:gd name="connsiteY4" fmla="*/ 476250 h 770844"/>
            <a:gd name="connsiteX5" fmla="*/ 510155 w 1791012"/>
            <a:gd name="connsiteY5" fmla="*/ 626135 h 770844"/>
            <a:gd name="connsiteX6" fmla="*/ 122 w 1791012"/>
            <a:gd name="connsiteY6" fmla="*/ 562414 h 770844"/>
            <a:gd name="connsiteX0" fmla="*/ 122 w 1791012"/>
            <a:gd name="connsiteY0" fmla="*/ 562414 h 770844"/>
            <a:gd name="connsiteX1" fmla="*/ 870694 w 1791012"/>
            <a:gd name="connsiteY1" fmla="*/ 205 h 770844"/>
            <a:gd name="connsiteX2" fmla="*/ 1791012 w 1791012"/>
            <a:gd name="connsiteY2" fmla="*/ 608056 h 770844"/>
            <a:gd name="connsiteX3" fmla="*/ 1261036 w 1791012"/>
            <a:gd name="connsiteY3" fmla="*/ 692797 h 770844"/>
            <a:gd name="connsiteX4" fmla="*/ 874375 w 1791012"/>
            <a:gd name="connsiteY4" fmla="*/ 476250 h 770844"/>
            <a:gd name="connsiteX5" fmla="*/ 510155 w 1791012"/>
            <a:gd name="connsiteY5" fmla="*/ 626135 h 770844"/>
            <a:gd name="connsiteX6" fmla="*/ 122 w 1791012"/>
            <a:gd name="connsiteY6" fmla="*/ 562414 h 770844"/>
            <a:gd name="connsiteX0" fmla="*/ 125 w 1776948"/>
            <a:gd name="connsiteY0" fmla="*/ 532893 h 771258"/>
            <a:gd name="connsiteX1" fmla="*/ 856630 w 1776948"/>
            <a:gd name="connsiteY1" fmla="*/ 619 h 771258"/>
            <a:gd name="connsiteX2" fmla="*/ 1776948 w 1776948"/>
            <a:gd name="connsiteY2" fmla="*/ 608470 h 771258"/>
            <a:gd name="connsiteX3" fmla="*/ 1246972 w 1776948"/>
            <a:gd name="connsiteY3" fmla="*/ 693211 h 771258"/>
            <a:gd name="connsiteX4" fmla="*/ 860311 w 1776948"/>
            <a:gd name="connsiteY4" fmla="*/ 476664 h 771258"/>
            <a:gd name="connsiteX5" fmla="*/ 496091 w 1776948"/>
            <a:gd name="connsiteY5" fmla="*/ 626549 h 771258"/>
            <a:gd name="connsiteX6" fmla="*/ 125 w 1776948"/>
            <a:gd name="connsiteY6" fmla="*/ 532893 h 771258"/>
            <a:gd name="connsiteX0" fmla="*/ 125 w 1776948"/>
            <a:gd name="connsiteY0" fmla="*/ 532893 h 771258"/>
            <a:gd name="connsiteX1" fmla="*/ 856630 w 1776948"/>
            <a:gd name="connsiteY1" fmla="*/ 619 h 771258"/>
            <a:gd name="connsiteX2" fmla="*/ 1776948 w 1776948"/>
            <a:gd name="connsiteY2" fmla="*/ 608470 h 771258"/>
            <a:gd name="connsiteX3" fmla="*/ 1246972 w 1776948"/>
            <a:gd name="connsiteY3" fmla="*/ 693211 h 771258"/>
            <a:gd name="connsiteX4" fmla="*/ 860311 w 1776948"/>
            <a:gd name="connsiteY4" fmla="*/ 476664 h 771258"/>
            <a:gd name="connsiteX5" fmla="*/ 496091 w 1776948"/>
            <a:gd name="connsiteY5" fmla="*/ 626549 h 771258"/>
            <a:gd name="connsiteX6" fmla="*/ 125 w 1776948"/>
            <a:gd name="connsiteY6" fmla="*/ 532893 h 771258"/>
            <a:gd name="connsiteX0" fmla="*/ 125 w 1776948"/>
            <a:gd name="connsiteY0" fmla="*/ 532893 h 745087"/>
            <a:gd name="connsiteX1" fmla="*/ 856630 w 1776948"/>
            <a:gd name="connsiteY1" fmla="*/ 619 h 745087"/>
            <a:gd name="connsiteX2" fmla="*/ 1776948 w 1776948"/>
            <a:gd name="connsiteY2" fmla="*/ 608470 h 745087"/>
            <a:gd name="connsiteX3" fmla="*/ 1204770 w 1776948"/>
            <a:gd name="connsiteY3" fmla="*/ 639328 h 745087"/>
            <a:gd name="connsiteX4" fmla="*/ 860311 w 1776948"/>
            <a:gd name="connsiteY4" fmla="*/ 476664 h 745087"/>
            <a:gd name="connsiteX5" fmla="*/ 496091 w 1776948"/>
            <a:gd name="connsiteY5" fmla="*/ 626549 h 745087"/>
            <a:gd name="connsiteX6" fmla="*/ 125 w 1776948"/>
            <a:gd name="connsiteY6" fmla="*/ 532893 h 745087"/>
            <a:gd name="connsiteX0" fmla="*/ 125 w 1776948"/>
            <a:gd name="connsiteY0" fmla="*/ 532893 h 745087"/>
            <a:gd name="connsiteX1" fmla="*/ 856630 w 1776948"/>
            <a:gd name="connsiteY1" fmla="*/ 619 h 745087"/>
            <a:gd name="connsiteX2" fmla="*/ 1776948 w 1776948"/>
            <a:gd name="connsiteY2" fmla="*/ 608470 h 745087"/>
            <a:gd name="connsiteX3" fmla="*/ 1204770 w 1776948"/>
            <a:gd name="connsiteY3" fmla="*/ 639328 h 745087"/>
            <a:gd name="connsiteX4" fmla="*/ 860311 w 1776948"/>
            <a:gd name="connsiteY4" fmla="*/ 476664 h 745087"/>
            <a:gd name="connsiteX5" fmla="*/ 496091 w 1776948"/>
            <a:gd name="connsiteY5" fmla="*/ 626549 h 745087"/>
            <a:gd name="connsiteX6" fmla="*/ 125 w 1776948"/>
            <a:gd name="connsiteY6" fmla="*/ 532893 h 745087"/>
            <a:gd name="connsiteX0" fmla="*/ 125 w 1776948"/>
            <a:gd name="connsiteY0" fmla="*/ 532893 h 740223"/>
            <a:gd name="connsiteX1" fmla="*/ 856630 w 1776948"/>
            <a:gd name="connsiteY1" fmla="*/ 619 h 740223"/>
            <a:gd name="connsiteX2" fmla="*/ 1776948 w 1776948"/>
            <a:gd name="connsiteY2" fmla="*/ 608470 h 740223"/>
            <a:gd name="connsiteX3" fmla="*/ 1204770 w 1776948"/>
            <a:gd name="connsiteY3" fmla="*/ 639328 h 740223"/>
            <a:gd name="connsiteX4" fmla="*/ 860311 w 1776948"/>
            <a:gd name="connsiteY4" fmla="*/ 476664 h 740223"/>
            <a:gd name="connsiteX5" fmla="*/ 496091 w 1776948"/>
            <a:gd name="connsiteY5" fmla="*/ 626549 h 740223"/>
            <a:gd name="connsiteX6" fmla="*/ 125 w 1776948"/>
            <a:gd name="connsiteY6" fmla="*/ 532893 h 74022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3 w 1727710"/>
            <a:gd name="connsiteY0" fmla="*/ 533423 h 758593"/>
            <a:gd name="connsiteX1" fmla="*/ 856628 w 1727710"/>
            <a:gd name="connsiteY1" fmla="*/ 1149 h 758593"/>
            <a:gd name="connsiteX2" fmla="*/ 1727710 w 1727710"/>
            <a:gd name="connsiteY2" fmla="*/ 638935 h 758593"/>
            <a:gd name="connsiteX3" fmla="*/ 1204768 w 1727710"/>
            <a:gd name="connsiteY3" fmla="*/ 639858 h 758593"/>
            <a:gd name="connsiteX4" fmla="*/ 860309 w 1727710"/>
            <a:gd name="connsiteY4" fmla="*/ 477194 h 758593"/>
            <a:gd name="connsiteX5" fmla="*/ 496089 w 1727710"/>
            <a:gd name="connsiteY5" fmla="*/ 627079 h 758593"/>
            <a:gd name="connsiteX6" fmla="*/ 123 w 1727710"/>
            <a:gd name="connsiteY6" fmla="*/ 533423 h 758593"/>
            <a:gd name="connsiteX0" fmla="*/ 123 w 1727920"/>
            <a:gd name="connsiteY0" fmla="*/ 533423 h 758593"/>
            <a:gd name="connsiteX1" fmla="*/ 856628 w 1727920"/>
            <a:gd name="connsiteY1" fmla="*/ 1149 h 758593"/>
            <a:gd name="connsiteX2" fmla="*/ 1727710 w 1727920"/>
            <a:gd name="connsiteY2" fmla="*/ 638935 h 758593"/>
            <a:gd name="connsiteX3" fmla="*/ 1204768 w 1727920"/>
            <a:gd name="connsiteY3" fmla="*/ 639858 h 758593"/>
            <a:gd name="connsiteX4" fmla="*/ 860309 w 1727920"/>
            <a:gd name="connsiteY4" fmla="*/ 477194 h 758593"/>
            <a:gd name="connsiteX5" fmla="*/ 496089 w 1727920"/>
            <a:gd name="connsiteY5" fmla="*/ 627079 h 758593"/>
            <a:gd name="connsiteX6" fmla="*/ 123 w 1727920"/>
            <a:gd name="connsiteY6" fmla="*/ 533423 h 758593"/>
            <a:gd name="connsiteX0" fmla="*/ 123 w 1727710"/>
            <a:gd name="connsiteY0" fmla="*/ 533423 h 758593"/>
            <a:gd name="connsiteX1" fmla="*/ 856628 w 1727710"/>
            <a:gd name="connsiteY1" fmla="*/ 1149 h 758593"/>
            <a:gd name="connsiteX2" fmla="*/ 1727710 w 1727710"/>
            <a:gd name="connsiteY2" fmla="*/ 638935 h 758593"/>
            <a:gd name="connsiteX3" fmla="*/ 1204768 w 1727710"/>
            <a:gd name="connsiteY3" fmla="*/ 639858 h 758593"/>
            <a:gd name="connsiteX4" fmla="*/ 860309 w 1727710"/>
            <a:gd name="connsiteY4" fmla="*/ 477194 h 758593"/>
            <a:gd name="connsiteX5" fmla="*/ 496089 w 1727710"/>
            <a:gd name="connsiteY5" fmla="*/ 627079 h 758593"/>
            <a:gd name="connsiteX6" fmla="*/ 123 w 1727710"/>
            <a:gd name="connsiteY6" fmla="*/ 533423 h 758593"/>
            <a:gd name="connsiteX0" fmla="*/ 123 w 1727710"/>
            <a:gd name="connsiteY0" fmla="*/ 532390 h 757560"/>
            <a:gd name="connsiteX1" fmla="*/ 856628 w 1727710"/>
            <a:gd name="connsiteY1" fmla="*/ 116 h 757560"/>
            <a:gd name="connsiteX2" fmla="*/ 1727710 w 1727710"/>
            <a:gd name="connsiteY2" fmla="*/ 637902 h 757560"/>
            <a:gd name="connsiteX3" fmla="*/ 1204768 w 1727710"/>
            <a:gd name="connsiteY3" fmla="*/ 638825 h 757560"/>
            <a:gd name="connsiteX4" fmla="*/ 860309 w 1727710"/>
            <a:gd name="connsiteY4" fmla="*/ 476161 h 757560"/>
            <a:gd name="connsiteX5" fmla="*/ 496089 w 1727710"/>
            <a:gd name="connsiteY5" fmla="*/ 626046 h 757560"/>
            <a:gd name="connsiteX6" fmla="*/ 123 w 1727710"/>
            <a:gd name="connsiteY6" fmla="*/ 532390 h 757560"/>
            <a:gd name="connsiteX0" fmla="*/ 123 w 1748811"/>
            <a:gd name="connsiteY0" fmla="*/ 533306 h 754761"/>
            <a:gd name="connsiteX1" fmla="*/ 856628 w 1748811"/>
            <a:gd name="connsiteY1" fmla="*/ 1032 h 754761"/>
            <a:gd name="connsiteX2" fmla="*/ 1748811 w 1748811"/>
            <a:gd name="connsiteY2" fmla="*/ 632831 h 754761"/>
            <a:gd name="connsiteX3" fmla="*/ 1204768 w 1748811"/>
            <a:gd name="connsiteY3" fmla="*/ 639741 h 754761"/>
            <a:gd name="connsiteX4" fmla="*/ 860309 w 1748811"/>
            <a:gd name="connsiteY4" fmla="*/ 477077 h 754761"/>
            <a:gd name="connsiteX5" fmla="*/ 496089 w 1748811"/>
            <a:gd name="connsiteY5" fmla="*/ 626962 h 754761"/>
            <a:gd name="connsiteX6" fmla="*/ 123 w 1748811"/>
            <a:gd name="connsiteY6" fmla="*/ 533306 h 754761"/>
            <a:gd name="connsiteX0" fmla="*/ 123 w 1748811"/>
            <a:gd name="connsiteY0" fmla="*/ 533306 h 754761"/>
            <a:gd name="connsiteX1" fmla="*/ 856628 w 1748811"/>
            <a:gd name="connsiteY1" fmla="*/ 1032 h 754761"/>
            <a:gd name="connsiteX2" fmla="*/ 1748811 w 1748811"/>
            <a:gd name="connsiteY2" fmla="*/ 632831 h 754761"/>
            <a:gd name="connsiteX3" fmla="*/ 1204768 w 1748811"/>
            <a:gd name="connsiteY3" fmla="*/ 639741 h 754761"/>
            <a:gd name="connsiteX4" fmla="*/ 860309 w 1748811"/>
            <a:gd name="connsiteY4" fmla="*/ 477077 h 754761"/>
            <a:gd name="connsiteX5" fmla="*/ 496089 w 1748811"/>
            <a:gd name="connsiteY5" fmla="*/ 626962 h 754761"/>
            <a:gd name="connsiteX6" fmla="*/ 123 w 1748811"/>
            <a:gd name="connsiteY6" fmla="*/ 533306 h 754761"/>
            <a:gd name="connsiteX0" fmla="*/ 123 w 1748811"/>
            <a:gd name="connsiteY0" fmla="*/ 533306 h 777763"/>
            <a:gd name="connsiteX1" fmla="*/ 856628 w 1748811"/>
            <a:gd name="connsiteY1" fmla="*/ 1032 h 777763"/>
            <a:gd name="connsiteX2" fmla="*/ 1748811 w 1748811"/>
            <a:gd name="connsiteY2" fmla="*/ 632831 h 777763"/>
            <a:gd name="connsiteX3" fmla="*/ 1204768 w 1748811"/>
            <a:gd name="connsiteY3" fmla="*/ 639741 h 777763"/>
            <a:gd name="connsiteX4" fmla="*/ 860309 w 1748811"/>
            <a:gd name="connsiteY4" fmla="*/ 477077 h 777763"/>
            <a:gd name="connsiteX5" fmla="*/ 496089 w 1748811"/>
            <a:gd name="connsiteY5" fmla="*/ 626962 h 777763"/>
            <a:gd name="connsiteX6" fmla="*/ 123 w 1748811"/>
            <a:gd name="connsiteY6" fmla="*/ 533306 h 777763"/>
            <a:gd name="connsiteX0" fmla="*/ 123 w 1748811"/>
            <a:gd name="connsiteY0" fmla="*/ 533306 h 747208"/>
            <a:gd name="connsiteX1" fmla="*/ 856628 w 1748811"/>
            <a:gd name="connsiteY1" fmla="*/ 1032 h 747208"/>
            <a:gd name="connsiteX2" fmla="*/ 1748811 w 1748811"/>
            <a:gd name="connsiteY2" fmla="*/ 632831 h 747208"/>
            <a:gd name="connsiteX3" fmla="*/ 1204768 w 1748811"/>
            <a:gd name="connsiteY3" fmla="*/ 639741 h 747208"/>
            <a:gd name="connsiteX4" fmla="*/ 860309 w 1748811"/>
            <a:gd name="connsiteY4" fmla="*/ 477077 h 747208"/>
            <a:gd name="connsiteX5" fmla="*/ 496089 w 1748811"/>
            <a:gd name="connsiteY5" fmla="*/ 626962 h 747208"/>
            <a:gd name="connsiteX6" fmla="*/ 123 w 1748811"/>
            <a:gd name="connsiteY6" fmla="*/ 533306 h 747208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1 w 1671438"/>
            <a:gd name="connsiteY0" fmla="*/ 532365 h 709257"/>
            <a:gd name="connsiteX1" fmla="*/ 856626 w 1671438"/>
            <a:gd name="connsiteY1" fmla="*/ 91 h 709257"/>
            <a:gd name="connsiteX2" fmla="*/ 1671438 w 1671438"/>
            <a:gd name="connsiteY2" fmla="*/ 560047 h 709257"/>
            <a:gd name="connsiteX3" fmla="*/ 1204766 w 1671438"/>
            <a:gd name="connsiteY3" fmla="*/ 638800 h 709257"/>
            <a:gd name="connsiteX4" fmla="*/ 860307 w 1671438"/>
            <a:gd name="connsiteY4" fmla="*/ 476136 h 709257"/>
            <a:gd name="connsiteX5" fmla="*/ 496087 w 1671438"/>
            <a:gd name="connsiteY5" fmla="*/ 626021 h 709257"/>
            <a:gd name="connsiteX6" fmla="*/ 121 w 1671438"/>
            <a:gd name="connsiteY6" fmla="*/ 532365 h 709257"/>
            <a:gd name="connsiteX0" fmla="*/ 121 w 1681525"/>
            <a:gd name="connsiteY0" fmla="*/ 532365 h 709257"/>
            <a:gd name="connsiteX1" fmla="*/ 856626 w 1681525"/>
            <a:gd name="connsiteY1" fmla="*/ 91 h 709257"/>
            <a:gd name="connsiteX2" fmla="*/ 1671438 w 1681525"/>
            <a:gd name="connsiteY2" fmla="*/ 560047 h 709257"/>
            <a:gd name="connsiteX3" fmla="*/ 1204766 w 1681525"/>
            <a:gd name="connsiteY3" fmla="*/ 638800 h 709257"/>
            <a:gd name="connsiteX4" fmla="*/ 860307 w 1681525"/>
            <a:gd name="connsiteY4" fmla="*/ 476136 h 709257"/>
            <a:gd name="connsiteX5" fmla="*/ 496087 w 1681525"/>
            <a:gd name="connsiteY5" fmla="*/ 626021 h 709257"/>
            <a:gd name="connsiteX6" fmla="*/ 121 w 1681525"/>
            <a:gd name="connsiteY6" fmla="*/ 532365 h 709257"/>
            <a:gd name="connsiteX0" fmla="*/ 121 w 1680274"/>
            <a:gd name="connsiteY0" fmla="*/ 532365 h 709257"/>
            <a:gd name="connsiteX1" fmla="*/ 856626 w 1680274"/>
            <a:gd name="connsiteY1" fmla="*/ 91 h 709257"/>
            <a:gd name="connsiteX2" fmla="*/ 1671438 w 1680274"/>
            <a:gd name="connsiteY2" fmla="*/ 560047 h 709257"/>
            <a:gd name="connsiteX3" fmla="*/ 1204766 w 1680274"/>
            <a:gd name="connsiteY3" fmla="*/ 638800 h 709257"/>
            <a:gd name="connsiteX4" fmla="*/ 860307 w 1680274"/>
            <a:gd name="connsiteY4" fmla="*/ 476136 h 709257"/>
            <a:gd name="connsiteX5" fmla="*/ 496087 w 1680274"/>
            <a:gd name="connsiteY5" fmla="*/ 626021 h 709257"/>
            <a:gd name="connsiteX6" fmla="*/ 121 w 1680274"/>
            <a:gd name="connsiteY6" fmla="*/ 532365 h 709257"/>
            <a:gd name="connsiteX0" fmla="*/ 121 w 1681525"/>
            <a:gd name="connsiteY0" fmla="*/ 532365 h 709257"/>
            <a:gd name="connsiteX1" fmla="*/ 856626 w 1681525"/>
            <a:gd name="connsiteY1" fmla="*/ 91 h 709257"/>
            <a:gd name="connsiteX2" fmla="*/ 1671438 w 1681525"/>
            <a:gd name="connsiteY2" fmla="*/ 560047 h 709257"/>
            <a:gd name="connsiteX3" fmla="*/ 1204766 w 1681525"/>
            <a:gd name="connsiteY3" fmla="*/ 638800 h 709257"/>
            <a:gd name="connsiteX4" fmla="*/ 860307 w 1681525"/>
            <a:gd name="connsiteY4" fmla="*/ 476136 h 709257"/>
            <a:gd name="connsiteX5" fmla="*/ 496087 w 1681525"/>
            <a:gd name="connsiteY5" fmla="*/ 626021 h 709257"/>
            <a:gd name="connsiteX6" fmla="*/ 121 w 1681525"/>
            <a:gd name="connsiteY6" fmla="*/ 532365 h 709257"/>
            <a:gd name="connsiteX0" fmla="*/ 121 w 1671438"/>
            <a:gd name="connsiteY0" fmla="*/ 532365 h 709257"/>
            <a:gd name="connsiteX1" fmla="*/ 856626 w 1671438"/>
            <a:gd name="connsiteY1" fmla="*/ 91 h 709257"/>
            <a:gd name="connsiteX2" fmla="*/ 1671438 w 1671438"/>
            <a:gd name="connsiteY2" fmla="*/ 560047 h 709257"/>
            <a:gd name="connsiteX3" fmla="*/ 1204766 w 1671438"/>
            <a:gd name="connsiteY3" fmla="*/ 638800 h 709257"/>
            <a:gd name="connsiteX4" fmla="*/ 860307 w 1671438"/>
            <a:gd name="connsiteY4" fmla="*/ 476136 h 709257"/>
            <a:gd name="connsiteX5" fmla="*/ 496087 w 1671438"/>
            <a:gd name="connsiteY5" fmla="*/ 626021 h 709257"/>
            <a:gd name="connsiteX6" fmla="*/ 121 w 1671438"/>
            <a:gd name="connsiteY6" fmla="*/ 532365 h 709257"/>
            <a:gd name="connsiteX0" fmla="*/ 121 w 1671438"/>
            <a:gd name="connsiteY0" fmla="*/ 532365 h 703658"/>
            <a:gd name="connsiteX1" fmla="*/ 856626 w 1671438"/>
            <a:gd name="connsiteY1" fmla="*/ 91 h 703658"/>
            <a:gd name="connsiteX2" fmla="*/ 1671438 w 1671438"/>
            <a:gd name="connsiteY2" fmla="*/ 560047 h 703658"/>
            <a:gd name="connsiteX3" fmla="*/ 1204766 w 1671438"/>
            <a:gd name="connsiteY3" fmla="*/ 638800 h 703658"/>
            <a:gd name="connsiteX4" fmla="*/ 860307 w 1671438"/>
            <a:gd name="connsiteY4" fmla="*/ 476136 h 703658"/>
            <a:gd name="connsiteX5" fmla="*/ 496087 w 1671438"/>
            <a:gd name="connsiteY5" fmla="*/ 626021 h 703658"/>
            <a:gd name="connsiteX6" fmla="*/ 121 w 1671438"/>
            <a:gd name="connsiteY6" fmla="*/ 532365 h 703658"/>
            <a:gd name="connsiteX0" fmla="*/ 121 w 1671438"/>
            <a:gd name="connsiteY0" fmla="*/ 532365 h 711264"/>
            <a:gd name="connsiteX1" fmla="*/ 856626 w 1671438"/>
            <a:gd name="connsiteY1" fmla="*/ 91 h 711264"/>
            <a:gd name="connsiteX2" fmla="*/ 1671438 w 1671438"/>
            <a:gd name="connsiteY2" fmla="*/ 560047 h 711264"/>
            <a:gd name="connsiteX3" fmla="*/ 1204766 w 1671438"/>
            <a:gd name="connsiteY3" fmla="*/ 638800 h 711264"/>
            <a:gd name="connsiteX4" fmla="*/ 860307 w 1671438"/>
            <a:gd name="connsiteY4" fmla="*/ 476136 h 711264"/>
            <a:gd name="connsiteX5" fmla="*/ 496087 w 1671438"/>
            <a:gd name="connsiteY5" fmla="*/ 626021 h 711264"/>
            <a:gd name="connsiteX6" fmla="*/ 121 w 1671438"/>
            <a:gd name="connsiteY6" fmla="*/ 532365 h 711264"/>
            <a:gd name="connsiteX0" fmla="*/ 122 w 1720674"/>
            <a:gd name="connsiteY0" fmla="*/ 532304 h 706224"/>
            <a:gd name="connsiteX1" fmla="*/ 856627 w 1720674"/>
            <a:gd name="connsiteY1" fmla="*/ 30 h 706224"/>
            <a:gd name="connsiteX2" fmla="*/ 1720675 w 1720674"/>
            <a:gd name="connsiteY2" fmla="*/ 548013 h 706224"/>
            <a:gd name="connsiteX3" fmla="*/ 1204767 w 1720674"/>
            <a:gd name="connsiteY3" fmla="*/ 638739 h 706224"/>
            <a:gd name="connsiteX4" fmla="*/ 860308 w 1720674"/>
            <a:gd name="connsiteY4" fmla="*/ 476075 h 706224"/>
            <a:gd name="connsiteX5" fmla="*/ 496088 w 1720674"/>
            <a:gd name="connsiteY5" fmla="*/ 625960 h 706224"/>
            <a:gd name="connsiteX6" fmla="*/ 122 w 1720674"/>
            <a:gd name="connsiteY6" fmla="*/ 532304 h 706224"/>
            <a:gd name="connsiteX0" fmla="*/ 122 w 1720675"/>
            <a:gd name="connsiteY0" fmla="*/ 532304 h 724665"/>
            <a:gd name="connsiteX1" fmla="*/ 856627 w 1720675"/>
            <a:gd name="connsiteY1" fmla="*/ 30 h 724665"/>
            <a:gd name="connsiteX2" fmla="*/ 1720675 w 1720675"/>
            <a:gd name="connsiteY2" fmla="*/ 548013 h 724665"/>
            <a:gd name="connsiteX3" fmla="*/ 1204767 w 1720675"/>
            <a:gd name="connsiteY3" fmla="*/ 638739 h 724665"/>
            <a:gd name="connsiteX4" fmla="*/ 860308 w 1720675"/>
            <a:gd name="connsiteY4" fmla="*/ 476075 h 724665"/>
            <a:gd name="connsiteX5" fmla="*/ 496088 w 1720675"/>
            <a:gd name="connsiteY5" fmla="*/ 625960 h 724665"/>
            <a:gd name="connsiteX6" fmla="*/ 122 w 1720675"/>
            <a:gd name="connsiteY6" fmla="*/ 532304 h 724665"/>
            <a:gd name="connsiteX0" fmla="*/ 122 w 1720675"/>
            <a:gd name="connsiteY0" fmla="*/ 532304 h 703597"/>
            <a:gd name="connsiteX1" fmla="*/ 856627 w 1720675"/>
            <a:gd name="connsiteY1" fmla="*/ 30 h 703597"/>
            <a:gd name="connsiteX2" fmla="*/ 1720675 w 1720675"/>
            <a:gd name="connsiteY2" fmla="*/ 548013 h 703597"/>
            <a:gd name="connsiteX3" fmla="*/ 1190700 w 1720675"/>
            <a:gd name="connsiteY3" fmla="*/ 584856 h 703597"/>
            <a:gd name="connsiteX4" fmla="*/ 860308 w 1720675"/>
            <a:gd name="connsiteY4" fmla="*/ 476075 h 703597"/>
            <a:gd name="connsiteX5" fmla="*/ 496088 w 1720675"/>
            <a:gd name="connsiteY5" fmla="*/ 625960 h 703597"/>
            <a:gd name="connsiteX6" fmla="*/ 122 w 1720675"/>
            <a:gd name="connsiteY6" fmla="*/ 532304 h 703597"/>
            <a:gd name="connsiteX0" fmla="*/ 122 w 1720675"/>
            <a:gd name="connsiteY0" fmla="*/ 532304 h 721561"/>
            <a:gd name="connsiteX1" fmla="*/ 856627 w 1720675"/>
            <a:gd name="connsiteY1" fmla="*/ 30 h 721561"/>
            <a:gd name="connsiteX2" fmla="*/ 1720675 w 1720675"/>
            <a:gd name="connsiteY2" fmla="*/ 548013 h 721561"/>
            <a:gd name="connsiteX3" fmla="*/ 1169598 w 1720675"/>
            <a:gd name="connsiteY3" fmla="*/ 632752 h 721561"/>
            <a:gd name="connsiteX4" fmla="*/ 860308 w 1720675"/>
            <a:gd name="connsiteY4" fmla="*/ 476075 h 721561"/>
            <a:gd name="connsiteX5" fmla="*/ 496088 w 1720675"/>
            <a:gd name="connsiteY5" fmla="*/ 625960 h 721561"/>
            <a:gd name="connsiteX6" fmla="*/ 122 w 1720675"/>
            <a:gd name="connsiteY6" fmla="*/ 532304 h 721561"/>
            <a:gd name="connsiteX0" fmla="*/ 122 w 1720675"/>
            <a:gd name="connsiteY0" fmla="*/ 532304 h 721561"/>
            <a:gd name="connsiteX1" fmla="*/ 856627 w 1720675"/>
            <a:gd name="connsiteY1" fmla="*/ 30 h 721561"/>
            <a:gd name="connsiteX2" fmla="*/ 1720675 w 1720675"/>
            <a:gd name="connsiteY2" fmla="*/ 548013 h 721561"/>
            <a:gd name="connsiteX3" fmla="*/ 1204767 w 1720675"/>
            <a:gd name="connsiteY3" fmla="*/ 632752 h 721561"/>
            <a:gd name="connsiteX4" fmla="*/ 860308 w 1720675"/>
            <a:gd name="connsiteY4" fmla="*/ 476075 h 721561"/>
            <a:gd name="connsiteX5" fmla="*/ 496088 w 1720675"/>
            <a:gd name="connsiteY5" fmla="*/ 625960 h 721561"/>
            <a:gd name="connsiteX6" fmla="*/ 122 w 1720675"/>
            <a:gd name="connsiteY6" fmla="*/ 532304 h 721561"/>
            <a:gd name="connsiteX0" fmla="*/ 122 w 1720675"/>
            <a:gd name="connsiteY0" fmla="*/ 532304 h 721561"/>
            <a:gd name="connsiteX1" fmla="*/ 856627 w 1720675"/>
            <a:gd name="connsiteY1" fmla="*/ 30 h 721561"/>
            <a:gd name="connsiteX2" fmla="*/ 1720675 w 1720675"/>
            <a:gd name="connsiteY2" fmla="*/ 548013 h 721561"/>
            <a:gd name="connsiteX3" fmla="*/ 1204767 w 1720675"/>
            <a:gd name="connsiteY3" fmla="*/ 632752 h 721561"/>
            <a:gd name="connsiteX4" fmla="*/ 860308 w 1720675"/>
            <a:gd name="connsiteY4" fmla="*/ 476075 h 721561"/>
            <a:gd name="connsiteX5" fmla="*/ 496088 w 1720675"/>
            <a:gd name="connsiteY5" fmla="*/ 625960 h 721561"/>
            <a:gd name="connsiteX6" fmla="*/ 122 w 1720675"/>
            <a:gd name="connsiteY6" fmla="*/ 532304 h 721561"/>
            <a:gd name="connsiteX0" fmla="*/ 2337 w 1722890"/>
            <a:gd name="connsiteY0" fmla="*/ 532307 h 721564"/>
            <a:gd name="connsiteX1" fmla="*/ 858842 w 1722890"/>
            <a:gd name="connsiteY1" fmla="*/ 33 h 721564"/>
            <a:gd name="connsiteX2" fmla="*/ 1722890 w 1722890"/>
            <a:gd name="connsiteY2" fmla="*/ 548016 h 721564"/>
            <a:gd name="connsiteX3" fmla="*/ 1206982 w 1722890"/>
            <a:gd name="connsiteY3" fmla="*/ 632755 h 721564"/>
            <a:gd name="connsiteX4" fmla="*/ 862523 w 1722890"/>
            <a:gd name="connsiteY4" fmla="*/ 476078 h 721564"/>
            <a:gd name="connsiteX5" fmla="*/ 498303 w 1722890"/>
            <a:gd name="connsiteY5" fmla="*/ 625963 h 721564"/>
            <a:gd name="connsiteX6" fmla="*/ 2337 w 1722890"/>
            <a:gd name="connsiteY6" fmla="*/ 532307 h 721564"/>
            <a:gd name="connsiteX0" fmla="*/ 2337 w 1722890"/>
            <a:gd name="connsiteY0" fmla="*/ 562237 h 751494"/>
            <a:gd name="connsiteX1" fmla="*/ 858842 w 1722890"/>
            <a:gd name="connsiteY1" fmla="*/ 27 h 751494"/>
            <a:gd name="connsiteX2" fmla="*/ 1722890 w 1722890"/>
            <a:gd name="connsiteY2" fmla="*/ 577946 h 751494"/>
            <a:gd name="connsiteX3" fmla="*/ 1206982 w 1722890"/>
            <a:gd name="connsiteY3" fmla="*/ 662685 h 751494"/>
            <a:gd name="connsiteX4" fmla="*/ 862523 w 1722890"/>
            <a:gd name="connsiteY4" fmla="*/ 506008 h 751494"/>
            <a:gd name="connsiteX5" fmla="*/ 498303 w 1722890"/>
            <a:gd name="connsiteY5" fmla="*/ 655893 h 751494"/>
            <a:gd name="connsiteX6" fmla="*/ 2337 w 1722890"/>
            <a:gd name="connsiteY6" fmla="*/ 562237 h 751494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55877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55877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55877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8396"/>
            <a:gd name="connsiteX1" fmla="*/ 886894 w 1750942"/>
            <a:gd name="connsiteY1" fmla="*/ 11 h 758396"/>
            <a:gd name="connsiteX2" fmla="*/ 1750942 w 1750942"/>
            <a:gd name="connsiteY2" fmla="*/ 577930 h 758396"/>
            <a:gd name="connsiteX3" fmla="*/ 1235034 w 1750942"/>
            <a:gd name="connsiteY3" fmla="*/ 662669 h 758396"/>
            <a:gd name="connsiteX4" fmla="*/ 890575 w 1750942"/>
            <a:gd name="connsiteY4" fmla="*/ 505992 h 758396"/>
            <a:gd name="connsiteX5" fmla="*/ 526355 w 1750942"/>
            <a:gd name="connsiteY5" fmla="*/ 679825 h 758396"/>
            <a:gd name="connsiteX6" fmla="*/ 2255 w 1750942"/>
            <a:gd name="connsiteY6" fmla="*/ 568208 h 758396"/>
            <a:gd name="connsiteX0" fmla="*/ 2255 w 1750942"/>
            <a:gd name="connsiteY0" fmla="*/ 568208 h 747931"/>
            <a:gd name="connsiteX1" fmla="*/ 886894 w 1750942"/>
            <a:gd name="connsiteY1" fmla="*/ 11 h 747931"/>
            <a:gd name="connsiteX2" fmla="*/ 1750942 w 1750942"/>
            <a:gd name="connsiteY2" fmla="*/ 577930 h 747931"/>
            <a:gd name="connsiteX3" fmla="*/ 1235034 w 1750942"/>
            <a:gd name="connsiteY3" fmla="*/ 662669 h 747931"/>
            <a:gd name="connsiteX4" fmla="*/ 890575 w 1750942"/>
            <a:gd name="connsiteY4" fmla="*/ 505992 h 747931"/>
            <a:gd name="connsiteX5" fmla="*/ 526355 w 1750942"/>
            <a:gd name="connsiteY5" fmla="*/ 679825 h 747931"/>
            <a:gd name="connsiteX6" fmla="*/ 2255 w 1750942"/>
            <a:gd name="connsiteY6" fmla="*/ 568208 h 747931"/>
            <a:gd name="connsiteX0" fmla="*/ 2255 w 1752914"/>
            <a:gd name="connsiteY0" fmla="*/ 568208 h 747931"/>
            <a:gd name="connsiteX1" fmla="*/ 886894 w 1752914"/>
            <a:gd name="connsiteY1" fmla="*/ 11 h 747931"/>
            <a:gd name="connsiteX2" fmla="*/ 1750942 w 1752914"/>
            <a:gd name="connsiteY2" fmla="*/ 577930 h 747931"/>
            <a:gd name="connsiteX3" fmla="*/ 1235034 w 1752914"/>
            <a:gd name="connsiteY3" fmla="*/ 662669 h 747931"/>
            <a:gd name="connsiteX4" fmla="*/ 890575 w 1752914"/>
            <a:gd name="connsiteY4" fmla="*/ 505992 h 747931"/>
            <a:gd name="connsiteX5" fmla="*/ 526355 w 1752914"/>
            <a:gd name="connsiteY5" fmla="*/ 679825 h 747931"/>
            <a:gd name="connsiteX6" fmla="*/ 2255 w 1752914"/>
            <a:gd name="connsiteY6" fmla="*/ 568208 h 747931"/>
            <a:gd name="connsiteX0" fmla="*/ 2255 w 1752914"/>
            <a:gd name="connsiteY0" fmla="*/ 568208 h 747931"/>
            <a:gd name="connsiteX1" fmla="*/ 886894 w 1752914"/>
            <a:gd name="connsiteY1" fmla="*/ 11 h 747931"/>
            <a:gd name="connsiteX2" fmla="*/ 1750942 w 1752914"/>
            <a:gd name="connsiteY2" fmla="*/ 577930 h 747931"/>
            <a:gd name="connsiteX3" fmla="*/ 1235034 w 1752914"/>
            <a:gd name="connsiteY3" fmla="*/ 662669 h 747931"/>
            <a:gd name="connsiteX4" fmla="*/ 890575 w 1752914"/>
            <a:gd name="connsiteY4" fmla="*/ 505992 h 747931"/>
            <a:gd name="connsiteX5" fmla="*/ 526355 w 1752914"/>
            <a:gd name="connsiteY5" fmla="*/ 679825 h 747931"/>
            <a:gd name="connsiteX6" fmla="*/ 2255 w 1752914"/>
            <a:gd name="connsiteY6" fmla="*/ 568208 h 747931"/>
            <a:gd name="connsiteX0" fmla="*/ 2267 w 1773975"/>
            <a:gd name="connsiteY0" fmla="*/ 568224 h 750583"/>
            <a:gd name="connsiteX1" fmla="*/ 886906 w 1773975"/>
            <a:gd name="connsiteY1" fmla="*/ 27 h 750583"/>
            <a:gd name="connsiteX2" fmla="*/ 1772055 w 1773975"/>
            <a:gd name="connsiteY2" fmla="*/ 583933 h 750583"/>
            <a:gd name="connsiteX3" fmla="*/ 1235046 w 1773975"/>
            <a:gd name="connsiteY3" fmla="*/ 662685 h 750583"/>
            <a:gd name="connsiteX4" fmla="*/ 890587 w 1773975"/>
            <a:gd name="connsiteY4" fmla="*/ 506008 h 750583"/>
            <a:gd name="connsiteX5" fmla="*/ 526367 w 1773975"/>
            <a:gd name="connsiteY5" fmla="*/ 679841 h 750583"/>
            <a:gd name="connsiteX6" fmla="*/ 2267 w 1773975"/>
            <a:gd name="connsiteY6" fmla="*/ 568224 h 75058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773975" h="750583">
              <a:moveTo>
                <a:pt x="2267" y="568224"/>
              </a:moveTo>
              <a:cubicBezTo>
                <a:pt x="-42677" y="184843"/>
                <a:pt x="591941" y="-2591"/>
                <a:pt x="886906" y="27"/>
              </a:cubicBezTo>
              <a:cubicBezTo>
                <a:pt x="1181871" y="2645"/>
                <a:pt x="1813227" y="198353"/>
                <a:pt x="1772055" y="583933"/>
              </a:cubicBezTo>
              <a:cubicBezTo>
                <a:pt x="1658911" y="808122"/>
                <a:pt x="1364768" y="776247"/>
                <a:pt x="1235046" y="662685"/>
              </a:cubicBezTo>
              <a:cubicBezTo>
                <a:pt x="1138117" y="606371"/>
                <a:pt x="1087944" y="508401"/>
                <a:pt x="890587" y="506008"/>
              </a:cubicBezTo>
              <a:cubicBezTo>
                <a:pt x="693715" y="503621"/>
                <a:pt x="628855" y="596640"/>
                <a:pt x="526367" y="679841"/>
              </a:cubicBezTo>
              <a:cubicBezTo>
                <a:pt x="405972" y="743604"/>
                <a:pt x="145458" y="812210"/>
                <a:pt x="2267" y="568224"/>
              </a:cubicBezTo>
              <a:close/>
            </a:path>
          </a:pathLst>
        </a:cu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</xdr:colOff>
      <xdr:row>18</xdr:row>
      <xdr:rowOff>5751</xdr:rowOff>
    </xdr:from>
    <xdr:to>
      <xdr:col>4</xdr:col>
      <xdr:colOff>609600</xdr:colOff>
      <xdr:row>18</xdr:row>
      <xdr:rowOff>181832</xdr:rowOff>
    </xdr:to>
    <xdr:sp macro="" textlink="">
      <xdr:nvSpPr>
        <xdr:cNvPr id="29" name="Прямоугольник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/>
      </xdr:nvSpPr>
      <xdr:spPr>
        <a:xfrm>
          <a:off x="928778" y="2771955"/>
          <a:ext cx="609599" cy="176081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609600</xdr:colOff>
      <xdr:row>32</xdr:row>
      <xdr:rowOff>6091</xdr:rowOff>
    </xdr:from>
    <xdr:to>
      <xdr:col>4</xdr:col>
      <xdr:colOff>606049</xdr:colOff>
      <xdr:row>33</xdr:row>
      <xdr:rowOff>0</xdr:rowOff>
    </xdr:to>
    <xdr:sp macro="" textlink="">
      <xdr:nvSpPr>
        <xdr:cNvPr id="30" name="Прямоугольник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/>
      </xdr:nvSpPr>
      <xdr:spPr>
        <a:xfrm>
          <a:off x="928777" y="5348717"/>
          <a:ext cx="606049" cy="177940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</xdr:colOff>
      <xdr:row>19</xdr:row>
      <xdr:rowOff>2874</xdr:rowOff>
    </xdr:from>
    <xdr:to>
      <xdr:col>4</xdr:col>
      <xdr:colOff>609600</xdr:colOff>
      <xdr:row>20</xdr:row>
      <xdr:rowOff>184029</xdr:rowOff>
    </xdr:to>
    <xdr:sp macro="" textlink="">
      <xdr:nvSpPr>
        <xdr:cNvPr id="31" name="Прямоугольник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/>
      </xdr:nvSpPr>
      <xdr:spPr>
        <a:xfrm>
          <a:off x="928778" y="2953108"/>
          <a:ext cx="609599" cy="365185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2876</xdr:colOff>
      <xdr:row>30</xdr:row>
      <xdr:rowOff>0</xdr:rowOff>
    </xdr:from>
    <xdr:to>
      <xdr:col>4</xdr:col>
      <xdr:colOff>606725</xdr:colOff>
      <xdr:row>32</xdr:row>
      <xdr:rowOff>2876</xdr:rowOff>
    </xdr:to>
    <xdr:sp macro="" textlink="">
      <xdr:nvSpPr>
        <xdr:cNvPr id="32" name="Прямоугольник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/>
      </xdr:nvSpPr>
      <xdr:spPr>
        <a:xfrm>
          <a:off x="931653" y="4974566"/>
          <a:ext cx="603849" cy="370936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2876</xdr:colOff>
      <xdr:row>21</xdr:row>
      <xdr:rowOff>8626</xdr:rowOff>
    </xdr:from>
    <xdr:to>
      <xdr:col>4</xdr:col>
      <xdr:colOff>603849</xdr:colOff>
      <xdr:row>30</xdr:row>
      <xdr:rowOff>9302</xdr:rowOff>
    </xdr:to>
    <xdr:sp macro="" textlink="">
      <xdr:nvSpPr>
        <xdr:cNvPr id="33" name="Прямоугольник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/>
      </xdr:nvSpPr>
      <xdr:spPr>
        <a:xfrm>
          <a:off x="1265208" y="3694981"/>
          <a:ext cx="600973" cy="1656947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7620</xdr:colOff>
      <xdr:row>28</xdr:row>
      <xdr:rowOff>7620</xdr:rowOff>
    </xdr:from>
    <xdr:to>
      <xdr:col>4</xdr:col>
      <xdr:colOff>601980</xdr:colOff>
      <xdr:row>28</xdr:row>
      <xdr:rowOff>7620</xdr:rowOff>
    </xdr:to>
    <xdr:cxnSp macro="">
      <xdr:nvCxnSpPr>
        <xdr:cNvPr id="35" name="Прямая со стрелкой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/>
      </xdr:nvCxnSpPr>
      <xdr:spPr>
        <a:xfrm>
          <a:off x="1271644" y="5090608"/>
          <a:ext cx="5943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425197</xdr:colOff>
      <xdr:row>17</xdr:row>
      <xdr:rowOff>104918</xdr:rowOff>
    </xdr:from>
    <xdr:to>
      <xdr:col>3</xdr:col>
      <xdr:colOff>457203</xdr:colOff>
      <xdr:row>21</xdr:row>
      <xdr:rowOff>99489</xdr:rowOff>
    </xdr:to>
    <xdr:sp macro="" textlink="">
      <xdr:nvSpPr>
        <xdr:cNvPr id="38" name="Блок-схема: ручное управление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/>
      </xdr:nvSpPr>
      <xdr:spPr>
        <a:xfrm rot="16200000">
          <a:off x="614244" y="3376248"/>
          <a:ext cx="711747" cy="462312"/>
        </a:xfrm>
        <a:custGeom>
          <a:avLst/>
          <a:gdLst>
            <a:gd name="connsiteX0" fmla="*/ 0 w 10000"/>
            <a:gd name="connsiteY0" fmla="*/ 0 h 10000"/>
            <a:gd name="connsiteX1" fmla="*/ 10000 w 10000"/>
            <a:gd name="connsiteY1" fmla="*/ 0 h 10000"/>
            <a:gd name="connsiteX2" fmla="*/ 8000 w 10000"/>
            <a:gd name="connsiteY2" fmla="*/ 10000 h 10000"/>
            <a:gd name="connsiteX3" fmla="*/ 2000 w 10000"/>
            <a:gd name="connsiteY3" fmla="*/ 10000 h 10000"/>
            <a:gd name="connsiteX4" fmla="*/ 0 w 10000"/>
            <a:gd name="connsiteY4" fmla="*/ 0 h 10000"/>
            <a:gd name="connsiteX0" fmla="*/ 0 w 8568"/>
            <a:gd name="connsiteY0" fmla="*/ 0 h 10000"/>
            <a:gd name="connsiteX1" fmla="*/ 8568 w 8568"/>
            <a:gd name="connsiteY1" fmla="*/ 0 h 10000"/>
            <a:gd name="connsiteX2" fmla="*/ 6568 w 8568"/>
            <a:gd name="connsiteY2" fmla="*/ 10000 h 10000"/>
            <a:gd name="connsiteX3" fmla="*/ 568 w 8568"/>
            <a:gd name="connsiteY3" fmla="*/ 10000 h 10000"/>
            <a:gd name="connsiteX4" fmla="*/ 0 w 8568"/>
            <a:gd name="connsiteY4" fmla="*/ 0 h 10000"/>
            <a:gd name="connsiteX0" fmla="*/ 0 w 12222"/>
            <a:gd name="connsiteY0" fmla="*/ 0 h 10000"/>
            <a:gd name="connsiteX1" fmla="*/ 12222 w 12222"/>
            <a:gd name="connsiteY1" fmla="*/ 158 h 10000"/>
            <a:gd name="connsiteX2" fmla="*/ 7666 w 12222"/>
            <a:gd name="connsiteY2" fmla="*/ 10000 h 10000"/>
            <a:gd name="connsiteX3" fmla="*/ 663 w 12222"/>
            <a:gd name="connsiteY3" fmla="*/ 10000 h 10000"/>
            <a:gd name="connsiteX4" fmla="*/ 0 w 12222"/>
            <a:gd name="connsiteY4" fmla="*/ 0 h 10000"/>
            <a:gd name="connsiteX0" fmla="*/ 0 w 10555"/>
            <a:gd name="connsiteY0" fmla="*/ 0 h 10000"/>
            <a:gd name="connsiteX1" fmla="*/ 10555 w 10555"/>
            <a:gd name="connsiteY1" fmla="*/ 11 h 10000"/>
            <a:gd name="connsiteX2" fmla="*/ 7666 w 10555"/>
            <a:gd name="connsiteY2" fmla="*/ 10000 h 10000"/>
            <a:gd name="connsiteX3" fmla="*/ 663 w 10555"/>
            <a:gd name="connsiteY3" fmla="*/ 10000 h 10000"/>
            <a:gd name="connsiteX4" fmla="*/ 0 w 10555"/>
            <a:gd name="connsiteY4" fmla="*/ 0 h 10000"/>
            <a:gd name="connsiteX0" fmla="*/ 0 w 11554"/>
            <a:gd name="connsiteY0" fmla="*/ 0 h 10000"/>
            <a:gd name="connsiteX1" fmla="*/ 11554 w 11554"/>
            <a:gd name="connsiteY1" fmla="*/ 11 h 10000"/>
            <a:gd name="connsiteX2" fmla="*/ 8665 w 11554"/>
            <a:gd name="connsiteY2" fmla="*/ 10000 h 10000"/>
            <a:gd name="connsiteX3" fmla="*/ 1662 w 11554"/>
            <a:gd name="connsiteY3" fmla="*/ 10000 h 10000"/>
            <a:gd name="connsiteX4" fmla="*/ 0 w 11554"/>
            <a:gd name="connsiteY4" fmla="*/ 0 h 10000"/>
            <a:gd name="connsiteX0" fmla="*/ 0 w 13219"/>
            <a:gd name="connsiteY0" fmla="*/ 0 h 10000"/>
            <a:gd name="connsiteX1" fmla="*/ 13219 w 13219"/>
            <a:gd name="connsiteY1" fmla="*/ 11 h 10000"/>
            <a:gd name="connsiteX2" fmla="*/ 8665 w 13219"/>
            <a:gd name="connsiteY2" fmla="*/ 10000 h 10000"/>
            <a:gd name="connsiteX3" fmla="*/ 1662 w 13219"/>
            <a:gd name="connsiteY3" fmla="*/ 10000 h 10000"/>
            <a:gd name="connsiteX4" fmla="*/ 0 w 13219"/>
            <a:gd name="connsiteY4" fmla="*/ 0 h 10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3219" h="10000">
              <a:moveTo>
                <a:pt x="0" y="0"/>
              </a:moveTo>
              <a:lnTo>
                <a:pt x="13219" y="11"/>
              </a:lnTo>
              <a:lnTo>
                <a:pt x="8665" y="10000"/>
              </a:lnTo>
              <a:lnTo>
                <a:pt x="1662" y="10000"/>
              </a:lnTo>
              <a:lnTo>
                <a:pt x="0" y="0"/>
              </a:lnTo>
              <a:close/>
            </a:path>
          </a:pathLst>
        </a:cu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421532</xdr:colOff>
      <xdr:row>15</xdr:row>
      <xdr:rowOff>181388</xdr:rowOff>
    </xdr:from>
    <xdr:to>
      <xdr:col>3</xdr:col>
      <xdr:colOff>512323</xdr:colOff>
      <xdr:row>15</xdr:row>
      <xdr:rowOff>181388</xdr:rowOff>
    </xdr:to>
    <xdr:cxnSp macro="">
      <xdr:nvCxnSpPr>
        <xdr:cNvPr id="39" name="Прямая со стрелкой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CxnSpPr/>
      </xdr:nvCxnSpPr>
      <xdr:spPr>
        <a:xfrm>
          <a:off x="742545" y="2765703"/>
          <a:ext cx="518808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449580</xdr:colOff>
      <xdr:row>18</xdr:row>
      <xdr:rowOff>175261</xdr:rowOff>
    </xdr:from>
    <xdr:to>
      <xdr:col>4</xdr:col>
      <xdr:colOff>0</xdr:colOff>
      <xdr:row>21</xdr:row>
      <xdr:rowOff>7620</xdr:rowOff>
    </xdr:to>
    <xdr:sp macro="" textlink="">
      <xdr:nvSpPr>
        <xdr:cNvPr id="40" name="Прямоугольник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1194327" y="3309525"/>
          <a:ext cx="68005" cy="384450"/>
        </a:xfrm>
        <a:prstGeom prst="rect">
          <a:avLst/>
        </a:prstGeom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10</xdr:col>
      <xdr:colOff>66309</xdr:colOff>
      <xdr:row>18</xdr:row>
      <xdr:rowOff>5301</xdr:rowOff>
    </xdr:from>
    <xdr:to>
      <xdr:col>10</xdr:col>
      <xdr:colOff>75250</xdr:colOff>
      <xdr:row>32</xdr:row>
      <xdr:rowOff>2364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CxnSpPr>
          <a:stCxn id="28" idx="1"/>
          <a:endCxn id="26" idx="4"/>
        </xdr:cNvCxnSpPr>
      </xdr:nvCxnSpPr>
      <xdr:spPr>
        <a:xfrm flipH="1">
          <a:off x="4351438" y="3331207"/>
          <a:ext cx="8941" cy="250718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186215</xdr:colOff>
      <xdr:row>23</xdr:row>
      <xdr:rowOff>178341</xdr:rowOff>
    </xdr:from>
    <xdr:to>
      <xdr:col>3</xdr:col>
      <xdr:colOff>456181</xdr:colOff>
      <xdr:row>23</xdr:row>
      <xdr:rowOff>178341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CxnSpPr/>
      </xdr:nvCxnSpPr>
      <xdr:spPr>
        <a:xfrm>
          <a:off x="507228" y="4215320"/>
          <a:ext cx="69798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383628</xdr:colOff>
      <xdr:row>25</xdr:row>
      <xdr:rowOff>95821</xdr:rowOff>
    </xdr:from>
    <xdr:to>
      <xdr:col>12</xdr:col>
      <xdr:colOff>304800</xdr:colOff>
      <xdr:row>25</xdr:row>
      <xdr:rowOff>95821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CxnSpPr>
          <a:stCxn id="26" idx="6"/>
          <a:endCxn id="26" idx="2"/>
        </xdr:cNvCxnSpPr>
      </xdr:nvCxnSpPr>
      <xdr:spPr>
        <a:xfrm flipH="1">
          <a:off x="3198546" y="4676786"/>
          <a:ext cx="23057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457201</xdr:colOff>
      <xdr:row>21</xdr:row>
      <xdr:rowOff>10003</xdr:rowOff>
    </xdr:from>
    <xdr:to>
      <xdr:col>3</xdr:col>
      <xdr:colOff>457203</xdr:colOff>
      <xdr:row>24</xdr:row>
      <xdr:rowOff>71336</xdr:rowOff>
    </xdr:to>
    <xdr:cxnSp macro="">
      <xdr:nvCxnSpPr>
        <xdr:cNvPr id="56" name="Прямая соединительная линия 55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CxnSpPr>
          <a:stCxn id="38" idx="3"/>
        </xdr:cNvCxnSpPr>
      </xdr:nvCxnSpPr>
      <xdr:spPr>
        <a:xfrm flipH="1">
          <a:off x="1201272" y="3873791"/>
          <a:ext cx="2" cy="59921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16435</xdr:colOff>
      <xdr:row>24</xdr:row>
      <xdr:rowOff>0</xdr:rowOff>
    </xdr:from>
    <xdr:to>
      <xdr:col>4</xdr:col>
      <xdr:colOff>304800</xdr:colOff>
      <xdr:row>24</xdr:row>
      <xdr:rowOff>220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CxnSpPr/>
      </xdr:nvCxnSpPr>
      <xdr:spPr>
        <a:xfrm flipH="1">
          <a:off x="1280459" y="4401671"/>
          <a:ext cx="288365" cy="2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422148</xdr:colOff>
      <xdr:row>15</xdr:row>
      <xdr:rowOff>131619</xdr:rowOff>
    </xdr:from>
    <xdr:to>
      <xdr:col>2</xdr:col>
      <xdr:colOff>424961</xdr:colOff>
      <xdr:row>17</xdr:row>
      <xdr:rowOff>172649</xdr:rowOff>
    </xdr:to>
    <xdr:cxnSp macro="">
      <xdr:nvCxnSpPr>
        <xdr:cNvPr id="64" name="Прямая соединительная линия 63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CxnSpPr/>
      </xdr:nvCxnSpPr>
      <xdr:spPr>
        <a:xfrm>
          <a:off x="740803" y="2961410"/>
          <a:ext cx="2813" cy="4081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519545</xdr:colOff>
      <xdr:row>15</xdr:row>
      <xdr:rowOff>145473</xdr:rowOff>
    </xdr:from>
    <xdr:to>
      <xdr:col>4</xdr:col>
      <xdr:colOff>2398</xdr:colOff>
      <xdr:row>18</xdr:row>
      <xdr:rowOff>34104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CxnSpPr/>
      </xdr:nvCxnSpPr>
      <xdr:spPr>
        <a:xfrm>
          <a:off x="1264227" y="2975264"/>
          <a:ext cx="2398" cy="4393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21</xdr:row>
      <xdr:rowOff>5255</xdr:rowOff>
    </xdr:from>
    <xdr:to>
      <xdr:col>5</xdr:col>
      <xdr:colOff>0</xdr:colOff>
      <xdr:row>30</xdr:row>
      <xdr:rowOff>4355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CxnSpPr/>
      </xdr:nvCxnSpPr>
      <xdr:spPr>
        <a:xfrm>
          <a:off x="2106706" y="3806290"/>
          <a:ext cx="0" cy="16127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387532</xdr:colOff>
      <xdr:row>19</xdr:row>
      <xdr:rowOff>8709</xdr:rowOff>
    </xdr:from>
    <xdr:to>
      <xdr:col>6</xdr:col>
      <xdr:colOff>387532</xdr:colOff>
      <xdr:row>32</xdr:row>
      <xdr:rowOff>4355</xdr:rowOff>
    </xdr:to>
    <xdr:cxnSp macro="">
      <xdr:nvCxnSpPr>
        <xdr:cNvPr id="78" name="Прямая со стрелкой 77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CxnSpPr/>
      </xdr:nvCxnSpPr>
      <xdr:spPr>
        <a:xfrm>
          <a:off x="2886892" y="3506289"/>
          <a:ext cx="0" cy="237308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605246</xdr:colOff>
      <xdr:row>19</xdr:row>
      <xdr:rowOff>0</xdr:rowOff>
    </xdr:from>
    <xdr:to>
      <xdr:col>6</xdr:col>
      <xdr:colOff>388620</xdr:colOff>
      <xdr:row>19</xdr:row>
      <xdr:rowOff>4355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900-000052000000}"/>
            </a:ext>
          </a:extLst>
        </xdr:cNvPr>
        <xdr:cNvCxnSpPr/>
      </xdr:nvCxnSpPr>
      <xdr:spPr>
        <a:xfrm flipV="1">
          <a:off x="1870166" y="3497580"/>
          <a:ext cx="1017814" cy="43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531223</xdr:colOff>
      <xdr:row>21</xdr:row>
      <xdr:rowOff>0</xdr:rowOff>
    </xdr:from>
    <xdr:to>
      <xdr:col>5</xdr:col>
      <xdr:colOff>100149</xdr:colOff>
      <xdr:row>21</xdr:row>
      <xdr:rowOff>4355</xdr:rowOff>
    </xdr:to>
    <xdr:cxnSp macro="">
      <xdr:nvCxnSpPr>
        <xdr:cNvPr id="86" name="Прямая соединительная линия 85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CxnSpPr/>
      </xdr:nvCxnSpPr>
      <xdr:spPr>
        <a:xfrm>
          <a:off x="1798320" y="3692434"/>
          <a:ext cx="348343" cy="43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587829</xdr:colOff>
      <xdr:row>30</xdr:row>
      <xdr:rowOff>0</xdr:rowOff>
    </xdr:from>
    <xdr:to>
      <xdr:col>5</xdr:col>
      <xdr:colOff>156755</xdr:colOff>
      <xdr:row>30</xdr:row>
      <xdr:rowOff>4355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CxnSpPr/>
      </xdr:nvCxnSpPr>
      <xdr:spPr>
        <a:xfrm>
          <a:off x="1854926" y="5338354"/>
          <a:ext cx="348343" cy="43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609601</xdr:colOff>
      <xdr:row>32</xdr:row>
      <xdr:rowOff>0</xdr:rowOff>
    </xdr:from>
    <xdr:to>
      <xdr:col>7</xdr:col>
      <xdr:colOff>91440</xdr:colOff>
      <xdr:row>32</xdr:row>
      <xdr:rowOff>4356</xdr:rowOff>
    </xdr:to>
    <xdr:cxnSp macro="">
      <xdr:nvCxnSpPr>
        <xdr:cNvPr id="89" name="Прямая соединительная линия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CxnSpPr/>
      </xdr:nvCxnSpPr>
      <xdr:spPr>
        <a:xfrm flipV="1">
          <a:off x="1874521" y="5875020"/>
          <a:ext cx="1112519" cy="435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310055</xdr:colOff>
      <xdr:row>16</xdr:row>
      <xdr:rowOff>162910</xdr:rowOff>
    </xdr:from>
    <xdr:to>
      <xdr:col>3</xdr:col>
      <xdr:colOff>178419</xdr:colOff>
      <xdr:row>18</xdr:row>
      <xdr:rowOff>11151</xdr:rowOff>
    </xdr:to>
    <xdr:cxnSp macro="">
      <xdr:nvCxnSpPr>
        <xdr:cNvPr id="92" name="Прямая соединительная линия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CxnSpPr/>
      </xdr:nvCxnSpPr>
      <xdr:spPr>
        <a:xfrm>
          <a:off x="629723" y="3158871"/>
          <a:ext cx="295828" cy="2125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352096</xdr:colOff>
      <xdr:row>21</xdr:row>
      <xdr:rowOff>70624</xdr:rowOff>
    </xdr:from>
    <xdr:to>
      <xdr:col>3</xdr:col>
      <xdr:colOff>156117</xdr:colOff>
      <xdr:row>22</xdr:row>
      <xdr:rowOff>162911</xdr:rowOff>
    </xdr:to>
    <xdr:cxnSp macro="">
      <xdr:nvCxnSpPr>
        <xdr:cNvPr id="97" name="Прямая соединительная линия 96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CxnSpPr/>
      </xdr:nvCxnSpPr>
      <xdr:spPr>
        <a:xfrm flipV="1">
          <a:off x="672662" y="3996238"/>
          <a:ext cx="229689" cy="2762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497869</xdr:colOff>
      <xdr:row>33</xdr:row>
      <xdr:rowOff>0</xdr:rowOff>
    </xdr:from>
    <xdr:to>
      <xdr:col>4</xdr:col>
      <xdr:colOff>303687</xdr:colOff>
      <xdr:row>34</xdr:row>
      <xdr:rowOff>176162</xdr:rowOff>
    </xdr:to>
    <xdr:cxnSp macro="">
      <xdr:nvCxnSpPr>
        <xdr:cNvPr id="104" name="Прямая соединительная линия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CxnSpPr>
          <a:endCxn id="30" idx="2"/>
        </xdr:cNvCxnSpPr>
      </xdr:nvCxnSpPr>
      <xdr:spPr>
        <a:xfrm flipV="1">
          <a:off x="1246617" y="6135757"/>
          <a:ext cx="322653" cy="36169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302342</xdr:colOff>
      <xdr:row>21</xdr:row>
      <xdr:rowOff>0</xdr:rowOff>
    </xdr:from>
    <xdr:to>
      <xdr:col>11</xdr:col>
      <xdr:colOff>493059</xdr:colOff>
      <xdr:row>21</xdr:row>
      <xdr:rowOff>4916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CxnSpPr/>
      </xdr:nvCxnSpPr>
      <xdr:spPr>
        <a:xfrm flipV="1">
          <a:off x="3655142" y="3863788"/>
          <a:ext cx="1347164" cy="491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603937</xdr:colOff>
      <xdr:row>25</xdr:row>
      <xdr:rowOff>131169</xdr:rowOff>
    </xdr:from>
    <xdr:ext cx="280205" cy="28681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 txBox="1"/>
      </xdr:nvSpPr>
      <xdr:spPr>
        <a:xfrm rot="16200000">
          <a:off x="1864659" y="4652683"/>
          <a:ext cx="28681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oneCellAnchor>
    <xdr:from>
      <xdr:col>5</xdr:col>
      <xdr:colOff>209488</xdr:colOff>
      <xdr:row>26</xdr:row>
      <xdr:rowOff>122204</xdr:rowOff>
    </xdr:from>
    <xdr:ext cx="280205" cy="28681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 txBox="1"/>
      </xdr:nvSpPr>
      <xdr:spPr>
        <a:xfrm rot="16200000">
          <a:off x="2312892" y="4823012"/>
          <a:ext cx="28681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twoCellAnchor>
    <xdr:from>
      <xdr:col>9</xdr:col>
      <xdr:colOff>303519</xdr:colOff>
      <xdr:row>20</xdr:row>
      <xdr:rowOff>154174</xdr:rowOff>
    </xdr:from>
    <xdr:to>
      <xdr:col>9</xdr:col>
      <xdr:colOff>306332</xdr:colOff>
      <xdr:row>23</xdr:row>
      <xdr:rowOff>15909</xdr:rowOff>
    </xdr:to>
    <xdr:cxnSp macro="">
      <xdr:nvCxnSpPr>
        <xdr:cNvPr id="57" name="Прямая соединительная линия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CxnSpPr/>
      </xdr:nvCxnSpPr>
      <xdr:spPr>
        <a:xfrm>
          <a:off x="3651403" y="3897806"/>
          <a:ext cx="2813" cy="407426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508323</xdr:colOff>
      <xdr:row>20</xdr:row>
      <xdr:rowOff>146519</xdr:rowOff>
    </xdr:from>
    <xdr:to>
      <xdr:col>11</xdr:col>
      <xdr:colOff>508429</xdr:colOff>
      <xdr:row>23</xdr:row>
      <xdr:rowOff>4669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CxnSpPr/>
      </xdr:nvCxnSpPr>
      <xdr:spPr>
        <a:xfrm>
          <a:off x="5019363" y="3899913"/>
          <a:ext cx="106" cy="40679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168913</xdr:colOff>
      <xdr:row>22</xdr:row>
      <xdr:rowOff>100642</xdr:rowOff>
    </xdr:from>
    <xdr:to>
      <xdr:col>9</xdr:col>
      <xdr:colOff>451449</xdr:colOff>
      <xdr:row>22</xdr:row>
      <xdr:rowOff>100642</xdr:rowOff>
    </xdr:to>
    <xdr:cxnSp macro="">
      <xdr:nvCxnSpPr>
        <xdr:cNvPr id="72" name="Прямая соединительная линия 71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CxnSpPr/>
      </xdr:nvCxnSpPr>
      <xdr:spPr>
        <a:xfrm>
          <a:off x="3513087" y="4215442"/>
          <a:ext cx="282536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335648</xdr:colOff>
      <xdr:row>22</xdr:row>
      <xdr:rowOff>91677</xdr:rowOff>
    </xdr:from>
    <xdr:to>
      <xdr:col>11</xdr:col>
      <xdr:colOff>673803</xdr:colOff>
      <xdr:row>22</xdr:row>
      <xdr:rowOff>93156</xdr:rowOff>
    </xdr:to>
    <xdr:cxnSp macro="">
      <xdr:nvCxnSpPr>
        <xdr:cNvPr id="73" name="Прямая соединительная линия 72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CxnSpPr/>
      </xdr:nvCxnSpPr>
      <xdr:spPr>
        <a:xfrm>
          <a:off x="4846688" y="4210831"/>
          <a:ext cx="338155" cy="14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480060</xdr:colOff>
          <xdr:row>18</xdr:row>
          <xdr:rowOff>7620</xdr:rowOff>
        </xdr:from>
        <xdr:to>
          <xdr:col>13</xdr:col>
          <xdr:colOff>30480</xdr:colOff>
          <xdr:row>19</xdr:row>
          <xdr:rowOff>7620</xdr:rowOff>
        </xdr:to>
        <xdr:sp macro="" textlink="">
          <xdr:nvSpPr>
            <xdr:cNvPr id="11265" name="Check Box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A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14</xdr:col>
      <xdr:colOff>2457</xdr:colOff>
      <xdr:row>1</xdr:row>
      <xdr:rowOff>35859</xdr:rowOff>
    </xdr:from>
    <xdr:to>
      <xdr:col>19</xdr:col>
      <xdr:colOff>257417</xdr:colOff>
      <xdr:row>19</xdr:row>
      <xdr:rowOff>8965</xdr:rowOff>
    </xdr:to>
    <xdr:pic>
      <xdr:nvPicPr>
        <xdr:cNvPr id="57" name="Рисунок 1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4386" y="224118"/>
          <a:ext cx="3616725" cy="35500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62753</xdr:colOff>
      <xdr:row>13</xdr:row>
      <xdr:rowOff>89648</xdr:rowOff>
    </xdr:from>
    <xdr:to>
      <xdr:col>5</xdr:col>
      <xdr:colOff>937022</xdr:colOff>
      <xdr:row>31</xdr:row>
      <xdr:rowOff>44824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529" y="2671483"/>
          <a:ext cx="2972011" cy="3379694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627529</xdr:colOff>
      <xdr:row>22</xdr:row>
      <xdr:rowOff>8965</xdr:rowOff>
    </xdr:from>
    <xdr:to>
      <xdr:col>23</xdr:col>
      <xdr:colOff>116498</xdr:colOff>
      <xdr:row>22</xdr:row>
      <xdr:rowOff>9525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CxnSpPr/>
      </xdr:nvCxnSpPr>
      <xdr:spPr>
        <a:xfrm>
          <a:off x="1999129" y="4078941"/>
          <a:ext cx="2294922" cy="560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24</xdr:row>
      <xdr:rowOff>16328</xdr:rowOff>
    </xdr:from>
    <xdr:to>
      <xdr:col>19</xdr:col>
      <xdr:colOff>0</xdr:colOff>
      <xdr:row>26</xdr:row>
      <xdr:rowOff>5443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CxnSpPr/>
      </xdr:nvCxnSpPr>
      <xdr:spPr>
        <a:xfrm>
          <a:off x="228828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5444</xdr:colOff>
      <xdr:row>24</xdr:row>
      <xdr:rowOff>21981</xdr:rowOff>
    </xdr:from>
    <xdr:to>
      <xdr:col>23</xdr:col>
      <xdr:colOff>7328</xdr:colOff>
      <xdr:row>26</xdr:row>
      <xdr:rowOff>10886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CxnSpPr/>
      </xdr:nvCxnSpPr>
      <xdr:spPr>
        <a:xfrm flipH="1">
          <a:off x="247552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20</xdr:row>
      <xdr:rowOff>21980</xdr:rowOff>
    </xdr:from>
    <xdr:to>
      <xdr:col>19</xdr:col>
      <xdr:colOff>0</xdr:colOff>
      <xdr:row>20</xdr:row>
      <xdr:rowOff>21980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CxnSpPr/>
      </xdr:nvCxnSpPr>
      <xdr:spPr>
        <a:xfrm flipH="1">
          <a:off x="228828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4354</xdr:colOff>
      <xdr:row>26</xdr:row>
      <xdr:rowOff>4355</xdr:rowOff>
    </xdr:from>
    <xdr:to>
      <xdr:col>23</xdr:col>
      <xdr:colOff>3350</xdr:colOff>
      <xdr:row>26</xdr:row>
      <xdr:rowOff>12142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>
          <a:off x="2103120" y="5098869"/>
          <a:ext cx="1967133" cy="7787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426720</xdr:colOff>
      <xdr:row>20</xdr:row>
      <xdr:rowOff>0</xdr:rowOff>
    </xdr:from>
    <xdr:to>
      <xdr:col>18</xdr:col>
      <xdr:colOff>427484</xdr:colOff>
      <xdr:row>24</xdr:row>
      <xdr:rowOff>12612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CxnSpPr/>
      </xdr:nvCxnSpPr>
      <xdr:spPr>
        <a:xfrm flipH="1" flipV="1">
          <a:off x="1802674" y="3884023"/>
          <a:ext cx="764" cy="77025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600075</xdr:colOff>
      <xdr:row>17</xdr:row>
      <xdr:rowOff>161925</xdr:rowOff>
    </xdr:from>
    <xdr:ext cx="358303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 txBox="1"/>
      </xdr:nvSpPr>
      <xdr:spPr>
        <a:xfrm>
          <a:off x="253498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23</xdr:col>
      <xdr:colOff>600075</xdr:colOff>
      <xdr:row>26</xdr:row>
      <xdr:rowOff>161925</xdr:rowOff>
    </xdr:from>
    <xdr:ext cx="358303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 txBox="1"/>
      </xdr:nvSpPr>
      <xdr:spPr>
        <a:xfrm>
          <a:off x="253498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20</xdr:col>
      <xdr:colOff>522514</xdr:colOff>
      <xdr:row>24</xdr:row>
      <xdr:rowOff>168727</xdr:rowOff>
    </xdr:from>
    <xdr:ext cx="358303" cy="2536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 txBox="1"/>
      </xdr:nvSpPr>
      <xdr:spPr>
        <a:xfrm>
          <a:off x="239235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17</xdr:col>
      <xdr:colOff>397328</xdr:colOff>
      <xdr:row>21</xdr:row>
      <xdr:rowOff>157843</xdr:rowOff>
    </xdr:from>
    <xdr:ext cx="326436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 txBox="1"/>
      </xdr:nvSpPr>
      <xdr:spPr>
        <a:xfrm>
          <a:off x="22030508" y="435646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18</xdr:col>
      <xdr:colOff>345688</xdr:colOff>
      <xdr:row>20</xdr:row>
      <xdr:rowOff>7434</xdr:rowOff>
    </xdr:from>
    <xdr:to>
      <xdr:col>19</xdr:col>
      <xdr:colOff>12633</xdr:colOff>
      <xdr:row>20</xdr:row>
      <xdr:rowOff>7821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CxnSpPr/>
      </xdr:nvCxnSpPr>
      <xdr:spPr>
        <a:xfrm flipH="1" flipV="1">
          <a:off x="1958898" y="3746810"/>
          <a:ext cx="391774" cy="38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248195</xdr:colOff>
      <xdr:row>24</xdr:row>
      <xdr:rowOff>0</xdr:rowOff>
    </xdr:from>
    <xdr:to>
      <xdr:col>19</xdr:col>
      <xdr:colOff>19766</xdr:colOff>
      <xdr:row>24</xdr:row>
      <xdr:rowOff>8022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CxnSpPr/>
      </xdr:nvCxnSpPr>
      <xdr:spPr>
        <a:xfrm flipH="1" flipV="1">
          <a:off x="1624149" y="4833257"/>
          <a:ext cx="494383" cy="802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571500</xdr:colOff>
      <xdr:row>21</xdr:row>
      <xdr:rowOff>183173</xdr:rowOff>
    </xdr:from>
    <xdr:to>
      <xdr:col>37</xdr:col>
      <xdr:colOff>116498</xdr:colOff>
      <xdr:row>22</xdr:row>
      <xdr:rowOff>9525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CxnSpPr/>
      </xdr:nvCxnSpPr>
      <xdr:spPr>
        <a:xfrm>
          <a:off x="88544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24</xdr:row>
      <xdr:rowOff>16328</xdr:rowOff>
    </xdr:from>
    <xdr:to>
      <xdr:col>34</xdr:col>
      <xdr:colOff>0</xdr:colOff>
      <xdr:row>26</xdr:row>
      <xdr:rowOff>5443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CxnSpPr/>
      </xdr:nvCxnSpPr>
      <xdr:spPr>
        <a:xfrm>
          <a:off x="89763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5444</xdr:colOff>
      <xdr:row>24</xdr:row>
      <xdr:rowOff>21981</xdr:rowOff>
    </xdr:from>
    <xdr:to>
      <xdr:col>37</xdr:col>
      <xdr:colOff>7328</xdr:colOff>
      <xdr:row>26</xdr:row>
      <xdr:rowOff>10886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CxnSpPr/>
      </xdr:nvCxnSpPr>
      <xdr:spPr>
        <a:xfrm flipH="1">
          <a:off x="108487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847725</xdr:colOff>
      <xdr:row>25</xdr:row>
      <xdr:rowOff>171450</xdr:rowOff>
    </xdr:from>
    <xdr:to>
      <xdr:col>33</xdr:col>
      <xdr:colOff>1171575</xdr:colOff>
      <xdr:row>26</xdr:row>
      <xdr:rowOff>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CxnSpPr/>
      </xdr:nvCxnSpPr>
      <xdr:spPr>
        <a:xfrm flipH="1">
          <a:off x="89782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20</xdr:row>
      <xdr:rowOff>21980</xdr:rowOff>
    </xdr:from>
    <xdr:to>
      <xdr:col>34</xdr:col>
      <xdr:colOff>0</xdr:colOff>
      <xdr:row>20</xdr:row>
      <xdr:rowOff>21980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CxnSpPr/>
      </xdr:nvCxnSpPr>
      <xdr:spPr>
        <a:xfrm flipH="1">
          <a:off x="89763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19050</xdr:colOff>
      <xdr:row>26</xdr:row>
      <xdr:rowOff>12142</xdr:rowOff>
    </xdr:from>
    <xdr:to>
      <xdr:col>37</xdr:col>
      <xdr:colOff>3350</xdr:colOff>
      <xdr:row>26</xdr:row>
      <xdr:rowOff>15240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CxnSpPr/>
      </xdr:nvCxnSpPr>
      <xdr:spPr>
        <a:xfrm flipV="1">
          <a:off x="89954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332014</xdr:colOff>
      <xdr:row>20</xdr:row>
      <xdr:rowOff>1362</xdr:rowOff>
    </xdr:from>
    <xdr:to>
      <xdr:col>33</xdr:col>
      <xdr:colOff>338818</xdr:colOff>
      <xdr:row>24</xdr:row>
      <xdr:rowOff>16328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CxnSpPr/>
      </xdr:nvCxnSpPr>
      <xdr:spPr>
        <a:xfrm flipV="1">
          <a:off x="86149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600075</xdr:colOff>
      <xdr:row>17</xdr:row>
      <xdr:rowOff>161925</xdr:rowOff>
    </xdr:from>
    <xdr:ext cx="358303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SpPr txBox="1"/>
      </xdr:nvSpPr>
      <xdr:spPr>
        <a:xfrm>
          <a:off x="114433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SpPr txBox="1"/>
      </xdr:nvSpPr>
      <xdr:spPr>
        <a:xfrm>
          <a:off x="114433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35</xdr:col>
      <xdr:colOff>522514</xdr:colOff>
      <xdr:row>24</xdr:row>
      <xdr:rowOff>168727</xdr:rowOff>
    </xdr:from>
    <xdr:ext cx="358303" cy="25367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SpPr txBox="1"/>
      </xdr:nvSpPr>
      <xdr:spPr>
        <a:xfrm>
          <a:off x="100170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32</xdr:col>
      <xdr:colOff>370434</xdr:colOff>
      <xdr:row>21</xdr:row>
      <xdr:rowOff>23372</xdr:rowOff>
    </xdr:from>
    <xdr:ext cx="326436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SpPr txBox="1"/>
      </xdr:nvSpPr>
      <xdr:spPr>
        <a:xfrm>
          <a:off x="8653822" y="3887160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33</xdr:col>
      <xdr:colOff>314325</xdr:colOff>
      <xdr:row>20</xdr:row>
      <xdr:rowOff>0</xdr:rowOff>
    </xdr:from>
    <xdr:to>
      <xdr:col>33</xdr:col>
      <xdr:colOff>674370</xdr:colOff>
      <xdr:row>20</xdr:row>
      <xdr:rowOff>3810</xdr:rowOff>
    </xdr:to>
    <xdr:cxnSp macro="">
      <xdr:nvCxnSpPr>
        <xdr:cNvPr id="34" name="Прямая соединительная линия 3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CxnSpPr/>
      </xdr:nvCxnSpPr>
      <xdr:spPr>
        <a:xfrm flipH="1" flipV="1">
          <a:off x="85972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321128</xdr:colOff>
      <xdr:row>24</xdr:row>
      <xdr:rowOff>0</xdr:rowOff>
    </xdr:from>
    <xdr:to>
      <xdr:col>33</xdr:col>
      <xdr:colOff>669471</xdr:colOff>
      <xdr:row>24</xdr:row>
      <xdr:rowOff>0</xdr:rowOff>
    </xdr:to>
    <xdr:cxnSp macro="">
      <xdr:nvCxnSpPr>
        <xdr:cNvPr id="35" name="Прямая соединительная линия 3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CxnSpPr/>
      </xdr:nvCxnSpPr>
      <xdr:spPr>
        <a:xfrm flipH="1">
          <a:off x="86040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571500</xdr:colOff>
      <xdr:row>21</xdr:row>
      <xdr:rowOff>183173</xdr:rowOff>
    </xdr:from>
    <xdr:to>
      <xdr:col>51</xdr:col>
      <xdr:colOff>116498</xdr:colOff>
      <xdr:row>22</xdr:row>
      <xdr:rowOff>9525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CxnSpPr/>
      </xdr:nvCxnSpPr>
      <xdr:spPr>
        <a:xfrm>
          <a:off x="9380220" y="4069373"/>
          <a:ext cx="186909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24</xdr:row>
      <xdr:rowOff>16328</xdr:rowOff>
    </xdr:from>
    <xdr:to>
      <xdr:col>48</xdr:col>
      <xdr:colOff>0</xdr:colOff>
      <xdr:row>26</xdr:row>
      <xdr:rowOff>5443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CxnSpPr/>
      </xdr:nvCxnSpPr>
      <xdr:spPr>
        <a:xfrm>
          <a:off x="9418320" y="445116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5444</xdr:colOff>
      <xdr:row>24</xdr:row>
      <xdr:rowOff>21981</xdr:rowOff>
    </xdr:from>
    <xdr:to>
      <xdr:col>51</xdr:col>
      <xdr:colOff>7328</xdr:colOff>
      <xdr:row>26</xdr:row>
      <xdr:rowOff>10886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CxnSpPr/>
      </xdr:nvCxnSpPr>
      <xdr:spPr>
        <a:xfrm flipH="1">
          <a:off x="11138264" y="445682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847725</xdr:colOff>
      <xdr:row>25</xdr:row>
      <xdr:rowOff>171450</xdr:rowOff>
    </xdr:from>
    <xdr:to>
      <xdr:col>47</xdr:col>
      <xdr:colOff>1171575</xdr:colOff>
      <xdr:row>26</xdr:row>
      <xdr:rowOff>0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CxnSpPr/>
      </xdr:nvCxnSpPr>
      <xdr:spPr>
        <a:xfrm flipH="1">
          <a:off x="9420225" y="478917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20</xdr:row>
      <xdr:rowOff>21980</xdr:rowOff>
    </xdr:from>
    <xdr:to>
      <xdr:col>48</xdr:col>
      <xdr:colOff>0</xdr:colOff>
      <xdr:row>20</xdr:row>
      <xdr:rowOff>21980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CxnSpPr/>
      </xdr:nvCxnSpPr>
      <xdr:spPr>
        <a:xfrm flipH="1">
          <a:off x="9418320" y="37253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19050</xdr:colOff>
      <xdr:row>26</xdr:row>
      <xdr:rowOff>12142</xdr:rowOff>
    </xdr:from>
    <xdr:to>
      <xdr:col>51</xdr:col>
      <xdr:colOff>3350</xdr:colOff>
      <xdr:row>26</xdr:row>
      <xdr:rowOff>15240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CxnSpPr/>
      </xdr:nvCxnSpPr>
      <xdr:spPr>
        <a:xfrm flipV="1">
          <a:off x="9437370" y="4812742"/>
          <a:ext cx="16988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332014</xdr:colOff>
      <xdr:row>20</xdr:row>
      <xdr:rowOff>1362</xdr:rowOff>
    </xdr:from>
    <xdr:to>
      <xdr:col>47</xdr:col>
      <xdr:colOff>338818</xdr:colOff>
      <xdr:row>24</xdr:row>
      <xdr:rowOff>16328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CxnSpPr/>
      </xdr:nvCxnSpPr>
      <xdr:spPr>
        <a:xfrm flipV="1">
          <a:off x="9140734" y="370468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600075</xdr:colOff>
      <xdr:row>17</xdr:row>
      <xdr:rowOff>161925</xdr:rowOff>
    </xdr:from>
    <xdr:ext cx="358303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SpPr txBox="1"/>
      </xdr:nvSpPr>
      <xdr:spPr>
        <a:xfrm>
          <a:off x="11732895" y="331660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SpPr txBox="1"/>
      </xdr:nvSpPr>
      <xdr:spPr>
        <a:xfrm>
          <a:off x="11732895" y="49625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49</xdr:col>
      <xdr:colOff>522514</xdr:colOff>
      <xdr:row>24</xdr:row>
      <xdr:rowOff>168727</xdr:rowOff>
    </xdr:from>
    <xdr:ext cx="358303" cy="253675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SpPr txBox="1"/>
      </xdr:nvSpPr>
      <xdr:spPr>
        <a:xfrm>
          <a:off x="10550434" y="460356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46</xdr:col>
      <xdr:colOff>388363</xdr:colOff>
      <xdr:row>21</xdr:row>
      <xdr:rowOff>23373</xdr:rowOff>
    </xdr:from>
    <xdr:ext cx="326436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SpPr txBox="1"/>
      </xdr:nvSpPr>
      <xdr:spPr>
        <a:xfrm>
          <a:off x="15986951" y="3887161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47</xdr:col>
      <xdr:colOff>314325</xdr:colOff>
      <xdr:row>20</xdr:row>
      <xdr:rowOff>0</xdr:rowOff>
    </xdr:from>
    <xdr:to>
      <xdr:col>47</xdr:col>
      <xdr:colOff>674370</xdr:colOff>
      <xdr:row>20</xdr:row>
      <xdr:rowOff>3810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CxnSpPr/>
      </xdr:nvCxnSpPr>
      <xdr:spPr>
        <a:xfrm flipH="1" flipV="1">
          <a:off x="9123045" y="3703320"/>
          <a:ext cx="29146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321128</xdr:colOff>
      <xdr:row>24</xdr:row>
      <xdr:rowOff>0</xdr:rowOff>
    </xdr:from>
    <xdr:to>
      <xdr:col>47</xdr:col>
      <xdr:colOff>669471</xdr:colOff>
      <xdr:row>24</xdr:row>
      <xdr:rowOff>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CxnSpPr/>
      </xdr:nvCxnSpPr>
      <xdr:spPr>
        <a:xfrm flipH="1">
          <a:off x="9129848" y="4434840"/>
          <a:ext cx="28738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22</xdr:row>
          <xdr:rowOff>175260</xdr:rowOff>
        </xdr:from>
        <xdr:to>
          <xdr:col>28</xdr:col>
          <xdr:colOff>30480</xdr:colOff>
          <xdr:row>24</xdr:row>
          <xdr:rowOff>45720</xdr:rowOff>
        </xdr:to>
        <xdr:sp macro="" textlink="">
          <xdr:nvSpPr>
            <xdr:cNvPr id="12290" name="Check Box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B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19</xdr:col>
      <xdr:colOff>17929</xdr:colOff>
      <xdr:row>20</xdr:row>
      <xdr:rowOff>2458</xdr:rowOff>
    </xdr:from>
    <xdr:to>
      <xdr:col>22</xdr:col>
      <xdr:colOff>791497</xdr:colOff>
      <xdr:row>24</xdr:row>
      <xdr:rowOff>8965</xdr:rowOff>
    </xdr:to>
    <xdr:sp macro="" textlink="">
      <xdr:nvSpPr>
        <xdr:cNvPr id="9" name="Прямоугольник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122032" y="3773129"/>
          <a:ext cx="2533542" cy="773423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34</xdr:col>
      <xdr:colOff>1</xdr:colOff>
      <xdr:row>20</xdr:row>
      <xdr:rowOff>26894</xdr:rowOff>
    </xdr:from>
    <xdr:to>
      <xdr:col>37</xdr:col>
      <xdr:colOff>8966</xdr:colOff>
      <xdr:row>24</xdr:row>
      <xdr:rowOff>26895</xdr:rowOff>
    </xdr:to>
    <xdr:sp macro="" textlink="">
      <xdr:nvSpPr>
        <xdr:cNvPr id="55" name="Прямоугольник 54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SpPr/>
      </xdr:nvSpPr>
      <xdr:spPr>
        <a:xfrm>
          <a:off x="9897036" y="3729318"/>
          <a:ext cx="1819836" cy="744071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48</xdr:col>
      <xdr:colOff>8965</xdr:colOff>
      <xdr:row>20</xdr:row>
      <xdr:rowOff>26894</xdr:rowOff>
    </xdr:from>
    <xdr:to>
      <xdr:col>51</xdr:col>
      <xdr:colOff>1</xdr:colOff>
      <xdr:row>24</xdr:row>
      <xdr:rowOff>8965</xdr:rowOff>
    </xdr:to>
    <xdr:sp macro="" textlink="">
      <xdr:nvSpPr>
        <xdr:cNvPr id="56" name="Прямоугольник 55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SpPr/>
      </xdr:nvSpPr>
      <xdr:spPr>
        <a:xfrm>
          <a:off x="17418424" y="3729318"/>
          <a:ext cx="1819836" cy="726141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SpPr txBox="1"/>
      </xdr:nvSpPr>
      <xdr:spPr>
        <a:xfrm>
          <a:off x="478018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SpPr txBox="1"/>
      </xdr:nvSpPr>
      <xdr:spPr>
        <a:xfrm>
          <a:off x="478018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17</xdr:row>
      <xdr:rowOff>161925</xdr:rowOff>
    </xdr:from>
    <xdr:ext cx="358303" cy="264560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SpPr txBox="1"/>
      </xdr:nvSpPr>
      <xdr:spPr>
        <a:xfrm>
          <a:off x="4780189" y="3427639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17</xdr:row>
      <xdr:rowOff>161925</xdr:rowOff>
    </xdr:from>
    <xdr:ext cx="358303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SpPr txBox="1"/>
      </xdr:nvSpPr>
      <xdr:spPr>
        <a:xfrm>
          <a:off x="12240169" y="3427639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17</xdr:row>
      <xdr:rowOff>161925</xdr:rowOff>
    </xdr:from>
    <xdr:ext cx="358303" cy="264560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SpPr txBox="1"/>
      </xdr:nvSpPr>
      <xdr:spPr>
        <a:xfrm>
          <a:off x="12240169" y="3427639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SpPr txBox="1"/>
      </xdr:nvSpPr>
      <xdr:spPr>
        <a:xfrm>
          <a:off x="1224016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SpPr txBox="1"/>
      </xdr:nvSpPr>
      <xdr:spPr>
        <a:xfrm>
          <a:off x="1224016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SpPr txBox="1"/>
      </xdr:nvSpPr>
      <xdr:spPr>
        <a:xfrm>
          <a:off x="1224016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14</xdr:col>
      <xdr:colOff>0</xdr:colOff>
      <xdr:row>24</xdr:row>
      <xdr:rowOff>157843</xdr:rowOff>
    </xdr:from>
    <xdr:ext cx="184731" cy="264560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00000000-0008-0000-0B00-000099000000}"/>
            </a:ext>
          </a:extLst>
        </xdr:cNvPr>
        <xdr:cNvSpPr txBox="1"/>
      </xdr:nvSpPr>
      <xdr:spPr>
        <a:xfrm>
          <a:off x="21358860" y="457744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 b="1"/>
        </a:p>
      </xdr:txBody>
    </xdr:sp>
    <xdr:clientData/>
  </xdr:oneCellAnchor>
  <xdr:oneCellAnchor>
    <xdr:from>
      <xdr:col>14</xdr:col>
      <xdr:colOff>0</xdr:colOff>
      <xdr:row>24</xdr:row>
      <xdr:rowOff>157843</xdr:rowOff>
    </xdr:from>
    <xdr:ext cx="184731" cy="264560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00000000-0008-0000-0B00-00009E000000}"/>
            </a:ext>
          </a:extLst>
        </xdr:cNvPr>
        <xdr:cNvSpPr txBox="1"/>
      </xdr:nvSpPr>
      <xdr:spPr>
        <a:xfrm>
          <a:off x="21358860" y="457744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 b="1"/>
        </a:p>
      </xdr:txBody>
    </xdr:sp>
    <xdr:clientData/>
  </xdr:oneCellAnchor>
  <xdr:twoCellAnchor>
    <xdr:from>
      <xdr:col>4</xdr:col>
      <xdr:colOff>571500</xdr:colOff>
      <xdr:row>22</xdr:row>
      <xdr:rowOff>0</xdr:rowOff>
    </xdr:from>
    <xdr:to>
      <xdr:col>8</xdr:col>
      <xdr:colOff>777240</xdr:colOff>
      <xdr:row>22</xdr:row>
      <xdr:rowOff>293</xdr:rowOff>
    </xdr:to>
    <xdr:cxnSp macro="">
      <xdr:nvCxnSpPr>
        <xdr:cNvPr id="164" name="Прямая соединительная линия 163">
          <a:extLst>
            <a:ext uri="{FF2B5EF4-FFF2-40B4-BE49-F238E27FC236}">
              <a16:creationId xmlns:a16="http://schemas.microsoft.com/office/drawing/2014/main" id="{00000000-0008-0000-0B00-0000A4000000}"/>
            </a:ext>
          </a:extLst>
        </xdr:cNvPr>
        <xdr:cNvCxnSpPr/>
      </xdr:nvCxnSpPr>
      <xdr:spPr>
        <a:xfrm flipV="1">
          <a:off x="15765780" y="4602480"/>
          <a:ext cx="2606040" cy="293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24</xdr:row>
      <xdr:rowOff>16328</xdr:rowOff>
    </xdr:from>
    <xdr:to>
      <xdr:col>5</xdr:col>
      <xdr:colOff>0</xdr:colOff>
      <xdr:row>26</xdr:row>
      <xdr:rowOff>5443</xdr:rowOff>
    </xdr:to>
    <xdr:cxnSp macro="">
      <xdr:nvCxnSpPr>
        <xdr:cNvPr id="165" name="Прямая соединительная линия 164">
          <a:extLst>
            <a:ext uri="{FF2B5EF4-FFF2-40B4-BE49-F238E27FC236}">
              <a16:creationId xmlns:a16="http://schemas.microsoft.com/office/drawing/2014/main" id="{00000000-0008-0000-0B00-0000A5000000}"/>
            </a:ext>
          </a:extLst>
        </xdr:cNvPr>
        <xdr:cNvCxnSpPr/>
      </xdr:nvCxnSpPr>
      <xdr:spPr>
        <a:xfrm>
          <a:off x="15887700" y="498456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5444</xdr:colOff>
      <xdr:row>24</xdr:row>
      <xdr:rowOff>21981</xdr:rowOff>
    </xdr:from>
    <xdr:to>
      <xdr:col>8</xdr:col>
      <xdr:colOff>7328</xdr:colOff>
      <xdr:row>26</xdr:row>
      <xdr:rowOff>10886</xdr:rowOff>
    </xdr:to>
    <xdr:cxnSp macro="">
      <xdr:nvCxnSpPr>
        <xdr:cNvPr id="166" name="Прямая соединительная линия 165">
          <a:extLst>
            <a:ext uri="{FF2B5EF4-FFF2-40B4-BE49-F238E27FC236}">
              <a16:creationId xmlns:a16="http://schemas.microsoft.com/office/drawing/2014/main" id="{00000000-0008-0000-0B00-0000A6000000}"/>
            </a:ext>
          </a:extLst>
        </xdr:cNvPr>
        <xdr:cNvCxnSpPr/>
      </xdr:nvCxnSpPr>
      <xdr:spPr>
        <a:xfrm flipH="1">
          <a:off x="17600024" y="499022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847725</xdr:colOff>
      <xdr:row>25</xdr:row>
      <xdr:rowOff>171450</xdr:rowOff>
    </xdr:from>
    <xdr:to>
      <xdr:col>4</xdr:col>
      <xdr:colOff>1171575</xdr:colOff>
      <xdr:row>26</xdr:row>
      <xdr:rowOff>0</xdr:rowOff>
    </xdr:to>
    <xdr:cxnSp macro="">
      <xdr:nvCxnSpPr>
        <xdr:cNvPr id="167" name="Прямая соединительная линия 166">
          <a:extLst>
            <a:ext uri="{FF2B5EF4-FFF2-40B4-BE49-F238E27FC236}">
              <a16:creationId xmlns:a16="http://schemas.microsoft.com/office/drawing/2014/main" id="{00000000-0008-0000-0B00-0000A7000000}"/>
            </a:ext>
          </a:extLst>
        </xdr:cNvPr>
        <xdr:cNvCxnSpPr/>
      </xdr:nvCxnSpPr>
      <xdr:spPr>
        <a:xfrm flipH="1">
          <a:off x="15889605" y="532257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20</xdr:row>
      <xdr:rowOff>21980</xdr:rowOff>
    </xdr:from>
    <xdr:to>
      <xdr:col>5</xdr:col>
      <xdr:colOff>0</xdr:colOff>
      <xdr:row>20</xdr:row>
      <xdr:rowOff>21980</xdr:rowOff>
    </xdr:to>
    <xdr:cxnSp macro="">
      <xdr:nvCxnSpPr>
        <xdr:cNvPr id="168" name="Прямая соединительная линия 167">
          <a:extLst>
            <a:ext uri="{FF2B5EF4-FFF2-40B4-BE49-F238E27FC236}">
              <a16:creationId xmlns:a16="http://schemas.microsoft.com/office/drawing/2014/main" id="{00000000-0008-0000-0B00-0000A8000000}"/>
            </a:ext>
          </a:extLst>
        </xdr:cNvPr>
        <xdr:cNvCxnSpPr/>
      </xdr:nvCxnSpPr>
      <xdr:spPr>
        <a:xfrm flipH="1">
          <a:off x="15887700" y="42587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26</xdr:row>
      <xdr:rowOff>12142</xdr:rowOff>
    </xdr:from>
    <xdr:to>
      <xdr:col>8</xdr:col>
      <xdr:colOff>3350</xdr:colOff>
      <xdr:row>26</xdr:row>
      <xdr:rowOff>15240</xdr:rowOff>
    </xdr:to>
    <xdr:cxnSp macro="">
      <xdr:nvCxnSpPr>
        <xdr:cNvPr id="169" name="Прямая со стрелкой 168">
          <a:extLst>
            <a:ext uri="{FF2B5EF4-FFF2-40B4-BE49-F238E27FC236}">
              <a16:creationId xmlns:a16="http://schemas.microsoft.com/office/drawing/2014/main" id="{00000000-0008-0000-0B00-0000A9000000}"/>
            </a:ext>
          </a:extLst>
        </xdr:cNvPr>
        <xdr:cNvCxnSpPr/>
      </xdr:nvCxnSpPr>
      <xdr:spPr>
        <a:xfrm flipV="1">
          <a:off x="15906750" y="5346142"/>
          <a:ext cx="169118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332014</xdr:colOff>
      <xdr:row>20</xdr:row>
      <xdr:rowOff>1362</xdr:rowOff>
    </xdr:from>
    <xdr:to>
      <xdr:col>4</xdr:col>
      <xdr:colOff>338818</xdr:colOff>
      <xdr:row>24</xdr:row>
      <xdr:rowOff>16328</xdr:rowOff>
    </xdr:to>
    <xdr:cxnSp macro="">
      <xdr:nvCxnSpPr>
        <xdr:cNvPr id="170" name="Прямая со стрелкой 169">
          <a:extLst>
            <a:ext uri="{FF2B5EF4-FFF2-40B4-BE49-F238E27FC236}">
              <a16:creationId xmlns:a16="http://schemas.microsoft.com/office/drawing/2014/main" id="{00000000-0008-0000-0B00-0000AA000000}"/>
            </a:ext>
          </a:extLst>
        </xdr:cNvPr>
        <xdr:cNvCxnSpPr/>
      </xdr:nvCxnSpPr>
      <xdr:spPr>
        <a:xfrm flipV="1">
          <a:off x="15526294" y="423808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522514</xdr:colOff>
      <xdr:row>24</xdr:row>
      <xdr:rowOff>168727</xdr:rowOff>
    </xdr:from>
    <xdr:ext cx="358303" cy="253675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00000000-0008-0000-0B00-0000AB000000}"/>
            </a:ext>
          </a:extLst>
        </xdr:cNvPr>
        <xdr:cNvSpPr txBox="1"/>
      </xdr:nvSpPr>
      <xdr:spPr>
        <a:xfrm>
          <a:off x="16928374" y="513696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</xdr:col>
      <xdr:colOff>280786</xdr:colOff>
      <xdr:row>21</xdr:row>
      <xdr:rowOff>59231</xdr:rowOff>
    </xdr:from>
    <xdr:ext cx="326436" cy="264560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0000000-0008-0000-0B00-0000AC000000}"/>
            </a:ext>
          </a:extLst>
        </xdr:cNvPr>
        <xdr:cNvSpPr txBox="1"/>
      </xdr:nvSpPr>
      <xdr:spPr>
        <a:xfrm>
          <a:off x="1069680" y="396784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4</xdr:col>
      <xdr:colOff>314325</xdr:colOff>
      <xdr:row>20</xdr:row>
      <xdr:rowOff>0</xdr:rowOff>
    </xdr:from>
    <xdr:to>
      <xdr:col>4</xdr:col>
      <xdr:colOff>674370</xdr:colOff>
      <xdr:row>20</xdr:row>
      <xdr:rowOff>3810</xdr:rowOff>
    </xdr:to>
    <xdr:cxnSp macro="">
      <xdr:nvCxnSpPr>
        <xdr:cNvPr id="173" name="Прямая соединительная линия 172">
          <a:extLst>
            <a:ext uri="{FF2B5EF4-FFF2-40B4-BE49-F238E27FC236}">
              <a16:creationId xmlns:a16="http://schemas.microsoft.com/office/drawing/2014/main" id="{00000000-0008-0000-0B00-0000AD000000}"/>
            </a:ext>
          </a:extLst>
        </xdr:cNvPr>
        <xdr:cNvCxnSpPr/>
      </xdr:nvCxnSpPr>
      <xdr:spPr>
        <a:xfrm flipH="1" flipV="1">
          <a:off x="15508605" y="423672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321128</xdr:colOff>
      <xdr:row>24</xdr:row>
      <xdr:rowOff>0</xdr:rowOff>
    </xdr:from>
    <xdr:to>
      <xdr:col>4</xdr:col>
      <xdr:colOff>669471</xdr:colOff>
      <xdr:row>24</xdr:row>
      <xdr:rowOff>0</xdr:rowOff>
    </xdr:to>
    <xdr:cxnSp macro="">
      <xdr:nvCxnSpPr>
        <xdr:cNvPr id="174" name="Прямая соединительная линия 173">
          <a:extLst>
            <a:ext uri="{FF2B5EF4-FFF2-40B4-BE49-F238E27FC236}">
              <a16:creationId xmlns:a16="http://schemas.microsoft.com/office/drawing/2014/main" id="{00000000-0008-0000-0B00-0000AE000000}"/>
            </a:ext>
          </a:extLst>
        </xdr:cNvPr>
        <xdr:cNvCxnSpPr/>
      </xdr:nvCxnSpPr>
      <xdr:spPr>
        <a:xfrm flipH="1">
          <a:off x="15515408" y="496824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537754</xdr:colOff>
      <xdr:row>27</xdr:row>
      <xdr:rowOff>23947</xdr:rowOff>
    </xdr:from>
    <xdr:ext cx="358303" cy="253675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00000000-0008-0000-0B00-0000AF000000}"/>
            </a:ext>
          </a:extLst>
        </xdr:cNvPr>
        <xdr:cNvSpPr txBox="1"/>
      </xdr:nvSpPr>
      <xdr:spPr>
        <a:xfrm>
          <a:off x="18132334" y="554082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twoCellAnchor>
    <xdr:from>
      <xdr:col>8</xdr:col>
      <xdr:colOff>18506</xdr:colOff>
      <xdr:row>19</xdr:row>
      <xdr:rowOff>64075</xdr:rowOff>
    </xdr:from>
    <xdr:to>
      <xdr:col>8</xdr:col>
      <xdr:colOff>574766</xdr:colOff>
      <xdr:row>24</xdr:row>
      <xdr:rowOff>132655</xdr:rowOff>
    </xdr:to>
    <xdr:sp macro="" textlink="">
      <xdr:nvSpPr>
        <xdr:cNvPr id="176" name="Трапеция 175">
          <a:extLst>
            <a:ext uri="{FF2B5EF4-FFF2-40B4-BE49-F238E27FC236}">
              <a16:creationId xmlns:a16="http://schemas.microsoft.com/office/drawing/2014/main" id="{00000000-0008-0000-0B00-0000B0000000}"/>
            </a:ext>
          </a:extLst>
        </xdr:cNvPr>
        <xdr:cNvSpPr/>
      </xdr:nvSpPr>
      <xdr:spPr>
        <a:xfrm rot="16200000">
          <a:off x="4208980" y="4066415"/>
          <a:ext cx="1014511" cy="556260"/>
        </a:xfrm>
        <a:prstGeom prst="trapezoid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8</xdr:col>
      <xdr:colOff>586740</xdr:colOff>
      <xdr:row>24</xdr:row>
      <xdr:rowOff>144780</xdr:rowOff>
    </xdr:from>
    <xdr:to>
      <xdr:col>8</xdr:col>
      <xdr:colOff>594360</xdr:colOff>
      <xdr:row>26</xdr:row>
      <xdr:rowOff>38100</xdr:rowOff>
    </xdr:to>
    <xdr:cxnSp macro="">
      <xdr:nvCxnSpPr>
        <xdr:cNvPr id="177" name="Прямая соединительная линия 176">
          <a:extLst>
            <a:ext uri="{FF2B5EF4-FFF2-40B4-BE49-F238E27FC236}">
              <a16:creationId xmlns:a16="http://schemas.microsoft.com/office/drawing/2014/main" id="{00000000-0008-0000-0B00-0000B1000000}"/>
            </a:ext>
          </a:extLst>
        </xdr:cNvPr>
        <xdr:cNvCxnSpPr/>
      </xdr:nvCxnSpPr>
      <xdr:spPr>
        <a:xfrm>
          <a:off x="18181320" y="5113020"/>
          <a:ext cx="7620" cy="2590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26</xdr:row>
      <xdr:rowOff>7620</xdr:rowOff>
    </xdr:from>
    <xdr:to>
      <xdr:col>8</xdr:col>
      <xdr:colOff>593834</xdr:colOff>
      <xdr:row>26</xdr:row>
      <xdr:rowOff>10511</xdr:rowOff>
    </xdr:to>
    <xdr:cxnSp macro="">
      <xdr:nvCxnSpPr>
        <xdr:cNvPr id="178" name="Прямая со стрелкой 177">
          <a:extLst>
            <a:ext uri="{FF2B5EF4-FFF2-40B4-BE49-F238E27FC236}">
              <a16:creationId xmlns:a16="http://schemas.microsoft.com/office/drawing/2014/main" id="{00000000-0008-0000-0B00-0000B2000000}"/>
            </a:ext>
          </a:extLst>
        </xdr:cNvPr>
        <xdr:cNvCxnSpPr/>
      </xdr:nvCxnSpPr>
      <xdr:spPr>
        <a:xfrm>
          <a:off x="4419600" y="5105137"/>
          <a:ext cx="593834" cy="289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674538</xdr:colOff>
      <xdr:row>20</xdr:row>
      <xdr:rowOff>12012</xdr:rowOff>
    </xdr:from>
    <xdr:to>
      <xdr:col>8</xdr:col>
      <xdr:colOff>21395</xdr:colOff>
      <xdr:row>23</xdr:row>
      <xdr:rowOff>179427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2587421" y="3974412"/>
          <a:ext cx="1853574" cy="734974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7</xdr:col>
      <xdr:colOff>761440</xdr:colOff>
      <xdr:row>17</xdr:row>
      <xdr:rowOff>36419</xdr:rowOff>
    </xdr:from>
    <xdr:ext cx="358303" cy="264560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00000000-0008-0000-0B00-0000B3000000}"/>
            </a:ext>
          </a:extLst>
        </xdr:cNvPr>
        <xdr:cNvSpPr txBox="1"/>
      </xdr:nvSpPr>
      <xdr:spPr>
        <a:xfrm>
          <a:off x="4508687" y="3200960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7620</xdr:colOff>
          <xdr:row>23</xdr:row>
          <xdr:rowOff>182880</xdr:rowOff>
        </xdr:from>
        <xdr:to>
          <xdr:col>27</xdr:col>
          <xdr:colOff>213360</xdr:colOff>
          <xdr:row>24</xdr:row>
          <xdr:rowOff>175260</xdr:rowOff>
        </xdr:to>
        <xdr:sp macro="" textlink="">
          <xdr:nvSpPr>
            <xdr:cNvPr id="12292" name="Check Box 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0B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47;&#1072;&#1082;&#1072;&#1079;&#1099;\&#1050;&#1085;&#1080;&#1075;&#1072;%20&#1084;&#1086;&#1076;&#1077;&#1083;&#1077;&#1081;%20&#1057;&#1080;&#1085;&#1080;&#1094;&#1099;&#1085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47;&#1072;&#1082;&#1072;&#1079;&#1099;\&#1062;&#1041;%20&#1054;&#1057;&#1053;&#1040;&#1057;&#1058;&#1050;&#1040;+&#1048;&#1047;&#1051;&#1054;&#1046;&#1053;&#1048;&#1062;&#1067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00"/>
      <sheetName val="600"/>
      <sheetName val="700"/>
      <sheetName val="800"/>
      <sheetName val="900"/>
      <sheetName val="1000"/>
      <sheetName val="1200"/>
      <sheetName val="Венец, бандаж"/>
      <sheetName val="Вкладыши (сухари)"/>
      <sheetName val="ДИСК"/>
      <sheetName val="Кольца"/>
      <sheetName val="Планки"/>
      <sheetName val="Подпятник"/>
      <sheetName val="Сектор"/>
      <sheetName val="Сухари"/>
      <sheetName val="Электрододержател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H3" t="str">
            <v>б/н (Арконик)</v>
          </cell>
          <cell r="I3">
            <v>480</v>
          </cell>
          <cell r="J3">
            <v>100</v>
          </cell>
          <cell r="K3">
            <v>380</v>
          </cell>
          <cell r="L3">
            <v>1720</v>
          </cell>
          <cell r="M3">
            <v>1740</v>
          </cell>
          <cell r="N3">
            <v>1760</v>
          </cell>
          <cell r="O3">
            <v>26</v>
          </cell>
          <cell r="P3">
            <v>40</v>
          </cell>
          <cell r="Q3">
            <v>65</v>
          </cell>
          <cell r="R3" t="str">
            <v>новая модель для Арконик, изготовитель: МЦ Гарант</v>
          </cell>
        </row>
        <row r="4">
          <cell r="H4">
            <v>5</v>
          </cell>
          <cell r="I4">
            <v>730</v>
          </cell>
          <cell r="J4">
            <v>270</v>
          </cell>
          <cell r="K4">
            <v>460</v>
          </cell>
          <cell r="L4">
            <v>100</v>
          </cell>
          <cell r="M4">
            <v>110</v>
          </cell>
          <cell r="N4">
            <v>166</v>
          </cell>
          <cell r="O4">
            <v>115</v>
          </cell>
          <cell r="P4">
            <v>125</v>
          </cell>
          <cell r="Q4">
            <v>180</v>
          </cell>
        </row>
        <row r="5">
          <cell r="H5">
            <v>3</v>
          </cell>
          <cell r="I5">
            <v>750</v>
          </cell>
          <cell r="J5">
            <v>280</v>
          </cell>
          <cell r="K5">
            <v>470</v>
          </cell>
          <cell r="L5">
            <v>130</v>
          </cell>
          <cell r="M5">
            <v>140</v>
          </cell>
          <cell r="N5">
            <v>200</v>
          </cell>
          <cell r="O5">
            <v>105</v>
          </cell>
          <cell r="P5">
            <v>110</v>
          </cell>
          <cell r="Q5">
            <v>175</v>
          </cell>
        </row>
        <row r="6">
          <cell r="H6">
            <v>61</v>
          </cell>
          <cell r="I6">
            <v>590</v>
          </cell>
          <cell r="J6">
            <v>100</v>
          </cell>
          <cell r="K6">
            <v>490</v>
          </cell>
          <cell r="L6">
            <v>270</v>
          </cell>
          <cell r="M6">
            <v>285</v>
          </cell>
          <cell r="N6">
            <v>310</v>
          </cell>
          <cell r="O6">
            <v>25</v>
          </cell>
          <cell r="P6">
            <v>33</v>
          </cell>
          <cell r="Q6">
            <v>75</v>
          </cell>
        </row>
        <row r="7">
          <cell r="H7">
            <v>23</v>
          </cell>
          <cell r="I7">
            <v>590</v>
          </cell>
          <cell r="J7">
            <v>100</v>
          </cell>
          <cell r="K7">
            <v>490</v>
          </cell>
          <cell r="L7">
            <v>420</v>
          </cell>
          <cell r="M7">
            <v>432</v>
          </cell>
          <cell r="N7">
            <v>455</v>
          </cell>
          <cell r="O7">
            <v>90</v>
          </cell>
          <cell r="P7">
            <v>100</v>
          </cell>
          <cell r="Q7">
            <v>140</v>
          </cell>
          <cell r="R7" t="str">
            <v>модель нашита  (L4=25 L5=35 L6=75)</v>
          </cell>
        </row>
        <row r="8">
          <cell r="H8">
            <v>25</v>
          </cell>
          <cell r="I8">
            <v>670</v>
          </cell>
          <cell r="J8">
            <v>150</v>
          </cell>
          <cell r="K8">
            <v>520</v>
          </cell>
          <cell r="L8">
            <v>150</v>
          </cell>
          <cell r="M8">
            <v>157</v>
          </cell>
          <cell r="N8">
            <v>190</v>
          </cell>
          <cell r="O8">
            <v>65</v>
          </cell>
          <cell r="P8">
            <v>77</v>
          </cell>
          <cell r="Q8">
            <v>135</v>
          </cell>
        </row>
        <row r="9">
          <cell r="H9">
            <v>64</v>
          </cell>
          <cell r="I9">
            <v>600</v>
          </cell>
          <cell r="J9">
            <v>75</v>
          </cell>
          <cell r="K9">
            <v>525</v>
          </cell>
          <cell r="L9">
            <v>200</v>
          </cell>
          <cell r="M9">
            <v>215</v>
          </cell>
          <cell r="N9">
            <v>235</v>
          </cell>
          <cell r="O9">
            <v>20</v>
          </cell>
          <cell r="P9">
            <v>26</v>
          </cell>
          <cell r="Q9">
            <v>60</v>
          </cell>
        </row>
        <row r="10">
          <cell r="H10">
            <v>84</v>
          </cell>
          <cell r="I10">
            <v>680</v>
          </cell>
          <cell r="J10">
            <v>135</v>
          </cell>
          <cell r="K10">
            <v>545</v>
          </cell>
          <cell r="L10">
            <v>200</v>
          </cell>
          <cell r="M10">
            <v>212</v>
          </cell>
          <cell r="N10">
            <v>250</v>
          </cell>
          <cell r="O10">
            <v>78</v>
          </cell>
          <cell r="P10">
            <v>80</v>
          </cell>
          <cell r="Q10">
            <v>135</v>
          </cell>
          <cell r="R10" t="str">
            <v>модель нашита  (L4=30 L5=35 L6=90)</v>
          </cell>
        </row>
        <row r="11">
          <cell r="H11">
            <v>141</v>
          </cell>
          <cell r="I11">
            <v>710</v>
          </cell>
          <cell r="J11">
            <v>150</v>
          </cell>
          <cell r="K11">
            <v>560</v>
          </cell>
          <cell r="L11">
            <v>1880</v>
          </cell>
          <cell r="M11">
            <v>1900</v>
          </cell>
          <cell r="N11">
            <v>1920</v>
          </cell>
          <cell r="O11">
            <v>43</v>
          </cell>
          <cell r="P11">
            <v>60</v>
          </cell>
          <cell r="Q11">
            <v>90</v>
          </cell>
          <cell r="R11" t="str">
            <v>не нашивать - Костерин 11.09.2020</v>
          </cell>
        </row>
        <row r="12">
          <cell r="H12">
            <v>97</v>
          </cell>
          <cell r="I12">
            <v>680</v>
          </cell>
          <cell r="J12">
            <v>110</v>
          </cell>
          <cell r="K12">
            <v>570</v>
          </cell>
          <cell r="L12">
            <v>295</v>
          </cell>
          <cell r="M12">
            <v>305</v>
          </cell>
          <cell r="N12">
            <v>355</v>
          </cell>
          <cell r="O12">
            <v>27</v>
          </cell>
          <cell r="P12">
            <v>38</v>
          </cell>
          <cell r="Q12">
            <v>60</v>
          </cell>
        </row>
        <row r="13">
          <cell r="H13">
            <v>53</v>
          </cell>
          <cell r="I13">
            <v>690</v>
          </cell>
          <cell r="J13">
            <v>110</v>
          </cell>
          <cell r="K13">
            <v>580</v>
          </cell>
          <cell r="L13">
            <v>235</v>
          </cell>
          <cell r="M13">
            <v>247</v>
          </cell>
          <cell r="N13">
            <v>265</v>
          </cell>
          <cell r="O13">
            <v>64</v>
          </cell>
          <cell r="P13">
            <v>74</v>
          </cell>
          <cell r="Q13">
            <v>120</v>
          </cell>
          <cell r="R13" t="str">
            <v>модель нашита  (L1=218 L2=229 L3=247 L4=27 L5=40 L6=80)</v>
          </cell>
        </row>
        <row r="14">
          <cell r="H14">
            <v>113</v>
          </cell>
          <cell r="I14">
            <v>735</v>
          </cell>
          <cell r="J14">
            <v>150</v>
          </cell>
          <cell r="K14">
            <v>585</v>
          </cell>
          <cell r="L14">
            <v>115</v>
          </cell>
          <cell r="M14">
            <v>120</v>
          </cell>
          <cell r="N14">
            <v>160</v>
          </cell>
          <cell r="O14">
            <v>70</v>
          </cell>
          <cell r="P14">
            <v>75</v>
          </cell>
          <cell r="Q14">
            <v>140</v>
          </cell>
          <cell r="R14" t="str">
            <v>модель нашита  (L4=44 L5=50 L6=100)</v>
          </cell>
        </row>
        <row r="15">
          <cell r="H15">
            <v>96</v>
          </cell>
          <cell r="I15">
            <v>735</v>
          </cell>
          <cell r="J15">
            <v>150</v>
          </cell>
          <cell r="K15">
            <v>585</v>
          </cell>
          <cell r="L15">
            <v>185</v>
          </cell>
          <cell r="M15">
            <v>195</v>
          </cell>
          <cell r="N15">
            <v>235</v>
          </cell>
          <cell r="O15">
            <v>37</v>
          </cell>
          <cell r="P15">
            <v>45</v>
          </cell>
          <cell r="Q15">
            <v>115</v>
          </cell>
        </row>
        <row r="16">
          <cell r="H16">
            <v>50</v>
          </cell>
          <cell r="I16">
            <v>690</v>
          </cell>
          <cell r="J16">
            <v>100</v>
          </cell>
          <cell r="K16">
            <v>590</v>
          </cell>
          <cell r="L16">
            <v>227</v>
          </cell>
          <cell r="M16">
            <v>240</v>
          </cell>
          <cell r="N16">
            <v>270</v>
          </cell>
          <cell r="O16">
            <v>28</v>
          </cell>
          <cell r="P16">
            <v>38</v>
          </cell>
          <cell r="Q16">
            <v>80</v>
          </cell>
        </row>
        <row r="17">
          <cell r="H17">
            <v>49</v>
          </cell>
          <cell r="I17">
            <v>780</v>
          </cell>
          <cell r="J17">
            <v>190</v>
          </cell>
          <cell r="K17">
            <v>590</v>
          </cell>
          <cell r="L17">
            <v>265</v>
          </cell>
          <cell r="M17">
            <v>270</v>
          </cell>
          <cell r="N17">
            <v>320</v>
          </cell>
          <cell r="O17">
            <v>50</v>
          </cell>
          <cell r="P17">
            <v>60</v>
          </cell>
          <cell r="Q17">
            <v>140</v>
          </cell>
          <cell r="R17" t="str">
            <v>модель нашита  (L4=45 L5=55 L6=135) +2 бурта</v>
          </cell>
        </row>
        <row r="18">
          <cell r="H18">
            <v>52</v>
          </cell>
          <cell r="I18">
            <v>690</v>
          </cell>
          <cell r="J18">
            <v>100</v>
          </cell>
          <cell r="K18">
            <v>590</v>
          </cell>
          <cell r="L18">
            <v>272</v>
          </cell>
          <cell r="M18">
            <v>285</v>
          </cell>
          <cell r="N18">
            <v>295</v>
          </cell>
          <cell r="O18">
            <v>125</v>
          </cell>
          <cell r="P18">
            <v>130</v>
          </cell>
          <cell r="Q18">
            <v>175</v>
          </cell>
          <cell r="R18" t="str">
            <v>модель нашита  (L4=27 L5=35 L6=100)</v>
          </cell>
        </row>
        <row r="19">
          <cell r="H19">
            <v>83</v>
          </cell>
          <cell r="I19">
            <v>715</v>
          </cell>
          <cell r="J19">
            <v>120</v>
          </cell>
          <cell r="K19">
            <v>595</v>
          </cell>
          <cell r="L19">
            <v>280</v>
          </cell>
          <cell r="M19">
            <v>290</v>
          </cell>
          <cell r="N19">
            <v>325</v>
          </cell>
          <cell r="O19">
            <v>32</v>
          </cell>
          <cell r="P19">
            <v>41</v>
          </cell>
          <cell r="Q19">
            <v>95</v>
          </cell>
        </row>
        <row r="20">
          <cell r="H20">
            <v>80</v>
          </cell>
          <cell r="I20">
            <v>755</v>
          </cell>
          <cell r="J20">
            <v>150</v>
          </cell>
          <cell r="K20">
            <v>605</v>
          </cell>
          <cell r="L20">
            <v>160</v>
          </cell>
          <cell r="M20">
            <v>175</v>
          </cell>
          <cell r="N20">
            <v>210</v>
          </cell>
          <cell r="O20">
            <v>52</v>
          </cell>
          <cell r="P20">
            <v>60</v>
          </cell>
          <cell r="Q20">
            <v>115</v>
          </cell>
          <cell r="R20" t="str">
            <v>модель нашита  (L4=35 L5=42 L6=100)</v>
          </cell>
        </row>
        <row r="21">
          <cell r="H21">
            <v>95</v>
          </cell>
          <cell r="I21">
            <v>825</v>
          </cell>
          <cell r="J21">
            <v>220</v>
          </cell>
          <cell r="K21">
            <v>605</v>
          </cell>
          <cell r="L21">
            <v>325</v>
          </cell>
          <cell r="M21">
            <v>340</v>
          </cell>
          <cell r="N21">
            <v>385</v>
          </cell>
          <cell r="O21">
            <v>55</v>
          </cell>
          <cell r="P21">
            <v>65</v>
          </cell>
          <cell r="Q21">
            <v>140</v>
          </cell>
        </row>
        <row r="22">
          <cell r="H22">
            <v>30</v>
          </cell>
          <cell r="I22">
            <v>745</v>
          </cell>
          <cell r="J22">
            <v>130</v>
          </cell>
          <cell r="K22">
            <v>615</v>
          </cell>
          <cell r="L22">
            <v>295</v>
          </cell>
          <cell r="M22">
            <v>305</v>
          </cell>
          <cell r="N22">
            <v>340</v>
          </cell>
          <cell r="O22">
            <v>30</v>
          </cell>
          <cell r="P22">
            <v>40</v>
          </cell>
          <cell r="Q22">
            <v>95</v>
          </cell>
        </row>
        <row r="23">
          <cell r="H23" t="str">
            <v>б/н (АГВЕРС)</v>
          </cell>
          <cell r="I23">
            <v>825</v>
          </cell>
          <cell r="J23">
            <v>205</v>
          </cell>
          <cell r="K23">
            <v>620</v>
          </cell>
          <cell r="L23">
            <v>1300</v>
          </cell>
          <cell r="M23">
            <v>1325</v>
          </cell>
          <cell r="N23">
            <v>1335</v>
          </cell>
          <cell r="O23">
            <v>65</v>
          </cell>
          <cell r="P23">
            <v>75</v>
          </cell>
          <cell r="Q23">
            <v>130</v>
          </cell>
          <cell r="R23" t="str">
            <v>новая модель для заказа 341684-004</v>
          </cell>
        </row>
        <row r="24">
          <cell r="H24">
            <v>98</v>
          </cell>
          <cell r="I24">
            <v>730</v>
          </cell>
          <cell r="J24">
            <v>105</v>
          </cell>
          <cell r="K24">
            <v>625</v>
          </cell>
          <cell r="L24">
            <v>280</v>
          </cell>
          <cell r="M24">
            <v>287</v>
          </cell>
          <cell r="N24">
            <v>315</v>
          </cell>
          <cell r="O24">
            <v>40</v>
          </cell>
          <cell r="P24">
            <v>50</v>
          </cell>
          <cell r="Q24">
            <v>100</v>
          </cell>
          <cell r="R24" t="str">
            <v>модель нашита  (L4=27 L5=37 L6=85)</v>
          </cell>
        </row>
        <row r="25">
          <cell r="H25">
            <v>63</v>
          </cell>
          <cell r="I25">
            <v>790</v>
          </cell>
          <cell r="J25">
            <v>160</v>
          </cell>
          <cell r="K25">
            <v>630</v>
          </cell>
          <cell r="L25">
            <v>360</v>
          </cell>
          <cell r="M25">
            <v>373</v>
          </cell>
          <cell r="N25">
            <v>410</v>
          </cell>
          <cell r="O25">
            <v>34</v>
          </cell>
          <cell r="P25">
            <v>45</v>
          </cell>
          <cell r="Q25">
            <v>110</v>
          </cell>
        </row>
        <row r="26">
          <cell r="H26">
            <v>59</v>
          </cell>
          <cell r="I26">
            <v>775</v>
          </cell>
          <cell r="J26">
            <v>140</v>
          </cell>
          <cell r="K26">
            <v>635</v>
          </cell>
          <cell r="L26">
            <v>340</v>
          </cell>
          <cell r="M26">
            <v>357</v>
          </cell>
          <cell r="N26">
            <v>372</v>
          </cell>
          <cell r="O26">
            <v>28</v>
          </cell>
          <cell r="P26">
            <v>35</v>
          </cell>
          <cell r="Q26">
            <v>75</v>
          </cell>
        </row>
        <row r="27">
          <cell r="H27">
            <v>4</v>
          </cell>
          <cell r="I27">
            <v>1185</v>
          </cell>
          <cell r="J27">
            <v>545</v>
          </cell>
          <cell r="K27">
            <v>640</v>
          </cell>
          <cell r="L27">
            <v>223</v>
          </cell>
          <cell r="M27">
            <v>230</v>
          </cell>
          <cell r="N27">
            <v>345</v>
          </cell>
          <cell r="O27">
            <v>173</v>
          </cell>
          <cell r="P27">
            <v>185</v>
          </cell>
          <cell r="Q27">
            <v>305</v>
          </cell>
        </row>
        <row r="28">
          <cell r="H28">
            <v>76</v>
          </cell>
          <cell r="I28">
            <v>765</v>
          </cell>
          <cell r="J28">
            <v>125</v>
          </cell>
          <cell r="K28">
            <v>640</v>
          </cell>
          <cell r="L28">
            <v>235</v>
          </cell>
          <cell r="M28">
            <v>252</v>
          </cell>
          <cell r="N28">
            <v>290</v>
          </cell>
          <cell r="O28">
            <v>27</v>
          </cell>
          <cell r="P28">
            <v>37</v>
          </cell>
          <cell r="Q28">
            <v>90</v>
          </cell>
        </row>
        <row r="29">
          <cell r="H29">
            <v>78</v>
          </cell>
          <cell r="I29">
            <v>745</v>
          </cell>
          <cell r="J29">
            <v>105</v>
          </cell>
          <cell r="K29">
            <v>640</v>
          </cell>
          <cell r="L29">
            <v>240</v>
          </cell>
          <cell r="M29">
            <v>247</v>
          </cell>
          <cell r="N29">
            <v>280</v>
          </cell>
          <cell r="O29">
            <v>27</v>
          </cell>
          <cell r="P29">
            <v>35</v>
          </cell>
          <cell r="Q29">
            <v>80</v>
          </cell>
        </row>
        <row r="30">
          <cell r="H30" t="str">
            <v>б/н</v>
          </cell>
          <cell r="I30">
            <v>890</v>
          </cell>
          <cell r="J30">
            <v>250</v>
          </cell>
          <cell r="K30">
            <v>640</v>
          </cell>
          <cell r="L30">
            <v>240</v>
          </cell>
          <cell r="M30">
            <v>240</v>
          </cell>
          <cell r="N30">
            <v>260</v>
          </cell>
          <cell r="O30">
            <v>104</v>
          </cell>
          <cell r="P30">
            <v>104</v>
          </cell>
          <cell r="Q30">
            <v>160</v>
          </cell>
          <cell r="R30" t="str">
            <v>с 19.09.2017</v>
          </cell>
        </row>
        <row r="31">
          <cell r="H31">
            <v>89</v>
          </cell>
          <cell r="I31">
            <v>760</v>
          </cell>
          <cell r="J31">
            <v>120</v>
          </cell>
          <cell r="K31">
            <v>640</v>
          </cell>
          <cell r="L31">
            <v>275</v>
          </cell>
          <cell r="M31">
            <v>285</v>
          </cell>
          <cell r="N31">
            <v>310</v>
          </cell>
          <cell r="O31">
            <v>37</v>
          </cell>
          <cell r="P31">
            <v>45</v>
          </cell>
          <cell r="Q31">
            <v>190</v>
          </cell>
          <cell r="R31" t="str">
            <v>модель нашита  (L4=32 L5=40 L6=185)</v>
          </cell>
        </row>
        <row r="32">
          <cell r="H32">
            <v>85</v>
          </cell>
          <cell r="I32">
            <v>940</v>
          </cell>
          <cell r="J32">
            <v>300</v>
          </cell>
          <cell r="K32">
            <v>640</v>
          </cell>
          <cell r="L32">
            <v>290</v>
          </cell>
          <cell r="M32">
            <v>310</v>
          </cell>
          <cell r="N32">
            <v>375</v>
          </cell>
          <cell r="O32">
            <v>75</v>
          </cell>
          <cell r="P32">
            <v>85</v>
          </cell>
          <cell r="Q32">
            <v>200</v>
          </cell>
          <cell r="R32" t="str">
            <v>модель нашита  (L4=57 L5=67 L6=170)</v>
          </cell>
        </row>
        <row r="33">
          <cell r="H33">
            <v>79</v>
          </cell>
          <cell r="I33">
            <v>795</v>
          </cell>
          <cell r="J33">
            <v>150</v>
          </cell>
          <cell r="K33">
            <v>645</v>
          </cell>
          <cell r="L33">
            <v>137</v>
          </cell>
          <cell r="M33">
            <v>150</v>
          </cell>
          <cell r="N33">
            <v>185</v>
          </cell>
          <cell r="O33">
            <v>37</v>
          </cell>
          <cell r="P33">
            <v>50</v>
          </cell>
          <cell r="Q33">
            <v>105</v>
          </cell>
          <cell r="R33" t="str">
            <v>модель нашита  (L4=32 L5=45 L6=100)</v>
          </cell>
        </row>
        <row r="34">
          <cell r="H34">
            <v>11</v>
          </cell>
          <cell r="I34">
            <v>810</v>
          </cell>
          <cell r="J34">
            <v>165</v>
          </cell>
          <cell r="K34">
            <v>645</v>
          </cell>
          <cell r="L34">
            <v>195</v>
          </cell>
          <cell r="M34">
            <v>210</v>
          </cell>
          <cell r="N34">
            <v>245</v>
          </cell>
          <cell r="O34">
            <v>40</v>
          </cell>
          <cell r="P34">
            <v>47</v>
          </cell>
          <cell r="Q34">
            <v>120</v>
          </cell>
        </row>
        <row r="35">
          <cell r="H35">
            <v>77</v>
          </cell>
          <cell r="I35">
            <v>740</v>
          </cell>
          <cell r="J35">
            <v>95</v>
          </cell>
          <cell r="K35">
            <v>645</v>
          </cell>
          <cell r="L35">
            <v>215</v>
          </cell>
          <cell r="M35">
            <v>225</v>
          </cell>
          <cell r="N35">
            <v>250</v>
          </cell>
          <cell r="O35">
            <v>25</v>
          </cell>
          <cell r="P35">
            <v>33</v>
          </cell>
          <cell r="Q35">
            <v>70</v>
          </cell>
        </row>
        <row r="36">
          <cell r="H36">
            <v>75</v>
          </cell>
          <cell r="I36">
            <v>760</v>
          </cell>
          <cell r="J36">
            <v>110</v>
          </cell>
          <cell r="K36">
            <v>650</v>
          </cell>
          <cell r="L36">
            <v>237</v>
          </cell>
          <cell r="M36">
            <v>247</v>
          </cell>
          <cell r="N36">
            <v>275</v>
          </cell>
          <cell r="O36">
            <v>29</v>
          </cell>
          <cell r="P36">
            <v>35</v>
          </cell>
          <cell r="Q36">
            <v>75</v>
          </cell>
        </row>
        <row r="37">
          <cell r="H37">
            <v>88</v>
          </cell>
          <cell r="I37">
            <v>800</v>
          </cell>
          <cell r="J37">
            <v>150</v>
          </cell>
          <cell r="K37">
            <v>650</v>
          </cell>
          <cell r="L37">
            <v>305</v>
          </cell>
          <cell r="M37">
            <v>318</v>
          </cell>
          <cell r="N37">
            <v>345</v>
          </cell>
          <cell r="O37">
            <v>35</v>
          </cell>
          <cell r="P37">
            <v>43</v>
          </cell>
          <cell r="Q37">
            <v>110</v>
          </cell>
        </row>
        <row r="38">
          <cell r="H38">
            <v>55</v>
          </cell>
          <cell r="I38">
            <v>795</v>
          </cell>
          <cell r="J38">
            <v>140</v>
          </cell>
          <cell r="K38">
            <v>655</v>
          </cell>
          <cell r="L38">
            <v>292</v>
          </cell>
          <cell r="M38">
            <v>310</v>
          </cell>
          <cell r="N38">
            <v>345</v>
          </cell>
          <cell r="O38">
            <v>100</v>
          </cell>
          <cell r="P38">
            <v>115</v>
          </cell>
          <cell r="Q38">
            <v>220</v>
          </cell>
          <cell r="R38" t="str">
            <v>модель нашита  (L4=35 L5=50 L6=160)</v>
          </cell>
        </row>
        <row r="39">
          <cell r="H39">
            <v>101</v>
          </cell>
          <cell r="I39">
            <v>800</v>
          </cell>
          <cell r="J39">
            <v>140</v>
          </cell>
          <cell r="K39">
            <v>660</v>
          </cell>
          <cell r="L39">
            <v>155</v>
          </cell>
          <cell r="M39">
            <v>167</v>
          </cell>
          <cell r="N39">
            <v>200</v>
          </cell>
          <cell r="O39">
            <v>40</v>
          </cell>
          <cell r="P39">
            <v>55</v>
          </cell>
          <cell r="Q39">
            <v>120</v>
          </cell>
          <cell r="R39" t="str">
            <v>модель нашита  (L4=25 L5=43 L6=100)</v>
          </cell>
        </row>
        <row r="40">
          <cell r="H40">
            <v>102</v>
          </cell>
          <cell r="I40">
            <v>800</v>
          </cell>
          <cell r="J40">
            <v>140</v>
          </cell>
          <cell r="K40">
            <v>660</v>
          </cell>
          <cell r="L40">
            <v>155</v>
          </cell>
          <cell r="M40">
            <v>170</v>
          </cell>
          <cell r="N40">
            <v>190</v>
          </cell>
          <cell r="O40">
            <v>40</v>
          </cell>
          <cell r="P40">
            <v>55</v>
          </cell>
          <cell r="Q40">
            <v>110</v>
          </cell>
          <cell r="R40" t="str">
            <v>модель нашита  (L4=27 L5=43 L6=100)</v>
          </cell>
        </row>
        <row r="41">
          <cell r="H41">
            <v>22</v>
          </cell>
          <cell r="I41">
            <v>840</v>
          </cell>
          <cell r="J41">
            <v>180</v>
          </cell>
          <cell r="K41">
            <v>660</v>
          </cell>
          <cell r="L41">
            <v>294</v>
          </cell>
          <cell r="M41">
            <v>310</v>
          </cell>
          <cell r="N41">
            <v>350</v>
          </cell>
          <cell r="O41">
            <v>107</v>
          </cell>
          <cell r="P41">
            <v>117</v>
          </cell>
          <cell r="Q41">
            <v>185</v>
          </cell>
          <cell r="R41" t="str">
            <v>модель нашита  (L4=45 L5=50 L6=120)</v>
          </cell>
        </row>
        <row r="42">
          <cell r="H42">
            <v>13</v>
          </cell>
          <cell r="I42">
            <v>825</v>
          </cell>
          <cell r="J42">
            <v>165</v>
          </cell>
          <cell r="K42">
            <v>660</v>
          </cell>
          <cell r="L42">
            <v>325</v>
          </cell>
          <cell r="M42">
            <v>338</v>
          </cell>
          <cell r="N42">
            <v>375</v>
          </cell>
          <cell r="O42">
            <v>80</v>
          </cell>
          <cell r="P42">
            <v>90</v>
          </cell>
          <cell r="Q42">
            <v>155</v>
          </cell>
          <cell r="R42" t="str">
            <v>модель нашита  (L4=37 L5=47 L6=115)</v>
          </cell>
        </row>
        <row r="43">
          <cell r="H43">
            <v>94</v>
          </cell>
          <cell r="I43">
            <v>805</v>
          </cell>
          <cell r="J43">
            <v>140</v>
          </cell>
          <cell r="K43">
            <v>665</v>
          </cell>
          <cell r="L43">
            <v>160</v>
          </cell>
          <cell r="M43">
            <v>180</v>
          </cell>
          <cell r="N43">
            <v>200</v>
          </cell>
          <cell r="O43">
            <v>28</v>
          </cell>
          <cell r="P43">
            <v>41</v>
          </cell>
          <cell r="Q43">
            <v>100</v>
          </cell>
        </row>
        <row r="44">
          <cell r="H44">
            <v>65</v>
          </cell>
          <cell r="I44">
            <v>825</v>
          </cell>
          <cell r="J44">
            <v>160</v>
          </cell>
          <cell r="K44">
            <v>665</v>
          </cell>
          <cell r="L44">
            <v>265</v>
          </cell>
          <cell r="M44">
            <v>278</v>
          </cell>
          <cell r="N44">
            <v>320</v>
          </cell>
          <cell r="O44">
            <v>52</v>
          </cell>
          <cell r="P44">
            <v>60</v>
          </cell>
          <cell r="Q44">
            <v>135</v>
          </cell>
          <cell r="R44" t="str">
            <v>модель нашита  (L4=40 L5=48 L6=123)</v>
          </cell>
        </row>
        <row r="45">
          <cell r="H45">
            <v>100</v>
          </cell>
          <cell r="I45">
            <v>835</v>
          </cell>
          <cell r="J45">
            <v>170</v>
          </cell>
          <cell r="K45">
            <v>665</v>
          </cell>
          <cell r="L45">
            <v>353</v>
          </cell>
          <cell r="M45">
            <v>355</v>
          </cell>
          <cell r="N45">
            <v>395</v>
          </cell>
          <cell r="O45">
            <v>35</v>
          </cell>
          <cell r="P45">
            <v>48</v>
          </cell>
          <cell r="Q45">
            <v>110</v>
          </cell>
        </row>
        <row r="46">
          <cell r="H46">
            <v>21</v>
          </cell>
          <cell r="I46">
            <v>840</v>
          </cell>
          <cell r="J46">
            <v>170</v>
          </cell>
          <cell r="K46">
            <v>670</v>
          </cell>
          <cell r="L46">
            <v>355</v>
          </cell>
          <cell r="M46">
            <v>365</v>
          </cell>
          <cell r="N46">
            <v>400</v>
          </cell>
          <cell r="O46">
            <v>40</v>
          </cell>
          <cell r="P46">
            <v>48</v>
          </cell>
          <cell r="Q46">
            <v>110</v>
          </cell>
        </row>
        <row r="47">
          <cell r="H47">
            <v>16</v>
          </cell>
          <cell r="I47">
            <v>835</v>
          </cell>
          <cell r="J47">
            <v>165</v>
          </cell>
          <cell r="K47">
            <v>670</v>
          </cell>
          <cell r="L47">
            <v>520</v>
          </cell>
          <cell r="M47">
            <v>533</v>
          </cell>
          <cell r="N47">
            <v>580</v>
          </cell>
          <cell r="O47">
            <v>58</v>
          </cell>
          <cell r="P47">
            <v>66</v>
          </cell>
          <cell r="Q47">
            <v>135</v>
          </cell>
          <cell r="R47" t="str">
            <v>модель нашита  (L4=43 L5=51 L6=120)</v>
          </cell>
        </row>
        <row r="48">
          <cell r="H48">
            <v>18</v>
          </cell>
          <cell r="I48">
            <v>835</v>
          </cell>
          <cell r="J48">
            <v>165</v>
          </cell>
          <cell r="K48">
            <v>670</v>
          </cell>
          <cell r="L48">
            <v>550</v>
          </cell>
          <cell r="M48">
            <v>560</v>
          </cell>
          <cell r="N48">
            <v>605</v>
          </cell>
          <cell r="O48">
            <v>37</v>
          </cell>
          <cell r="P48">
            <v>50</v>
          </cell>
          <cell r="Q48">
            <v>105</v>
          </cell>
        </row>
        <row r="49">
          <cell r="H49">
            <v>6</v>
          </cell>
          <cell r="I49">
            <v>780</v>
          </cell>
          <cell r="J49">
            <v>105</v>
          </cell>
          <cell r="K49">
            <v>675</v>
          </cell>
          <cell r="L49">
            <v>127</v>
          </cell>
          <cell r="M49">
            <v>137</v>
          </cell>
          <cell r="N49">
            <v>160</v>
          </cell>
          <cell r="O49">
            <v>30</v>
          </cell>
          <cell r="P49">
            <v>35</v>
          </cell>
          <cell r="Q49">
            <v>77</v>
          </cell>
        </row>
        <row r="50">
          <cell r="H50">
            <v>36</v>
          </cell>
          <cell r="I50">
            <v>845</v>
          </cell>
          <cell r="J50">
            <v>170</v>
          </cell>
          <cell r="K50">
            <v>675</v>
          </cell>
          <cell r="L50">
            <v>360</v>
          </cell>
          <cell r="M50">
            <v>370</v>
          </cell>
          <cell r="N50">
            <v>405</v>
          </cell>
          <cell r="O50">
            <v>40</v>
          </cell>
          <cell r="P50">
            <v>51</v>
          </cell>
          <cell r="Q50">
            <v>110</v>
          </cell>
        </row>
        <row r="51">
          <cell r="H51">
            <v>20</v>
          </cell>
          <cell r="I51">
            <v>840</v>
          </cell>
          <cell r="J51">
            <v>165</v>
          </cell>
          <cell r="K51">
            <v>675</v>
          </cell>
          <cell r="L51">
            <v>525</v>
          </cell>
          <cell r="M51">
            <v>532</v>
          </cell>
          <cell r="N51">
            <v>570</v>
          </cell>
          <cell r="O51">
            <v>55</v>
          </cell>
          <cell r="P51">
            <v>65</v>
          </cell>
          <cell r="Q51">
            <v>130</v>
          </cell>
          <cell r="R51" t="str">
            <v>модель нашита  (L4=43 L5=53 L6=118)</v>
          </cell>
        </row>
        <row r="52">
          <cell r="H52">
            <v>19</v>
          </cell>
          <cell r="I52">
            <v>850</v>
          </cell>
          <cell r="J52">
            <v>170</v>
          </cell>
          <cell r="K52">
            <v>680</v>
          </cell>
          <cell r="L52">
            <v>545</v>
          </cell>
          <cell r="M52">
            <v>560</v>
          </cell>
          <cell r="N52">
            <v>600</v>
          </cell>
          <cell r="O52">
            <v>37</v>
          </cell>
          <cell r="P52">
            <v>45</v>
          </cell>
          <cell r="Q52">
            <v>110</v>
          </cell>
        </row>
        <row r="53">
          <cell r="H53">
            <v>87</v>
          </cell>
          <cell r="I53">
            <v>835</v>
          </cell>
          <cell r="J53">
            <v>150</v>
          </cell>
          <cell r="K53">
            <v>685</v>
          </cell>
          <cell r="L53">
            <v>250</v>
          </cell>
          <cell r="M53">
            <v>265</v>
          </cell>
          <cell r="N53">
            <v>295</v>
          </cell>
          <cell r="O53">
            <v>35</v>
          </cell>
          <cell r="P53">
            <v>44</v>
          </cell>
          <cell r="Q53">
            <v>105</v>
          </cell>
        </row>
        <row r="54">
          <cell r="H54">
            <v>28</v>
          </cell>
          <cell r="I54">
            <v>845</v>
          </cell>
          <cell r="J54">
            <v>150</v>
          </cell>
          <cell r="K54">
            <v>695</v>
          </cell>
          <cell r="L54">
            <v>405</v>
          </cell>
          <cell r="M54">
            <v>420</v>
          </cell>
          <cell r="N54">
            <v>450</v>
          </cell>
          <cell r="O54">
            <v>46</v>
          </cell>
          <cell r="P54">
            <v>55</v>
          </cell>
          <cell r="Q54">
            <v>105</v>
          </cell>
          <cell r="R54" t="str">
            <v>модель нашита  (L4=34 L5=43 L6=93)</v>
          </cell>
        </row>
        <row r="55">
          <cell r="H55">
            <v>51</v>
          </cell>
          <cell r="I55">
            <v>805</v>
          </cell>
          <cell r="J55">
            <v>105</v>
          </cell>
          <cell r="K55">
            <v>700</v>
          </cell>
          <cell r="L55">
            <v>165</v>
          </cell>
          <cell r="M55">
            <v>180</v>
          </cell>
          <cell r="N55">
            <v>200</v>
          </cell>
          <cell r="O55">
            <v>29</v>
          </cell>
          <cell r="P55">
            <v>35</v>
          </cell>
          <cell r="Q55">
            <v>80</v>
          </cell>
        </row>
        <row r="56">
          <cell r="H56">
            <v>43</v>
          </cell>
          <cell r="I56">
            <v>850</v>
          </cell>
          <cell r="J56">
            <v>150</v>
          </cell>
          <cell r="K56">
            <v>700</v>
          </cell>
          <cell r="L56">
            <v>363</v>
          </cell>
          <cell r="M56">
            <v>385</v>
          </cell>
          <cell r="N56">
            <v>410</v>
          </cell>
          <cell r="O56">
            <v>32</v>
          </cell>
          <cell r="P56">
            <v>45</v>
          </cell>
          <cell r="Q56">
            <v>100</v>
          </cell>
        </row>
        <row r="57">
          <cell r="H57">
            <v>31</v>
          </cell>
          <cell r="I57">
            <v>880</v>
          </cell>
          <cell r="J57">
            <v>165</v>
          </cell>
          <cell r="K57">
            <v>715</v>
          </cell>
          <cell r="L57">
            <v>295</v>
          </cell>
          <cell r="M57">
            <v>315</v>
          </cell>
          <cell r="N57">
            <v>355</v>
          </cell>
          <cell r="O57">
            <v>55</v>
          </cell>
          <cell r="P57">
            <v>70</v>
          </cell>
          <cell r="Q57">
            <v>135</v>
          </cell>
          <cell r="R57" t="str">
            <v>модель нашита  (L4=38 L5=53 L6=118)</v>
          </cell>
        </row>
        <row r="58">
          <cell r="H58">
            <v>91</v>
          </cell>
          <cell r="I58">
            <v>895</v>
          </cell>
          <cell r="J58">
            <v>175</v>
          </cell>
          <cell r="K58">
            <v>720</v>
          </cell>
          <cell r="L58">
            <v>180</v>
          </cell>
          <cell r="M58">
            <v>234</v>
          </cell>
          <cell r="N58">
            <v>270</v>
          </cell>
          <cell r="O58">
            <v>45</v>
          </cell>
          <cell r="P58">
            <v>60</v>
          </cell>
          <cell r="Q58">
            <v>125</v>
          </cell>
          <cell r="R58" t="str">
            <v>модель нашита  (L4=40 L5=55 L6=120)</v>
          </cell>
        </row>
        <row r="59">
          <cell r="H59">
            <v>107</v>
          </cell>
          <cell r="I59">
            <v>880</v>
          </cell>
          <cell r="J59">
            <v>150</v>
          </cell>
          <cell r="K59">
            <v>730</v>
          </cell>
          <cell r="L59">
            <v>210</v>
          </cell>
          <cell r="M59">
            <v>225</v>
          </cell>
          <cell r="N59">
            <v>260</v>
          </cell>
          <cell r="O59">
            <v>31</v>
          </cell>
          <cell r="P59">
            <v>44</v>
          </cell>
          <cell r="Q59">
            <v>110</v>
          </cell>
        </row>
        <row r="60">
          <cell r="H60">
            <v>54</v>
          </cell>
          <cell r="I60">
            <v>900</v>
          </cell>
          <cell r="J60">
            <v>165</v>
          </cell>
          <cell r="K60">
            <v>735</v>
          </cell>
          <cell r="L60">
            <v>235</v>
          </cell>
          <cell r="M60">
            <v>250</v>
          </cell>
          <cell r="N60">
            <v>305</v>
          </cell>
          <cell r="O60">
            <v>130</v>
          </cell>
          <cell r="P60">
            <v>140</v>
          </cell>
          <cell r="Q60">
            <v>215</v>
          </cell>
          <cell r="R60" t="str">
            <v>модель нашита  (L4=40 L5=52 L6=120)</v>
          </cell>
        </row>
        <row r="61">
          <cell r="H61">
            <v>47</v>
          </cell>
          <cell r="I61">
            <v>940</v>
          </cell>
          <cell r="J61">
            <v>200</v>
          </cell>
          <cell r="K61">
            <v>740</v>
          </cell>
          <cell r="L61">
            <v>200</v>
          </cell>
          <cell r="M61">
            <v>215</v>
          </cell>
          <cell r="N61">
            <v>267</v>
          </cell>
          <cell r="O61">
            <v>46</v>
          </cell>
          <cell r="P61">
            <v>55</v>
          </cell>
          <cell r="Q61">
            <v>140</v>
          </cell>
        </row>
        <row r="62">
          <cell r="H62">
            <v>62</v>
          </cell>
          <cell r="I62">
            <v>910</v>
          </cell>
          <cell r="J62">
            <v>170</v>
          </cell>
          <cell r="K62">
            <v>740</v>
          </cell>
          <cell r="L62">
            <v>237</v>
          </cell>
          <cell r="M62">
            <v>245</v>
          </cell>
          <cell r="N62">
            <v>295</v>
          </cell>
          <cell r="O62">
            <v>47</v>
          </cell>
          <cell r="P62">
            <v>52</v>
          </cell>
          <cell r="Q62">
            <v>120</v>
          </cell>
          <cell r="R62" t="str">
            <v>модель нашита  (L4=37 L5=42 L6=110)</v>
          </cell>
        </row>
        <row r="63">
          <cell r="H63">
            <v>120</v>
          </cell>
          <cell r="I63">
            <v>940</v>
          </cell>
          <cell r="J63">
            <v>200</v>
          </cell>
          <cell r="K63">
            <v>740</v>
          </cell>
          <cell r="L63">
            <v>340</v>
          </cell>
          <cell r="M63">
            <v>355</v>
          </cell>
          <cell r="N63">
            <v>395</v>
          </cell>
          <cell r="O63">
            <v>50</v>
          </cell>
          <cell r="P63">
            <v>60</v>
          </cell>
          <cell r="Q63">
            <v>135</v>
          </cell>
        </row>
        <row r="64">
          <cell r="H64">
            <v>15</v>
          </cell>
          <cell r="I64">
            <v>925</v>
          </cell>
          <cell r="J64">
            <v>180</v>
          </cell>
          <cell r="K64">
            <v>745</v>
          </cell>
          <cell r="L64">
            <v>360</v>
          </cell>
          <cell r="M64">
            <v>380</v>
          </cell>
          <cell r="N64">
            <v>405</v>
          </cell>
          <cell r="O64">
            <v>85</v>
          </cell>
          <cell r="P64">
            <v>98</v>
          </cell>
          <cell r="Q64">
            <v>160</v>
          </cell>
          <cell r="R64" t="str">
            <v>модель нашита  (L4=37 L5=47 L6=115)</v>
          </cell>
        </row>
        <row r="65">
          <cell r="H65">
            <v>17</v>
          </cell>
          <cell r="I65">
            <v>925</v>
          </cell>
          <cell r="J65">
            <v>180</v>
          </cell>
          <cell r="K65">
            <v>745</v>
          </cell>
          <cell r="L65">
            <v>540</v>
          </cell>
          <cell r="M65">
            <v>555</v>
          </cell>
          <cell r="N65">
            <v>595</v>
          </cell>
          <cell r="O65">
            <v>37</v>
          </cell>
          <cell r="P65">
            <v>48</v>
          </cell>
          <cell r="Q65">
            <v>110</v>
          </cell>
        </row>
        <row r="66">
          <cell r="H66">
            <v>103</v>
          </cell>
          <cell r="I66">
            <v>880</v>
          </cell>
          <cell r="J66">
            <v>130</v>
          </cell>
          <cell r="K66">
            <v>750</v>
          </cell>
          <cell r="L66">
            <v>315</v>
          </cell>
          <cell r="M66">
            <v>330</v>
          </cell>
          <cell r="N66">
            <v>365</v>
          </cell>
          <cell r="O66">
            <v>57</v>
          </cell>
          <cell r="P66">
            <v>68</v>
          </cell>
          <cell r="Q66">
            <v>115</v>
          </cell>
          <cell r="R66" t="str">
            <v>модель нашита  (L4=29 L5=37 L6=85)</v>
          </cell>
        </row>
        <row r="67">
          <cell r="H67">
            <v>38</v>
          </cell>
          <cell r="I67">
            <v>950</v>
          </cell>
          <cell r="J67">
            <v>195</v>
          </cell>
          <cell r="K67">
            <v>755</v>
          </cell>
          <cell r="L67">
            <v>345</v>
          </cell>
          <cell r="M67">
            <v>355</v>
          </cell>
          <cell r="N67">
            <v>440</v>
          </cell>
          <cell r="O67">
            <v>50</v>
          </cell>
          <cell r="P67">
            <v>60</v>
          </cell>
          <cell r="Q67">
            <v>100</v>
          </cell>
        </row>
        <row r="68">
          <cell r="H68">
            <v>72</v>
          </cell>
          <cell r="I68">
            <v>920</v>
          </cell>
          <cell r="J68">
            <v>160</v>
          </cell>
          <cell r="K68">
            <v>760</v>
          </cell>
          <cell r="L68">
            <v>467</v>
          </cell>
          <cell r="M68">
            <v>488</v>
          </cell>
          <cell r="N68">
            <v>525</v>
          </cell>
          <cell r="O68">
            <v>46</v>
          </cell>
          <cell r="P68">
            <v>60</v>
          </cell>
          <cell r="Q68">
            <v>130</v>
          </cell>
          <cell r="R68" t="str">
            <v>модель нашита  (L4=34 L5=48 L6=118)</v>
          </cell>
        </row>
        <row r="69">
          <cell r="H69">
            <v>33</v>
          </cell>
          <cell r="I69">
            <v>980</v>
          </cell>
          <cell r="J69">
            <v>215</v>
          </cell>
          <cell r="K69">
            <v>765</v>
          </cell>
          <cell r="L69">
            <v>300</v>
          </cell>
          <cell r="M69">
            <v>325</v>
          </cell>
          <cell r="N69">
            <v>375</v>
          </cell>
          <cell r="O69">
            <v>55</v>
          </cell>
          <cell r="P69">
            <v>66</v>
          </cell>
          <cell r="Q69">
            <v>165</v>
          </cell>
        </row>
        <row r="70">
          <cell r="H70">
            <v>34</v>
          </cell>
          <cell r="I70">
            <v>950</v>
          </cell>
          <cell r="J70">
            <v>185</v>
          </cell>
          <cell r="K70">
            <v>765</v>
          </cell>
          <cell r="L70">
            <v>355</v>
          </cell>
          <cell r="M70">
            <v>365</v>
          </cell>
          <cell r="N70">
            <v>405</v>
          </cell>
          <cell r="O70">
            <v>45</v>
          </cell>
          <cell r="P70">
            <v>54</v>
          </cell>
          <cell r="Q70">
            <v>135</v>
          </cell>
        </row>
        <row r="71">
          <cell r="H71">
            <v>114</v>
          </cell>
          <cell r="I71">
            <v>930</v>
          </cell>
          <cell r="J71">
            <v>150</v>
          </cell>
          <cell r="K71">
            <v>780</v>
          </cell>
          <cell r="L71">
            <v>160</v>
          </cell>
          <cell r="M71">
            <v>175</v>
          </cell>
          <cell r="N71">
            <v>240</v>
          </cell>
          <cell r="O71">
            <v>85</v>
          </cell>
          <cell r="P71">
            <v>95</v>
          </cell>
          <cell r="Q71">
            <v>150</v>
          </cell>
          <cell r="R71" t="str">
            <v>модель нашита  (L4=35 L5=42 L6=110)</v>
          </cell>
        </row>
        <row r="72">
          <cell r="H72">
            <v>90</v>
          </cell>
          <cell r="I72">
            <v>915</v>
          </cell>
          <cell r="J72">
            <v>130</v>
          </cell>
          <cell r="K72">
            <v>785</v>
          </cell>
          <cell r="L72">
            <v>210</v>
          </cell>
          <cell r="M72">
            <v>230</v>
          </cell>
          <cell r="N72">
            <v>260</v>
          </cell>
          <cell r="O72">
            <v>30</v>
          </cell>
          <cell r="P72">
            <v>40</v>
          </cell>
          <cell r="Q72">
            <v>100</v>
          </cell>
        </row>
        <row r="73">
          <cell r="H73">
            <v>10</v>
          </cell>
          <cell r="I73">
            <v>1115</v>
          </cell>
          <cell r="J73">
            <v>130</v>
          </cell>
          <cell r="K73">
            <v>785</v>
          </cell>
          <cell r="L73">
            <v>345</v>
          </cell>
          <cell r="M73">
            <v>380</v>
          </cell>
          <cell r="N73">
            <v>430</v>
          </cell>
          <cell r="O73">
            <v>50</v>
          </cell>
          <cell r="P73">
            <v>60</v>
          </cell>
          <cell r="Q73">
            <v>130</v>
          </cell>
          <cell r="R73" t="str">
            <v>модель нашита  (L4=25 L5=48 L6=115)</v>
          </cell>
        </row>
        <row r="74">
          <cell r="H74">
            <v>14</v>
          </cell>
          <cell r="I74">
            <v>948</v>
          </cell>
          <cell r="J74">
            <v>160</v>
          </cell>
          <cell r="K74">
            <v>788</v>
          </cell>
          <cell r="L74">
            <v>200</v>
          </cell>
          <cell r="M74">
            <v>215</v>
          </cell>
          <cell r="N74">
            <v>255</v>
          </cell>
          <cell r="O74">
            <v>50</v>
          </cell>
          <cell r="P74">
            <v>58</v>
          </cell>
          <cell r="Q74">
            <v>120</v>
          </cell>
          <cell r="R74" t="str">
            <v>модель нашита  (L4=43 L5=51 L6=113)</v>
          </cell>
        </row>
        <row r="75">
          <cell r="H75">
            <v>71</v>
          </cell>
          <cell r="I75">
            <v>920</v>
          </cell>
          <cell r="J75">
            <v>130</v>
          </cell>
          <cell r="K75">
            <v>790</v>
          </cell>
          <cell r="L75">
            <v>200</v>
          </cell>
          <cell r="M75">
            <v>210</v>
          </cell>
          <cell r="N75">
            <v>240</v>
          </cell>
          <cell r="O75">
            <v>30</v>
          </cell>
          <cell r="P75">
            <v>40</v>
          </cell>
          <cell r="Q75">
            <v>95</v>
          </cell>
        </row>
        <row r="76">
          <cell r="H76">
            <v>44</v>
          </cell>
          <cell r="I76">
            <v>980</v>
          </cell>
          <cell r="J76">
            <v>190</v>
          </cell>
          <cell r="K76">
            <v>790</v>
          </cell>
          <cell r="L76">
            <v>320</v>
          </cell>
          <cell r="M76">
            <v>330</v>
          </cell>
          <cell r="N76">
            <v>375</v>
          </cell>
          <cell r="O76">
            <v>45</v>
          </cell>
          <cell r="P76">
            <v>55</v>
          </cell>
          <cell r="Q76">
            <v>135</v>
          </cell>
        </row>
        <row r="77">
          <cell r="H77">
            <v>104</v>
          </cell>
          <cell r="I77">
            <v>955</v>
          </cell>
          <cell r="J77">
            <v>150</v>
          </cell>
          <cell r="K77">
            <v>805</v>
          </cell>
          <cell r="L77">
            <v>265</v>
          </cell>
          <cell r="M77">
            <v>283</v>
          </cell>
          <cell r="N77">
            <v>315</v>
          </cell>
          <cell r="O77">
            <v>33</v>
          </cell>
          <cell r="P77">
            <v>40</v>
          </cell>
          <cell r="Q77">
            <v>105</v>
          </cell>
        </row>
        <row r="78">
          <cell r="H78">
            <v>32</v>
          </cell>
          <cell r="I78">
            <v>1000</v>
          </cell>
          <cell r="J78">
            <v>185</v>
          </cell>
          <cell r="K78">
            <v>815</v>
          </cell>
          <cell r="L78">
            <v>275</v>
          </cell>
          <cell r="M78">
            <v>290</v>
          </cell>
          <cell r="N78">
            <v>330</v>
          </cell>
          <cell r="O78">
            <v>37</v>
          </cell>
          <cell r="P78">
            <v>45</v>
          </cell>
          <cell r="Q78">
            <v>140</v>
          </cell>
        </row>
        <row r="79">
          <cell r="H79">
            <v>86</v>
          </cell>
          <cell r="I79">
            <v>995</v>
          </cell>
          <cell r="J79">
            <v>160</v>
          </cell>
          <cell r="K79">
            <v>835</v>
          </cell>
          <cell r="L79">
            <v>200</v>
          </cell>
          <cell r="M79">
            <v>215</v>
          </cell>
          <cell r="N79">
            <v>250</v>
          </cell>
          <cell r="O79">
            <v>85</v>
          </cell>
          <cell r="P79">
            <v>97</v>
          </cell>
          <cell r="Q79">
            <v>155</v>
          </cell>
          <cell r="R79" t="str">
            <v>модель нашита  (L4=32 L5=42 L6=100)</v>
          </cell>
        </row>
        <row r="80">
          <cell r="H80">
            <v>92</v>
          </cell>
          <cell r="I80">
            <v>1015</v>
          </cell>
          <cell r="J80">
            <v>175</v>
          </cell>
          <cell r="K80">
            <v>840</v>
          </cell>
          <cell r="L80">
            <v>250</v>
          </cell>
          <cell r="M80">
            <v>260</v>
          </cell>
          <cell r="N80">
            <v>310</v>
          </cell>
          <cell r="O80">
            <v>41</v>
          </cell>
          <cell r="P80">
            <v>50</v>
          </cell>
          <cell r="Q80">
            <v>120</v>
          </cell>
          <cell r="R80" t="str">
            <v>модель нашита  (L4=36 L5=40 L6=110)</v>
          </cell>
        </row>
        <row r="81">
          <cell r="H81">
            <v>105</v>
          </cell>
          <cell r="I81">
            <v>990</v>
          </cell>
          <cell r="J81">
            <v>150</v>
          </cell>
          <cell r="K81">
            <v>840</v>
          </cell>
          <cell r="L81">
            <v>270</v>
          </cell>
          <cell r="M81">
            <v>290</v>
          </cell>
          <cell r="N81">
            <v>320</v>
          </cell>
          <cell r="O81">
            <v>32</v>
          </cell>
          <cell r="P81">
            <v>40</v>
          </cell>
          <cell r="Q81">
            <v>100</v>
          </cell>
        </row>
        <row r="82">
          <cell r="H82">
            <v>45</v>
          </cell>
          <cell r="I82">
            <v>1015</v>
          </cell>
          <cell r="J82">
            <v>170</v>
          </cell>
          <cell r="K82">
            <v>845</v>
          </cell>
          <cell r="L82">
            <v>170</v>
          </cell>
          <cell r="M82">
            <v>190</v>
          </cell>
          <cell r="N82">
            <v>210</v>
          </cell>
          <cell r="O82">
            <v>41</v>
          </cell>
          <cell r="P82">
            <v>56</v>
          </cell>
          <cell r="Q82">
            <v>125</v>
          </cell>
          <cell r="R82" t="str">
            <v>модель нашита  (L4=36 L5=51 L6=120)</v>
          </cell>
        </row>
        <row r="83">
          <cell r="H83">
            <v>111</v>
          </cell>
          <cell r="I83">
            <v>1030</v>
          </cell>
          <cell r="J83">
            <v>180</v>
          </cell>
          <cell r="K83">
            <v>850</v>
          </cell>
          <cell r="L83">
            <v>145</v>
          </cell>
          <cell r="M83">
            <v>165</v>
          </cell>
          <cell r="N83">
            <v>200</v>
          </cell>
          <cell r="O83">
            <v>50</v>
          </cell>
          <cell r="P83">
            <v>70</v>
          </cell>
          <cell r="Q83">
            <v>140</v>
          </cell>
          <cell r="R83" t="str">
            <v>модель нашита  (L4=40 L5=55 L6=130)</v>
          </cell>
        </row>
        <row r="84">
          <cell r="H84">
            <v>58</v>
          </cell>
          <cell r="I84">
            <v>1030</v>
          </cell>
          <cell r="J84">
            <v>180</v>
          </cell>
          <cell r="K84">
            <v>850</v>
          </cell>
          <cell r="L84">
            <v>145</v>
          </cell>
          <cell r="M84">
            <v>162</v>
          </cell>
          <cell r="N84">
            <v>200</v>
          </cell>
          <cell r="O84">
            <v>90</v>
          </cell>
          <cell r="P84">
            <v>105</v>
          </cell>
          <cell r="Q84">
            <v>180</v>
          </cell>
          <cell r="R84" t="str">
            <v>модель нашита  (L4=40 L5=60 L6=120)</v>
          </cell>
        </row>
        <row r="85">
          <cell r="H85">
            <v>70</v>
          </cell>
          <cell r="I85">
            <v>980</v>
          </cell>
          <cell r="J85">
            <v>130</v>
          </cell>
          <cell r="K85">
            <v>850</v>
          </cell>
          <cell r="L85">
            <v>180</v>
          </cell>
          <cell r="M85">
            <v>196</v>
          </cell>
          <cell r="N85">
            <v>230</v>
          </cell>
          <cell r="O85">
            <v>30</v>
          </cell>
          <cell r="P85">
            <v>35</v>
          </cell>
          <cell r="Q85">
            <v>85</v>
          </cell>
        </row>
        <row r="86">
          <cell r="H86">
            <v>99</v>
          </cell>
          <cell r="I86">
            <v>1150</v>
          </cell>
          <cell r="J86">
            <v>300</v>
          </cell>
          <cell r="K86">
            <v>850</v>
          </cell>
          <cell r="L86">
            <v>185</v>
          </cell>
          <cell r="M86">
            <v>195</v>
          </cell>
          <cell r="N86">
            <v>250</v>
          </cell>
          <cell r="O86">
            <v>110</v>
          </cell>
          <cell r="P86">
            <v>120</v>
          </cell>
          <cell r="Q86">
            <v>220</v>
          </cell>
          <cell r="R86" t="str">
            <v>модель нашита  (L4=72 L5=88 L6=110)</v>
          </cell>
        </row>
        <row r="87">
          <cell r="H87">
            <v>106</v>
          </cell>
          <cell r="I87">
            <v>1005</v>
          </cell>
          <cell r="J87">
            <v>150</v>
          </cell>
          <cell r="K87">
            <v>855</v>
          </cell>
          <cell r="L87">
            <v>280</v>
          </cell>
          <cell r="M87">
            <v>290</v>
          </cell>
          <cell r="N87">
            <v>330</v>
          </cell>
          <cell r="O87">
            <v>33</v>
          </cell>
          <cell r="P87">
            <v>45</v>
          </cell>
          <cell r="Q87">
            <v>110</v>
          </cell>
        </row>
        <row r="88">
          <cell r="H88">
            <v>110</v>
          </cell>
          <cell r="I88">
            <v>1030</v>
          </cell>
          <cell r="J88">
            <v>170</v>
          </cell>
          <cell r="K88">
            <v>860</v>
          </cell>
          <cell r="L88">
            <v>143</v>
          </cell>
          <cell r="M88">
            <v>163</v>
          </cell>
          <cell r="N88">
            <v>200</v>
          </cell>
          <cell r="O88">
            <v>37</v>
          </cell>
          <cell r="P88">
            <v>57</v>
          </cell>
          <cell r="Q88">
            <v>130</v>
          </cell>
        </row>
        <row r="89">
          <cell r="H89">
            <v>82</v>
          </cell>
          <cell r="I89">
            <v>1020</v>
          </cell>
          <cell r="J89">
            <v>160</v>
          </cell>
          <cell r="K89">
            <v>860</v>
          </cell>
          <cell r="L89">
            <v>330</v>
          </cell>
          <cell r="M89">
            <v>345</v>
          </cell>
          <cell r="N89">
            <v>375</v>
          </cell>
          <cell r="O89">
            <v>34</v>
          </cell>
          <cell r="P89">
            <v>45</v>
          </cell>
          <cell r="Q89">
            <v>105</v>
          </cell>
        </row>
        <row r="90">
          <cell r="H90">
            <v>137</v>
          </cell>
          <cell r="I90">
            <v>1035</v>
          </cell>
          <cell r="J90">
            <v>175</v>
          </cell>
          <cell r="K90">
            <v>860</v>
          </cell>
          <cell r="L90">
            <v>395</v>
          </cell>
          <cell r="M90">
            <v>405</v>
          </cell>
          <cell r="N90">
            <v>445</v>
          </cell>
          <cell r="O90">
            <v>70</v>
          </cell>
          <cell r="P90">
            <v>80</v>
          </cell>
          <cell r="Q90">
            <v>150</v>
          </cell>
          <cell r="R90" t="str">
            <v>модель нашита  (L4=35 L5=45 L6=120)</v>
          </cell>
        </row>
        <row r="91">
          <cell r="H91">
            <v>93</v>
          </cell>
          <cell r="I91">
            <v>1030</v>
          </cell>
          <cell r="J91">
            <v>165</v>
          </cell>
          <cell r="K91">
            <v>865</v>
          </cell>
          <cell r="L91">
            <v>240</v>
          </cell>
          <cell r="M91">
            <v>256</v>
          </cell>
          <cell r="N91">
            <v>295</v>
          </cell>
          <cell r="O91">
            <v>38</v>
          </cell>
          <cell r="P91">
            <v>48</v>
          </cell>
          <cell r="Q91">
            <v>120</v>
          </cell>
        </row>
        <row r="92">
          <cell r="H92">
            <v>73</v>
          </cell>
          <cell r="I92">
            <v>1065</v>
          </cell>
          <cell r="J92">
            <v>200</v>
          </cell>
          <cell r="K92">
            <v>865</v>
          </cell>
          <cell r="L92">
            <v>425</v>
          </cell>
          <cell r="M92">
            <v>435</v>
          </cell>
          <cell r="N92">
            <v>490</v>
          </cell>
          <cell r="O92">
            <v>49</v>
          </cell>
          <cell r="P92">
            <v>54</v>
          </cell>
          <cell r="Q92">
            <v>130</v>
          </cell>
        </row>
        <row r="93">
          <cell r="H93">
            <v>69</v>
          </cell>
          <cell r="I93">
            <v>1000</v>
          </cell>
          <cell r="J93">
            <v>130</v>
          </cell>
          <cell r="K93">
            <v>870</v>
          </cell>
          <cell r="L93">
            <v>283</v>
          </cell>
          <cell r="M93">
            <v>305</v>
          </cell>
          <cell r="N93">
            <v>330</v>
          </cell>
          <cell r="O93">
            <v>27</v>
          </cell>
          <cell r="P93">
            <v>40</v>
          </cell>
          <cell r="Q93">
            <v>100</v>
          </cell>
        </row>
        <row r="94">
          <cell r="H94">
            <v>42</v>
          </cell>
          <cell r="I94">
            <v>995</v>
          </cell>
          <cell r="J94">
            <v>120</v>
          </cell>
          <cell r="K94">
            <v>875</v>
          </cell>
          <cell r="L94">
            <v>310</v>
          </cell>
          <cell r="M94">
            <v>330</v>
          </cell>
          <cell r="N94">
            <v>380</v>
          </cell>
          <cell r="O94">
            <v>30</v>
          </cell>
          <cell r="P94">
            <v>42</v>
          </cell>
          <cell r="Q94">
            <v>90</v>
          </cell>
        </row>
        <row r="95">
          <cell r="H95">
            <v>57</v>
          </cell>
          <cell r="I95">
            <v>1050</v>
          </cell>
          <cell r="J95">
            <v>155</v>
          </cell>
          <cell r="K95">
            <v>895</v>
          </cell>
          <cell r="L95">
            <v>190</v>
          </cell>
          <cell r="M95">
            <v>200</v>
          </cell>
          <cell r="N95">
            <v>240</v>
          </cell>
          <cell r="O95">
            <v>32</v>
          </cell>
          <cell r="P95">
            <v>45</v>
          </cell>
          <cell r="Q95">
            <v>100</v>
          </cell>
        </row>
        <row r="96">
          <cell r="H96">
            <v>60</v>
          </cell>
          <cell r="I96">
            <v>1105</v>
          </cell>
          <cell r="J96">
            <v>200</v>
          </cell>
          <cell r="K96">
            <v>905</v>
          </cell>
          <cell r="L96">
            <v>145</v>
          </cell>
          <cell r="M96">
            <v>157</v>
          </cell>
          <cell r="N96">
            <v>200</v>
          </cell>
          <cell r="O96">
            <v>40</v>
          </cell>
          <cell r="P96">
            <v>50</v>
          </cell>
          <cell r="Q96">
            <v>120</v>
          </cell>
        </row>
        <row r="97">
          <cell r="H97">
            <v>27</v>
          </cell>
          <cell r="I97">
            <v>1110</v>
          </cell>
          <cell r="J97">
            <v>205</v>
          </cell>
          <cell r="K97">
            <v>905</v>
          </cell>
          <cell r="L97">
            <v>147</v>
          </cell>
          <cell r="M97">
            <v>167</v>
          </cell>
          <cell r="N97">
            <v>215</v>
          </cell>
          <cell r="O97">
            <v>45</v>
          </cell>
          <cell r="P97">
            <v>60</v>
          </cell>
          <cell r="Q97">
            <v>135</v>
          </cell>
        </row>
        <row r="98">
          <cell r="H98">
            <v>56</v>
          </cell>
          <cell r="I98">
            <v>1060</v>
          </cell>
          <cell r="J98">
            <v>155</v>
          </cell>
          <cell r="K98">
            <v>905</v>
          </cell>
          <cell r="L98">
            <v>180</v>
          </cell>
          <cell r="M98">
            <v>190</v>
          </cell>
          <cell r="N98">
            <v>230</v>
          </cell>
          <cell r="O98">
            <v>34</v>
          </cell>
          <cell r="P98">
            <v>45</v>
          </cell>
          <cell r="Q98">
            <v>105</v>
          </cell>
        </row>
        <row r="99">
          <cell r="H99">
            <v>46</v>
          </cell>
          <cell r="I99">
            <v>1060</v>
          </cell>
          <cell r="J99">
            <v>155</v>
          </cell>
          <cell r="K99">
            <v>905</v>
          </cell>
          <cell r="L99">
            <v>210</v>
          </cell>
          <cell r="M99">
            <v>227</v>
          </cell>
          <cell r="N99">
            <v>260</v>
          </cell>
          <cell r="O99">
            <v>86</v>
          </cell>
          <cell r="P99">
            <v>98</v>
          </cell>
          <cell r="Q99">
            <v>160</v>
          </cell>
          <cell r="R99" t="str">
            <v>модель нашита  (L4=35 L5=45 L6=100)</v>
          </cell>
        </row>
        <row r="100">
          <cell r="H100">
            <v>12</v>
          </cell>
          <cell r="I100">
            <v>1055</v>
          </cell>
          <cell r="J100">
            <v>140</v>
          </cell>
          <cell r="K100">
            <v>915</v>
          </cell>
          <cell r="L100">
            <v>220</v>
          </cell>
          <cell r="M100">
            <v>235</v>
          </cell>
          <cell r="N100">
            <v>275</v>
          </cell>
          <cell r="O100">
            <v>35</v>
          </cell>
          <cell r="P100">
            <v>40</v>
          </cell>
          <cell r="Q100">
            <v>100</v>
          </cell>
        </row>
        <row r="101">
          <cell r="H101">
            <v>115</v>
          </cell>
          <cell r="I101">
            <v>1080</v>
          </cell>
          <cell r="J101">
            <v>160</v>
          </cell>
          <cell r="K101">
            <v>920</v>
          </cell>
          <cell r="L101">
            <v>520</v>
          </cell>
          <cell r="M101">
            <v>527</v>
          </cell>
          <cell r="N101">
            <v>590</v>
          </cell>
          <cell r="O101">
            <v>75</v>
          </cell>
          <cell r="P101">
            <v>85</v>
          </cell>
          <cell r="Q101">
            <v>120</v>
          </cell>
          <cell r="R101" t="str">
            <v>модель нашита  (L4=30 L5=38 L6=80)</v>
          </cell>
        </row>
        <row r="102">
          <cell r="H102">
            <v>116</v>
          </cell>
          <cell r="I102">
            <v>1090</v>
          </cell>
          <cell r="J102">
            <v>165</v>
          </cell>
          <cell r="K102">
            <v>925</v>
          </cell>
          <cell r="L102">
            <v>457</v>
          </cell>
          <cell r="M102">
            <v>480</v>
          </cell>
          <cell r="N102">
            <v>510</v>
          </cell>
          <cell r="O102">
            <v>37</v>
          </cell>
          <cell r="P102">
            <v>50</v>
          </cell>
          <cell r="Q102">
            <v>115</v>
          </cell>
        </row>
        <row r="103">
          <cell r="H103">
            <v>81</v>
          </cell>
          <cell r="I103">
            <v>1060</v>
          </cell>
          <cell r="J103">
            <v>130</v>
          </cell>
          <cell r="K103">
            <v>930</v>
          </cell>
          <cell r="L103">
            <v>215</v>
          </cell>
          <cell r="M103">
            <v>230</v>
          </cell>
          <cell r="N103">
            <v>260</v>
          </cell>
          <cell r="O103">
            <v>30</v>
          </cell>
          <cell r="P103">
            <v>42</v>
          </cell>
          <cell r="Q103">
            <v>90</v>
          </cell>
        </row>
        <row r="104">
          <cell r="H104">
            <v>8</v>
          </cell>
          <cell r="I104">
            <v>1210</v>
          </cell>
          <cell r="J104">
            <v>270</v>
          </cell>
          <cell r="K104">
            <v>940</v>
          </cell>
          <cell r="L104">
            <v>1250</v>
          </cell>
          <cell r="M104">
            <v>1270</v>
          </cell>
          <cell r="N104">
            <v>1335</v>
          </cell>
          <cell r="O104">
            <v>95</v>
          </cell>
          <cell r="P104">
            <v>105</v>
          </cell>
          <cell r="Q104">
            <v>185</v>
          </cell>
          <cell r="R104" t="str">
            <v>не расшивать - модель развалится</v>
          </cell>
        </row>
        <row r="105">
          <cell r="H105">
            <v>35</v>
          </cell>
          <cell r="I105">
            <v>1200</v>
          </cell>
          <cell r="J105">
            <v>245</v>
          </cell>
          <cell r="K105">
            <v>955</v>
          </cell>
          <cell r="L105">
            <v>305</v>
          </cell>
          <cell r="M105">
            <v>317</v>
          </cell>
          <cell r="N105">
            <v>380</v>
          </cell>
          <cell r="O105">
            <v>63</v>
          </cell>
          <cell r="P105">
            <v>75</v>
          </cell>
          <cell r="Q105">
            <v>170</v>
          </cell>
        </row>
        <row r="106">
          <cell r="H106">
            <v>138</v>
          </cell>
          <cell r="I106">
            <v>1220</v>
          </cell>
          <cell r="J106">
            <v>260</v>
          </cell>
          <cell r="K106">
            <v>960</v>
          </cell>
          <cell r="L106">
            <v>275</v>
          </cell>
          <cell r="M106">
            <v>295</v>
          </cell>
          <cell r="N106">
            <v>350</v>
          </cell>
          <cell r="O106">
            <v>120</v>
          </cell>
          <cell r="P106">
            <v>130</v>
          </cell>
          <cell r="Q106">
            <v>220</v>
          </cell>
          <cell r="R106" t="str">
            <v>модель нашита  (L4=60 L5=65 L6=170)</v>
          </cell>
        </row>
        <row r="107">
          <cell r="H107">
            <v>26</v>
          </cell>
          <cell r="I107">
            <v>1200</v>
          </cell>
          <cell r="J107">
            <v>240</v>
          </cell>
          <cell r="K107">
            <v>960</v>
          </cell>
          <cell r="L107">
            <v>305</v>
          </cell>
          <cell r="M107">
            <v>325</v>
          </cell>
          <cell r="N107">
            <v>360</v>
          </cell>
          <cell r="O107">
            <v>105</v>
          </cell>
          <cell r="P107">
            <v>118</v>
          </cell>
          <cell r="Q107">
            <v>215</v>
          </cell>
          <cell r="R107" t="str">
            <v>модель нашита  (L4=63 L5=70 L6=150)</v>
          </cell>
        </row>
        <row r="108">
          <cell r="H108">
            <v>40</v>
          </cell>
          <cell r="I108">
            <v>1170</v>
          </cell>
          <cell r="J108">
            <v>170</v>
          </cell>
          <cell r="K108">
            <v>1000</v>
          </cell>
          <cell r="L108">
            <v>635</v>
          </cell>
          <cell r="M108">
            <v>650</v>
          </cell>
          <cell r="N108">
            <v>690</v>
          </cell>
          <cell r="O108">
            <v>55</v>
          </cell>
          <cell r="P108">
            <v>75</v>
          </cell>
          <cell r="Q108">
            <v>140</v>
          </cell>
          <cell r="R108" t="str">
            <v>модель нашита  (L4=35 L5=47 L6=125 L1=410 L2=433 L3=470 H=1160 h2=990)</v>
          </cell>
        </row>
        <row r="109">
          <cell r="H109">
            <v>109</v>
          </cell>
          <cell r="I109">
            <v>1115</v>
          </cell>
          <cell r="J109">
            <v>120</v>
          </cell>
          <cell r="K109">
            <v>995</v>
          </cell>
          <cell r="L109">
            <v>100</v>
          </cell>
          <cell r="M109">
            <v>110</v>
          </cell>
          <cell r="N109">
            <v>150</v>
          </cell>
          <cell r="O109">
            <v>35</v>
          </cell>
          <cell r="P109">
            <v>45</v>
          </cell>
          <cell r="Q109">
            <v>105</v>
          </cell>
        </row>
        <row r="110">
          <cell r="H110">
            <v>1</v>
          </cell>
          <cell r="I110">
            <v>1160</v>
          </cell>
          <cell r="J110">
            <v>145</v>
          </cell>
          <cell r="K110">
            <v>1015</v>
          </cell>
          <cell r="L110">
            <v>280</v>
          </cell>
          <cell r="M110">
            <v>290</v>
          </cell>
          <cell r="N110">
            <v>330</v>
          </cell>
          <cell r="O110">
            <v>45</v>
          </cell>
          <cell r="P110">
            <v>55</v>
          </cell>
          <cell r="Q110">
            <v>115</v>
          </cell>
          <cell r="R110" t="str">
            <v>модель нашита  (L4=35 L5=45 L6=105)</v>
          </cell>
        </row>
        <row r="111">
          <cell r="H111">
            <v>39</v>
          </cell>
          <cell r="I111">
            <v>1220</v>
          </cell>
          <cell r="J111">
            <v>180</v>
          </cell>
          <cell r="K111">
            <v>1040</v>
          </cell>
          <cell r="L111">
            <v>405</v>
          </cell>
          <cell r="M111">
            <v>420</v>
          </cell>
          <cell r="N111">
            <v>460</v>
          </cell>
          <cell r="O111">
            <v>70</v>
          </cell>
          <cell r="P111">
            <v>80</v>
          </cell>
          <cell r="Q111">
            <v>150</v>
          </cell>
          <cell r="R111" t="str">
            <v>модель нашита  (L4=32 L5=40 L6=115)</v>
          </cell>
        </row>
        <row r="112">
          <cell r="H112">
            <v>2</v>
          </cell>
          <cell r="I112">
            <v>1235</v>
          </cell>
          <cell r="J112">
            <v>180</v>
          </cell>
          <cell r="K112">
            <v>1055</v>
          </cell>
          <cell r="L112">
            <v>300</v>
          </cell>
          <cell r="M112">
            <v>320</v>
          </cell>
          <cell r="N112">
            <v>360</v>
          </cell>
          <cell r="O112">
            <v>47</v>
          </cell>
          <cell r="P112">
            <v>60</v>
          </cell>
          <cell r="Q112">
            <v>130</v>
          </cell>
          <cell r="R112" t="str">
            <v>модель нашита  (L4=42 L5=55 L6=125)</v>
          </cell>
        </row>
        <row r="113">
          <cell r="H113">
            <v>48</v>
          </cell>
          <cell r="I113">
            <v>1210</v>
          </cell>
          <cell r="J113">
            <v>150</v>
          </cell>
          <cell r="K113">
            <v>1060</v>
          </cell>
          <cell r="L113">
            <v>140</v>
          </cell>
          <cell r="M113">
            <v>157</v>
          </cell>
          <cell r="N113">
            <v>185</v>
          </cell>
          <cell r="O113">
            <v>35</v>
          </cell>
          <cell r="P113">
            <v>50</v>
          </cell>
          <cell r="Q113">
            <v>110</v>
          </cell>
          <cell r="R113" t="str">
            <v>модель нашита  (L4=25 L5=40 L6=100)</v>
          </cell>
        </row>
        <row r="114">
          <cell r="H114">
            <v>37</v>
          </cell>
          <cell r="I114">
            <v>1230</v>
          </cell>
          <cell r="J114">
            <v>165</v>
          </cell>
          <cell r="K114">
            <v>1065</v>
          </cell>
          <cell r="L114">
            <v>338</v>
          </cell>
          <cell r="M114">
            <v>360</v>
          </cell>
          <cell r="N114">
            <v>410</v>
          </cell>
          <cell r="O114">
            <v>65</v>
          </cell>
          <cell r="P114">
            <v>76</v>
          </cell>
          <cell r="Q114">
            <v>200</v>
          </cell>
          <cell r="R114" t="str">
            <v>Уточнить наличие, Котов, 08.06.23</v>
          </cell>
        </row>
        <row r="115">
          <cell r="H115">
            <v>29</v>
          </cell>
          <cell r="I115">
            <v>1215</v>
          </cell>
          <cell r="J115">
            <v>140</v>
          </cell>
          <cell r="K115">
            <v>1075</v>
          </cell>
          <cell r="L115">
            <v>235</v>
          </cell>
          <cell r="M115">
            <v>250</v>
          </cell>
          <cell r="N115">
            <v>285</v>
          </cell>
          <cell r="O115">
            <v>45</v>
          </cell>
          <cell r="P115">
            <v>58</v>
          </cell>
          <cell r="Q115">
            <v>110</v>
          </cell>
          <cell r="R115" t="str">
            <v>модель нашита  (L4=24 L5=35 L6=90)</v>
          </cell>
        </row>
        <row r="116">
          <cell r="H116">
            <v>112</v>
          </cell>
          <cell r="I116">
            <v>1280</v>
          </cell>
          <cell r="J116">
            <v>200</v>
          </cell>
          <cell r="K116">
            <v>1095</v>
          </cell>
          <cell r="L116">
            <v>335</v>
          </cell>
          <cell r="M116">
            <v>360</v>
          </cell>
          <cell r="N116">
            <v>400</v>
          </cell>
          <cell r="O116">
            <v>55</v>
          </cell>
          <cell r="P116">
            <v>80</v>
          </cell>
          <cell r="Q116">
            <v>155</v>
          </cell>
          <cell r="R116" t="str">
            <v>модель нашита  (L4=30 L5=55 L6=130)</v>
          </cell>
        </row>
        <row r="117">
          <cell r="H117">
            <v>108</v>
          </cell>
          <cell r="I117">
            <v>1305</v>
          </cell>
          <cell r="J117">
            <v>185</v>
          </cell>
          <cell r="K117">
            <v>1120</v>
          </cell>
          <cell r="L117">
            <v>240</v>
          </cell>
          <cell r="M117">
            <v>260</v>
          </cell>
          <cell r="N117">
            <v>295</v>
          </cell>
          <cell r="O117">
            <v>32</v>
          </cell>
          <cell r="P117">
            <v>41</v>
          </cell>
          <cell r="Q117">
            <v>110</v>
          </cell>
        </row>
        <row r="118">
          <cell r="H118">
            <v>24</v>
          </cell>
          <cell r="I118">
            <v>1305</v>
          </cell>
          <cell r="J118">
            <v>165</v>
          </cell>
          <cell r="K118">
            <v>1140</v>
          </cell>
          <cell r="L118">
            <v>195</v>
          </cell>
          <cell r="M118">
            <v>200</v>
          </cell>
          <cell r="N118">
            <v>240</v>
          </cell>
          <cell r="O118">
            <v>30</v>
          </cell>
          <cell r="P118">
            <v>42</v>
          </cell>
          <cell r="Q118">
            <v>75</v>
          </cell>
          <cell r="R118" t="str">
            <v>модель нашита  (L4=25 L5=37 L6=70)</v>
          </cell>
        </row>
        <row r="119">
          <cell r="H119">
            <v>119</v>
          </cell>
          <cell r="I119">
            <v>1470</v>
          </cell>
          <cell r="J119">
            <v>280</v>
          </cell>
          <cell r="K119">
            <v>1190</v>
          </cell>
          <cell r="L119">
            <v>220</v>
          </cell>
          <cell r="M119">
            <v>235</v>
          </cell>
          <cell r="N119">
            <v>285</v>
          </cell>
          <cell r="O119">
            <v>51</v>
          </cell>
          <cell r="P119">
            <v>60</v>
          </cell>
          <cell r="Q119">
            <v>150</v>
          </cell>
        </row>
        <row r="120">
          <cell r="H120">
            <v>41</v>
          </cell>
          <cell r="I120">
            <v>1470</v>
          </cell>
          <cell r="J120">
            <v>280</v>
          </cell>
          <cell r="K120">
            <v>1190</v>
          </cell>
          <cell r="L120">
            <v>223</v>
          </cell>
          <cell r="M120">
            <v>237</v>
          </cell>
          <cell r="N120">
            <v>290</v>
          </cell>
          <cell r="O120">
            <v>60</v>
          </cell>
          <cell r="P120">
            <v>73</v>
          </cell>
          <cell r="Q120">
            <v>185</v>
          </cell>
          <cell r="R120" t="str">
            <v>модель нашита  (L4=55 L5=68 L6=180)</v>
          </cell>
        </row>
        <row r="121">
          <cell r="H121">
            <v>66</v>
          </cell>
          <cell r="I121">
            <v>1470</v>
          </cell>
          <cell r="J121">
            <v>240</v>
          </cell>
          <cell r="K121">
            <v>1230</v>
          </cell>
          <cell r="L121">
            <v>245</v>
          </cell>
          <cell r="M121">
            <v>270</v>
          </cell>
          <cell r="N121">
            <v>320</v>
          </cell>
          <cell r="O121">
            <v>42</v>
          </cell>
          <cell r="P121">
            <v>55</v>
          </cell>
          <cell r="Q121">
            <v>140</v>
          </cell>
        </row>
        <row r="122">
          <cell r="H122">
            <v>140</v>
          </cell>
          <cell r="I122">
            <v>1460</v>
          </cell>
          <cell r="J122">
            <v>230</v>
          </cell>
          <cell r="K122">
            <v>1230</v>
          </cell>
          <cell r="L122">
            <v>300</v>
          </cell>
          <cell r="M122">
            <v>320</v>
          </cell>
          <cell r="N122">
            <v>370</v>
          </cell>
          <cell r="O122">
            <v>75</v>
          </cell>
          <cell r="P122">
            <v>90</v>
          </cell>
          <cell r="Q122">
            <v>170</v>
          </cell>
          <cell r="R122" t="str">
            <v>модель нашита  (L4=35 L5=50 L6=130)</v>
          </cell>
        </row>
        <row r="123">
          <cell r="H123">
            <v>7</v>
          </cell>
          <cell r="I123">
            <v>1480</v>
          </cell>
          <cell r="J123">
            <v>245</v>
          </cell>
          <cell r="K123">
            <v>1235</v>
          </cell>
          <cell r="L123">
            <v>465</v>
          </cell>
          <cell r="M123">
            <v>488</v>
          </cell>
          <cell r="N123">
            <v>540</v>
          </cell>
          <cell r="O123">
            <v>42</v>
          </cell>
          <cell r="P123">
            <v>57</v>
          </cell>
          <cell r="Q123">
            <v>153</v>
          </cell>
          <cell r="R123" t="str">
            <v>не найдена</v>
          </cell>
        </row>
        <row r="124">
          <cell r="H124">
            <v>9</v>
          </cell>
          <cell r="I124">
            <v>1410</v>
          </cell>
          <cell r="J124">
            <v>160</v>
          </cell>
          <cell r="K124">
            <v>1250</v>
          </cell>
          <cell r="L124">
            <v>360</v>
          </cell>
          <cell r="M124">
            <v>377</v>
          </cell>
          <cell r="N124">
            <v>420</v>
          </cell>
          <cell r="O124">
            <v>53</v>
          </cell>
          <cell r="P124">
            <v>63</v>
          </cell>
          <cell r="Q124">
            <v>125</v>
          </cell>
          <cell r="R124" t="str">
            <v>модель нашита  (L4=28 L5=40 L6=100)</v>
          </cell>
        </row>
        <row r="125">
          <cell r="H125">
            <v>118</v>
          </cell>
          <cell r="I125">
            <v>1520</v>
          </cell>
          <cell r="J125">
            <v>245</v>
          </cell>
          <cell r="K125">
            <v>1275</v>
          </cell>
          <cell r="L125">
            <v>183</v>
          </cell>
          <cell r="M125">
            <v>207</v>
          </cell>
          <cell r="N125">
            <v>250</v>
          </cell>
          <cell r="O125">
            <v>40</v>
          </cell>
          <cell r="P125">
            <v>56</v>
          </cell>
          <cell r="Q125">
            <v>155</v>
          </cell>
        </row>
        <row r="126">
          <cell r="H126">
            <v>74</v>
          </cell>
          <cell r="I126">
            <v>1530</v>
          </cell>
          <cell r="J126">
            <v>250</v>
          </cell>
          <cell r="K126">
            <v>1280</v>
          </cell>
          <cell r="L126">
            <v>160</v>
          </cell>
          <cell r="M126">
            <v>178</v>
          </cell>
          <cell r="N126">
            <v>240</v>
          </cell>
          <cell r="O126">
            <v>40</v>
          </cell>
          <cell r="P126">
            <v>54</v>
          </cell>
          <cell r="Q126">
            <v>160</v>
          </cell>
        </row>
        <row r="127">
          <cell r="H127">
            <v>117</v>
          </cell>
          <cell r="I127">
            <v>1670</v>
          </cell>
          <cell r="J127">
            <v>330</v>
          </cell>
          <cell r="K127">
            <v>1340</v>
          </cell>
          <cell r="L127">
            <v>443</v>
          </cell>
          <cell r="M127">
            <v>470</v>
          </cell>
          <cell r="N127">
            <v>530</v>
          </cell>
          <cell r="O127">
            <v>80</v>
          </cell>
          <cell r="P127">
            <v>90</v>
          </cell>
          <cell r="Q127">
            <v>220</v>
          </cell>
          <cell r="R127" t="str">
            <v>модель нашита  (L4=62 L5=75 L6=205)</v>
          </cell>
        </row>
        <row r="128">
          <cell r="H128">
            <v>68</v>
          </cell>
          <cell r="I128">
            <v>1695</v>
          </cell>
          <cell r="J128">
            <v>250</v>
          </cell>
          <cell r="K128">
            <v>1445</v>
          </cell>
          <cell r="L128">
            <v>215</v>
          </cell>
          <cell r="M128">
            <v>244</v>
          </cell>
          <cell r="N128">
            <v>305</v>
          </cell>
          <cell r="O128">
            <v>38</v>
          </cell>
          <cell r="P128">
            <v>57</v>
          </cell>
          <cell r="Q128">
            <v>160</v>
          </cell>
        </row>
        <row r="129">
          <cell r="H129">
            <v>67</v>
          </cell>
          <cell r="I129">
            <v>1695</v>
          </cell>
          <cell r="J129">
            <v>240</v>
          </cell>
          <cell r="K129">
            <v>1455</v>
          </cell>
          <cell r="L129">
            <v>220</v>
          </cell>
          <cell r="M129">
            <v>240</v>
          </cell>
          <cell r="N129">
            <v>310</v>
          </cell>
          <cell r="O129">
            <v>38</v>
          </cell>
          <cell r="P129">
            <v>55</v>
          </cell>
          <cell r="Q129">
            <v>150</v>
          </cell>
        </row>
        <row r="130">
          <cell r="H130">
            <v>139</v>
          </cell>
          <cell r="I130">
            <v>1655</v>
          </cell>
          <cell r="J130">
            <v>260</v>
          </cell>
          <cell r="K130">
            <v>1395</v>
          </cell>
          <cell r="L130">
            <v>275</v>
          </cell>
          <cell r="M130">
            <v>305</v>
          </cell>
          <cell r="N130">
            <v>355</v>
          </cell>
          <cell r="O130">
            <v>70</v>
          </cell>
          <cell r="P130">
            <v>85</v>
          </cell>
          <cell r="Q130">
            <v>200</v>
          </cell>
          <cell r="R130" t="str">
            <v>модель нашита  (H1=1480 h2=1220 L4=40 L5=55 L6=170)</v>
          </cell>
        </row>
      </sheetData>
      <sheetData sheetId="12"/>
      <sheetData sheetId="13"/>
      <sheetData sheetId="14">
        <row r="2">
          <cell r="B2" t="str">
            <v>Деревянные модели сухарей</v>
          </cell>
        </row>
        <row r="3">
          <cell r="B3" t="str">
            <v>Номер модели</v>
          </cell>
          <cell r="C3" t="str">
            <v>Высота, Н</v>
          </cell>
          <cell r="D3" t="str">
            <v>Высота прибыли, h1</v>
          </cell>
          <cell r="E3" t="str">
            <v>Высота модели, h2</v>
          </cell>
          <cell r="F3" t="str">
            <v>Ширина, L1</v>
          </cell>
          <cell r="G3" t="str">
            <v>Ширина, L2</v>
          </cell>
          <cell r="H3" t="str">
            <v>Ширина, L3</v>
          </cell>
          <cell r="I3" t="str">
            <v>Толщина, L4</v>
          </cell>
          <cell r="J3" t="str">
            <v>Толщина, L5</v>
          </cell>
          <cell r="K3" t="str">
            <v>Толщина, L6</v>
          </cell>
          <cell r="L3" t="str">
            <v>Толщина, L7</v>
          </cell>
          <cell r="M3" t="str">
            <v>Толщина, L8</v>
          </cell>
          <cell r="N3" t="str">
            <v>Толщина, L9</v>
          </cell>
          <cell r="O3" t="str">
            <v>Толщина, L10</v>
          </cell>
          <cell r="P3" t="str">
            <v>Толщина, L11</v>
          </cell>
          <cell r="Q3" t="str">
            <v>Толщина, L12</v>
          </cell>
        </row>
        <row r="4">
          <cell r="B4">
            <v>125</v>
          </cell>
          <cell r="C4">
            <v>890</v>
          </cell>
          <cell r="D4">
            <v>255</v>
          </cell>
          <cell r="E4">
            <v>635</v>
          </cell>
          <cell r="F4">
            <v>243</v>
          </cell>
          <cell r="G4">
            <v>260</v>
          </cell>
          <cell r="H4">
            <v>310</v>
          </cell>
          <cell r="I4">
            <v>30</v>
          </cell>
          <cell r="J4">
            <v>55</v>
          </cell>
          <cell r="K4">
            <v>63</v>
          </cell>
          <cell r="L4">
            <v>100</v>
          </cell>
          <cell r="M4">
            <v>160</v>
          </cell>
          <cell r="N4">
            <v>90</v>
          </cell>
          <cell r="O4">
            <v>220</v>
          </cell>
          <cell r="P4">
            <v>180</v>
          </cell>
          <cell r="Q4">
            <v>106</v>
          </cell>
          <cell r="T4">
            <v>110</v>
          </cell>
          <cell r="U4">
            <v>65.650000000000006</v>
          </cell>
          <cell r="V4">
            <v>175.65</v>
          </cell>
          <cell r="W4">
            <v>182.67600000000002</v>
          </cell>
        </row>
        <row r="5">
          <cell r="B5">
            <v>126</v>
          </cell>
          <cell r="C5">
            <v>895</v>
          </cell>
          <cell r="D5">
            <v>250</v>
          </cell>
          <cell r="E5">
            <v>645</v>
          </cell>
          <cell r="F5">
            <v>245</v>
          </cell>
          <cell r="G5">
            <v>260</v>
          </cell>
          <cell r="H5">
            <v>310</v>
          </cell>
          <cell r="I5">
            <v>30</v>
          </cell>
          <cell r="J5">
            <v>60</v>
          </cell>
          <cell r="K5">
            <v>65</v>
          </cell>
          <cell r="L5">
            <v>100</v>
          </cell>
          <cell r="M5">
            <v>170</v>
          </cell>
          <cell r="N5">
            <v>90</v>
          </cell>
          <cell r="O5">
            <v>220</v>
          </cell>
          <cell r="P5">
            <v>180</v>
          </cell>
          <cell r="Q5">
            <v>110</v>
          </cell>
          <cell r="T5">
            <v>110</v>
          </cell>
          <cell r="U5">
            <v>65.650000000000006</v>
          </cell>
          <cell r="V5">
            <v>175.65</v>
          </cell>
          <cell r="W5">
            <v>182.67600000000002</v>
          </cell>
        </row>
        <row r="6">
          <cell r="B6">
            <v>127</v>
          </cell>
          <cell r="C6">
            <v>1840</v>
          </cell>
          <cell r="D6">
            <v>510</v>
          </cell>
          <cell r="E6">
            <v>1330</v>
          </cell>
          <cell r="F6">
            <v>440</v>
          </cell>
          <cell r="G6">
            <v>455</v>
          </cell>
          <cell r="H6">
            <v>555</v>
          </cell>
          <cell r="I6">
            <v>80</v>
          </cell>
          <cell r="J6">
            <v>155</v>
          </cell>
          <cell r="K6">
            <v>165</v>
          </cell>
          <cell r="L6">
            <v>240</v>
          </cell>
          <cell r="M6">
            <v>340</v>
          </cell>
          <cell r="N6">
            <v>170</v>
          </cell>
          <cell r="O6">
            <v>540</v>
          </cell>
          <cell r="P6">
            <v>500</v>
          </cell>
          <cell r="Q6">
            <v>234</v>
          </cell>
          <cell r="T6">
            <v>874.6</v>
          </cell>
          <cell r="U6">
            <v>507.1</v>
          </cell>
          <cell r="V6">
            <v>1381.7</v>
          </cell>
          <cell r="W6">
            <v>1436.9680000000001</v>
          </cell>
        </row>
        <row r="7">
          <cell r="B7">
            <v>128</v>
          </cell>
          <cell r="C7">
            <v>1670</v>
          </cell>
          <cell r="D7">
            <v>420</v>
          </cell>
          <cell r="E7">
            <v>1250</v>
          </cell>
          <cell r="F7">
            <v>425</v>
          </cell>
          <cell r="G7">
            <v>440</v>
          </cell>
          <cell r="H7">
            <v>520</v>
          </cell>
          <cell r="I7">
            <v>45</v>
          </cell>
          <cell r="J7">
            <v>90</v>
          </cell>
          <cell r="K7">
            <v>95</v>
          </cell>
          <cell r="L7">
            <v>155</v>
          </cell>
          <cell r="M7">
            <v>260</v>
          </cell>
          <cell r="N7">
            <v>145</v>
          </cell>
          <cell r="O7">
            <v>420</v>
          </cell>
          <cell r="P7">
            <v>420</v>
          </cell>
          <cell r="Q7">
            <v>240</v>
          </cell>
          <cell r="T7">
            <v>690</v>
          </cell>
          <cell r="U7">
            <v>489</v>
          </cell>
          <cell r="V7">
            <v>1179</v>
          </cell>
          <cell r="W7">
            <v>1226.1600000000001</v>
          </cell>
        </row>
        <row r="8">
          <cell r="B8">
            <v>129</v>
          </cell>
          <cell r="C8">
            <v>1170</v>
          </cell>
          <cell r="D8">
            <v>320</v>
          </cell>
          <cell r="E8">
            <v>850</v>
          </cell>
          <cell r="F8">
            <v>315</v>
          </cell>
          <cell r="G8">
            <v>330</v>
          </cell>
          <cell r="H8">
            <v>390</v>
          </cell>
          <cell r="I8">
            <v>60</v>
          </cell>
          <cell r="J8">
            <v>90</v>
          </cell>
          <cell r="K8">
            <v>100</v>
          </cell>
          <cell r="L8">
            <v>140</v>
          </cell>
          <cell r="M8">
            <v>220</v>
          </cell>
          <cell r="N8">
            <v>120</v>
          </cell>
          <cell r="O8">
            <v>290</v>
          </cell>
          <cell r="P8">
            <v>280</v>
          </cell>
          <cell r="Q8">
            <v>164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</row>
        <row r="9">
          <cell r="B9">
            <v>130</v>
          </cell>
          <cell r="C9">
            <v>1150</v>
          </cell>
          <cell r="D9">
            <v>350</v>
          </cell>
          <cell r="E9">
            <v>800</v>
          </cell>
          <cell r="F9">
            <v>300</v>
          </cell>
          <cell r="G9">
            <v>310</v>
          </cell>
          <cell r="H9">
            <v>390</v>
          </cell>
          <cell r="I9">
            <v>15</v>
          </cell>
          <cell r="J9">
            <v>95</v>
          </cell>
          <cell r="K9">
            <v>100</v>
          </cell>
          <cell r="L9">
            <v>115</v>
          </cell>
          <cell r="M9">
            <v>190</v>
          </cell>
          <cell r="N9">
            <v>120</v>
          </cell>
          <cell r="O9">
            <v>260</v>
          </cell>
          <cell r="P9">
            <v>255</v>
          </cell>
          <cell r="Q9">
            <v>152.5</v>
          </cell>
          <cell r="T9">
            <v>228</v>
          </cell>
          <cell r="U9">
            <v>160</v>
          </cell>
          <cell r="V9">
            <v>388</v>
          </cell>
          <cell r="W9">
            <v>403.52000000000004</v>
          </cell>
        </row>
        <row r="10">
          <cell r="B10">
            <v>131</v>
          </cell>
          <cell r="C10">
            <v>1075</v>
          </cell>
          <cell r="D10">
            <v>330</v>
          </cell>
          <cell r="E10">
            <v>745</v>
          </cell>
          <cell r="F10">
            <v>260</v>
          </cell>
          <cell r="G10">
            <v>270</v>
          </cell>
          <cell r="H10">
            <v>335</v>
          </cell>
          <cell r="I10">
            <v>55</v>
          </cell>
          <cell r="J10">
            <v>75</v>
          </cell>
          <cell r="K10">
            <v>85</v>
          </cell>
          <cell r="L10">
            <v>150</v>
          </cell>
          <cell r="M10">
            <v>220</v>
          </cell>
          <cell r="N10">
            <v>100</v>
          </cell>
          <cell r="O10">
            <v>260</v>
          </cell>
          <cell r="P10">
            <v>230</v>
          </cell>
          <cell r="Q10">
            <v>129</v>
          </cell>
          <cell r="T10">
            <v>170</v>
          </cell>
          <cell r="U10">
            <v>121.22</v>
          </cell>
          <cell r="V10">
            <v>291.22000000000003</v>
          </cell>
          <cell r="W10">
            <v>302.86880000000002</v>
          </cell>
        </row>
        <row r="11">
          <cell r="B11">
            <v>132</v>
          </cell>
          <cell r="C11">
            <v>1045</v>
          </cell>
          <cell r="D11">
            <v>330</v>
          </cell>
          <cell r="E11">
            <v>715</v>
          </cell>
          <cell r="F11">
            <v>325</v>
          </cell>
          <cell r="G11">
            <v>340</v>
          </cell>
          <cell r="H11">
            <v>410</v>
          </cell>
          <cell r="I11">
            <v>75</v>
          </cell>
          <cell r="J11">
            <v>105</v>
          </cell>
          <cell r="K11">
            <v>105</v>
          </cell>
          <cell r="L11">
            <v>180</v>
          </cell>
          <cell r="M11">
            <v>240</v>
          </cell>
          <cell r="N11">
            <v>125</v>
          </cell>
          <cell r="O11">
            <v>175</v>
          </cell>
          <cell r="P11">
            <v>160</v>
          </cell>
          <cell r="T11">
            <v>1</v>
          </cell>
          <cell r="U11">
            <v>1</v>
          </cell>
          <cell r="V11">
            <v>1</v>
          </cell>
          <cell r="W11">
            <v>1</v>
          </cell>
        </row>
        <row r="12">
          <cell r="B12">
            <v>133</v>
          </cell>
          <cell r="C12">
            <v>1350</v>
          </cell>
          <cell r="D12">
            <v>370</v>
          </cell>
          <cell r="E12">
            <v>980</v>
          </cell>
          <cell r="F12">
            <v>340</v>
          </cell>
          <cell r="G12">
            <v>355</v>
          </cell>
          <cell r="H12">
            <v>420</v>
          </cell>
          <cell r="I12">
            <v>65</v>
          </cell>
          <cell r="J12">
            <v>110</v>
          </cell>
          <cell r="K12">
            <v>115</v>
          </cell>
          <cell r="L12">
            <v>160</v>
          </cell>
          <cell r="M12">
            <v>250</v>
          </cell>
          <cell r="N12">
            <v>140</v>
          </cell>
          <cell r="O12">
            <v>350</v>
          </cell>
          <cell r="P12">
            <v>300</v>
          </cell>
          <cell r="Q12">
            <v>197.5</v>
          </cell>
          <cell r="T12">
            <v>385.9</v>
          </cell>
          <cell r="U12">
            <v>214.2</v>
          </cell>
          <cell r="V12">
            <v>600.09999999999991</v>
          </cell>
          <cell r="W12">
            <v>624.10399999999993</v>
          </cell>
        </row>
        <row r="13">
          <cell r="B13">
            <v>134</v>
          </cell>
          <cell r="C13">
            <v>1450</v>
          </cell>
          <cell r="D13">
            <v>390</v>
          </cell>
          <cell r="E13">
            <v>1060</v>
          </cell>
          <cell r="F13">
            <v>355</v>
          </cell>
          <cell r="G13">
            <v>380</v>
          </cell>
          <cell r="H13">
            <v>450</v>
          </cell>
          <cell r="I13">
            <v>83</v>
          </cell>
          <cell r="J13">
            <v>170</v>
          </cell>
          <cell r="K13">
            <v>190</v>
          </cell>
          <cell r="L13">
            <v>180</v>
          </cell>
          <cell r="M13">
            <v>260</v>
          </cell>
          <cell r="N13">
            <v>150</v>
          </cell>
          <cell r="O13">
            <v>350</v>
          </cell>
          <cell r="P13">
            <v>320</v>
          </cell>
          <cell r="Q13">
            <v>202.5</v>
          </cell>
          <cell r="T13">
            <v>438.3</v>
          </cell>
          <cell r="U13">
            <v>246.3</v>
          </cell>
          <cell r="V13">
            <v>684.6</v>
          </cell>
          <cell r="W13">
            <v>711.98400000000004</v>
          </cell>
        </row>
        <row r="14">
          <cell r="B14">
            <v>135</v>
          </cell>
          <cell r="C14">
            <v>1350</v>
          </cell>
          <cell r="D14">
            <v>380</v>
          </cell>
          <cell r="E14">
            <v>970</v>
          </cell>
          <cell r="F14">
            <v>340</v>
          </cell>
          <cell r="G14">
            <v>360</v>
          </cell>
          <cell r="H14">
            <v>430</v>
          </cell>
          <cell r="I14">
            <v>63</v>
          </cell>
          <cell r="J14">
            <v>108</v>
          </cell>
          <cell r="K14">
            <v>118</v>
          </cell>
          <cell r="L14">
            <v>158</v>
          </cell>
          <cell r="M14">
            <v>248</v>
          </cell>
          <cell r="N14">
            <v>130</v>
          </cell>
          <cell r="O14">
            <v>350</v>
          </cell>
          <cell r="P14">
            <v>320</v>
          </cell>
          <cell r="Q14">
            <v>168</v>
          </cell>
          <cell r="T14">
            <v>349</v>
          </cell>
          <cell r="U14">
            <v>209.7</v>
          </cell>
          <cell r="V14">
            <v>558.70000000000005</v>
          </cell>
          <cell r="W14">
            <v>581.04800000000012</v>
          </cell>
        </row>
        <row r="15">
          <cell r="B15">
            <v>136</v>
          </cell>
          <cell r="C15">
            <v>1280</v>
          </cell>
          <cell r="D15">
            <v>380</v>
          </cell>
          <cell r="E15">
            <v>900</v>
          </cell>
          <cell r="F15">
            <v>405</v>
          </cell>
          <cell r="G15">
            <v>420</v>
          </cell>
          <cell r="H15">
            <v>500</v>
          </cell>
          <cell r="I15">
            <v>35</v>
          </cell>
          <cell r="J15">
            <v>65</v>
          </cell>
          <cell r="K15">
            <v>75</v>
          </cell>
          <cell r="L15">
            <v>130</v>
          </cell>
          <cell r="M15">
            <v>200</v>
          </cell>
          <cell r="N15">
            <v>130</v>
          </cell>
          <cell r="O15">
            <v>310</v>
          </cell>
          <cell r="P15">
            <v>250</v>
          </cell>
          <cell r="Q15">
            <v>164</v>
          </cell>
          <cell r="T15">
            <v>329</v>
          </cell>
          <cell r="U15">
            <v>213</v>
          </cell>
          <cell r="V15">
            <v>542</v>
          </cell>
          <cell r="W15">
            <v>563.68000000000006</v>
          </cell>
        </row>
        <row r="16">
          <cell r="B16">
            <v>137</v>
          </cell>
          <cell r="C16">
            <v>1770</v>
          </cell>
          <cell r="D16">
            <v>470</v>
          </cell>
          <cell r="E16">
            <v>1300</v>
          </cell>
          <cell r="F16">
            <v>480</v>
          </cell>
          <cell r="G16">
            <v>500</v>
          </cell>
          <cell r="H16">
            <v>555</v>
          </cell>
          <cell r="I16">
            <v>100</v>
          </cell>
          <cell r="J16">
            <v>160</v>
          </cell>
          <cell r="K16">
            <v>170</v>
          </cell>
          <cell r="L16">
            <v>310</v>
          </cell>
          <cell r="M16">
            <v>430</v>
          </cell>
          <cell r="N16">
            <v>160</v>
          </cell>
          <cell r="O16">
            <v>400</v>
          </cell>
          <cell r="P16">
            <v>400</v>
          </cell>
          <cell r="Q16">
            <v>177.5</v>
          </cell>
          <cell r="T16">
            <v>937.6</v>
          </cell>
          <cell r="U16">
            <v>563.4</v>
          </cell>
          <cell r="V16">
            <v>1501</v>
          </cell>
          <cell r="W16">
            <v>1561.04</v>
          </cell>
        </row>
      </sheetData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ложницы без бурта"/>
      <sheetName val="Изложницы с буртом"/>
      <sheetName val="Крышки удлиненные"/>
      <sheetName val="ЦЛМ"/>
    </sheetNames>
    <sheetDataSet>
      <sheetData sheetId="0">
        <row r="2">
          <cell r="B2" t="str">
            <v>Изложницы без бурта</v>
          </cell>
          <cell r="C2"/>
          <cell r="D2"/>
          <cell r="E2"/>
          <cell r="F2"/>
          <cell r="J2"/>
          <cell r="K2"/>
        </row>
        <row r="3">
          <cell r="B3" t="str">
            <v>Dвн (внутренний)</v>
          </cell>
          <cell r="C3" t="str">
            <v>L (длина)</v>
          </cell>
          <cell r="D3" t="str">
            <v>Dпос (посадочный)</v>
          </cell>
          <cell r="E3" t="str">
            <v>Dц (посадка на ц/б машину)</v>
          </cell>
          <cell r="F3" t="str">
            <v>Инв. Номер</v>
          </cell>
          <cell r="G3" t="str">
            <v>Старый присвоенный номер</v>
          </cell>
          <cell r="J3"/>
          <cell r="K3"/>
        </row>
        <row r="4">
          <cell r="B4">
            <v>55</v>
          </cell>
          <cell r="C4">
            <v>245</v>
          </cell>
          <cell r="D4">
            <v>140</v>
          </cell>
          <cell r="E4">
            <v>115</v>
          </cell>
          <cell r="F4">
            <v>7211867</v>
          </cell>
          <cell r="G4">
            <v>7260001</v>
          </cell>
          <cell r="H4"/>
          <cell r="J4"/>
          <cell r="K4"/>
        </row>
        <row r="5">
          <cell r="B5">
            <v>55</v>
          </cell>
          <cell r="C5">
            <v>245</v>
          </cell>
          <cell r="D5">
            <v>140</v>
          </cell>
          <cell r="E5">
            <v>115</v>
          </cell>
          <cell r="F5">
            <v>7211867</v>
          </cell>
          <cell r="G5">
            <v>7260001</v>
          </cell>
          <cell r="H5"/>
          <cell r="J5"/>
          <cell r="K5"/>
        </row>
        <row r="6">
          <cell r="B6">
            <v>55</v>
          </cell>
          <cell r="C6">
            <v>245</v>
          </cell>
          <cell r="D6">
            <v>140</v>
          </cell>
          <cell r="E6">
            <v>115</v>
          </cell>
          <cell r="F6">
            <v>7211867</v>
          </cell>
          <cell r="G6">
            <v>7260001</v>
          </cell>
          <cell r="H6"/>
          <cell r="J6"/>
          <cell r="K6"/>
        </row>
        <row r="7">
          <cell r="B7">
            <v>55</v>
          </cell>
          <cell r="C7">
            <v>245</v>
          </cell>
          <cell r="D7">
            <v>140</v>
          </cell>
          <cell r="E7">
            <v>115</v>
          </cell>
          <cell r="F7">
            <v>7211867</v>
          </cell>
          <cell r="G7">
            <v>7260001</v>
          </cell>
          <cell r="H7"/>
          <cell r="J7"/>
          <cell r="K7"/>
        </row>
        <row r="8">
          <cell r="B8">
            <v>57.5</v>
          </cell>
          <cell r="C8">
            <v>245</v>
          </cell>
          <cell r="D8">
            <v>140</v>
          </cell>
          <cell r="E8">
            <v>115</v>
          </cell>
          <cell r="F8" t="str">
            <v>7211867-1а</v>
          </cell>
          <cell r="J8"/>
          <cell r="K8"/>
        </row>
        <row r="9">
          <cell r="B9">
            <v>57.5</v>
          </cell>
          <cell r="C9">
            <v>245</v>
          </cell>
          <cell r="D9">
            <v>140</v>
          </cell>
          <cell r="E9">
            <v>115</v>
          </cell>
          <cell r="F9" t="str">
            <v>7211867-1а</v>
          </cell>
          <cell r="J9"/>
          <cell r="K9"/>
        </row>
        <row r="10">
          <cell r="B10">
            <v>60</v>
          </cell>
          <cell r="C10">
            <v>245</v>
          </cell>
          <cell r="D10">
            <v>140</v>
          </cell>
          <cell r="E10">
            <v>115</v>
          </cell>
          <cell r="F10" t="str">
            <v>7211867-1</v>
          </cell>
          <cell r="J10"/>
          <cell r="K10"/>
        </row>
        <row r="11">
          <cell r="B11">
            <v>60</v>
          </cell>
          <cell r="C11">
            <v>245</v>
          </cell>
          <cell r="D11">
            <v>140</v>
          </cell>
          <cell r="E11">
            <v>115</v>
          </cell>
          <cell r="F11" t="str">
            <v>7211867-1</v>
          </cell>
          <cell r="J11"/>
          <cell r="K11"/>
        </row>
        <row r="12">
          <cell r="B12">
            <v>60</v>
          </cell>
          <cell r="C12">
            <v>245</v>
          </cell>
          <cell r="D12">
            <v>140</v>
          </cell>
          <cell r="E12">
            <v>115</v>
          </cell>
          <cell r="F12" t="str">
            <v>7211867-1</v>
          </cell>
          <cell r="J12"/>
          <cell r="K12"/>
        </row>
        <row r="13">
          <cell r="B13">
            <v>60</v>
          </cell>
          <cell r="C13">
            <v>245</v>
          </cell>
          <cell r="D13">
            <v>140</v>
          </cell>
          <cell r="E13">
            <v>115</v>
          </cell>
          <cell r="F13" t="str">
            <v>7211867-1</v>
          </cell>
          <cell r="J13"/>
          <cell r="K13"/>
        </row>
        <row r="14">
          <cell r="B14">
            <v>60</v>
          </cell>
          <cell r="C14">
            <v>245</v>
          </cell>
          <cell r="D14">
            <v>140</v>
          </cell>
          <cell r="E14">
            <v>115</v>
          </cell>
          <cell r="F14" t="str">
            <v>7211867-1</v>
          </cell>
          <cell r="J14"/>
          <cell r="K14"/>
        </row>
        <row r="15">
          <cell r="B15">
            <v>60</v>
          </cell>
          <cell r="C15">
            <v>245</v>
          </cell>
          <cell r="D15">
            <v>140</v>
          </cell>
          <cell r="E15">
            <v>115</v>
          </cell>
          <cell r="F15" t="str">
            <v>7211867-1</v>
          </cell>
          <cell r="J15"/>
          <cell r="K15"/>
        </row>
        <row r="16">
          <cell r="B16">
            <v>60</v>
          </cell>
          <cell r="C16">
            <v>245</v>
          </cell>
          <cell r="D16">
            <v>140</v>
          </cell>
          <cell r="E16">
            <v>115</v>
          </cell>
          <cell r="F16" t="str">
            <v>7211867-1</v>
          </cell>
          <cell r="J16"/>
          <cell r="K16"/>
        </row>
        <row r="17">
          <cell r="B17">
            <v>60</v>
          </cell>
          <cell r="C17">
            <v>245</v>
          </cell>
          <cell r="D17">
            <v>140</v>
          </cell>
          <cell r="E17">
            <v>115</v>
          </cell>
          <cell r="F17" t="str">
            <v>7211867-1</v>
          </cell>
          <cell r="J17"/>
          <cell r="K17"/>
        </row>
        <row r="18">
          <cell r="B18">
            <v>60</v>
          </cell>
          <cell r="C18">
            <v>242</v>
          </cell>
          <cell r="D18">
            <v>140</v>
          </cell>
          <cell r="E18">
            <v>115</v>
          </cell>
          <cell r="F18" t="str">
            <v>7211867-1</v>
          </cell>
          <cell r="J18"/>
          <cell r="K18"/>
        </row>
        <row r="19">
          <cell r="B19">
            <v>62.5</v>
          </cell>
          <cell r="C19">
            <v>245</v>
          </cell>
          <cell r="D19">
            <v>140</v>
          </cell>
          <cell r="E19">
            <v>115</v>
          </cell>
          <cell r="F19" t="str">
            <v>7211867-2</v>
          </cell>
          <cell r="J19"/>
          <cell r="K19"/>
        </row>
        <row r="20">
          <cell r="B20">
            <v>62.5</v>
          </cell>
          <cell r="C20">
            <v>245</v>
          </cell>
          <cell r="D20">
            <v>140</v>
          </cell>
          <cell r="E20">
            <v>115</v>
          </cell>
          <cell r="F20" t="str">
            <v>7211867-2</v>
          </cell>
          <cell r="J20"/>
          <cell r="K20"/>
        </row>
        <row r="21">
          <cell r="B21">
            <v>62.5</v>
          </cell>
          <cell r="C21">
            <v>240</v>
          </cell>
          <cell r="D21">
            <v>140</v>
          </cell>
          <cell r="E21">
            <v>115</v>
          </cell>
          <cell r="F21" t="str">
            <v>7211867-2</v>
          </cell>
          <cell r="J21"/>
          <cell r="K21"/>
        </row>
        <row r="22">
          <cell r="B22">
            <v>65</v>
          </cell>
          <cell r="C22">
            <v>245</v>
          </cell>
          <cell r="D22">
            <v>140</v>
          </cell>
          <cell r="E22">
            <v>115</v>
          </cell>
          <cell r="F22" t="str">
            <v>7211867-3</v>
          </cell>
          <cell r="J22"/>
          <cell r="K22"/>
        </row>
        <row r="23">
          <cell r="B23">
            <v>65</v>
          </cell>
          <cell r="C23">
            <v>245</v>
          </cell>
          <cell r="D23">
            <v>140</v>
          </cell>
          <cell r="E23">
            <v>115</v>
          </cell>
          <cell r="F23" t="str">
            <v>7211867-3</v>
          </cell>
          <cell r="J23"/>
          <cell r="K23"/>
        </row>
        <row r="24">
          <cell r="B24">
            <v>65</v>
          </cell>
          <cell r="C24">
            <v>240</v>
          </cell>
          <cell r="D24">
            <v>140</v>
          </cell>
          <cell r="E24">
            <v>115</v>
          </cell>
          <cell r="F24" t="str">
            <v>7211867-3</v>
          </cell>
          <cell r="J24"/>
          <cell r="K24"/>
        </row>
        <row r="25">
          <cell r="B25">
            <v>65</v>
          </cell>
          <cell r="C25">
            <v>245</v>
          </cell>
          <cell r="D25">
            <v>140</v>
          </cell>
          <cell r="E25">
            <v>115</v>
          </cell>
          <cell r="F25" t="str">
            <v>7211867-3</v>
          </cell>
          <cell r="J25"/>
          <cell r="K25"/>
        </row>
        <row r="26">
          <cell r="B26">
            <v>65</v>
          </cell>
          <cell r="C26">
            <v>245</v>
          </cell>
          <cell r="D26">
            <v>140</v>
          </cell>
          <cell r="E26">
            <v>115</v>
          </cell>
          <cell r="F26" t="str">
            <v>7211867-3</v>
          </cell>
          <cell r="J26"/>
          <cell r="K26"/>
        </row>
        <row r="27">
          <cell r="B27">
            <v>67.5</v>
          </cell>
          <cell r="C27">
            <v>243</v>
          </cell>
          <cell r="D27">
            <v>140</v>
          </cell>
          <cell r="E27">
            <v>115</v>
          </cell>
          <cell r="F27" t="str">
            <v>7211867-4</v>
          </cell>
          <cell r="J27"/>
          <cell r="K27"/>
        </row>
        <row r="28">
          <cell r="B28">
            <v>67.5</v>
          </cell>
          <cell r="C28">
            <v>245</v>
          </cell>
          <cell r="D28">
            <v>140</v>
          </cell>
          <cell r="E28">
            <v>115</v>
          </cell>
          <cell r="F28" t="str">
            <v>7211867-4</v>
          </cell>
          <cell r="J28"/>
          <cell r="K28"/>
        </row>
        <row r="29">
          <cell r="B29">
            <v>67.5</v>
          </cell>
          <cell r="C29">
            <v>245</v>
          </cell>
          <cell r="D29">
            <v>140</v>
          </cell>
          <cell r="E29">
            <v>115</v>
          </cell>
          <cell r="F29" t="str">
            <v>7211867-4</v>
          </cell>
          <cell r="J29"/>
          <cell r="K29"/>
        </row>
        <row r="30">
          <cell r="B30">
            <v>67.5</v>
          </cell>
          <cell r="C30">
            <v>245</v>
          </cell>
          <cell r="D30">
            <v>140</v>
          </cell>
          <cell r="E30">
            <v>115</v>
          </cell>
          <cell r="F30" t="str">
            <v>7211867-4</v>
          </cell>
          <cell r="J30"/>
          <cell r="K30" t="str">
            <v>Конусность 1:50</v>
          </cell>
        </row>
        <row r="31">
          <cell r="B31">
            <v>67.5</v>
          </cell>
          <cell r="C31">
            <v>245</v>
          </cell>
          <cell r="D31">
            <v>140</v>
          </cell>
          <cell r="E31">
            <v>115</v>
          </cell>
          <cell r="F31" t="str">
            <v>7211867-4</v>
          </cell>
          <cell r="J31"/>
          <cell r="K31"/>
        </row>
        <row r="32">
          <cell r="B32">
            <v>67.5</v>
          </cell>
          <cell r="C32">
            <v>245</v>
          </cell>
          <cell r="D32">
            <v>140</v>
          </cell>
          <cell r="E32">
            <v>115</v>
          </cell>
          <cell r="F32" t="str">
            <v>7211867-4</v>
          </cell>
          <cell r="I32" t="str">
            <v xml:space="preserve">130 - фактический размер сильно отличается от старого перечня </v>
          </cell>
          <cell r="J32"/>
          <cell r="K32"/>
        </row>
        <row r="33">
          <cell r="B33">
            <v>67.5</v>
          </cell>
          <cell r="C33">
            <v>245</v>
          </cell>
          <cell r="D33">
            <v>140</v>
          </cell>
          <cell r="E33">
            <v>115</v>
          </cell>
          <cell r="F33" t="str">
            <v>7211867-4</v>
          </cell>
          <cell r="I33"/>
          <cell r="J33"/>
          <cell r="K33"/>
        </row>
        <row r="34">
          <cell r="B34">
            <v>67.5</v>
          </cell>
          <cell r="C34">
            <v>243</v>
          </cell>
          <cell r="D34">
            <v>140</v>
          </cell>
          <cell r="E34">
            <v>115</v>
          </cell>
          <cell r="F34" t="str">
            <v>7211867-4</v>
          </cell>
          <cell r="I34" t="str">
            <v>изложница находится на 2 участке</v>
          </cell>
          <cell r="J34"/>
          <cell r="K34"/>
        </row>
        <row r="35">
          <cell r="B35">
            <v>67.5</v>
          </cell>
          <cell r="C35">
            <v>245</v>
          </cell>
          <cell r="D35">
            <v>140</v>
          </cell>
          <cell r="E35">
            <v>115</v>
          </cell>
          <cell r="F35" t="str">
            <v>7211867-4</v>
          </cell>
          <cell r="I35"/>
          <cell r="J35"/>
          <cell r="K35"/>
        </row>
        <row r="36">
          <cell r="B36">
            <v>67.5</v>
          </cell>
          <cell r="C36">
            <v>245</v>
          </cell>
          <cell r="D36">
            <v>140</v>
          </cell>
          <cell r="E36">
            <v>115</v>
          </cell>
          <cell r="F36" t="str">
            <v>7211867-4</v>
          </cell>
          <cell r="J36"/>
          <cell r="K36"/>
        </row>
        <row r="37">
          <cell r="B37">
            <v>70</v>
          </cell>
          <cell r="C37">
            <v>245</v>
          </cell>
          <cell r="D37">
            <v>140</v>
          </cell>
          <cell r="E37">
            <v>115</v>
          </cell>
          <cell r="F37" t="str">
            <v>7211867-5</v>
          </cell>
          <cell r="J37"/>
          <cell r="K37"/>
        </row>
        <row r="38">
          <cell r="B38">
            <v>70</v>
          </cell>
          <cell r="C38">
            <v>240</v>
          </cell>
          <cell r="D38">
            <v>140</v>
          </cell>
          <cell r="E38">
            <v>115</v>
          </cell>
          <cell r="F38" t="str">
            <v>7211867-5</v>
          </cell>
          <cell r="J38"/>
          <cell r="K38" t="str">
            <v>Посадки:</v>
          </cell>
        </row>
        <row r="39">
          <cell r="B39">
            <v>70</v>
          </cell>
          <cell r="C39">
            <v>245</v>
          </cell>
          <cell r="D39">
            <v>140</v>
          </cell>
          <cell r="E39">
            <v>115</v>
          </cell>
          <cell r="F39" t="str">
            <v>7211867-5</v>
          </cell>
          <cell r="J39"/>
          <cell r="K39">
            <v>140</v>
          </cell>
        </row>
        <row r="40">
          <cell r="B40">
            <v>70</v>
          </cell>
          <cell r="C40">
            <v>245</v>
          </cell>
          <cell r="D40">
            <v>140</v>
          </cell>
          <cell r="E40">
            <v>115</v>
          </cell>
          <cell r="F40" t="str">
            <v>7211867-5</v>
          </cell>
          <cell r="J40"/>
          <cell r="K40">
            <v>185</v>
          </cell>
        </row>
        <row r="41">
          <cell r="B41">
            <v>70</v>
          </cell>
          <cell r="C41">
            <v>240</v>
          </cell>
          <cell r="D41">
            <v>140</v>
          </cell>
          <cell r="E41">
            <v>115</v>
          </cell>
          <cell r="F41" t="str">
            <v>7211867-5</v>
          </cell>
          <cell r="J41"/>
          <cell r="K41">
            <v>285</v>
          </cell>
        </row>
        <row r="42">
          <cell r="B42">
            <v>70</v>
          </cell>
          <cell r="C42">
            <v>245</v>
          </cell>
          <cell r="D42">
            <v>140</v>
          </cell>
          <cell r="E42">
            <v>115</v>
          </cell>
          <cell r="F42" t="str">
            <v>7211867-5</v>
          </cell>
          <cell r="J42"/>
          <cell r="K42">
            <v>360</v>
          </cell>
        </row>
        <row r="43">
          <cell r="B43">
            <v>70</v>
          </cell>
          <cell r="C43">
            <v>240</v>
          </cell>
          <cell r="D43">
            <v>140</v>
          </cell>
          <cell r="E43">
            <v>115</v>
          </cell>
          <cell r="F43" t="str">
            <v>7211867-5</v>
          </cell>
          <cell r="J43"/>
          <cell r="K43">
            <v>375</v>
          </cell>
        </row>
        <row r="44">
          <cell r="B44">
            <v>72.5</v>
          </cell>
          <cell r="C44">
            <v>245</v>
          </cell>
          <cell r="D44">
            <v>140</v>
          </cell>
          <cell r="E44">
            <v>115</v>
          </cell>
          <cell r="F44" t="str">
            <v>7211867-6</v>
          </cell>
          <cell r="J44"/>
          <cell r="K44">
            <v>400</v>
          </cell>
        </row>
        <row r="45">
          <cell r="B45">
            <v>72.5</v>
          </cell>
          <cell r="C45">
            <v>245</v>
          </cell>
          <cell r="D45">
            <v>140</v>
          </cell>
          <cell r="E45">
            <v>115</v>
          </cell>
          <cell r="F45" t="str">
            <v>7211867-6</v>
          </cell>
          <cell r="J45"/>
          <cell r="K45">
            <v>415</v>
          </cell>
        </row>
        <row r="46">
          <cell r="B46">
            <v>72.5</v>
          </cell>
          <cell r="C46">
            <v>245</v>
          </cell>
          <cell r="D46">
            <v>140</v>
          </cell>
          <cell r="E46">
            <v>115</v>
          </cell>
          <cell r="F46" t="str">
            <v>7211867-6</v>
          </cell>
          <cell r="J46"/>
          <cell r="K46">
            <v>450</v>
          </cell>
        </row>
        <row r="47">
          <cell r="B47">
            <v>72.5</v>
          </cell>
          <cell r="C47">
            <v>240</v>
          </cell>
          <cell r="D47">
            <v>140</v>
          </cell>
          <cell r="E47">
            <v>115</v>
          </cell>
          <cell r="F47" t="str">
            <v>7211867-6</v>
          </cell>
          <cell r="J47"/>
          <cell r="K47">
            <v>470</v>
          </cell>
        </row>
        <row r="48">
          <cell r="B48">
            <v>72.5</v>
          </cell>
          <cell r="C48">
            <v>245</v>
          </cell>
          <cell r="D48">
            <v>140</v>
          </cell>
          <cell r="E48">
            <v>115</v>
          </cell>
          <cell r="F48" t="str">
            <v>7211867-6</v>
          </cell>
          <cell r="J48"/>
          <cell r="K48">
            <v>500</v>
          </cell>
        </row>
        <row r="49">
          <cell r="B49">
            <v>72.5</v>
          </cell>
          <cell r="C49">
            <v>244</v>
          </cell>
          <cell r="D49">
            <v>140</v>
          </cell>
          <cell r="E49">
            <v>115</v>
          </cell>
          <cell r="F49" t="str">
            <v>7211867-6</v>
          </cell>
          <cell r="J49"/>
          <cell r="K49">
            <v>520</v>
          </cell>
        </row>
        <row r="50">
          <cell r="B50">
            <v>75</v>
          </cell>
          <cell r="C50">
            <v>245</v>
          </cell>
          <cell r="D50">
            <v>140</v>
          </cell>
          <cell r="E50">
            <v>115</v>
          </cell>
          <cell r="F50" t="str">
            <v>7211867-7</v>
          </cell>
          <cell r="J50"/>
          <cell r="K50">
            <v>550</v>
          </cell>
        </row>
        <row r="51">
          <cell r="B51">
            <v>75</v>
          </cell>
          <cell r="C51">
            <v>243</v>
          </cell>
          <cell r="D51">
            <v>140</v>
          </cell>
          <cell r="E51">
            <v>115</v>
          </cell>
          <cell r="F51" t="str">
            <v>7211867-7</v>
          </cell>
          <cell r="J51"/>
          <cell r="K51">
            <v>570</v>
          </cell>
        </row>
        <row r="52">
          <cell r="B52">
            <v>75</v>
          </cell>
          <cell r="C52">
            <v>240</v>
          </cell>
          <cell r="D52">
            <v>140</v>
          </cell>
          <cell r="E52">
            <v>115</v>
          </cell>
          <cell r="F52" t="str">
            <v>7211867-7</v>
          </cell>
          <cell r="J52"/>
          <cell r="K52">
            <v>610</v>
          </cell>
        </row>
        <row r="53">
          <cell r="B53">
            <v>75</v>
          </cell>
          <cell r="C53">
            <v>245</v>
          </cell>
          <cell r="D53">
            <v>140</v>
          </cell>
          <cell r="E53">
            <v>115</v>
          </cell>
          <cell r="F53" t="str">
            <v>7211867-7</v>
          </cell>
          <cell r="J53"/>
          <cell r="K53">
            <v>640</v>
          </cell>
        </row>
        <row r="54">
          <cell r="B54">
            <v>77.5</v>
          </cell>
          <cell r="C54">
            <v>240</v>
          </cell>
          <cell r="D54">
            <v>140</v>
          </cell>
          <cell r="E54">
            <v>115</v>
          </cell>
          <cell r="F54" t="str">
            <v>7211867-8</v>
          </cell>
          <cell r="J54"/>
          <cell r="K54">
            <v>670</v>
          </cell>
        </row>
        <row r="55">
          <cell r="B55">
            <v>77.5</v>
          </cell>
          <cell r="C55">
            <v>240</v>
          </cell>
          <cell r="D55">
            <v>140</v>
          </cell>
          <cell r="E55">
            <v>115</v>
          </cell>
          <cell r="F55" t="str">
            <v>7211867-8</v>
          </cell>
          <cell r="J55"/>
          <cell r="K55">
            <v>700</v>
          </cell>
        </row>
        <row r="56">
          <cell r="B56">
            <v>80</v>
          </cell>
          <cell r="C56">
            <v>245</v>
          </cell>
          <cell r="D56">
            <v>140</v>
          </cell>
          <cell r="E56">
            <v>115</v>
          </cell>
          <cell r="F56" t="str">
            <v>7211867-9</v>
          </cell>
          <cell r="J56"/>
          <cell r="K56"/>
        </row>
        <row r="57">
          <cell r="B57">
            <v>80</v>
          </cell>
          <cell r="C57">
            <v>240</v>
          </cell>
          <cell r="D57">
            <v>140</v>
          </cell>
          <cell r="E57">
            <v>115</v>
          </cell>
          <cell r="F57" t="str">
            <v>7211867-9</v>
          </cell>
          <cell r="J57"/>
          <cell r="K57"/>
        </row>
        <row r="58">
          <cell r="B58">
            <v>80</v>
          </cell>
          <cell r="C58">
            <v>240</v>
          </cell>
          <cell r="D58">
            <v>140</v>
          </cell>
          <cell r="E58">
            <v>115</v>
          </cell>
          <cell r="F58" t="str">
            <v>7211867-9</v>
          </cell>
          <cell r="J58"/>
          <cell r="K58"/>
        </row>
        <row r="59">
          <cell r="B59">
            <v>80</v>
          </cell>
          <cell r="C59">
            <v>245</v>
          </cell>
          <cell r="D59">
            <v>140</v>
          </cell>
          <cell r="E59">
            <v>115</v>
          </cell>
          <cell r="F59" t="str">
            <v>7211867-9</v>
          </cell>
          <cell r="J59"/>
          <cell r="K59"/>
        </row>
        <row r="60">
          <cell r="B60">
            <v>80</v>
          </cell>
          <cell r="C60">
            <v>245</v>
          </cell>
          <cell r="D60">
            <v>140</v>
          </cell>
          <cell r="E60">
            <v>115</v>
          </cell>
          <cell r="F60" t="str">
            <v>7211867-9</v>
          </cell>
          <cell r="J60"/>
          <cell r="K60"/>
        </row>
        <row r="61">
          <cell r="B61">
            <v>80</v>
          </cell>
          <cell r="C61">
            <v>245</v>
          </cell>
          <cell r="D61">
            <v>140</v>
          </cell>
          <cell r="E61">
            <v>115</v>
          </cell>
          <cell r="F61" t="str">
            <v>7211867-9</v>
          </cell>
          <cell r="J61"/>
          <cell r="K61"/>
        </row>
        <row r="62">
          <cell r="B62">
            <v>80</v>
          </cell>
          <cell r="C62">
            <v>245</v>
          </cell>
          <cell r="D62">
            <v>140</v>
          </cell>
          <cell r="E62">
            <v>115</v>
          </cell>
          <cell r="F62" t="str">
            <v>7211867-9</v>
          </cell>
          <cell r="J62"/>
          <cell r="K62"/>
        </row>
        <row r="63">
          <cell r="B63">
            <v>80</v>
          </cell>
          <cell r="C63">
            <v>245</v>
          </cell>
          <cell r="D63">
            <v>140</v>
          </cell>
          <cell r="E63">
            <v>115</v>
          </cell>
          <cell r="F63" t="str">
            <v>7211867-9</v>
          </cell>
          <cell r="J63"/>
          <cell r="K63"/>
        </row>
        <row r="64">
          <cell r="B64">
            <v>80</v>
          </cell>
          <cell r="C64">
            <v>245</v>
          </cell>
          <cell r="D64">
            <v>140</v>
          </cell>
          <cell r="E64">
            <v>115</v>
          </cell>
          <cell r="F64" t="str">
            <v>7211867-9</v>
          </cell>
          <cell r="J64"/>
          <cell r="K64"/>
        </row>
        <row r="65">
          <cell r="B65">
            <v>80</v>
          </cell>
          <cell r="C65">
            <v>245</v>
          </cell>
          <cell r="D65">
            <v>140</v>
          </cell>
          <cell r="E65">
            <v>115</v>
          </cell>
          <cell r="F65" t="str">
            <v>7211867-9</v>
          </cell>
          <cell r="J65"/>
          <cell r="K65"/>
        </row>
        <row r="66">
          <cell r="B66">
            <v>80</v>
          </cell>
          <cell r="C66">
            <v>245</v>
          </cell>
          <cell r="D66">
            <v>140</v>
          </cell>
          <cell r="E66">
            <v>115</v>
          </cell>
          <cell r="F66" t="str">
            <v>7211867-9</v>
          </cell>
          <cell r="J66"/>
          <cell r="K66"/>
        </row>
        <row r="67">
          <cell r="B67">
            <v>80</v>
          </cell>
          <cell r="C67">
            <v>245</v>
          </cell>
          <cell r="D67">
            <v>140</v>
          </cell>
          <cell r="E67">
            <v>115</v>
          </cell>
          <cell r="F67" t="str">
            <v>7211867-9</v>
          </cell>
          <cell r="J67"/>
          <cell r="K67"/>
        </row>
        <row r="68">
          <cell r="B68">
            <v>80</v>
          </cell>
          <cell r="C68">
            <v>245</v>
          </cell>
          <cell r="D68">
            <v>140</v>
          </cell>
          <cell r="E68">
            <v>115</v>
          </cell>
          <cell r="F68" t="str">
            <v>7211867-9</v>
          </cell>
          <cell r="J68"/>
          <cell r="K68"/>
        </row>
        <row r="69">
          <cell r="B69">
            <v>82.5</v>
          </cell>
          <cell r="C69">
            <v>243</v>
          </cell>
          <cell r="D69">
            <v>140</v>
          </cell>
          <cell r="E69">
            <v>115</v>
          </cell>
          <cell r="F69" t="str">
            <v>7211867-10</v>
          </cell>
          <cell r="J69"/>
          <cell r="K69"/>
        </row>
        <row r="70">
          <cell r="B70">
            <v>82.5</v>
          </cell>
          <cell r="C70">
            <v>240</v>
          </cell>
          <cell r="D70">
            <v>140</v>
          </cell>
          <cell r="E70">
            <v>115</v>
          </cell>
          <cell r="F70" t="str">
            <v>7211867-10</v>
          </cell>
          <cell r="J70"/>
          <cell r="K70"/>
        </row>
        <row r="71">
          <cell r="B71">
            <v>82.5</v>
          </cell>
          <cell r="C71">
            <v>245</v>
          </cell>
          <cell r="D71">
            <v>140</v>
          </cell>
          <cell r="E71">
            <v>115</v>
          </cell>
          <cell r="F71" t="str">
            <v>7211867-10</v>
          </cell>
          <cell r="J71"/>
          <cell r="K71"/>
        </row>
        <row r="72">
          <cell r="B72">
            <v>82.5</v>
          </cell>
          <cell r="C72">
            <v>245</v>
          </cell>
          <cell r="D72">
            <v>140</v>
          </cell>
          <cell r="E72">
            <v>115</v>
          </cell>
          <cell r="F72" t="str">
            <v>7211867-10</v>
          </cell>
          <cell r="J72"/>
          <cell r="K72"/>
        </row>
        <row r="73">
          <cell r="B73">
            <v>82.5</v>
          </cell>
          <cell r="C73">
            <v>245</v>
          </cell>
          <cell r="D73">
            <v>140</v>
          </cell>
          <cell r="E73">
            <v>115</v>
          </cell>
          <cell r="F73" t="str">
            <v>7211867-10</v>
          </cell>
          <cell r="J73"/>
          <cell r="K73"/>
        </row>
        <row r="74">
          <cell r="B74">
            <v>82.5</v>
          </cell>
          <cell r="C74">
            <v>245</v>
          </cell>
          <cell r="D74">
            <v>140</v>
          </cell>
          <cell r="E74">
            <v>115</v>
          </cell>
          <cell r="F74" t="str">
            <v>7211867-10</v>
          </cell>
          <cell r="J74"/>
          <cell r="K74"/>
        </row>
        <row r="75">
          <cell r="B75">
            <v>82.5</v>
          </cell>
          <cell r="C75">
            <v>245</v>
          </cell>
          <cell r="D75">
            <v>140</v>
          </cell>
          <cell r="E75">
            <v>115</v>
          </cell>
          <cell r="F75" t="str">
            <v>7211867-10</v>
          </cell>
          <cell r="J75"/>
          <cell r="K75"/>
        </row>
        <row r="76">
          <cell r="B76">
            <v>82.5</v>
          </cell>
          <cell r="C76">
            <v>240</v>
          </cell>
          <cell r="D76">
            <v>140</v>
          </cell>
          <cell r="E76">
            <v>115</v>
          </cell>
          <cell r="F76" t="str">
            <v>7211867-10</v>
          </cell>
          <cell r="J76"/>
          <cell r="K76"/>
        </row>
        <row r="77">
          <cell r="B77">
            <v>82.5</v>
          </cell>
          <cell r="C77">
            <v>245</v>
          </cell>
          <cell r="D77">
            <v>140</v>
          </cell>
          <cell r="E77">
            <v>115</v>
          </cell>
          <cell r="F77" t="str">
            <v>7211867-10</v>
          </cell>
          <cell r="J77"/>
          <cell r="K77"/>
        </row>
        <row r="78">
          <cell r="C78">
            <v>245</v>
          </cell>
          <cell r="D78">
            <v>140</v>
          </cell>
          <cell r="E78">
            <v>115</v>
          </cell>
          <cell r="F78" t="str">
            <v>7211867-10</v>
          </cell>
          <cell r="J78"/>
          <cell r="K78"/>
        </row>
        <row r="79">
          <cell r="B79">
            <v>85</v>
          </cell>
          <cell r="C79">
            <v>240</v>
          </cell>
          <cell r="D79">
            <v>140</v>
          </cell>
          <cell r="E79">
            <v>115</v>
          </cell>
          <cell r="F79" t="str">
            <v>72.11867 - 11</v>
          </cell>
          <cell r="G79">
            <v>44970</v>
          </cell>
          <cell r="H79" t="str">
            <v>Кокиля ф меньше 85,0 не используют -  нет толкателей</v>
          </cell>
          <cell r="I79"/>
          <cell r="K79"/>
        </row>
        <row r="80">
          <cell r="B80">
            <v>85</v>
          </cell>
          <cell r="C80">
            <v>245</v>
          </cell>
          <cell r="D80">
            <v>140</v>
          </cell>
          <cell r="E80">
            <v>115</v>
          </cell>
          <cell r="F80" t="str">
            <v>72.11867 - 11</v>
          </cell>
          <cell r="K80"/>
        </row>
        <row r="81">
          <cell r="B81">
            <v>85</v>
          </cell>
          <cell r="C81">
            <v>240</v>
          </cell>
          <cell r="D81">
            <v>140</v>
          </cell>
          <cell r="E81">
            <v>115</v>
          </cell>
          <cell r="F81" t="str">
            <v>72.11867 - 11</v>
          </cell>
          <cell r="K81"/>
        </row>
        <row r="82">
          <cell r="B82">
            <v>85</v>
          </cell>
          <cell r="C82">
            <v>245</v>
          </cell>
          <cell r="D82">
            <v>140</v>
          </cell>
          <cell r="E82">
            <v>115</v>
          </cell>
          <cell r="F82" t="str">
            <v>72.11867 - 11</v>
          </cell>
          <cell r="K82"/>
        </row>
        <row r="83">
          <cell r="B83">
            <v>85</v>
          </cell>
          <cell r="C83">
            <v>245</v>
          </cell>
          <cell r="D83">
            <v>140</v>
          </cell>
          <cell r="E83">
            <v>115</v>
          </cell>
          <cell r="F83" t="str">
            <v>72.11867 - 11</v>
          </cell>
          <cell r="K83"/>
        </row>
        <row r="84">
          <cell r="B84">
            <v>85</v>
          </cell>
          <cell r="C84">
            <v>245</v>
          </cell>
          <cell r="D84">
            <v>140</v>
          </cell>
          <cell r="E84">
            <v>115</v>
          </cell>
          <cell r="F84" t="str">
            <v>72.11867 - 11</v>
          </cell>
          <cell r="K84"/>
        </row>
        <row r="85">
          <cell r="B85">
            <v>85</v>
          </cell>
          <cell r="C85">
            <v>243</v>
          </cell>
          <cell r="D85">
            <v>140</v>
          </cell>
          <cell r="E85">
            <v>115</v>
          </cell>
          <cell r="F85" t="str">
            <v>72.11867 - 11</v>
          </cell>
          <cell r="K85"/>
        </row>
        <row r="86">
          <cell r="B86">
            <v>85</v>
          </cell>
          <cell r="C86">
            <v>240</v>
          </cell>
          <cell r="D86">
            <v>140</v>
          </cell>
          <cell r="E86">
            <v>115</v>
          </cell>
          <cell r="F86" t="str">
            <v>72.11867 - 11</v>
          </cell>
          <cell r="K86"/>
        </row>
        <row r="87">
          <cell r="B87">
            <v>85</v>
          </cell>
          <cell r="C87">
            <v>240</v>
          </cell>
          <cell r="D87">
            <v>140</v>
          </cell>
          <cell r="E87">
            <v>115</v>
          </cell>
          <cell r="F87" t="str">
            <v>72.11867 - 11</v>
          </cell>
          <cell r="K87"/>
        </row>
        <row r="88">
          <cell r="B88">
            <v>85</v>
          </cell>
          <cell r="C88">
            <v>245</v>
          </cell>
          <cell r="D88">
            <v>140</v>
          </cell>
          <cell r="E88">
            <v>115</v>
          </cell>
          <cell r="F88" t="str">
            <v>72.11867 - 11</v>
          </cell>
          <cell r="K88"/>
        </row>
        <row r="89">
          <cell r="B89">
            <v>87.5</v>
          </cell>
          <cell r="C89">
            <v>245</v>
          </cell>
          <cell r="D89">
            <v>140</v>
          </cell>
          <cell r="E89">
            <v>115</v>
          </cell>
          <cell r="F89" t="str">
            <v>72.11867 - 12</v>
          </cell>
          <cell r="K89"/>
        </row>
        <row r="90">
          <cell r="B90">
            <v>87.5</v>
          </cell>
          <cell r="C90">
            <v>245</v>
          </cell>
          <cell r="D90">
            <v>140</v>
          </cell>
          <cell r="E90">
            <v>115</v>
          </cell>
          <cell r="F90" t="str">
            <v>72.11867 - 12</v>
          </cell>
          <cell r="K90"/>
        </row>
        <row r="91">
          <cell r="B91">
            <v>87.5</v>
          </cell>
          <cell r="C91">
            <v>245</v>
          </cell>
          <cell r="D91">
            <v>140</v>
          </cell>
          <cell r="E91">
            <v>115</v>
          </cell>
          <cell r="F91" t="str">
            <v>72.11867 - 12</v>
          </cell>
          <cell r="K91"/>
        </row>
        <row r="92">
          <cell r="B92">
            <v>90</v>
          </cell>
          <cell r="C92">
            <v>240</v>
          </cell>
          <cell r="D92">
            <v>140</v>
          </cell>
          <cell r="E92">
            <v>115</v>
          </cell>
          <cell r="F92" t="str">
            <v>72.11867 - 13</v>
          </cell>
          <cell r="K92"/>
        </row>
        <row r="93">
          <cell r="B93">
            <v>90</v>
          </cell>
          <cell r="C93">
            <v>243</v>
          </cell>
          <cell r="D93">
            <v>140</v>
          </cell>
          <cell r="E93">
            <v>115</v>
          </cell>
          <cell r="F93" t="str">
            <v>72.11867 - 13</v>
          </cell>
          <cell r="K93"/>
        </row>
        <row r="94">
          <cell r="B94">
            <v>90</v>
          </cell>
          <cell r="C94">
            <v>245</v>
          </cell>
          <cell r="D94">
            <v>140</v>
          </cell>
          <cell r="E94">
            <v>115</v>
          </cell>
          <cell r="F94" t="str">
            <v>72.11867 - 13</v>
          </cell>
          <cell r="K94"/>
        </row>
        <row r="95">
          <cell r="B95">
            <v>90</v>
          </cell>
          <cell r="C95">
            <v>245</v>
          </cell>
          <cell r="D95">
            <v>140</v>
          </cell>
          <cell r="E95">
            <v>115</v>
          </cell>
          <cell r="F95" t="str">
            <v>72.11867 - 13</v>
          </cell>
          <cell r="K95"/>
        </row>
        <row r="96">
          <cell r="B96">
            <v>90</v>
          </cell>
          <cell r="C96">
            <v>243</v>
          </cell>
          <cell r="D96">
            <v>140</v>
          </cell>
          <cell r="E96">
            <v>115</v>
          </cell>
          <cell r="F96" t="str">
            <v>72.11867 - 13</v>
          </cell>
          <cell r="K96"/>
        </row>
        <row r="97">
          <cell r="B97">
            <v>92.5</v>
          </cell>
          <cell r="C97">
            <v>240</v>
          </cell>
          <cell r="D97">
            <v>140</v>
          </cell>
          <cell r="E97">
            <v>115</v>
          </cell>
          <cell r="F97" t="str">
            <v>72.11867 - 14</v>
          </cell>
          <cell r="K97"/>
        </row>
        <row r="98">
          <cell r="B98">
            <v>92.5</v>
          </cell>
          <cell r="C98">
            <v>245</v>
          </cell>
          <cell r="D98">
            <v>140</v>
          </cell>
          <cell r="E98">
            <v>115</v>
          </cell>
          <cell r="F98" t="str">
            <v>72.11867 - 14</v>
          </cell>
          <cell r="K98"/>
        </row>
        <row r="99">
          <cell r="B99">
            <v>92.5</v>
          </cell>
          <cell r="C99">
            <v>243</v>
          </cell>
          <cell r="D99">
            <v>140</v>
          </cell>
          <cell r="E99">
            <v>115</v>
          </cell>
          <cell r="F99" t="str">
            <v>72.11867 - 14</v>
          </cell>
          <cell r="K99"/>
        </row>
        <row r="100">
          <cell r="B100">
            <v>92.5</v>
          </cell>
          <cell r="C100">
            <v>240</v>
          </cell>
          <cell r="D100">
            <v>140</v>
          </cell>
          <cell r="E100">
            <v>115</v>
          </cell>
          <cell r="F100" t="str">
            <v>72.11867 - 14</v>
          </cell>
          <cell r="K100"/>
        </row>
        <row r="101">
          <cell r="B101">
            <v>92.5</v>
          </cell>
          <cell r="C101">
            <v>245</v>
          </cell>
          <cell r="D101">
            <v>140</v>
          </cell>
          <cell r="E101">
            <v>115</v>
          </cell>
          <cell r="F101" t="str">
            <v>72.11867 - 14</v>
          </cell>
          <cell r="K101"/>
        </row>
        <row r="102">
          <cell r="B102">
            <v>95</v>
          </cell>
          <cell r="C102">
            <v>243</v>
          </cell>
          <cell r="D102">
            <v>140</v>
          </cell>
          <cell r="E102">
            <v>115</v>
          </cell>
          <cell r="F102" t="str">
            <v>72.11867 - 15</v>
          </cell>
          <cell r="K102"/>
        </row>
        <row r="103">
          <cell r="B103">
            <v>95</v>
          </cell>
          <cell r="C103">
            <v>245</v>
          </cell>
          <cell r="D103">
            <v>140</v>
          </cell>
          <cell r="E103">
            <v>115</v>
          </cell>
          <cell r="F103" t="str">
            <v>72.11867 - 15</v>
          </cell>
          <cell r="K103"/>
        </row>
        <row r="104">
          <cell r="B104">
            <v>95</v>
          </cell>
          <cell r="C104">
            <v>240</v>
          </cell>
          <cell r="D104">
            <v>140</v>
          </cell>
          <cell r="E104">
            <v>115</v>
          </cell>
          <cell r="F104" t="str">
            <v>72.11867 - 15</v>
          </cell>
          <cell r="K104"/>
        </row>
        <row r="105">
          <cell r="B105">
            <v>95</v>
          </cell>
          <cell r="C105">
            <v>245</v>
          </cell>
          <cell r="D105">
            <v>140</v>
          </cell>
          <cell r="E105">
            <v>115</v>
          </cell>
          <cell r="F105" t="str">
            <v>72.11867 - 15</v>
          </cell>
          <cell r="K105"/>
        </row>
        <row r="106">
          <cell r="B106">
            <v>95</v>
          </cell>
          <cell r="C106">
            <v>245</v>
          </cell>
          <cell r="D106">
            <v>140</v>
          </cell>
          <cell r="E106">
            <v>115</v>
          </cell>
          <cell r="F106" t="str">
            <v>72.11867 - 15</v>
          </cell>
          <cell r="K106"/>
        </row>
        <row r="107">
          <cell r="B107">
            <v>95</v>
          </cell>
          <cell r="C107">
            <v>240</v>
          </cell>
          <cell r="D107">
            <v>140</v>
          </cell>
          <cell r="E107">
            <v>115</v>
          </cell>
          <cell r="F107" t="str">
            <v>72.11867 - 15</v>
          </cell>
          <cell r="K107"/>
        </row>
        <row r="108">
          <cell r="B108">
            <v>95</v>
          </cell>
          <cell r="C108">
            <v>240</v>
          </cell>
          <cell r="D108">
            <v>140</v>
          </cell>
          <cell r="E108">
            <v>115</v>
          </cell>
          <cell r="F108" t="str">
            <v>72.11867 - 15</v>
          </cell>
          <cell r="K108"/>
        </row>
        <row r="109">
          <cell r="B109">
            <v>95</v>
          </cell>
          <cell r="C109">
            <v>245</v>
          </cell>
          <cell r="D109">
            <v>140</v>
          </cell>
          <cell r="E109">
            <v>115</v>
          </cell>
          <cell r="F109" t="str">
            <v>72.11867 - 15</v>
          </cell>
          <cell r="K109"/>
        </row>
        <row r="110">
          <cell r="B110">
            <v>95</v>
          </cell>
          <cell r="C110">
            <v>245</v>
          </cell>
          <cell r="D110">
            <v>140</v>
          </cell>
          <cell r="E110">
            <v>115</v>
          </cell>
          <cell r="F110" t="str">
            <v>72.11867 - 15</v>
          </cell>
          <cell r="K110"/>
        </row>
        <row r="111">
          <cell r="B111">
            <v>95</v>
          </cell>
          <cell r="C111">
            <v>245</v>
          </cell>
          <cell r="D111">
            <v>140</v>
          </cell>
          <cell r="E111">
            <v>115</v>
          </cell>
          <cell r="F111" t="str">
            <v>72.11867 - 15</v>
          </cell>
          <cell r="K111"/>
        </row>
        <row r="112">
          <cell r="B112">
            <v>95</v>
          </cell>
          <cell r="C112">
            <v>245</v>
          </cell>
          <cell r="D112">
            <v>140</v>
          </cell>
          <cell r="E112">
            <v>115</v>
          </cell>
          <cell r="F112" t="str">
            <v>72.11867 - 15</v>
          </cell>
          <cell r="K112"/>
        </row>
        <row r="113">
          <cell r="B113">
            <v>95</v>
          </cell>
          <cell r="C113">
            <v>245</v>
          </cell>
          <cell r="D113">
            <v>140</v>
          </cell>
          <cell r="E113">
            <v>115</v>
          </cell>
          <cell r="F113" t="str">
            <v>72.11867 - 15</v>
          </cell>
          <cell r="K113"/>
        </row>
        <row r="114">
          <cell r="B114">
            <v>95</v>
          </cell>
          <cell r="C114">
            <v>245</v>
          </cell>
          <cell r="D114">
            <v>140</v>
          </cell>
          <cell r="E114">
            <v>115</v>
          </cell>
          <cell r="F114" t="str">
            <v>72.11867 - 15</v>
          </cell>
          <cell r="K114"/>
        </row>
        <row r="115">
          <cell r="B115">
            <v>95</v>
          </cell>
          <cell r="C115">
            <v>240</v>
          </cell>
          <cell r="D115">
            <v>140</v>
          </cell>
          <cell r="E115">
            <v>115</v>
          </cell>
          <cell r="F115" t="str">
            <v>72.11867 - 15</v>
          </cell>
          <cell r="K115"/>
        </row>
        <row r="116">
          <cell r="B116">
            <v>95</v>
          </cell>
          <cell r="C116">
            <v>243</v>
          </cell>
          <cell r="D116">
            <v>140</v>
          </cell>
          <cell r="E116">
            <v>115</v>
          </cell>
          <cell r="F116" t="str">
            <v>72.11867 - 15</v>
          </cell>
          <cell r="K116"/>
        </row>
        <row r="117">
          <cell r="B117">
            <v>95</v>
          </cell>
          <cell r="C117">
            <v>243</v>
          </cell>
          <cell r="D117">
            <v>140</v>
          </cell>
          <cell r="E117">
            <v>115</v>
          </cell>
          <cell r="F117" t="str">
            <v>72.11867 - 15</v>
          </cell>
          <cell r="K117"/>
        </row>
        <row r="118">
          <cell r="B118">
            <v>95</v>
          </cell>
          <cell r="C118">
            <v>244</v>
          </cell>
          <cell r="D118">
            <v>140</v>
          </cell>
          <cell r="E118">
            <v>115</v>
          </cell>
          <cell r="F118" t="str">
            <v>72.11867 - 15</v>
          </cell>
          <cell r="K118"/>
        </row>
        <row r="119">
          <cell r="B119">
            <v>95</v>
          </cell>
          <cell r="C119">
            <v>245</v>
          </cell>
          <cell r="D119">
            <v>140</v>
          </cell>
          <cell r="E119">
            <v>115</v>
          </cell>
          <cell r="F119" t="str">
            <v>72.11867 - 15</v>
          </cell>
          <cell r="K119"/>
        </row>
        <row r="120">
          <cell r="B120">
            <v>100</v>
          </cell>
          <cell r="C120">
            <v>250</v>
          </cell>
          <cell r="D120">
            <v>185</v>
          </cell>
          <cell r="E120">
            <v>320</v>
          </cell>
          <cell r="F120" t="str">
            <v>72.11868 - 1</v>
          </cell>
          <cell r="K120"/>
        </row>
        <row r="121">
          <cell r="B121">
            <v>100</v>
          </cell>
          <cell r="C121">
            <v>255</v>
          </cell>
          <cell r="D121">
            <v>185</v>
          </cell>
          <cell r="E121">
            <v>320</v>
          </cell>
          <cell r="F121" t="str">
            <v>72.11868 - 1</v>
          </cell>
          <cell r="K121"/>
        </row>
        <row r="122">
          <cell r="B122">
            <v>100</v>
          </cell>
          <cell r="C122">
            <v>243</v>
          </cell>
          <cell r="D122">
            <v>140</v>
          </cell>
          <cell r="E122">
            <v>115</v>
          </cell>
          <cell r="F122" t="str">
            <v>72.11868 - 1</v>
          </cell>
          <cell r="K122"/>
        </row>
        <row r="123">
          <cell r="B123">
            <v>100</v>
          </cell>
          <cell r="C123">
            <v>260</v>
          </cell>
          <cell r="D123">
            <v>185</v>
          </cell>
          <cell r="E123">
            <v>320</v>
          </cell>
          <cell r="F123" t="str">
            <v>72.11868 - 1</v>
          </cell>
          <cell r="K123"/>
        </row>
        <row r="124">
          <cell r="B124">
            <v>102.5</v>
          </cell>
          <cell r="C124">
            <v>255</v>
          </cell>
          <cell r="D124">
            <v>185</v>
          </cell>
          <cell r="E124">
            <v>320</v>
          </cell>
          <cell r="F124" t="str">
            <v>72.11868 - 2</v>
          </cell>
          <cell r="K124"/>
        </row>
        <row r="125">
          <cell r="B125">
            <v>102.5</v>
          </cell>
          <cell r="C125">
            <v>252</v>
          </cell>
          <cell r="D125">
            <v>185</v>
          </cell>
          <cell r="E125">
            <v>320</v>
          </cell>
          <cell r="F125" t="str">
            <v>72.11868 - 2</v>
          </cell>
          <cell r="K125"/>
        </row>
        <row r="126">
          <cell r="B126">
            <v>102.5</v>
          </cell>
          <cell r="C126">
            <v>256</v>
          </cell>
          <cell r="D126">
            <v>185</v>
          </cell>
          <cell r="E126">
            <v>320</v>
          </cell>
          <cell r="F126" t="str">
            <v>72.11868 - 2</v>
          </cell>
          <cell r="K126"/>
        </row>
        <row r="127">
          <cell r="B127">
            <v>102.5</v>
          </cell>
          <cell r="C127">
            <v>255</v>
          </cell>
          <cell r="D127">
            <v>185</v>
          </cell>
          <cell r="E127">
            <v>320</v>
          </cell>
          <cell r="F127" t="str">
            <v>72.11868 - 2</v>
          </cell>
          <cell r="K127"/>
        </row>
        <row r="128">
          <cell r="B128">
            <v>102.5</v>
          </cell>
          <cell r="C128">
            <v>255</v>
          </cell>
          <cell r="D128">
            <v>185</v>
          </cell>
          <cell r="E128">
            <v>320</v>
          </cell>
          <cell r="F128" t="str">
            <v>72.11868 - 2</v>
          </cell>
          <cell r="K128"/>
        </row>
        <row r="129">
          <cell r="B129">
            <v>102.5</v>
          </cell>
          <cell r="C129">
            <v>253</v>
          </cell>
          <cell r="D129">
            <v>185</v>
          </cell>
          <cell r="E129">
            <v>320</v>
          </cell>
          <cell r="F129" t="str">
            <v>72.11868 - 2</v>
          </cell>
          <cell r="K129"/>
        </row>
        <row r="130">
          <cell r="B130">
            <v>105</v>
          </cell>
          <cell r="C130">
            <v>250</v>
          </cell>
          <cell r="D130">
            <v>185</v>
          </cell>
          <cell r="E130">
            <v>320</v>
          </cell>
          <cell r="F130" t="str">
            <v>72.11868 - 3</v>
          </cell>
          <cell r="K130"/>
        </row>
        <row r="131">
          <cell r="B131">
            <v>105</v>
          </cell>
          <cell r="C131">
            <v>255</v>
          </cell>
          <cell r="D131">
            <v>185</v>
          </cell>
          <cell r="E131">
            <v>320</v>
          </cell>
          <cell r="F131" t="str">
            <v>72.11868 - 3</v>
          </cell>
          <cell r="K131"/>
        </row>
        <row r="132">
          <cell r="B132">
            <v>105</v>
          </cell>
          <cell r="C132">
            <v>260</v>
          </cell>
          <cell r="D132">
            <v>185</v>
          </cell>
          <cell r="E132">
            <v>320</v>
          </cell>
          <cell r="F132" t="str">
            <v>72.11868 - 3</v>
          </cell>
          <cell r="K132"/>
        </row>
        <row r="133">
          <cell r="B133">
            <v>105</v>
          </cell>
          <cell r="C133">
            <v>260</v>
          </cell>
          <cell r="D133">
            <v>185</v>
          </cell>
          <cell r="E133">
            <v>320</v>
          </cell>
          <cell r="F133" t="str">
            <v>72.11868 - 3</v>
          </cell>
          <cell r="J133"/>
        </row>
        <row r="134">
          <cell r="B134">
            <v>107.5</v>
          </cell>
          <cell r="C134">
            <v>250</v>
          </cell>
          <cell r="D134">
            <v>185</v>
          </cell>
          <cell r="E134">
            <v>320</v>
          </cell>
          <cell r="F134" t="str">
            <v>72.11868 - 4</v>
          </cell>
          <cell r="J134"/>
        </row>
        <row r="135">
          <cell r="B135">
            <v>107.5</v>
          </cell>
          <cell r="C135">
            <v>255</v>
          </cell>
          <cell r="D135">
            <v>185</v>
          </cell>
          <cell r="E135">
            <v>320</v>
          </cell>
          <cell r="F135" t="str">
            <v>72.11868 - 4</v>
          </cell>
          <cell r="J135"/>
        </row>
        <row r="136">
          <cell r="B136">
            <v>107.5</v>
          </cell>
          <cell r="C136">
            <v>255</v>
          </cell>
          <cell r="D136">
            <v>185</v>
          </cell>
          <cell r="E136">
            <v>320</v>
          </cell>
          <cell r="F136" t="str">
            <v>72.11868 - 4</v>
          </cell>
          <cell r="J136"/>
        </row>
        <row r="137">
          <cell r="B137">
            <v>107.5</v>
          </cell>
          <cell r="C137">
            <v>257</v>
          </cell>
          <cell r="D137">
            <v>185</v>
          </cell>
          <cell r="E137">
            <v>320</v>
          </cell>
          <cell r="F137" t="str">
            <v>72.11868 - 4</v>
          </cell>
          <cell r="J137"/>
        </row>
        <row r="138">
          <cell r="B138">
            <v>107.5</v>
          </cell>
          <cell r="C138">
            <v>260</v>
          </cell>
          <cell r="D138">
            <v>185</v>
          </cell>
          <cell r="E138">
            <v>320</v>
          </cell>
          <cell r="F138" t="str">
            <v>72.11868 - 4</v>
          </cell>
          <cell r="J138"/>
        </row>
        <row r="139">
          <cell r="B139">
            <v>107.5</v>
          </cell>
          <cell r="C139">
            <v>257</v>
          </cell>
          <cell r="D139">
            <v>185</v>
          </cell>
          <cell r="E139">
            <v>320</v>
          </cell>
          <cell r="F139" t="str">
            <v>72.11868 - 4</v>
          </cell>
          <cell r="J139"/>
        </row>
        <row r="140">
          <cell r="B140">
            <v>107.5</v>
          </cell>
          <cell r="C140">
            <v>257</v>
          </cell>
          <cell r="D140">
            <v>185</v>
          </cell>
          <cell r="E140">
            <v>320</v>
          </cell>
          <cell r="F140" t="str">
            <v>72.11868 - 4</v>
          </cell>
          <cell r="J140"/>
        </row>
        <row r="141">
          <cell r="B141">
            <v>107.5</v>
          </cell>
          <cell r="C141">
            <v>255</v>
          </cell>
          <cell r="D141">
            <v>185</v>
          </cell>
          <cell r="E141">
            <v>320</v>
          </cell>
          <cell r="F141" t="str">
            <v>72.11868 - 4</v>
          </cell>
          <cell r="K141"/>
        </row>
        <row r="142">
          <cell r="B142">
            <v>107.5</v>
          </cell>
          <cell r="C142">
            <v>260</v>
          </cell>
          <cell r="D142">
            <v>185</v>
          </cell>
          <cell r="E142">
            <v>320</v>
          </cell>
          <cell r="F142" t="str">
            <v>72.11868 - 4</v>
          </cell>
          <cell r="K142"/>
        </row>
        <row r="143">
          <cell r="B143">
            <v>107.5</v>
          </cell>
          <cell r="C143">
            <v>257</v>
          </cell>
          <cell r="D143">
            <v>185</v>
          </cell>
          <cell r="E143">
            <v>320</v>
          </cell>
          <cell r="F143" t="str">
            <v>72.11868 - 4</v>
          </cell>
          <cell r="K143"/>
        </row>
        <row r="144">
          <cell r="B144">
            <v>107.5</v>
          </cell>
          <cell r="C144">
            <v>265</v>
          </cell>
          <cell r="D144">
            <v>185</v>
          </cell>
          <cell r="E144">
            <v>320</v>
          </cell>
          <cell r="F144" t="str">
            <v>72.11868 - 4</v>
          </cell>
          <cell r="K144"/>
        </row>
        <row r="145">
          <cell r="B145">
            <v>110</v>
          </cell>
          <cell r="C145">
            <v>258</v>
          </cell>
          <cell r="D145">
            <v>185</v>
          </cell>
          <cell r="E145">
            <v>320</v>
          </cell>
          <cell r="F145" t="str">
            <v>72.11868 - 5</v>
          </cell>
          <cell r="K145"/>
        </row>
        <row r="146">
          <cell r="B146">
            <v>110</v>
          </cell>
          <cell r="C146">
            <v>260</v>
          </cell>
          <cell r="D146">
            <v>185</v>
          </cell>
          <cell r="E146">
            <v>320</v>
          </cell>
          <cell r="F146" t="str">
            <v>72.11868 - 5</v>
          </cell>
          <cell r="K146"/>
        </row>
        <row r="147">
          <cell r="B147">
            <v>110</v>
          </cell>
          <cell r="C147">
            <v>255</v>
          </cell>
          <cell r="D147">
            <v>185</v>
          </cell>
          <cell r="E147">
            <v>320</v>
          </cell>
          <cell r="F147" t="str">
            <v>72.11868 - 5</v>
          </cell>
          <cell r="K147"/>
        </row>
        <row r="148">
          <cell r="B148">
            <v>110</v>
          </cell>
          <cell r="C148">
            <v>260</v>
          </cell>
          <cell r="D148">
            <v>185</v>
          </cell>
          <cell r="E148">
            <v>320</v>
          </cell>
          <cell r="F148" t="str">
            <v>72.11868 - 5</v>
          </cell>
          <cell r="K148"/>
        </row>
        <row r="149">
          <cell r="B149">
            <v>110</v>
          </cell>
          <cell r="C149">
            <v>260</v>
          </cell>
          <cell r="D149">
            <v>185</v>
          </cell>
          <cell r="E149">
            <v>320</v>
          </cell>
          <cell r="F149" t="str">
            <v>72.11868 - 5</v>
          </cell>
          <cell r="K149"/>
        </row>
        <row r="150">
          <cell r="B150">
            <v>110</v>
          </cell>
          <cell r="C150">
            <v>260</v>
          </cell>
          <cell r="D150">
            <v>185</v>
          </cell>
          <cell r="E150">
            <v>320</v>
          </cell>
          <cell r="F150" t="str">
            <v>72.11868 - 5</v>
          </cell>
          <cell r="K150"/>
        </row>
        <row r="151">
          <cell r="B151">
            <v>110</v>
          </cell>
          <cell r="C151">
            <v>250</v>
          </cell>
          <cell r="D151">
            <v>185</v>
          </cell>
          <cell r="E151">
            <v>320</v>
          </cell>
          <cell r="F151" t="str">
            <v>72.11868 - 5</v>
          </cell>
          <cell r="K151"/>
        </row>
        <row r="152">
          <cell r="B152">
            <v>110</v>
          </cell>
          <cell r="C152">
            <v>260</v>
          </cell>
          <cell r="D152">
            <v>185</v>
          </cell>
          <cell r="E152">
            <v>320</v>
          </cell>
          <cell r="F152" t="str">
            <v>72.11868 - 5</v>
          </cell>
          <cell r="K152"/>
        </row>
        <row r="153">
          <cell r="B153">
            <v>110</v>
          </cell>
          <cell r="C153">
            <v>257</v>
          </cell>
          <cell r="D153">
            <v>185</v>
          </cell>
          <cell r="E153">
            <v>320</v>
          </cell>
          <cell r="F153" t="str">
            <v>72.11868 - 5</v>
          </cell>
          <cell r="K153"/>
        </row>
        <row r="154">
          <cell r="B154">
            <v>110</v>
          </cell>
          <cell r="C154">
            <v>260</v>
          </cell>
          <cell r="D154">
            <v>185</v>
          </cell>
          <cell r="E154">
            <v>320</v>
          </cell>
          <cell r="F154" t="str">
            <v>72.11868 - 5</v>
          </cell>
          <cell r="K154"/>
        </row>
        <row r="155">
          <cell r="B155">
            <v>110</v>
          </cell>
          <cell r="C155">
            <v>260</v>
          </cell>
          <cell r="D155">
            <v>185</v>
          </cell>
          <cell r="E155">
            <v>320</v>
          </cell>
          <cell r="F155" t="str">
            <v>72.11868 - 5</v>
          </cell>
          <cell r="K155"/>
        </row>
        <row r="156">
          <cell r="B156">
            <v>110</v>
          </cell>
          <cell r="C156">
            <v>255</v>
          </cell>
          <cell r="D156">
            <v>185</v>
          </cell>
          <cell r="E156">
            <v>320</v>
          </cell>
          <cell r="F156" t="str">
            <v>72.11868 - 5</v>
          </cell>
          <cell r="K156"/>
        </row>
        <row r="157">
          <cell r="B157">
            <v>110</v>
          </cell>
          <cell r="C157">
            <v>255</v>
          </cell>
          <cell r="D157">
            <v>185</v>
          </cell>
          <cell r="E157">
            <v>320</v>
          </cell>
          <cell r="F157" t="str">
            <v>72.11868 - 5</v>
          </cell>
          <cell r="K157"/>
        </row>
        <row r="158">
          <cell r="B158">
            <v>112.5</v>
          </cell>
          <cell r="C158">
            <v>320</v>
          </cell>
          <cell r="D158">
            <v>140</v>
          </cell>
          <cell r="E158">
            <v>115</v>
          </cell>
          <cell r="F158" t="str">
            <v>72.11869 - 6</v>
          </cell>
          <cell r="G158" t="str">
            <v>В наличии только один кокиль</v>
          </cell>
          <cell r="H158" t="str">
            <v>6 шт. - 5 новых, 1 старый</v>
          </cell>
          <cell r="I158"/>
          <cell r="K158">
            <v>45070</v>
          </cell>
        </row>
        <row r="159">
          <cell r="B159">
            <v>112.5</v>
          </cell>
          <cell r="C159">
            <v>315</v>
          </cell>
          <cell r="D159">
            <v>185</v>
          </cell>
          <cell r="E159">
            <v>320</v>
          </cell>
          <cell r="F159" t="str">
            <v>72.11869 - 6</v>
          </cell>
          <cell r="G159"/>
          <cell r="H159" t="str">
            <v>длиной 320 мм</v>
          </cell>
          <cell r="K159"/>
        </row>
        <row r="160">
          <cell r="B160">
            <v>112.5</v>
          </cell>
          <cell r="C160">
            <v>320</v>
          </cell>
          <cell r="D160">
            <v>140</v>
          </cell>
          <cell r="E160">
            <v>115</v>
          </cell>
          <cell r="F160" t="str">
            <v>72.11869 - 6</v>
          </cell>
          <cell r="G160"/>
          <cell r="K160"/>
        </row>
        <row r="161">
          <cell r="B161">
            <v>112.5</v>
          </cell>
          <cell r="C161">
            <v>255</v>
          </cell>
          <cell r="D161">
            <v>185</v>
          </cell>
          <cell r="E161">
            <v>320</v>
          </cell>
          <cell r="F161" t="str">
            <v>72.11868 - 6</v>
          </cell>
          <cell r="K161"/>
        </row>
        <row r="162">
          <cell r="B162">
            <v>112.5</v>
          </cell>
          <cell r="C162">
            <v>260</v>
          </cell>
          <cell r="D162">
            <v>185</v>
          </cell>
          <cell r="E162">
            <v>320</v>
          </cell>
          <cell r="F162" t="str">
            <v>72.11868 - 6</v>
          </cell>
          <cell r="K162"/>
        </row>
        <row r="163">
          <cell r="B163">
            <v>112.5</v>
          </cell>
          <cell r="C163">
            <v>255</v>
          </cell>
          <cell r="D163">
            <v>185</v>
          </cell>
          <cell r="E163">
            <v>320</v>
          </cell>
          <cell r="F163" t="str">
            <v>72.11868 - 6</v>
          </cell>
          <cell r="K163"/>
        </row>
        <row r="164">
          <cell r="B164">
            <v>112.5</v>
          </cell>
          <cell r="C164">
            <v>260</v>
          </cell>
          <cell r="D164">
            <v>185</v>
          </cell>
          <cell r="E164">
            <v>320</v>
          </cell>
          <cell r="F164" t="str">
            <v>72.11868 - 6</v>
          </cell>
          <cell r="K164"/>
        </row>
        <row r="165">
          <cell r="B165">
            <v>112.5</v>
          </cell>
          <cell r="C165">
            <v>258</v>
          </cell>
          <cell r="D165">
            <v>185</v>
          </cell>
          <cell r="E165">
            <v>320</v>
          </cell>
          <cell r="F165" t="str">
            <v>72.11868 - 6</v>
          </cell>
          <cell r="K165"/>
        </row>
        <row r="166">
          <cell r="B166">
            <v>112.5</v>
          </cell>
          <cell r="C166">
            <v>255</v>
          </cell>
          <cell r="D166">
            <v>185</v>
          </cell>
          <cell r="E166">
            <v>320</v>
          </cell>
          <cell r="F166" t="str">
            <v>72.11868 - 6</v>
          </cell>
          <cell r="K166"/>
        </row>
        <row r="167">
          <cell r="B167">
            <v>112.5</v>
          </cell>
          <cell r="C167">
            <v>255</v>
          </cell>
          <cell r="D167">
            <v>185</v>
          </cell>
          <cell r="E167">
            <v>320</v>
          </cell>
          <cell r="F167" t="str">
            <v>72.11868 - 6</v>
          </cell>
          <cell r="K167"/>
        </row>
        <row r="168">
          <cell r="B168">
            <v>112.5</v>
          </cell>
          <cell r="C168">
            <v>260</v>
          </cell>
          <cell r="D168">
            <v>185</v>
          </cell>
          <cell r="E168">
            <v>320</v>
          </cell>
          <cell r="F168" t="str">
            <v>72.11868 - 6</v>
          </cell>
          <cell r="K168"/>
        </row>
        <row r="169">
          <cell r="B169">
            <v>112.5</v>
          </cell>
          <cell r="C169">
            <v>255</v>
          </cell>
          <cell r="D169">
            <v>185</v>
          </cell>
          <cell r="E169">
            <v>320</v>
          </cell>
          <cell r="F169" t="str">
            <v>72.11868 - 6</v>
          </cell>
          <cell r="K169"/>
        </row>
        <row r="170">
          <cell r="B170">
            <v>115</v>
          </cell>
          <cell r="C170">
            <v>255</v>
          </cell>
          <cell r="D170">
            <v>185</v>
          </cell>
          <cell r="E170">
            <v>320</v>
          </cell>
          <cell r="F170" t="str">
            <v>72.11868 - 7</v>
          </cell>
          <cell r="K170"/>
        </row>
        <row r="171">
          <cell r="B171">
            <v>115</v>
          </cell>
          <cell r="C171">
            <v>257</v>
          </cell>
          <cell r="D171">
            <v>185</v>
          </cell>
          <cell r="E171">
            <v>320</v>
          </cell>
          <cell r="F171" t="str">
            <v>72.11868 - 7</v>
          </cell>
          <cell r="K171"/>
        </row>
        <row r="172">
          <cell r="B172">
            <v>115</v>
          </cell>
          <cell r="C172">
            <v>257</v>
          </cell>
          <cell r="D172">
            <v>185</v>
          </cell>
          <cell r="E172">
            <v>320</v>
          </cell>
          <cell r="F172" t="str">
            <v>72.11868 - 7</v>
          </cell>
          <cell r="K172"/>
        </row>
        <row r="173">
          <cell r="B173">
            <v>115</v>
          </cell>
          <cell r="C173">
            <v>260</v>
          </cell>
          <cell r="D173">
            <v>185</v>
          </cell>
          <cell r="E173">
            <v>320</v>
          </cell>
          <cell r="F173" t="str">
            <v>72.11868 - 7</v>
          </cell>
          <cell r="K173"/>
        </row>
        <row r="174">
          <cell r="B174">
            <v>115</v>
          </cell>
          <cell r="C174">
            <v>260</v>
          </cell>
          <cell r="D174">
            <v>185</v>
          </cell>
          <cell r="E174">
            <v>320</v>
          </cell>
          <cell r="F174" t="str">
            <v>72.11868 - 7</v>
          </cell>
          <cell r="K174"/>
        </row>
        <row r="175">
          <cell r="B175">
            <v>115</v>
          </cell>
          <cell r="C175">
            <v>257</v>
          </cell>
          <cell r="D175">
            <v>185</v>
          </cell>
          <cell r="E175">
            <v>320</v>
          </cell>
          <cell r="F175" t="str">
            <v>72.11868 - 7</v>
          </cell>
          <cell r="K175"/>
        </row>
        <row r="176">
          <cell r="B176">
            <v>115</v>
          </cell>
          <cell r="C176">
            <v>257</v>
          </cell>
          <cell r="D176">
            <v>185</v>
          </cell>
          <cell r="E176">
            <v>320</v>
          </cell>
          <cell r="F176" t="str">
            <v>72.11868 - 7</v>
          </cell>
          <cell r="K176"/>
        </row>
        <row r="177">
          <cell r="B177">
            <v>115</v>
          </cell>
          <cell r="C177">
            <v>260</v>
          </cell>
          <cell r="D177">
            <v>185</v>
          </cell>
          <cell r="E177">
            <v>320</v>
          </cell>
          <cell r="F177" t="str">
            <v>72.11868 - 7</v>
          </cell>
          <cell r="K177"/>
        </row>
        <row r="178">
          <cell r="B178">
            <v>115</v>
          </cell>
          <cell r="C178">
            <v>257</v>
          </cell>
          <cell r="D178">
            <v>185</v>
          </cell>
          <cell r="E178">
            <v>320</v>
          </cell>
          <cell r="F178" t="str">
            <v>72.11868 - 7</v>
          </cell>
          <cell r="K178"/>
        </row>
        <row r="179">
          <cell r="B179">
            <v>117.5</v>
          </cell>
          <cell r="C179">
            <v>255</v>
          </cell>
          <cell r="D179">
            <v>185</v>
          </cell>
          <cell r="E179">
            <v>320</v>
          </cell>
          <cell r="F179" t="str">
            <v>72.11868 - 8</v>
          </cell>
          <cell r="K179"/>
        </row>
        <row r="180">
          <cell r="B180">
            <v>117.5</v>
          </cell>
          <cell r="C180">
            <v>260</v>
          </cell>
          <cell r="D180">
            <v>185</v>
          </cell>
          <cell r="E180">
            <v>320</v>
          </cell>
          <cell r="F180" t="str">
            <v>72.11868 - 8</v>
          </cell>
          <cell r="K180"/>
        </row>
        <row r="181">
          <cell r="B181">
            <v>117.5</v>
          </cell>
          <cell r="C181">
            <v>260</v>
          </cell>
          <cell r="D181">
            <v>185</v>
          </cell>
          <cell r="E181">
            <v>320</v>
          </cell>
          <cell r="F181" t="str">
            <v>72.11868 - 8</v>
          </cell>
          <cell r="K181"/>
        </row>
        <row r="182">
          <cell r="B182">
            <v>120</v>
          </cell>
          <cell r="C182">
            <v>260</v>
          </cell>
          <cell r="D182">
            <v>185</v>
          </cell>
          <cell r="E182">
            <v>320</v>
          </cell>
          <cell r="F182" t="str">
            <v>72.11868 - 9</v>
          </cell>
          <cell r="K182"/>
        </row>
        <row r="183">
          <cell r="B183">
            <v>120</v>
          </cell>
          <cell r="C183">
            <v>260</v>
          </cell>
          <cell r="D183">
            <v>185</v>
          </cell>
          <cell r="E183">
            <v>320</v>
          </cell>
          <cell r="F183" t="str">
            <v>72.11868 - 9</v>
          </cell>
          <cell r="K183"/>
        </row>
        <row r="184">
          <cell r="B184">
            <v>120</v>
          </cell>
          <cell r="C184">
            <v>255</v>
          </cell>
          <cell r="D184">
            <v>185</v>
          </cell>
          <cell r="E184">
            <v>320</v>
          </cell>
          <cell r="F184" t="str">
            <v>72.11868 - 9</v>
          </cell>
          <cell r="K184"/>
        </row>
        <row r="185">
          <cell r="B185">
            <v>120</v>
          </cell>
          <cell r="C185">
            <v>258</v>
          </cell>
          <cell r="D185">
            <v>185</v>
          </cell>
          <cell r="E185">
            <v>320</v>
          </cell>
          <cell r="F185" t="str">
            <v>72.11868 - 9</v>
          </cell>
          <cell r="K185"/>
        </row>
        <row r="186">
          <cell r="B186">
            <v>120</v>
          </cell>
          <cell r="C186">
            <v>258</v>
          </cell>
          <cell r="D186">
            <v>185</v>
          </cell>
          <cell r="E186">
            <v>320</v>
          </cell>
          <cell r="F186" t="str">
            <v>72.11868 - 9</v>
          </cell>
          <cell r="K186"/>
        </row>
        <row r="187">
          <cell r="B187">
            <v>122.5</v>
          </cell>
          <cell r="C187">
            <v>257</v>
          </cell>
          <cell r="D187">
            <v>185</v>
          </cell>
          <cell r="E187">
            <v>320</v>
          </cell>
          <cell r="F187" t="str">
            <v>72.11868 - 10</v>
          </cell>
          <cell r="K187"/>
        </row>
        <row r="188">
          <cell r="B188">
            <v>122.5</v>
          </cell>
          <cell r="C188">
            <v>260</v>
          </cell>
          <cell r="D188">
            <v>185</v>
          </cell>
          <cell r="E188">
            <v>320</v>
          </cell>
          <cell r="F188" t="str">
            <v>72.11868 - 10</v>
          </cell>
          <cell r="K188"/>
        </row>
        <row r="189">
          <cell r="B189">
            <v>122.5</v>
          </cell>
          <cell r="C189">
            <v>260</v>
          </cell>
          <cell r="D189">
            <v>185</v>
          </cell>
          <cell r="E189">
            <v>320</v>
          </cell>
          <cell r="F189" t="str">
            <v>72.11868 - 10</v>
          </cell>
          <cell r="K189"/>
        </row>
        <row r="190">
          <cell r="B190">
            <v>122.5</v>
          </cell>
          <cell r="C190">
            <v>260</v>
          </cell>
          <cell r="D190">
            <v>185</v>
          </cell>
          <cell r="E190">
            <v>320</v>
          </cell>
          <cell r="F190" t="str">
            <v>72.11868 - 10</v>
          </cell>
          <cell r="K190"/>
        </row>
        <row r="191">
          <cell r="B191">
            <v>122.5</v>
          </cell>
          <cell r="C191">
            <v>320</v>
          </cell>
          <cell r="D191">
            <v>185</v>
          </cell>
          <cell r="E191">
            <v>320</v>
          </cell>
          <cell r="F191" t="str">
            <v>72.11869 - 11</v>
          </cell>
          <cell r="K191"/>
        </row>
        <row r="192">
          <cell r="B192">
            <v>125</v>
          </cell>
          <cell r="C192">
            <v>255</v>
          </cell>
          <cell r="D192">
            <v>185</v>
          </cell>
          <cell r="E192">
            <v>320</v>
          </cell>
          <cell r="F192" t="str">
            <v>72.11868 - 11</v>
          </cell>
          <cell r="K192"/>
        </row>
        <row r="193">
          <cell r="B193">
            <v>125</v>
          </cell>
          <cell r="C193">
            <v>260</v>
          </cell>
          <cell r="D193">
            <v>185</v>
          </cell>
          <cell r="E193">
            <v>320</v>
          </cell>
          <cell r="F193" t="str">
            <v>72.11868 - 11</v>
          </cell>
          <cell r="K193"/>
        </row>
        <row r="194">
          <cell r="B194">
            <v>125</v>
          </cell>
          <cell r="C194">
            <v>257</v>
          </cell>
          <cell r="D194">
            <v>185</v>
          </cell>
          <cell r="E194">
            <v>320</v>
          </cell>
          <cell r="F194" t="str">
            <v>72.11868 - 11</v>
          </cell>
          <cell r="K194"/>
        </row>
        <row r="195">
          <cell r="B195">
            <v>125</v>
          </cell>
          <cell r="C195">
            <v>315</v>
          </cell>
          <cell r="D195">
            <v>185</v>
          </cell>
          <cell r="E195">
            <v>320</v>
          </cell>
          <cell r="F195" t="str">
            <v>72.11869 - 11</v>
          </cell>
          <cell r="K195"/>
        </row>
        <row r="196">
          <cell r="B196">
            <v>125</v>
          </cell>
          <cell r="C196">
            <v>260</v>
          </cell>
          <cell r="D196">
            <v>185</v>
          </cell>
          <cell r="E196">
            <v>320</v>
          </cell>
          <cell r="F196" t="str">
            <v>72.11868 - 11</v>
          </cell>
          <cell r="K196"/>
        </row>
        <row r="197">
          <cell r="B197">
            <v>125</v>
          </cell>
          <cell r="C197">
            <v>255</v>
          </cell>
          <cell r="D197">
            <v>185</v>
          </cell>
          <cell r="E197">
            <v>320</v>
          </cell>
          <cell r="F197" t="str">
            <v>72.11868 - 11</v>
          </cell>
          <cell r="K197"/>
        </row>
        <row r="198">
          <cell r="B198">
            <v>125</v>
          </cell>
          <cell r="C198">
            <v>260</v>
          </cell>
          <cell r="D198">
            <v>185</v>
          </cell>
          <cell r="E198">
            <v>320</v>
          </cell>
          <cell r="F198" t="str">
            <v>72.11868 - 11</v>
          </cell>
          <cell r="K198"/>
        </row>
        <row r="199">
          <cell r="B199">
            <v>127.5</v>
          </cell>
          <cell r="C199">
            <v>255</v>
          </cell>
          <cell r="D199">
            <v>185</v>
          </cell>
          <cell r="E199">
            <v>320</v>
          </cell>
          <cell r="F199" t="str">
            <v>72.11868 - 12</v>
          </cell>
          <cell r="K199"/>
        </row>
        <row r="200">
          <cell r="B200">
            <v>127.5</v>
          </cell>
          <cell r="C200">
            <v>315</v>
          </cell>
          <cell r="D200">
            <v>185</v>
          </cell>
          <cell r="E200">
            <v>320</v>
          </cell>
          <cell r="F200" t="str">
            <v>72.11869 - 12</v>
          </cell>
          <cell r="K200"/>
        </row>
        <row r="201">
          <cell r="B201">
            <v>127.5</v>
          </cell>
          <cell r="C201">
            <v>255</v>
          </cell>
          <cell r="D201">
            <v>185</v>
          </cell>
          <cell r="E201">
            <v>320</v>
          </cell>
          <cell r="F201" t="str">
            <v>72.11868 - 12</v>
          </cell>
          <cell r="K201"/>
        </row>
        <row r="202">
          <cell r="B202">
            <v>127.5</v>
          </cell>
          <cell r="C202">
            <v>315</v>
          </cell>
          <cell r="D202">
            <v>185</v>
          </cell>
          <cell r="E202">
            <v>320</v>
          </cell>
          <cell r="F202" t="str">
            <v>72.11868 - 12</v>
          </cell>
          <cell r="K202"/>
        </row>
        <row r="203">
          <cell r="B203">
            <v>130</v>
          </cell>
          <cell r="C203">
            <v>255</v>
          </cell>
          <cell r="D203">
            <v>185</v>
          </cell>
          <cell r="E203">
            <v>320</v>
          </cell>
          <cell r="F203" t="str">
            <v>72.11868 - 13</v>
          </cell>
          <cell r="K203"/>
        </row>
        <row r="204">
          <cell r="B204">
            <v>130</v>
          </cell>
          <cell r="C204">
            <v>255</v>
          </cell>
          <cell r="D204">
            <v>185</v>
          </cell>
          <cell r="E204">
            <v>320</v>
          </cell>
          <cell r="F204" t="str">
            <v>72.11868 - 13</v>
          </cell>
          <cell r="K204"/>
        </row>
        <row r="205">
          <cell r="B205">
            <v>130</v>
          </cell>
          <cell r="C205">
            <v>375</v>
          </cell>
          <cell r="D205">
            <v>185</v>
          </cell>
          <cell r="E205">
            <v>320</v>
          </cell>
          <cell r="F205" t="str">
            <v>72.43773 - 13</v>
          </cell>
          <cell r="K205"/>
        </row>
        <row r="206">
          <cell r="B206">
            <v>130</v>
          </cell>
          <cell r="C206">
            <v>318</v>
          </cell>
          <cell r="D206">
            <v>185</v>
          </cell>
          <cell r="E206">
            <v>320</v>
          </cell>
          <cell r="F206" t="str">
            <v>72.11869 - 13</v>
          </cell>
          <cell r="K206"/>
        </row>
        <row r="207">
          <cell r="B207">
            <v>130</v>
          </cell>
          <cell r="C207">
            <v>320</v>
          </cell>
          <cell r="D207">
            <v>185</v>
          </cell>
          <cell r="E207">
            <v>320</v>
          </cell>
          <cell r="F207" t="str">
            <v>72.11869 - 13</v>
          </cell>
          <cell r="K207"/>
        </row>
        <row r="208">
          <cell r="B208">
            <v>130</v>
          </cell>
          <cell r="C208">
            <v>320</v>
          </cell>
          <cell r="D208">
            <v>185</v>
          </cell>
          <cell r="E208">
            <v>320</v>
          </cell>
          <cell r="F208" t="str">
            <v>72.11869 - 13</v>
          </cell>
          <cell r="K208"/>
        </row>
        <row r="209">
          <cell r="B209">
            <v>130</v>
          </cell>
          <cell r="C209">
            <v>318</v>
          </cell>
          <cell r="D209">
            <v>185</v>
          </cell>
          <cell r="E209">
            <v>320</v>
          </cell>
          <cell r="F209" t="str">
            <v>72.11869 - 13</v>
          </cell>
          <cell r="K209"/>
        </row>
        <row r="210">
          <cell r="B210">
            <v>130</v>
          </cell>
          <cell r="C210">
            <v>258</v>
          </cell>
          <cell r="D210">
            <v>185</v>
          </cell>
          <cell r="E210">
            <v>320</v>
          </cell>
          <cell r="F210" t="str">
            <v>72.11868 - 13</v>
          </cell>
          <cell r="K210"/>
        </row>
        <row r="211">
          <cell r="B211">
            <v>130</v>
          </cell>
          <cell r="C211">
            <v>315</v>
          </cell>
          <cell r="D211">
            <v>185</v>
          </cell>
          <cell r="E211">
            <v>320</v>
          </cell>
          <cell r="F211" t="str">
            <v>72.11869 - 13</v>
          </cell>
          <cell r="K211"/>
        </row>
        <row r="212">
          <cell r="B212">
            <v>130</v>
          </cell>
          <cell r="C212">
            <v>257</v>
          </cell>
          <cell r="D212">
            <v>185</v>
          </cell>
          <cell r="E212">
            <v>320</v>
          </cell>
          <cell r="F212" t="str">
            <v>72.11868 - 13</v>
          </cell>
          <cell r="K212"/>
        </row>
        <row r="213">
          <cell r="B213">
            <v>130</v>
          </cell>
          <cell r="C213">
            <v>255</v>
          </cell>
          <cell r="D213">
            <v>185</v>
          </cell>
          <cell r="E213">
            <v>320</v>
          </cell>
          <cell r="F213" t="str">
            <v>72.11868 - 13</v>
          </cell>
          <cell r="K213"/>
        </row>
        <row r="214">
          <cell r="B214">
            <v>130</v>
          </cell>
          <cell r="C214">
            <v>320</v>
          </cell>
          <cell r="D214">
            <v>185</v>
          </cell>
          <cell r="E214">
            <v>320</v>
          </cell>
          <cell r="F214" t="str">
            <v>72.11869 - 13</v>
          </cell>
          <cell r="K214"/>
        </row>
        <row r="215">
          <cell r="B215">
            <v>132.5</v>
          </cell>
          <cell r="C215">
            <v>375</v>
          </cell>
          <cell r="D215">
            <v>185</v>
          </cell>
          <cell r="E215">
            <v>320</v>
          </cell>
          <cell r="F215" t="str">
            <v>72.43773 - 14</v>
          </cell>
          <cell r="G215">
            <v>7260002</v>
          </cell>
          <cell r="H215"/>
          <cell r="K215"/>
        </row>
        <row r="216">
          <cell r="B216">
            <v>132.5</v>
          </cell>
          <cell r="C216">
            <v>320</v>
          </cell>
          <cell r="D216">
            <v>185</v>
          </cell>
          <cell r="E216">
            <v>320</v>
          </cell>
          <cell r="F216" t="str">
            <v>72.11869 - 14</v>
          </cell>
          <cell r="G216">
            <v>7260003</v>
          </cell>
          <cell r="H216"/>
          <cell r="K216"/>
        </row>
        <row r="217">
          <cell r="B217">
            <v>132.5</v>
          </cell>
          <cell r="C217">
            <v>320</v>
          </cell>
          <cell r="D217">
            <v>185</v>
          </cell>
          <cell r="E217">
            <v>320</v>
          </cell>
          <cell r="F217" t="str">
            <v>72.47347 - 1</v>
          </cell>
          <cell r="G217">
            <v>7260004</v>
          </cell>
          <cell r="H217"/>
          <cell r="K217"/>
        </row>
        <row r="218">
          <cell r="B218">
            <v>132.5</v>
          </cell>
          <cell r="C218">
            <v>373</v>
          </cell>
          <cell r="D218">
            <v>185</v>
          </cell>
          <cell r="E218">
            <v>320</v>
          </cell>
          <cell r="F218" t="str">
            <v>72.43773 - 14</v>
          </cell>
          <cell r="G218">
            <v>7260002</v>
          </cell>
          <cell r="H218"/>
          <cell r="K218"/>
        </row>
        <row r="219">
          <cell r="B219">
            <v>135</v>
          </cell>
          <cell r="C219">
            <v>377</v>
          </cell>
          <cell r="D219">
            <v>185</v>
          </cell>
          <cell r="E219">
            <v>320</v>
          </cell>
          <cell r="F219" t="str">
            <v>72.43773 - 15</v>
          </cell>
          <cell r="K219"/>
        </row>
        <row r="220">
          <cell r="B220">
            <v>135</v>
          </cell>
          <cell r="C220">
            <v>380</v>
          </cell>
          <cell r="D220">
            <v>185</v>
          </cell>
          <cell r="E220">
            <v>320</v>
          </cell>
          <cell r="F220" t="str">
            <v>72.43773 - 15</v>
          </cell>
          <cell r="K220"/>
        </row>
        <row r="221">
          <cell r="B221">
            <v>135</v>
          </cell>
          <cell r="C221">
            <v>260</v>
          </cell>
          <cell r="D221">
            <v>185</v>
          </cell>
          <cell r="E221">
            <v>320</v>
          </cell>
          <cell r="F221" t="str">
            <v>72.11868 - 15</v>
          </cell>
          <cell r="K221"/>
        </row>
        <row r="222">
          <cell r="B222">
            <v>135</v>
          </cell>
          <cell r="C222">
            <v>257</v>
          </cell>
          <cell r="D222">
            <v>185</v>
          </cell>
          <cell r="E222">
            <v>320</v>
          </cell>
          <cell r="F222" t="str">
            <v>72.11868 - 15</v>
          </cell>
          <cell r="K222"/>
        </row>
        <row r="223">
          <cell r="B223">
            <v>135</v>
          </cell>
          <cell r="C223">
            <v>257</v>
          </cell>
          <cell r="D223">
            <v>185</v>
          </cell>
          <cell r="E223">
            <v>320</v>
          </cell>
          <cell r="F223" t="str">
            <v>72.11868 - 15</v>
          </cell>
          <cell r="K223"/>
        </row>
        <row r="224">
          <cell r="B224">
            <v>135</v>
          </cell>
          <cell r="C224">
            <v>255</v>
          </cell>
          <cell r="D224">
            <v>185</v>
          </cell>
          <cell r="E224">
            <v>320</v>
          </cell>
          <cell r="F224" t="str">
            <v>72.471147 - 1</v>
          </cell>
          <cell r="G224">
            <v>7260005</v>
          </cell>
          <cell r="H224"/>
          <cell r="K224"/>
        </row>
        <row r="225">
          <cell r="B225">
            <v>135</v>
          </cell>
          <cell r="C225">
            <v>260</v>
          </cell>
          <cell r="D225">
            <v>185</v>
          </cell>
          <cell r="E225">
            <v>320</v>
          </cell>
          <cell r="F225" t="str">
            <v>72.11868 - 15</v>
          </cell>
          <cell r="G225"/>
          <cell r="H225"/>
          <cell r="K225"/>
        </row>
        <row r="226">
          <cell r="B226">
            <v>135</v>
          </cell>
          <cell r="C226">
            <v>255</v>
          </cell>
          <cell r="D226">
            <v>185</v>
          </cell>
          <cell r="E226">
            <v>320</v>
          </cell>
          <cell r="F226" t="str">
            <v>72.11868 - 15</v>
          </cell>
          <cell r="G226"/>
          <cell r="H226"/>
          <cell r="K226"/>
        </row>
        <row r="227">
          <cell r="B227">
            <v>137.5</v>
          </cell>
          <cell r="C227">
            <v>265</v>
          </cell>
          <cell r="D227">
            <v>285</v>
          </cell>
          <cell r="E227">
            <v>320</v>
          </cell>
          <cell r="F227" t="str">
            <v>72.11868 - 16</v>
          </cell>
          <cell r="G227"/>
          <cell r="H227"/>
          <cell r="K227"/>
        </row>
        <row r="228">
          <cell r="B228">
            <v>140</v>
          </cell>
          <cell r="C228">
            <v>375</v>
          </cell>
          <cell r="D228">
            <v>285</v>
          </cell>
          <cell r="E228">
            <v>320</v>
          </cell>
          <cell r="F228" t="str">
            <v>72.42461 - 1</v>
          </cell>
          <cell r="G228"/>
          <cell r="H228"/>
          <cell r="K228"/>
        </row>
        <row r="229">
          <cell r="B229">
            <v>140</v>
          </cell>
          <cell r="C229">
            <v>317</v>
          </cell>
          <cell r="D229">
            <v>285</v>
          </cell>
          <cell r="E229">
            <v>320</v>
          </cell>
          <cell r="F229" t="str">
            <v>72.11871 - 1</v>
          </cell>
          <cell r="G229"/>
          <cell r="H229"/>
          <cell r="K229"/>
        </row>
        <row r="230">
          <cell r="B230">
            <v>140</v>
          </cell>
          <cell r="C230">
            <v>377</v>
          </cell>
          <cell r="D230">
            <v>285</v>
          </cell>
          <cell r="E230">
            <v>320</v>
          </cell>
          <cell r="F230" t="str">
            <v>72.42461 - 1</v>
          </cell>
          <cell r="G230"/>
          <cell r="H230"/>
          <cell r="K230"/>
        </row>
        <row r="231">
          <cell r="B231">
            <v>140</v>
          </cell>
          <cell r="C231">
            <v>263</v>
          </cell>
          <cell r="D231">
            <v>285</v>
          </cell>
          <cell r="E231">
            <v>320</v>
          </cell>
          <cell r="F231" t="str">
            <v>72.11870 - 1</v>
          </cell>
          <cell r="G231"/>
          <cell r="H231"/>
          <cell r="K231"/>
        </row>
        <row r="232">
          <cell r="B232">
            <v>140</v>
          </cell>
          <cell r="C232">
            <v>377</v>
          </cell>
          <cell r="D232">
            <v>285</v>
          </cell>
          <cell r="E232">
            <v>320</v>
          </cell>
          <cell r="F232" t="str">
            <v>72.42461 - 1</v>
          </cell>
          <cell r="G232"/>
          <cell r="H232"/>
          <cell r="K232"/>
        </row>
        <row r="233">
          <cell r="B233">
            <v>140</v>
          </cell>
          <cell r="C233">
            <v>320</v>
          </cell>
          <cell r="D233">
            <v>285</v>
          </cell>
          <cell r="E233">
            <v>320</v>
          </cell>
          <cell r="F233" t="str">
            <v>72.11871 - 1</v>
          </cell>
          <cell r="G233"/>
          <cell r="H233"/>
          <cell r="K233"/>
        </row>
        <row r="234">
          <cell r="B234">
            <v>140</v>
          </cell>
          <cell r="C234">
            <v>320</v>
          </cell>
          <cell r="D234">
            <v>285</v>
          </cell>
          <cell r="E234">
            <v>320</v>
          </cell>
          <cell r="F234" t="str">
            <v>72.11871 - 1</v>
          </cell>
          <cell r="G234"/>
          <cell r="H234"/>
          <cell r="K234"/>
        </row>
        <row r="235">
          <cell r="B235">
            <v>140</v>
          </cell>
          <cell r="C235">
            <v>265</v>
          </cell>
          <cell r="D235">
            <v>285</v>
          </cell>
          <cell r="E235">
            <v>320</v>
          </cell>
          <cell r="F235" t="str">
            <v>72.11870 - 1</v>
          </cell>
          <cell r="G235"/>
          <cell r="H235"/>
          <cell r="K235"/>
        </row>
        <row r="236">
          <cell r="B236">
            <v>140</v>
          </cell>
          <cell r="C236">
            <v>315</v>
          </cell>
          <cell r="D236">
            <v>285</v>
          </cell>
          <cell r="E236">
            <v>320</v>
          </cell>
          <cell r="F236" t="str">
            <v>72.11871 - 1</v>
          </cell>
          <cell r="G236"/>
          <cell r="H236"/>
          <cell r="K236"/>
        </row>
        <row r="237">
          <cell r="B237">
            <v>140</v>
          </cell>
          <cell r="C237">
            <v>320</v>
          </cell>
          <cell r="D237">
            <v>285</v>
          </cell>
          <cell r="E237">
            <v>320</v>
          </cell>
          <cell r="F237" t="str">
            <v>72.11871 - 1</v>
          </cell>
          <cell r="G237"/>
          <cell r="H237"/>
          <cell r="K237"/>
        </row>
        <row r="238">
          <cell r="B238">
            <v>140</v>
          </cell>
          <cell r="C238">
            <v>263</v>
          </cell>
          <cell r="D238">
            <v>285</v>
          </cell>
          <cell r="E238">
            <v>320</v>
          </cell>
          <cell r="F238" t="str">
            <v>72.11870 - 1</v>
          </cell>
          <cell r="G238"/>
          <cell r="H238"/>
          <cell r="K238"/>
        </row>
        <row r="239">
          <cell r="B239">
            <v>140</v>
          </cell>
          <cell r="C239">
            <v>263</v>
          </cell>
          <cell r="D239">
            <v>285</v>
          </cell>
          <cell r="E239">
            <v>320</v>
          </cell>
          <cell r="F239" t="str">
            <v>72.11870 - 1</v>
          </cell>
          <cell r="G239"/>
          <cell r="H239"/>
          <cell r="K239"/>
        </row>
        <row r="240">
          <cell r="B240">
            <v>140</v>
          </cell>
          <cell r="C240">
            <v>320</v>
          </cell>
          <cell r="D240">
            <v>285</v>
          </cell>
          <cell r="E240">
            <v>320</v>
          </cell>
          <cell r="F240" t="str">
            <v>72.11871 - 1</v>
          </cell>
          <cell r="G240"/>
          <cell r="H240"/>
          <cell r="K240"/>
        </row>
        <row r="241">
          <cell r="B241">
            <v>140</v>
          </cell>
          <cell r="C241">
            <v>262</v>
          </cell>
          <cell r="D241">
            <v>285</v>
          </cell>
          <cell r="E241">
            <v>320</v>
          </cell>
          <cell r="F241" t="str">
            <v>72.11870 - 1</v>
          </cell>
          <cell r="G241"/>
          <cell r="H241"/>
          <cell r="K241"/>
        </row>
        <row r="242">
          <cell r="B242">
            <v>140</v>
          </cell>
          <cell r="C242">
            <v>320</v>
          </cell>
          <cell r="D242">
            <v>285</v>
          </cell>
          <cell r="E242">
            <v>320</v>
          </cell>
          <cell r="F242" t="str">
            <v>72.11871 - 1</v>
          </cell>
          <cell r="G242"/>
          <cell r="H242"/>
          <cell r="K242"/>
        </row>
        <row r="243">
          <cell r="B243">
            <v>140</v>
          </cell>
          <cell r="C243">
            <v>320</v>
          </cell>
          <cell r="D243">
            <v>285</v>
          </cell>
          <cell r="E243">
            <v>320</v>
          </cell>
          <cell r="F243" t="str">
            <v>72.11871 - 1</v>
          </cell>
          <cell r="G243"/>
          <cell r="H243"/>
          <cell r="K243"/>
        </row>
        <row r="244">
          <cell r="B244">
            <v>140</v>
          </cell>
          <cell r="C244">
            <v>260</v>
          </cell>
          <cell r="D244">
            <v>285</v>
          </cell>
          <cell r="E244">
            <v>320</v>
          </cell>
          <cell r="F244" t="str">
            <v>72.11870 - 1</v>
          </cell>
          <cell r="G244"/>
          <cell r="H244"/>
          <cell r="K244"/>
        </row>
        <row r="245">
          <cell r="B245">
            <v>140</v>
          </cell>
          <cell r="C245">
            <v>265</v>
          </cell>
          <cell r="D245">
            <v>285</v>
          </cell>
          <cell r="E245">
            <v>320</v>
          </cell>
          <cell r="F245" t="str">
            <v>72.11870 - 1</v>
          </cell>
          <cell r="G245"/>
          <cell r="H245"/>
          <cell r="K245"/>
        </row>
        <row r="246">
          <cell r="B246">
            <v>140</v>
          </cell>
          <cell r="C246">
            <v>263</v>
          </cell>
          <cell r="D246">
            <v>285</v>
          </cell>
          <cell r="E246">
            <v>320</v>
          </cell>
          <cell r="F246" t="str">
            <v>72.11870 - 1</v>
          </cell>
          <cell r="G246"/>
          <cell r="H246"/>
          <cell r="K246"/>
        </row>
        <row r="247">
          <cell r="B247">
            <v>140</v>
          </cell>
          <cell r="C247">
            <v>265</v>
          </cell>
          <cell r="D247">
            <v>285</v>
          </cell>
          <cell r="E247">
            <v>320</v>
          </cell>
          <cell r="F247" t="str">
            <v>72.11870 - 1</v>
          </cell>
          <cell r="G247"/>
          <cell r="H247"/>
          <cell r="K247"/>
        </row>
        <row r="248">
          <cell r="B248">
            <v>140</v>
          </cell>
          <cell r="C248">
            <v>265</v>
          </cell>
          <cell r="D248">
            <v>285</v>
          </cell>
          <cell r="E248">
            <v>320</v>
          </cell>
          <cell r="F248" t="str">
            <v>72.11870 - 1</v>
          </cell>
          <cell r="G248"/>
          <cell r="H248"/>
          <cell r="K248"/>
        </row>
        <row r="249">
          <cell r="B249">
            <v>140</v>
          </cell>
          <cell r="C249">
            <v>378</v>
          </cell>
          <cell r="D249">
            <v>285</v>
          </cell>
          <cell r="E249">
            <v>320</v>
          </cell>
          <cell r="F249" t="str">
            <v>72.42461 - 1</v>
          </cell>
          <cell r="G249"/>
          <cell r="H249"/>
          <cell r="K249"/>
        </row>
        <row r="250">
          <cell r="B250">
            <v>142.5</v>
          </cell>
          <cell r="C250">
            <v>320</v>
          </cell>
          <cell r="D250">
            <v>285</v>
          </cell>
          <cell r="E250">
            <v>320</v>
          </cell>
          <cell r="F250" t="str">
            <v>72.11871 - 2</v>
          </cell>
          <cell r="G250"/>
          <cell r="H250"/>
          <cell r="K250"/>
        </row>
        <row r="251">
          <cell r="B251">
            <v>142.5</v>
          </cell>
          <cell r="C251">
            <v>317</v>
          </cell>
          <cell r="D251">
            <v>285</v>
          </cell>
          <cell r="E251">
            <v>320</v>
          </cell>
          <cell r="F251" t="str">
            <v>72.11871 - 2</v>
          </cell>
          <cell r="G251"/>
          <cell r="H251"/>
          <cell r="K251"/>
        </row>
        <row r="252">
          <cell r="B252">
            <v>142.5</v>
          </cell>
          <cell r="C252">
            <v>265</v>
          </cell>
          <cell r="D252">
            <v>285</v>
          </cell>
          <cell r="E252">
            <v>320</v>
          </cell>
          <cell r="F252" t="str">
            <v>72.11870 - 2</v>
          </cell>
          <cell r="G252"/>
          <cell r="H252"/>
          <cell r="K252"/>
        </row>
        <row r="253">
          <cell r="B253">
            <v>142.5</v>
          </cell>
          <cell r="C253">
            <v>318</v>
          </cell>
          <cell r="D253">
            <v>285</v>
          </cell>
          <cell r="E253">
            <v>320</v>
          </cell>
          <cell r="F253" t="str">
            <v>72.11871 - 2</v>
          </cell>
          <cell r="G253"/>
          <cell r="H253"/>
          <cell r="K253"/>
        </row>
        <row r="254">
          <cell r="B254">
            <v>142.5</v>
          </cell>
          <cell r="C254">
            <v>378</v>
          </cell>
          <cell r="D254">
            <v>285</v>
          </cell>
          <cell r="E254">
            <v>320</v>
          </cell>
          <cell r="F254" t="str">
            <v>72.42461 - 2</v>
          </cell>
          <cell r="G254"/>
          <cell r="H254"/>
          <cell r="K254"/>
        </row>
        <row r="255">
          <cell r="B255">
            <v>142.5</v>
          </cell>
          <cell r="C255">
            <v>260</v>
          </cell>
          <cell r="D255">
            <v>285</v>
          </cell>
          <cell r="E255">
            <v>320</v>
          </cell>
          <cell r="F255" t="str">
            <v>72.11870 - 2</v>
          </cell>
          <cell r="G255"/>
          <cell r="H255"/>
          <cell r="K255"/>
        </row>
        <row r="256">
          <cell r="B256">
            <v>142.5</v>
          </cell>
          <cell r="C256">
            <v>320</v>
          </cell>
          <cell r="D256">
            <v>285</v>
          </cell>
          <cell r="E256">
            <v>320</v>
          </cell>
          <cell r="F256" t="str">
            <v>72.11871 - 2</v>
          </cell>
          <cell r="G256"/>
          <cell r="H256"/>
          <cell r="K256"/>
        </row>
        <row r="257">
          <cell r="B257">
            <v>142.5</v>
          </cell>
          <cell r="C257">
            <v>265</v>
          </cell>
          <cell r="D257">
            <v>285</v>
          </cell>
          <cell r="E257">
            <v>320</v>
          </cell>
          <cell r="F257" t="str">
            <v>72.11870 - 2</v>
          </cell>
          <cell r="G257"/>
          <cell r="H257"/>
          <cell r="K257"/>
        </row>
        <row r="258">
          <cell r="B258">
            <v>145</v>
          </cell>
          <cell r="C258">
            <v>260</v>
          </cell>
          <cell r="D258">
            <v>285</v>
          </cell>
          <cell r="E258">
            <v>320</v>
          </cell>
          <cell r="F258" t="str">
            <v>72.11870 - 3</v>
          </cell>
          <cell r="G258"/>
          <cell r="H258"/>
          <cell r="K258"/>
        </row>
        <row r="259">
          <cell r="B259">
            <v>145</v>
          </cell>
          <cell r="C259">
            <v>265</v>
          </cell>
          <cell r="D259">
            <v>285</v>
          </cell>
          <cell r="E259">
            <v>320</v>
          </cell>
          <cell r="F259" t="str">
            <v>72.11870 - 3</v>
          </cell>
          <cell r="G259"/>
          <cell r="H259"/>
          <cell r="K259"/>
        </row>
        <row r="260">
          <cell r="B260">
            <v>145</v>
          </cell>
          <cell r="C260">
            <v>265</v>
          </cell>
          <cell r="D260">
            <v>285</v>
          </cell>
          <cell r="E260">
            <v>320</v>
          </cell>
          <cell r="F260" t="str">
            <v>72.11870 - 3</v>
          </cell>
          <cell r="G260"/>
          <cell r="H260"/>
          <cell r="K260"/>
        </row>
        <row r="261">
          <cell r="B261">
            <v>145</v>
          </cell>
          <cell r="C261">
            <v>270</v>
          </cell>
          <cell r="D261">
            <v>285</v>
          </cell>
          <cell r="E261">
            <v>320</v>
          </cell>
          <cell r="F261" t="str">
            <v>72.11870 - 3</v>
          </cell>
          <cell r="G261"/>
          <cell r="H261"/>
          <cell r="K261"/>
        </row>
        <row r="262">
          <cell r="B262">
            <v>145</v>
          </cell>
          <cell r="C262">
            <v>263</v>
          </cell>
          <cell r="D262">
            <v>285</v>
          </cell>
          <cell r="E262">
            <v>320</v>
          </cell>
          <cell r="F262" t="str">
            <v>72.11870 - 3</v>
          </cell>
          <cell r="G262"/>
          <cell r="H262"/>
          <cell r="K262"/>
        </row>
        <row r="263">
          <cell r="B263">
            <v>145</v>
          </cell>
          <cell r="C263">
            <v>265</v>
          </cell>
          <cell r="D263">
            <v>285</v>
          </cell>
          <cell r="E263">
            <v>320</v>
          </cell>
          <cell r="F263" t="str">
            <v>72.11870 - 3</v>
          </cell>
          <cell r="G263"/>
          <cell r="H263"/>
          <cell r="K263"/>
        </row>
        <row r="264">
          <cell r="B264">
            <v>145</v>
          </cell>
          <cell r="C264">
            <v>320</v>
          </cell>
          <cell r="D264">
            <v>285</v>
          </cell>
          <cell r="E264">
            <v>320</v>
          </cell>
          <cell r="F264" t="str">
            <v>72.11871 - 3</v>
          </cell>
          <cell r="G264"/>
          <cell r="H264"/>
          <cell r="K264"/>
        </row>
        <row r="265">
          <cell r="B265">
            <v>145</v>
          </cell>
          <cell r="C265">
            <v>318</v>
          </cell>
          <cell r="D265">
            <v>285</v>
          </cell>
          <cell r="E265">
            <v>320</v>
          </cell>
          <cell r="F265" t="str">
            <v>72.11871 - 3</v>
          </cell>
          <cell r="G265"/>
          <cell r="H265"/>
          <cell r="K265"/>
        </row>
        <row r="266">
          <cell r="B266">
            <v>145</v>
          </cell>
          <cell r="C266">
            <v>263</v>
          </cell>
          <cell r="D266">
            <v>285</v>
          </cell>
          <cell r="E266">
            <v>320</v>
          </cell>
          <cell r="F266" t="str">
            <v>72.11870 - 3</v>
          </cell>
          <cell r="G266"/>
          <cell r="H266"/>
          <cell r="K266"/>
        </row>
        <row r="267">
          <cell r="B267">
            <v>145</v>
          </cell>
          <cell r="C267">
            <v>265</v>
          </cell>
          <cell r="D267">
            <v>285</v>
          </cell>
          <cell r="E267">
            <v>320</v>
          </cell>
          <cell r="F267" t="str">
            <v>72.11870 - 3</v>
          </cell>
          <cell r="G267"/>
          <cell r="H267"/>
          <cell r="K267"/>
        </row>
        <row r="268">
          <cell r="B268">
            <v>145</v>
          </cell>
          <cell r="C268">
            <v>265</v>
          </cell>
          <cell r="D268">
            <v>285</v>
          </cell>
          <cell r="E268">
            <v>320</v>
          </cell>
          <cell r="F268" t="str">
            <v>72.11870 - 3</v>
          </cell>
          <cell r="G268"/>
          <cell r="H268"/>
          <cell r="K268"/>
        </row>
        <row r="269">
          <cell r="B269">
            <v>145</v>
          </cell>
          <cell r="C269">
            <v>265</v>
          </cell>
          <cell r="D269">
            <v>285</v>
          </cell>
          <cell r="E269">
            <v>320</v>
          </cell>
          <cell r="F269" t="str">
            <v>72.11870 - 3</v>
          </cell>
          <cell r="G269"/>
          <cell r="H269"/>
          <cell r="K269"/>
        </row>
        <row r="270">
          <cell r="B270">
            <v>145</v>
          </cell>
          <cell r="C270">
            <v>265</v>
          </cell>
          <cell r="D270">
            <v>285</v>
          </cell>
          <cell r="E270">
            <v>320</v>
          </cell>
          <cell r="F270" t="str">
            <v>72.11870 - 3</v>
          </cell>
          <cell r="G270"/>
          <cell r="H270"/>
          <cell r="K270"/>
        </row>
        <row r="271">
          <cell r="B271">
            <v>145</v>
          </cell>
          <cell r="C271">
            <v>265</v>
          </cell>
          <cell r="D271">
            <v>285</v>
          </cell>
          <cell r="E271">
            <v>320</v>
          </cell>
          <cell r="F271" t="str">
            <v>72.11870 - 3</v>
          </cell>
          <cell r="G271"/>
          <cell r="H271"/>
          <cell r="K271"/>
        </row>
        <row r="272">
          <cell r="B272">
            <v>145</v>
          </cell>
          <cell r="C272">
            <v>265</v>
          </cell>
          <cell r="D272">
            <v>285</v>
          </cell>
          <cell r="E272">
            <v>320</v>
          </cell>
          <cell r="F272" t="str">
            <v>72.11870 - 3</v>
          </cell>
          <cell r="G272"/>
          <cell r="H272"/>
          <cell r="K272"/>
        </row>
        <row r="273">
          <cell r="B273">
            <v>145</v>
          </cell>
          <cell r="C273">
            <v>265</v>
          </cell>
          <cell r="D273">
            <v>285</v>
          </cell>
          <cell r="E273">
            <v>320</v>
          </cell>
          <cell r="F273" t="str">
            <v>72.11870 - 3</v>
          </cell>
          <cell r="G273"/>
          <cell r="H273"/>
          <cell r="K273"/>
        </row>
        <row r="274">
          <cell r="B274">
            <v>147.5</v>
          </cell>
          <cell r="C274">
            <v>380</v>
          </cell>
          <cell r="D274">
            <v>285</v>
          </cell>
          <cell r="E274">
            <v>320</v>
          </cell>
          <cell r="F274" t="str">
            <v>72.42461 - 4</v>
          </cell>
          <cell r="G274"/>
          <cell r="H274"/>
          <cell r="K274"/>
        </row>
        <row r="275">
          <cell r="B275">
            <v>147.5</v>
          </cell>
          <cell r="C275">
            <v>318</v>
          </cell>
          <cell r="D275">
            <v>285</v>
          </cell>
          <cell r="E275">
            <v>320</v>
          </cell>
          <cell r="F275" t="str">
            <v>72.11871 - 4</v>
          </cell>
          <cell r="G275"/>
          <cell r="H275"/>
          <cell r="K275"/>
        </row>
        <row r="276">
          <cell r="B276">
            <v>147.5</v>
          </cell>
          <cell r="C276">
            <v>320</v>
          </cell>
          <cell r="D276">
            <v>285</v>
          </cell>
          <cell r="E276">
            <v>320</v>
          </cell>
          <cell r="F276" t="str">
            <v>72.11871 - 4</v>
          </cell>
          <cell r="G276"/>
          <cell r="H276"/>
          <cell r="K276"/>
        </row>
        <row r="277">
          <cell r="B277">
            <v>147.5</v>
          </cell>
          <cell r="C277">
            <v>317</v>
          </cell>
          <cell r="D277">
            <v>285</v>
          </cell>
          <cell r="E277">
            <v>320</v>
          </cell>
          <cell r="F277" t="str">
            <v>72.11871 - 4</v>
          </cell>
          <cell r="G277"/>
          <cell r="H277"/>
          <cell r="K277"/>
        </row>
        <row r="278">
          <cell r="B278">
            <v>147.5</v>
          </cell>
          <cell r="C278">
            <v>263</v>
          </cell>
          <cell r="D278">
            <v>285</v>
          </cell>
          <cell r="E278">
            <v>320</v>
          </cell>
          <cell r="F278" t="str">
            <v>72.11870 - 4</v>
          </cell>
          <cell r="G278"/>
          <cell r="H278"/>
          <cell r="K278"/>
        </row>
        <row r="279">
          <cell r="B279">
            <v>147.5</v>
          </cell>
          <cell r="C279">
            <v>267</v>
          </cell>
          <cell r="D279">
            <v>285</v>
          </cell>
          <cell r="E279">
            <v>320</v>
          </cell>
          <cell r="F279" t="str">
            <v>72.11870 - 4</v>
          </cell>
          <cell r="G279"/>
          <cell r="H279"/>
          <cell r="K279"/>
        </row>
        <row r="280">
          <cell r="B280">
            <v>147.5</v>
          </cell>
          <cell r="C280">
            <v>318</v>
          </cell>
          <cell r="D280">
            <v>285</v>
          </cell>
          <cell r="E280">
            <v>320</v>
          </cell>
          <cell r="F280" t="str">
            <v>72.11871 - 4</v>
          </cell>
          <cell r="G280"/>
          <cell r="H280"/>
          <cell r="K280"/>
        </row>
        <row r="281">
          <cell r="B281">
            <v>147.5</v>
          </cell>
          <cell r="C281">
            <v>375</v>
          </cell>
          <cell r="D281">
            <v>285</v>
          </cell>
          <cell r="E281">
            <v>320</v>
          </cell>
          <cell r="F281" t="str">
            <v>72.42461 - 4</v>
          </cell>
          <cell r="G281"/>
          <cell r="H281"/>
          <cell r="K281"/>
        </row>
        <row r="282">
          <cell r="B282">
            <v>147.5</v>
          </cell>
          <cell r="C282">
            <v>265</v>
          </cell>
          <cell r="D282">
            <v>285</v>
          </cell>
          <cell r="E282">
            <v>320</v>
          </cell>
          <cell r="F282" t="str">
            <v>72.11870 - 4</v>
          </cell>
          <cell r="G282"/>
          <cell r="H282"/>
          <cell r="K282"/>
        </row>
        <row r="283">
          <cell r="B283">
            <v>147.5</v>
          </cell>
          <cell r="C283">
            <v>263</v>
          </cell>
          <cell r="D283">
            <v>285</v>
          </cell>
          <cell r="E283">
            <v>320</v>
          </cell>
          <cell r="F283" t="str">
            <v>72.11870 - 4</v>
          </cell>
          <cell r="G283"/>
          <cell r="H283"/>
          <cell r="K283"/>
        </row>
        <row r="284">
          <cell r="B284">
            <v>150</v>
          </cell>
          <cell r="C284">
            <v>315</v>
          </cell>
          <cell r="D284">
            <v>285</v>
          </cell>
          <cell r="E284">
            <v>320</v>
          </cell>
          <cell r="F284" t="str">
            <v>72.11871 - 5</v>
          </cell>
          <cell r="G284">
            <v>7260006</v>
          </cell>
          <cell r="H284"/>
          <cell r="K284"/>
        </row>
        <row r="285">
          <cell r="B285">
            <v>150</v>
          </cell>
          <cell r="C285">
            <v>320</v>
          </cell>
          <cell r="D285">
            <v>285</v>
          </cell>
          <cell r="E285">
            <v>320</v>
          </cell>
          <cell r="F285" t="str">
            <v>72.11871 - 5</v>
          </cell>
          <cell r="G285">
            <v>7260006</v>
          </cell>
          <cell r="H285"/>
          <cell r="K285"/>
        </row>
        <row r="286">
          <cell r="B286">
            <v>150</v>
          </cell>
          <cell r="C286">
            <v>250</v>
          </cell>
          <cell r="D286">
            <v>285</v>
          </cell>
          <cell r="E286">
            <v>320</v>
          </cell>
          <cell r="F286" t="str">
            <v>72.11870 - 5</v>
          </cell>
          <cell r="G286"/>
          <cell r="H286"/>
          <cell r="K286"/>
        </row>
        <row r="287">
          <cell r="B287">
            <v>150</v>
          </cell>
          <cell r="C287">
            <v>264</v>
          </cell>
          <cell r="D287">
            <v>285</v>
          </cell>
          <cell r="E287">
            <v>320</v>
          </cell>
          <cell r="F287" t="str">
            <v>72.11870 - 5</v>
          </cell>
          <cell r="G287"/>
          <cell r="H287"/>
          <cell r="K287"/>
        </row>
        <row r="288">
          <cell r="B288">
            <v>150</v>
          </cell>
          <cell r="C288">
            <v>320</v>
          </cell>
          <cell r="D288">
            <v>285</v>
          </cell>
          <cell r="E288">
            <v>320</v>
          </cell>
          <cell r="F288" t="str">
            <v>72.11871 - 5</v>
          </cell>
          <cell r="G288">
            <v>7260006</v>
          </cell>
          <cell r="H288"/>
          <cell r="K288"/>
        </row>
        <row r="289">
          <cell r="B289">
            <v>150</v>
          </cell>
          <cell r="C289">
            <v>263</v>
          </cell>
          <cell r="D289">
            <v>285</v>
          </cell>
          <cell r="E289">
            <v>320</v>
          </cell>
          <cell r="F289" t="str">
            <v>72.11870 - 5</v>
          </cell>
          <cell r="G289"/>
          <cell r="H289"/>
          <cell r="K289"/>
        </row>
        <row r="290">
          <cell r="B290">
            <v>150</v>
          </cell>
          <cell r="C290">
            <v>265</v>
          </cell>
          <cell r="D290">
            <v>285</v>
          </cell>
          <cell r="E290">
            <v>320</v>
          </cell>
          <cell r="F290" t="str">
            <v>72.11870 - 5</v>
          </cell>
          <cell r="G290"/>
          <cell r="H290"/>
          <cell r="K290"/>
        </row>
        <row r="291">
          <cell r="B291">
            <v>150</v>
          </cell>
          <cell r="C291">
            <v>262</v>
          </cell>
          <cell r="D291">
            <v>285</v>
          </cell>
          <cell r="E291">
            <v>320</v>
          </cell>
          <cell r="F291" t="str">
            <v>72.11870 - 5</v>
          </cell>
          <cell r="G291"/>
          <cell r="H291"/>
          <cell r="K291"/>
        </row>
        <row r="292">
          <cell r="B292">
            <v>150</v>
          </cell>
          <cell r="C292">
            <v>320</v>
          </cell>
          <cell r="D292">
            <v>285</v>
          </cell>
          <cell r="E292">
            <v>320</v>
          </cell>
          <cell r="F292" t="str">
            <v>72.11871 - 5</v>
          </cell>
          <cell r="G292">
            <v>7260006</v>
          </cell>
          <cell r="H292"/>
          <cell r="K292"/>
        </row>
        <row r="293">
          <cell r="B293">
            <v>150</v>
          </cell>
          <cell r="C293">
            <v>263</v>
          </cell>
          <cell r="D293">
            <v>285</v>
          </cell>
          <cell r="E293">
            <v>320</v>
          </cell>
          <cell r="F293" t="str">
            <v>72.11870 - 5</v>
          </cell>
          <cell r="G293"/>
          <cell r="H293"/>
          <cell r="K293"/>
        </row>
        <row r="294">
          <cell r="B294">
            <v>150</v>
          </cell>
          <cell r="C294">
            <v>265</v>
          </cell>
          <cell r="D294">
            <v>285</v>
          </cell>
          <cell r="E294">
            <v>320</v>
          </cell>
          <cell r="F294" t="str">
            <v>72.11870 - 5</v>
          </cell>
          <cell r="G294"/>
          <cell r="H294"/>
          <cell r="K294"/>
        </row>
        <row r="295">
          <cell r="B295">
            <v>155</v>
          </cell>
          <cell r="C295">
            <v>265</v>
          </cell>
          <cell r="D295">
            <v>285</v>
          </cell>
          <cell r="E295">
            <v>320</v>
          </cell>
          <cell r="F295" t="str">
            <v>72.11870 - 7</v>
          </cell>
          <cell r="G295"/>
          <cell r="H295"/>
          <cell r="K295"/>
        </row>
        <row r="296">
          <cell r="B296">
            <v>155</v>
          </cell>
          <cell r="C296">
            <v>260</v>
          </cell>
          <cell r="D296">
            <v>185</v>
          </cell>
          <cell r="E296">
            <v>320</v>
          </cell>
          <cell r="F296" t="str">
            <v>72.11870 - 7</v>
          </cell>
          <cell r="G296"/>
          <cell r="H296"/>
          <cell r="K296"/>
        </row>
        <row r="297">
          <cell r="B297">
            <v>155</v>
          </cell>
          <cell r="C297">
            <v>265</v>
          </cell>
          <cell r="D297">
            <v>285</v>
          </cell>
          <cell r="E297">
            <v>320</v>
          </cell>
          <cell r="F297" t="str">
            <v>72.11870 - 7</v>
          </cell>
          <cell r="G297"/>
          <cell r="H297"/>
          <cell r="K297"/>
        </row>
        <row r="298">
          <cell r="B298">
            <v>155</v>
          </cell>
          <cell r="C298">
            <v>265</v>
          </cell>
          <cell r="D298">
            <v>285</v>
          </cell>
          <cell r="E298">
            <v>320</v>
          </cell>
          <cell r="F298" t="str">
            <v>72.11870 - 7</v>
          </cell>
          <cell r="G298"/>
          <cell r="H298"/>
          <cell r="K298"/>
        </row>
        <row r="299">
          <cell r="B299">
            <v>155</v>
          </cell>
          <cell r="C299">
            <v>260</v>
          </cell>
          <cell r="D299">
            <v>285</v>
          </cell>
          <cell r="E299">
            <v>320</v>
          </cell>
          <cell r="F299" t="str">
            <v>72.11870 - 7</v>
          </cell>
          <cell r="G299"/>
          <cell r="H299"/>
          <cell r="K299"/>
        </row>
        <row r="300">
          <cell r="B300">
            <v>155</v>
          </cell>
          <cell r="C300">
            <v>265</v>
          </cell>
          <cell r="D300">
            <v>285</v>
          </cell>
          <cell r="E300">
            <v>320</v>
          </cell>
          <cell r="F300" t="str">
            <v>72.11870 - 7</v>
          </cell>
          <cell r="G300"/>
          <cell r="H300"/>
          <cell r="K300"/>
        </row>
        <row r="301">
          <cell r="B301">
            <v>155</v>
          </cell>
          <cell r="C301">
            <v>265</v>
          </cell>
          <cell r="D301">
            <v>285</v>
          </cell>
          <cell r="E301">
            <v>320</v>
          </cell>
          <cell r="F301" t="str">
            <v>72.11870 - 7</v>
          </cell>
          <cell r="G301"/>
          <cell r="H301"/>
          <cell r="K301"/>
        </row>
        <row r="302">
          <cell r="B302">
            <v>155</v>
          </cell>
          <cell r="C302">
            <v>265</v>
          </cell>
          <cell r="D302">
            <v>285</v>
          </cell>
          <cell r="E302">
            <v>320</v>
          </cell>
          <cell r="F302" t="str">
            <v>72.11870 - 7</v>
          </cell>
          <cell r="G302"/>
          <cell r="H302"/>
          <cell r="K302"/>
        </row>
        <row r="303">
          <cell r="B303">
            <v>155</v>
          </cell>
          <cell r="C303">
            <v>264</v>
          </cell>
          <cell r="D303">
            <v>285</v>
          </cell>
          <cell r="E303">
            <v>320</v>
          </cell>
          <cell r="F303" t="str">
            <v>72.11870 - 7</v>
          </cell>
          <cell r="G303"/>
          <cell r="H303"/>
          <cell r="K303"/>
        </row>
        <row r="304">
          <cell r="B304">
            <v>157.5</v>
          </cell>
          <cell r="C304">
            <v>260</v>
          </cell>
          <cell r="D304">
            <v>285</v>
          </cell>
          <cell r="E304">
            <v>320</v>
          </cell>
          <cell r="F304" t="str">
            <v>72.11870 - 8</v>
          </cell>
          <cell r="G304"/>
          <cell r="H304"/>
          <cell r="K304"/>
        </row>
        <row r="305">
          <cell r="B305">
            <v>157.5</v>
          </cell>
          <cell r="C305">
            <v>263</v>
          </cell>
          <cell r="D305">
            <v>285</v>
          </cell>
          <cell r="E305">
            <v>320</v>
          </cell>
          <cell r="F305" t="str">
            <v>72.11870 - 8</v>
          </cell>
          <cell r="G305"/>
          <cell r="H305"/>
          <cell r="K305"/>
        </row>
        <row r="306">
          <cell r="B306">
            <v>157.5</v>
          </cell>
          <cell r="C306">
            <v>265</v>
          </cell>
          <cell r="D306">
            <v>285</v>
          </cell>
          <cell r="E306">
            <v>320</v>
          </cell>
          <cell r="F306" t="str">
            <v>72.11870 - 8</v>
          </cell>
          <cell r="G306"/>
          <cell r="H306"/>
          <cell r="K306"/>
        </row>
        <row r="307">
          <cell r="B307">
            <v>160</v>
          </cell>
          <cell r="C307">
            <v>265</v>
          </cell>
          <cell r="D307">
            <v>285</v>
          </cell>
          <cell r="E307">
            <v>320</v>
          </cell>
          <cell r="F307" t="str">
            <v>72.11870 - 9</v>
          </cell>
          <cell r="G307"/>
          <cell r="H307"/>
          <cell r="K307"/>
        </row>
        <row r="308">
          <cell r="B308">
            <v>160</v>
          </cell>
          <cell r="C308">
            <v>265</v>
          </cell>
          <cell r="D308">
            <v>285</v>
          </cell>
          <cell r="E308">
            <v>320</v>
          </cell>
          <cell r="F308" t="str">
            <v>72.11870 - 9</v>
          </cell>
          <cell r="G308"/>
          <cell r="H308"/>
          <cell r="K308"/>
        </row>
        <row r="309">
          <cell r="B309">
            <v>160</v>
          </cell>
          <cell r="C309">
            <v>256</v>
          </cell>
          <cell r="D309">
            <v>285</v>
          </cell>
          <cell r="E309">
            <v>320</v>
          </cell>
          <cell r="F309" t="str">
            <v>72.11870 - 9</v>
          </cell>
          <cell r="G309"/>
          <cell r="H309"/>
          <cell r="K309"/>
        </row>
        <row r="310">
          <cell r="B310">
            <v>160</v>
          </cell>
          <cell r="C310">
            <v>260</v>
          </cell>
          <cell r="D310">
            <v>285</v>
          </cell>
          <cell r="E310">
            <v>320</v>
          </cell>
          <cell r="F310" t="str">
            <v>72.11870 - 9</v>
          </cell>
          <cell r="G310"/>
          <cell r="H310"/>
          <cell r="K310"/>
        </row>
        <row r="311">
          <cell r="B311">
            <v>160</v>
          </cell>
          <cell r="C311">
            <v>380</v>
          </cell>
          <cell r="D311">
            <v>285</v>
          </cell>
          <cell r="E311">
            <v>320</v>
          </cell>
          <cell r="F311" t="str">
            <v>72.42461 - 9</v>
          </cell>
          <cell r="G311"/>
          <cell r="H311"/>
          <cell r="K311"/>
        </row>
        <row r="312">
          <cell r="B312">
            <v>160</v>
          </cell>
          <cell r="C312">
            <v>380</v>
          </cell>
          <cell r="D312">
            <v>285</v>
          </cell>
          <cell r="E312">
            <v>320</v>
          </cell>
          <cell r="F312" t="str">
            <v>72.42461 - 9</v>
          </cell>
          <cell r="G312"/>
          <cell r="H312"/>
          <cell r="K312"/>
        </row>
        <row r="313">
          <cell r="B313">
            <v>162.5</v>
          </cell>
          <cell r="C313">
            <v>265</v>
          </cell>
          <cell r="D313">
            <v>285</v>
          </cell>
          <cell r="E313">
            <v>320</v>
          </cell>
          <cell r="F313" t="str">
            <v>72.11870 - 10</v>
          </cell>
          <cell r="G313"/>
          <cell r="H313"/>
          <cell r="K313"/>
        </row>
        <row r="314">
          <cell r="B314">
            <v>162.5</v>
          </cell>
          <cell r="C314">
            <v>318</v>
          </cell>
          <cell r="D314">
            <v>285</v>
          </cell>
          <cell r="E314">
            <v>320</v>
          </cell>
          <cell r="F314" t="str">
            <v>72.11871 - 10</v>
          </cell>
          <cell r="G314"/>
          <cell r="H314"/>
          <cell r="K314"/>
        </row>
        <row r="315">
          <cell r="B315">
            <v>162.5</v>
          </cell>
          <cell r="C315">
            <v>260</v>
          </cell>
          <cell r="D315">
            <v>285</v>
          </cell>
          <cell r="E315">
            <v>320</v>
          </cell>
          <cell r="F315" t="str">
            <v>72.11870 - 10</v>
          </cell>
          <cell r="G315"/>
          <cell r="H315"/>
          <cell r="K315"/>
        </row>
        <row r="316">
          <cell r="B316">
            <v>162.5</v>
          </cell>
          <cell r="C316">
            <v>265</v>
          </cell>
          <cell r="D316">
            <v>285</v>
          </cell>
          <cell r="E316">
            <v>320</v>
          </cell>
          <cell r="F316" t="str">
            <v>72.11870 - 10</v>
          </cell>
          <cell r="G316"/>
          <cell r="H316"/>
          <cell r="K316"/>
        </row>
        <row r="317">
          <cell r="B317">
            <v>162.5</v>
          </cell>
          <cell r="C317">
            <v>275</v>
          </cell>
          <cell r="D317">
            <v>285</v>
          </cell>
          <cell r="E317">
            <v>320</v>
          </cell>
          <cell r="F317" t="str">
            <v>72.11870 - 10</v>
          </cell>
          <cell r="G317"/>
          <cell r="H317"/>
          <cell r="K317"/>
        </row>
        <row r="318">
          <cell r="B318">
            <v>165</v>
          </cell>
          <cell r="C318">
            <v>265</v>
          </cell>
          <cell r="D318">
            <v>285</v>
          </cell>
          <cell r="E318">
            <v>320</v>
          </cell>
          <cell r="F318" t="str">
            <v>72.11870 - 11</v>
          </cell>
          <cell r="G318"/>
          <cell r="H318"/>
          <cell r="K318"/>
        </row>
        <row r="319">
          <cell r="B319">
            <v>165</v>
          </cell>
          <cell r="C319">
            <v>260</v>
          </cell>
          <cell r="D319">
            <v>285</v>
          </cell>
          <cell r="E319">
            <v>320</v>
          </cell>
          <cell r="F319" t="str">
            <v>72.11870 - 11</v>
          </cell>
          <cell r="G319"/>
          <cell r="H319"/>
          <cell r="K319"/>
        </row>
        <row r="320">
          <cell r="B320">
            <v>165</v>
          </cell>
          <cell r="C320">
            <v>320</v>
          </cell>
          <cell r="D320">
            <v>285</v>
          </cell>
          <cell r="E320">
            <v>320</v>
          </cell>
          <cell r="F320" t="str">
            <v>72.11871 - 11</v>
          </cell>
          <cell r="G320"/>
          <cell r="H320"/>
          <cell r="K320"/>
        </row>
        <row r="321">
          <cell r="B321">
            <v>165</v>
          </cell>
          <cell r="C321">
            <v>265</v>
          </cell>
          <cell r="D321">
            <v>285</v>
          </cell>
          <cell r="E321">
            <v>320</v>
          </cell>
          <cell r="F321" t="str">
            <v>72.11870 - 11</v>
          </cell>
          <cell r="G321"/>
          <cell r="H321"/>
          <cell r="K321"/>
        </row>
        <row r="322">
          <cell r="B322">
            <v>165</v>
          </cell>
          <cell r="C322">
            <v>265</v>
          </cell>
          <cell r="D322">
            <v>285</v>
          </cell>
          <cell r="E322">
            <v>320</v>
          </cell>
          <cell r="F322" t="str">
            <v>72.11870 - 11</v>
          </cell>
          <cell r="G322"/>
          <cell r="H322"/>
          <cell r="K322"/>
        </row>
        <row r="323">
          <cell r="B323">
            <v>165</v>
          </cell>
          <cell r="C323">
            <v>263</v>
          </cell>
          <cell r="D323">
            <v>285</v>
          </cell>
          <cell r="E323">
            <v>320</v>
          </cell>
          <cell r="F323" t="str">
            <v>72.11870 - 11</v>
          </cell>
          <cell r="G323"/>
          <cell r="H323"/>
          <cell r="K323"/>
        </row>
        <row r="324">
          <cell r="B324">
            <v>167.5</v>
          </cell>
          <cell r="C324">
            <v>262</v>
          </cell>
          <cell r="D324">
            <v>285</v>
          </cell>
          <cell r="E324">
            <v>320</v>
          </cell>
          <cell r="F324" t="str">
            <v>72.11870 - 12</v>
          </cell>
          <cell r="G324"/>
          <cell r="H324"/>
          <cell r="K324"/>
        </row>
        <row r="325">
          <cell r="B325">
            <v>167.5</v>
          </cell>
          <cell r="C325">
            <v>263</v>
          </cell>
          <cell r="D325">
            <v>285</v>
          </cell>
          <cell r="E325">
            <v>320</v>
          </cell>
          <cell r="F325" t="str">
            <v>72.11870 - 12</v>
          </cell>
          <cell r="G325"/>
          <cell r="H325"/>
          <cell r="K325"/>
        </row>
        <row r="326">
          <cell r="B326">
            <v>167.5</v>
          </cell>
          <cell r="C326">
            <v>263</v>
          </cell>
          <cell r="D326">
            <v>285</v>
          </cell>
          <cell r="E326">
            <v>320</v>
          </cell>
          <cell r="F326" t="str">
            <v>72.11870 - 12</v>
          </cell>
          <cell r="G326"/>
          <cell r="H326"/>
          <cell r="K326"/>
        </row>
        <row r="327">
          <cell r="B327">
            <v>167.5</v>
          </cell>
          <cell r="C327">
            <v>265</v>
          </cell>
          <cell r="D327">
            <v>285</v>
          </cell>
          <cell r="E327">
            <v>320</v>
          </cell>
          <cell r="F327" t="str">
            <v>72.11870 - 12</v>
          </cell>
          <cell r="G327"/>
          <cell r="H327"/>
          <cell r="K327"/>
        </row>
        <row r="328">
          <cell r="B328">
            <v>167.5</v>
          </cell>
          <cell r="C328">
            <v>255</v>
          </cell>
          <cell r="D328">
            <v>285</v>
          </cell>
          <cell r="E328">
            <v>320</v>
          </cell>
          <cell r="F328" t="str">
            <v>72.11870 - 12</v>
          </cell>
          <cell r="G328"/>
          <cell r="H328"/>
          <cell r="K328"/>
        </row>
        <row r="329">
          <cell r="B329">
            <v>167.5</v>
          </cell>
          <cell r="C329">
            <v>262</v>
          </cell>
          <cell r="D329">
            <v>285</v>
          </cell>
          <cell r="E329">
            <v>320</v>
          </cell>
          <cell r="F329" t="str">
            <v>72.11870 - 12</v>
          </cell>
          <cell r="G329"/>
          <cell r="H329"/>
          <cell r="K329"/>
        </row>
        <row r="330">
          <cell r="B330">
            <v>167.5</v>
          </cell>
          <cell r="C330">
            <v>262</v>
          </cell>
          <cell r="D330">
            <v>285</v>
          </cell>
          <cell r="E330">
            <v>320</v>
          </cell>
          <cell r="F330" t="str">
            <v>72.11870 - 12</v>
          </cell>
          <cell r="G330"/>
          <cell r="H330"/>
          <cell r="K330"/>
        </row>
        <row r="331">
          <cell r="B331">
            <v>167.5</v>
          </cell>
          <cell r="C331">
            <v>260</v>
          </cell>
          <cell r="D331">
            <v>285</v>
          </cell>
          <cell r="E331">
            <v>320</v>
          </cell>
          <cell r="F331" t="str">
            <v>72.11870 - 12</v>
          </cell>
          <cell r="G331"/>
          <cell r="H331"/>
          <cell r="K331"/>
        </row>
        <row r="332">
          <cell r="B332">
            <v>170</v>
          </cell>
          <cell r="C332">
            <v>265</v>
          </cell>
          <cell r="D332">
            <v>285</v>
          </cell>
          <cell r="E332">
            <v>320</v>
          </cell>
          <cell r="F332" t="str">
            <v>72.11870 - 13</v>
          </cell>
          <cell r="G332"/>
          <cell r="H332"/>
          <cell r="K332"/>
        </row>
        <row r="333">
          <cell r="B333">
            <v>170</v>
          </cell>
          <cell r="C333">
            <v>320</v>
          </cell>
          <cell r="D333">
            <v>285</v>
          </cell>
          <cell r="E333">
            <v>320</v>
          </cell>
          <cell r="F333" t="str">
            <v>72.11871 - 13</v>
          </cell>
          <cell r="G333"/>
          <cell r="H333"/>
          <cell r="K333"/>
        </row>
        <row r="334">
          <cell r="B334">
            <v>170</v>
          </cell>
          <cell r="C334">
            <v>265</v>
          </cell>
          <cell r="D334">
            <v>285</v>
          </cell>
          <cell r="E334">
            <v>320</v>
          </cell>
          <cell r="F334" t="str">
            <v>72.11870 - 13</v>
          </cell>
          <cell r="G334"/>
          <cell r="H334"/>
          <cell r="K334"/>
        </row>
        <row r="335">
          <cell r="B335">
            <v>170</v>
          </cell>
          <cell r="C335">
            <v>377</v>
          </cell>
          <cell r="D335">
            <v>285</v>
          </cell>
          <cell r="E335">
            <v>320</v>
          </cell>
          <cell r="F335" t="str">
            <v>72.42461 - 13</v>
          </cell>
          <cell r="G335"/>
          <cell r="H335"/>
          <cell r="K335"/>
        </row>
        <row r="336">
          <cell r="B336">
            <v>170</v>
          </cell>
          <cell r="C336">
            <v>265</v>
          </cell>
          <cell r="D336">
            <v>285</v>
          </cell>
          <cell r="E336">
            <v>320</v>
          </cell>
          <cell r="F336" t="str">
            <v>72.11870 - 13</v>
          </cell>
          <cell r="G336"/>
          <cell r="H336"/>
          <cell r="K336"/>
        </row>
        <row r="337">
          <cell r="B337">
            <v>170</v>
          </cell>
          <cell r="C337">
            <v>317</v>
          </cell>
          <cell r="D337">
            <v>285</v>
          </cell>
          <cell r="E337">
            <v>320</v>
          </cell>
          <cell r="F337" t="str">
            <v>72.11871 - 13</v>
          </cell>
          <cell r="G337"/>
          <cell r="H337"/>
          <cell r="K337"/>
        </row>
        <row r="338">
          <cell r="B338">
            <v>170</v>
          </cell>
          <cell r="C338">
            <v>320</v>
          </cell>
          <cell r="D338">
            <v>285</v>
          </cell>
          <cell r="E338">
            <v>320</v>
          </cell>
          <cell r="F338" t="str">
            <v>72.11871 - 13</v>
          </cell>
          <cell r="G338"/>
          <cell r="H338"/>
          <cell r="K338"/>
        </row>
        <row r="339">
          <cell r="B339">
            <v>170</v>
          </cell>
          <cell r="C339">
            <v>260</v>
          </cell>
          <cell r="D339">
            <v>285</v>
          </cell>
          <cell r="E339">
            <v>320</v>
          </cell>
          <cell r="F339" t="str">
            <v>72.11870 - 13</v>
          </cell>
          <cell r="G339"/>
          <cell r="H339"/>
          <cell r="K339"/>
        </row>
        <row r="340">
          <cell r="B340">
            <v>172.5</v>
          </cell>
          <cell r="C340">
            <v>265</v>
          </cell>
          <cell r="D340">
            <v>285</v>
          </cell>
          <cell r="E340">
            <v>320</v>
          </cell>
          <cell r="F340" t="str">
            <v>72.11870 - 14</v>
          </cell>
          <cell r="G340"/>
          <cell r="H340"/>
          <cell r="K340"/>
        </row>
        <row r="341">
          <cell r="B341">
            <v>172.5</v>
          </cell>
          <cell r="C341">
            <v>278</v>
          </cell>
          <cell r="D341">
            <v>285</v>
          </cell>
          <cell r="E341">
            <v>320</v>
          </cell>
          <cell r="F341" t="str">
            <v>72.11870 - 14</v>
          </cell>
          <cell r="G341"/>
          <cell r="H341"/>
          <cell r="K341"/>
        </row>
        <row r="342">
          <cell r="B342">
            <v>172.5</v>
          </cell>
          <cell r="C342">
            <v>377</v>
          </cell>
          <cell r="D342">
            <v>285</v>
          </cell>
          <cell r="E342">
            <v>320</v>
          </cell>
          <cell r="F342" t="str">
            <v>72.42461 - 14</v>
          </cell>
          <cell r="G342">
            <v>7260007</v>
          </cell>
          <cell r="H342"/>
          <cell r="K342"/>
        </row>
        <row r="343">
          <cell r="B343">
            <v>172.5</v>
          </cell>
          <cell r="C343">
            <v>265</v>
          </cell>
          <cell r="D343">
            <v>285</v>
          </cell>
          <cell r="E343">
            <v>320</v>
          </cell>
          <cell r="F343" t="str">
            <v>72.11870 - 14</v>
          </cell>
          <cell r="G343"/>
          <cell r="H343"/>
          <cell r="K343"/>
        </row>
        <row r="344">
          <cell r="B344">
            <v>175</v>
          </cell>
          <cell r="C344">
            <v>260</v>
          </cell>
          <cell r="D344">
            <v>285</v>
          </cell>
          <cell r="E344">
            <v>320</v>
          </cell>
          <cell r="F344" t="str">
            <v>72.11870 - 15</v>
          </cell>
          <cell r="G344"/>
          <cell r="H344"/>
          <cell r="K344"/>
        </row>
        <row r="345">
          <cell r="B345">
            <v>175</v>
          </cell>
          <cell r="C345">
            <v>265</v>
          </cell>
          <cell r="D345">
            <v>285</v>
          </cell>
          <cell r="E345">
            <v>320</v>
          </cell>
          <cell r="F345" t="str">
            <v>72.11870 - 15</v>
          </cell>
          <cell r="G345"/>
          <cell r="H345"/>
          <cell r="K345"/>
        </row>
        <row r="346">
          <cell r="B346">
            <v>175</v>
          </cell>
          <cell r="C346">
            <v>260</v>
          </cell>
          <cell r="D346">
            <v>360</v>
          </cell>
          <cell r="E346">
            <v>320</v>
          </cell>
          <cell r="F346" t="str">
            <v>72.11870 - 15</v>
          </cell>
          <cell r="G346"/>
          <cell r="H346"/>
          <cell r="K346"/>
        </row>
        <row r="347">
          <cell r="B347">
            <v>175</v>
          </cell>
          <cell r="C347">
            <v>260</v>
          </cell>
          <cell r="D347">
            <v>285</v>
          </cell>
          <cell r="E347">
            <v>320</v>
          </cell>
          <cell r="F347" t="str">
            <v>72.11870 - 15</v>
          </cell>
          <cell r="G347"/>
          <cell r="H347"/>
          <cell r="K347"/>
        </row>
        <row r="348">
          <cell r="B348">
            <v>175</v>
          </cell>
          <cell r="C348">
            <v>317</v>
          </cell>
          <cell r="D348">
            <v>285</v>
          </cell>
          <cell r="E348">
            <v>320</v>
          </cell>
          <cell r="F348" t="str">
            <v>72.11871 - 15</v>
          </cell>
          <cell r="G348">
            <v>7260008</v>
          </cell>
          <cell r="H348"/>
          <cell r="K348"/>
        </row>
        <row r="349">
          <cell r="B349">
            <v>175</v>
          </cell>
          <cell r="C349">
            <v>262</v>
          </cell>
          <cell r="D349">
            <v>285</v>
          </cell>
          <cell r="E349">
            <v>320</v>
          </cell>
          <cell r="F349" t="str">
            <v>72.11870 - 15</v>
          </cell>
          <cell r="G349"/>
          <cell r="H349"/>
          <cell r="K349"/>
        </row>
        <row r="350">
          <cell r="B350">
            <v>175</v>
          </cell>
          <cell r="C350">
            <v>265</v>
          </cell>
          <cell r="D350">
            <v>285</v>
          </cell>
          <cell r="E350">
            <v>320</v>
          </cell>
          <cell r="F350" t="str">
            <v>72.11870 - 15</v>
          </cell>
          <cell r="G350"/>
          <cell r="H350"/>
          <cell r="K350"/>
        </row>
        <row r="351">
          <cell r="B351">
            <v>175</v>
          </cell>
          <cell r="C351">
            <v>320</v>
          </cell>
          <cell r="D351">
            <v>285</v>
          </cell>
          <cell r="E351">
            <v>320</v>
          </cell>
          <cell r="F351" t="str">
            <v>72.11871 - 15</v>
          </cell>
          <cell r="G351">
            <v>7260008</v>
          </cell>
          <cell r="H351"/>
          <cell r="K351"/>
        </row>
        <row r="352">
          <cell r="B352">
            <v>175</v>
          </cell>
          <cell r="C352">
            <v>265</v>
          </cell>
          <cell r="D352">
            <v>285</v>
          </cell>
          <cell r="E352">
            <v>320</v>
          </cell>
          <cell r="F352" t="str">
            <v>72.11870 - 15</v>
          </cell>
          <cell r="G352"/>
          <cell r="H352"/>
          <cell r="K352"/>
        </row>
        <row r="353">
          <cell r="B353">
            <v>175</v>
          </cell>
          <cell r="C353">
            <v>265</v>
          </cell>
          <cell r="D353">
            <v>285</v>
          </cell>
          <cell r="E353">
            <v>320</v>
          </cell>
          <cell r="F353" t="str">
            <v>72.11870 - 15</v>
          </cell>
          <cell r="G353"/>
          <cell r="H353"/>
          <cell r="K353"/>
        </row>
        <row r="354">
          <cell r="B354">
            <v>177.5</v>
          </cell>
          <cell r="C354">
            <v>265</v>
          </cell>
          <cell r="D354">
            <v>285</v>
          </cell>
          <cell r="E354">
            <v>320</v>
          </cell>
          <cell r="F354" t="str">
            <v>72.11870 - 16</v>
          </cell>
          <cell r="G354"/>
          <cell r="H354"/>
          <cell r="K354"/>
        </row>
        <row r="355">
          <cell r="B355">
            <v>177.5</v>
          </cell>
          <cell r="C355">
            <v>315</v>
          </cell>
          <cell r="D355">
            <v>285</v>
          </cell>
          <cell r="E355">
            <v>320</v>
          </cell>
          <cell r="F355" t="str">
            <v>72.11871 - 16</v>
          </cell>
          <cell r="G355">
            <v>7260009</v>
          </cell>
          <cell r="H355"/>
          <cell r="K355"/>
        </row>
        <row r="356">
          <cell r="B356">
            <v>177.5</v>
          </cell>
          <cell r="C356">
            <v>265</v>
          </cell>
          <cell r="D356">
            <v>285</v>
          </cell>
          <cell r="E356">
            <v>320</v>
          </cell>
          <cell r="F356" t="str">
            <v>72.11870 - 16</v>
          </cell>
          <cell r="G356"/>
          <cell r="H356"/>
          <cell r="K356"/>
        </row>
        <row r="357">
          <cell r="B357">
            <v>177.5</v>
          </cell>
          <cell r="C357">
            <v>265</v>
          </cell>
          <cell r="D357">
            <v>285</v>
          </cell>
          <cell r="E357">
            <v>320</v>
          </cell>
          <cell r="F357" t="str">
            <v>72.11870 - 16</v>
          </cell>
          <cell r="G357"/>
          <cell r="H357"/>
          <cell r="K357"/>
        </row>
        <row r="358">
          <cell r="B358">
            <v>177.5</v>
          </cell>
          <cell r="C358">
            <v>260</v>
          </cell>
          <cell r="D358">
            <v>285</v>
          </cell>
          <cell r="E358">
            <v>320</v>
          </cell>
          <cell r="F358" t="str">
            <v>72.11870 - 16</v>
          </cell>
          <cell r="G358"/>
          <cell r="H358"/>
          <cell r="K358"/>
        </row>
        <row r="359">
          <cell r="B359">
            <v>177.5</v>
          </cell>
          <cell r="C359">
            <v>262</v>
          </cell>
          <cell r="D359">
            <v>285</v>
          </cell>
          <cell r="E359">
            <v>320</v>
          </cell>
          <cell r="F359" t="str">
            <v>72.11870 - 16</v>
          </cell>
          <cell r="G359"/>
          <cell r="H359"/>
          <cell r="K359"/>
        </row>
        <row r="360">
          <cell r="B360">
            <v>177.5</v>
          </cell>
          <cell r="C360">
            <v>265</v>
          </cell>
          <cell r="D360">
            <v>285</v>
          </cell>
          <cell r="E360">
            <v>320</v>
          </cell>
          <cell r="F360" t="str">
            <v>72.11870 - 16</v>
          </cell>
          <cell r="G360"/>
          <cell r="H360"/>
          <cell r="K360"/>
        </row>
        <row r="361">
          <cell r="B361">
            <v>177.5</v>
          </cell>
          <cell r="C361">
            <v>263</v>
          </cell>
          <cell r="D361">
            <v>285</v>
          </cell>
          <cell r="E361">
            <v>320</v>
          </cell>
          <cell r="F361" t="str">
            <v>72.11870 - 16</v>
          </cell>
          <cell r="G361"/>
          <cell r="H361"/>
          <cell r="K361"/>
        </row>
        <row r="362">
          <cell r="B362">
            <v>177.5</v>
          </cell>
          <cell r="C362">
            <v>263</v>
          </cell>
          <cell r="D362">
            <v>285</v>
          </cell>
          <cell r="E362">
            <v>320</v>
          </cell>
          <cell r="F362" t="str">
            <v>72.11870 - 16</v>
          </cell>
          <cell r="G362"/>
          <cell r="H362"/>
          <cell r="K362"/>
        </row>
        <row r="363">
          <cell r="B363">
            <v>180</v>
          </cell>
          <cell r="C363">
            <v>265</v>
          </cell>
          <cell r="D363">
            <v>285</v>
          </cell>
          <cell r="E363">
            <v>320</v>
          </cell>
          <cell r="F363" t="str">
            <v>72.11870 - 17</v>
          </cell>
          <cell r="G363"/>
          <cell r="H363"/>
          <cell r="K363"/>
        </row>
        <row r="364">
          <cell r="B364">
            <v>180</v>
          </cell>
          <cell r="C364">
            <v>265</v>
          </cell>
          <cell r="D364">
            <v>285</v>
          </cell>
          <cell r="E364">
            <v>320</v>
          </cell>
          <cell r="F364" t="str">
            <v>72.11870 - 17</v>
          </cell>
          <cell r="G364"/>
          <cell r="H364"/>
          <cell r="K364"/>
        </row>
        <row r="365">
          <cell r="B365">
            <v>180</v>
          </cell>
          <cell r="C365">
            <v>260</v>
          </cell>
          <cell r="D365">
            <v>285</v>
          </cell>
          <cell r="E365">
            <v>320</v>
          </cell>
          <cell r="F365" t="str">
            <v>72.11870 - 17</v>
          </cell>
          <cell r="G365"/>
          <cell r="H365"/>
          <cell r="K365"/>
        </row>
        <row r="366">
          <cell r="B366">
            <v>180</v>
          </cell>
          <cell r="C366">
            <v>260</v>
          </cell>
          <cell r="D366">
            <v>285</v>
          </cell>
          <cell r="E366">
            <v>320</v>
          </cell>
          <cell r="F366" t="str">
            <v>72.11870 - 17</v>
          </cell>
          <cell r="G366"/>
          <cell r="H366"/>
          <cell r="K366"/>
        </row>
        <row r="367">
          <cell r="B367">
            <v>180</v>
          </cell>
          <cell r="C367">
            <v>317</v>
          </cell>
          <cell r="D367">
            <v>285</v>
          </cell>
          <cell r="E367">
            <v>320</v>
          </cell>
          <cell r="F367" t="str">
            <v>72.11871 - 17</v>
          </cell>
          <cell r="G367"/>
          <cell r="H367"/>
          <cell r="K367"/>
        </row>
        <row r="368">
          <cell r="B368">
            <v>180</v>
          </cell>
          <cell r="C368">
            <v>380</v>
          </cell>
          <cell r="D368">
            <v>285</v>
          </cell>
          <cell r="E368">
            <v>320</v>
          </cell>
          <cell r="F368" t="str">
            <v>72.42461 - 17</v>
          </cell>
          <cell r="G368"/>
          <cell r="H368"/>
          <cell r="K368"/>
        </row>
        <row r="369">
          <cell r="B369">
            <v>180</v>
          </cell>
          <cell r="C369">
            <v>315</v>
          </cell>
          <cell r="D369">
            <v>285</v>
          </cell>
          <cell r="E369">
            <v>320</v>
          </cell>
          <cell r="F369" t="str">
            <v>72.11871 - 17</v>
          </cell>
          <cell r="G369"/>
          <cell r="H369"/>
          <cell r="K369"/>
        </row>
        <row r="370">
          <cell r="B370">
            <v>180</v>
          </cell>
          <cell r="C370">
            <v>265</v>
          </cell>
          <cell r="D370">
            <v>285</v>
          </cell>
          <cell r="E370">
            <v>320</v>
          </cell>
          <cell r="F370" t="str">
            <v>72.11870 - 17</v>
          </cell>
          <cell r="G370"/>
          <cell r="H370"/>
          <cell r="K370"/>
        </row>
        <row r="371">
          <cell r="B371">
            <v>180</v>
          </cell>
          <cell r="C371">
            <v>380</v>
          </cell>
          <cell r="D371">
            <v>285</v>
          </cell>
          <cell r="E371">
            <v>320</v>
          </cell>
          <cell r="F371" t="str">
            <v>72.42461 - 17</v>
          </cell>
          <cell r="G371"/>
          <cell r="H371"/>
          <cell r="K371"/>
        </row>
        <row r="372">
          <cell r="B372">
            <v>180</v>
          </cell>
          <cell r="C372">
            <v>265</v>
          </cell>
          <cell r="D372">
            <v>285</v>
          </cell>
          <cell r="E372">
            <v>320</v>
          </cell>
          <cell r="F372" t="str">
            <v>72.11870 - 17</v>
          </cell>
          <cell r="G372"/>
          <cell r="H372"/>
          <cell r="K372"/>
        </row>
        <row r="373">
          <cell r="B373">
            <v>180</v>
          </cell>
          <cell r="C373">
            <v>265</v>
          </cell>
          <cell r="D373">
            <v>285</v>
          </cell>
          <cell r="E373">
            <v>320</v>
          </cell>
          <cell r="F373" t="str">
            <v>72.11870 - 17</v>
          </cell>
          <cell r="G373"/>
          <cell r="H373"/>
          <cell r="K373"/>
        </row>
        <row r="374">
          <cell r="B374">
            <v>180</v>
          </cell>
          <cell r="C374">
            <v>500</v>
          </cell>
          <cell r="D374">
            <v>285</v>
          </cell>
          <cell r="E374">
            <v>320</v>
          </cell>
          <cell r="F374" t="str">
            <v>72.23398 - 01</v>
          </cell>
          <cell r="G374"/>
          <cell r="H374"/>
          <cell r="K374"/>
        </row>
        <row r="375">
          <cell r="B375">
            <v>182.5</v>
          </cell>
          <cell r="C375">
            <v>262</v>
          </cell>
          <cell r="D375">
            <v>285</v>
          </cell>
          <cell r="E375">
            <v>320</v>
          </cell>
          <cell r="F375" t="str">
            <v>72.11870 - 18</v>
          </cell>
          <cell r="G375"/>
          <cell r="H375"/>
          <cell r="K375"/>
        </row>
        <row r="376">
          <cell r="B376">
            <v>182.5</v>
          </cell>
          <cell r="C376">
            <v>265</v>
          </cell>
          <cell r="D376">
            <v>285</v>
          </cell>
          <cell r="E376">
            <v>320</v>
          </cell>
          <cell r="F376" t="str">
            <v>72.11870 - 18</v>
          </cell>
          <cell r="G376"/>
          <cell r="H376"/>
          <cell r="K376"/>
        </row>
        <row r="377">
          <cell r="B377">
            <v>182.5</v>
          </cell>
          <cell r="C377">
            <v>265</v>
          </cell>
          <cell r="D377">
            <v>285</v>
          </cell>
          <cell r="E377">
            <v>320</v>
          </cell>
          <cell r="F377" t="str">
            <v>72.11870 - 18</v>
          </cell>
          <cell r="G377"/>
          <cell r="H377"/>
          <cell r="K377"/>
        </row>
        <row r="378">
          <cell r="B378">
            <v>182.5</v>
          </cell>
          <cell r="C378">
            <v>265</v>
          </cell>
          <cell r="D378">
            <v>285</v>
          </cell>
          <cell r="E378">
            <v>320</v>
          </cell>
          <cell r="F378" t="str">
            <v>72.11870 - 18</v>
          </cell>
          <cell r="G378"/>
          <cell r="H378"/>
          <cell r="K378"/>
        </row>
        <row r="379">
          <cell r="B379">
            <v>182.5</v>
          </cell>
          <cell r="C379">
            <v>265</v>
          </cell>
          <cell r="D379">
            <v>285</v>
          </cell>
          <cell r="E379">
            <v>320</v>
          </cell>
          <cell r="F379" t="str">
            <v>72.11870 - 18</v>
          </cell>
          <cell r="G379"/>
          <cell r="H379"/>
          <cell r="K379"/>
        </row>
        <row r="380">
          <cell r="B380">
            <v>182.5</v>
          </cell>
          <cell r="C380">
            <v>255</v>
          </cell>
          <cell r="D380">
            <v>285</v>
          </cell>
          <cell r="E380">
            <v>320</v>
          </cell>
          <cell r="F380" t="str">
            <v>72.11870 - 18</v>
          </cell>
          <cell r="G380"/>
          <cell r="H380"/>
          <cell r="K380"/>
        </row>
        <row r="381">
          <cell r="B381">
            <v>185</v>
          </cell>
          <cell r="C381">
            <v>260</v>
          </cell>
          <cell r="D381">
            <v>285</v>
          </cell>
          <cell r="E381">
            <v>320</v>
          </cell>
          <cell r="F381" t="str">
            <v>72.11870 - 19</v>
          </cell>
          <cell r="G381"/>
          <cell r="H381"/>
          <cell r="K381"/>
        </row>
        <row r="382">
          <cell r="B382">
            <v>185</v>
          </cell>
          <cell r="C382">
            <v>265</v>
          </cell>
          <cell r="D382">
            <v>285</v>
          </cell>
          <cell r="E382">
            <v>320</v>
          </cell>
          <cell r="F382" t="str">
            <v>72.11870 - 19</v>
          </cell>
          <cell r="G382"/>
          <cell r="H382"/>
          <cell r="K382"/>
        </row>
        <row r="383">
          <cell r="B383">
            <v>185</v>
          </cell>
          <cell r="C383">
            <v>265</v>
          </cell>
          <cell r="D383">
            <v>285</v>
          </cell>
          <cell r="E383">
            <v>320</v>
          </cell>
          <cell r="F383" t="str">
            <v>72.11870 - 19</v>
          </cell>
          <cell r="G383"/>
          <cell r="H383"/>
          <cell r="K383"/>
        </row>
        <row r="384">
          <cell r="B384">
            <v>185</v>
          </cell>
          <cell r="C384">
            <v>265</v>
          </cell>
          <cell r="D384">
            <v>285</v>
          </cell>
          <cell r="E384">
            <v>320</v>
          </cell>
          <cell r="F384" t="str">
            <v>72.11870 - 19</v>
          </cell>
          <cell r="G384"/>
          <cell r="H384"/>
          <cell r="K384"/>
        </row>
        <row r="385">
          <cell r="B385">
            <v>185</v>
          </cell>
          <cell r="C385">
            <v>265</v>
          </cell>
          <cell r="D385">
            <v>285</v>
          </cell>
          <cell r="E385">
            <v>320</v>
          </cell>
          <cell r="F385" t="str">
            <v>72.11870 - 19</v>
          </cell>
          <cell r="G385"/>
          <cell r="H385"/>
          <cell r="K385"/>
        </row>
        <row r="386">
          <cell r="B386">
            <v>185</v>
          </cell>
          <cell r="C386">
            <v>265</v>
          </cell>
          <cell r="D386">
            <v>285</v>
          </cell>
          <cell r="E386">
            <v>320</v>
          </cell>
          <cell r="F386" t="str">
            <v>72.11870 - 19</v>
          </cell>
          <cell r="G386"/>
          <cell r="H386"/>
          <cell r="K386"/>
        </row>
        <row r="387">
          <cell r="B387">
            <v>185</v>
          </cell>
          <cell r="C387">
            <v>265</v>
          </cell>
          <cell r="D387">
            <v>285</v>
          </cell>
          <cell r="E387">
            <v>320</v>
          </cell>
          <cell r="F387" t="str">
            <v>72.11870 - 19</v>
          </cell>
          <cell r="G387"/>
          <cell r="H387"/>
          <cell r="K387"/>
        </row>
        <row r="388">
          <cell r="B388">
            <v>185</v>
          </cell>
          <cell r="C388">
            <v>265</v>
          </cell>
          <cell r="D388">
            <v>285</v>
          </cell>
          <cell r="E388">
            <v>320</v>
          </cell>
          <cell r="F388" t="str">
            <v>72.11870 - 19</v>
          </cell>
          <cell r="G388"/>
          <cell r="H388"/>
          <cell r="K388"/>
        </row>
        <row r="389">
          <cell r="B389">
            <v>185</v>
          </cell>
          <cell r="C389">
            <v>265</v>
          </cell>
          <cell r="D389">
            <v>285</v>
          </cell>
          <cell r="E389">
            <v>320</v>
          </cell>
          <cell r="F389" t="str">
            <v>72.11870 - 19</v>
          </cell>
          <cell r="G389"/>
          <cell r="H389"/>
          <cell r="K389"/>
        </row>
        <row r="390">
          <cell r="B390">
            <v>185</v>
          </cell>
          <cell r="C390">
            <v>265</v>
          </cell>
          <cell r="D390">
            <v>285</v>
          </cell>
          <cell r="E390">
            <v>320</v>
          </cell>
          <cell r="F390" t="str">
            <v>72.11870 - 19</v>
          </cell>
          <cell r="G390"/>
          <cell r="H390"/>
          <cell r="K390"/>
        </row>
        <row r="391">
          <cell r="B391">
            <v>185</v>
          </cell>
          <cell r="C391">
            <v>265</v>
          </cell>
          <cell r="D391">
            <v>285</v>
          </cell>
          <cell r="E391">
            <v>320</v>
          </cell>
          <cell r="F391" t="str">
            <v>72.11870 - 19</v>
          </cell>
          <cell r="G391"/>
          <cell r="H391"/>
          <cell r="K391"/>
        </row>
        <row r="392">
          <cell r="B392">
            <v>185</v>
          </cell>
          <cell r="C392">
            <v>215</v>
          </cell>
          <cell r="D392">
            <v>285</v>
          </cell>
          <cell r="E392">
            <v>320</v>
          </cell>
          <cell r="F392" t="str">
            <v>10247619 - 1</v>
          </cell>
          <cell r="G392">
            <v>7260010</v>
          </cell>
          <cell r="H392"/>
          <cell r="K392"/>
        </row>
        <row r="393">
          <cell r="B393">
            <v>185</v>
          </cell>
          <cell r="C393">
            <v>215</v>
          </cell>
          <cell r="D393">
            <v>285</v>
          </cell>
          <cell r="E393">
            <v>320</v>
          </cell>
          <cell r="F393" t="str">
            <v>10.247619 - 1</v>
          </cell>
          <cell r="G393">
            <v>7260010</v>
          </cell>
          <cell r="H393"/>
          <cell r="K393"/>
        </row>
        <row r="394">
          <cell r="B394">
            <v>185</v>
          </cell>
          <cell r="C394">
            <v>215</v>
          </cell>
          <cell r="D394">
            <v>285</v>
          </cell>
          <cell r="E394">
            <v>320</v>
          </cell>
          <cell r="F394" t="str">
            <v>10.247619 - 1</v>
          </cell>
          <cell r="G394">
            <v>7260010</v>
          </cell>
          <cell r="H394"/>
          <cell r="K394"/>
        </row>
        <row r="395">
          <cell r="B395">
            <v>185</v>
          </cell>
          <cell r="C395">
            <v>260</v>
          </cell>
          <cell r="D395">
            <v>285</v>
          </cell>
          <cell r="E395">
            <v>320</v>
          </cell>
          <cell r="F395" t="str">
            <v>72.11870 - 19</v>
          </cell>
          <cell r="G395"/>
          <cell r="H395"/>
          <cell r="K395"/>
        </row>
        <row r="396">
          <cell r="B396">
            <v>185</v>
          </cell>
          <cell r="C396">
            <v>265</v>
          </cell>
          <cell r="D396">
            <v>285</v>
          </cell>
          <cell r="E396">
            <v>320</v>
          </cell>
          <cell r="F396" t="str">
            <v>72.11870 - 19</v>
          </cell>
          <cell r="G396"/>
          <cell r="H396"/>
          <cell r="K396"/>
        </row>
        <row r="397">
          <cell r="B397">
            <v>185</v>
          </cell>
          <cell r="C397">
            <v>215</v>
          </cell>
          <cell r="D397">
            <v>285</v>
          </cell>
          <cell r="E397">
            <v>320</v>
          </cell>
          <cell r="F397" t="str">
            <v>10.247619 - 1</v>
          </cell>
          <cell r="G397">
            <v>7260011</v>
          </cell>
          <cell r="H397"/>
          <cell r="K397"/>
        </row>
        <row r="398">
          <cell r="B398">
            <v>185</v>
          </cell>
          <cell r="C398">
            <v>213</v>
          </cell>
          <cell r="D398">
            <v>285</v>
          </cell>
          <cell r="E398">
            <v>320</v>
          </cell>
          <cell r="F398" t="str">
            <v>10.247619 - 1</v>
          </cell>
          <cell r="G398">
            <v>7260011</v>
          </cell>
          <cell r="H398"/>
          <cell r="K398"/>
        </row>
        <row r="399">
          <cell r="B399">
            <v>185</v>
          </cell>
          <cell r="C399">
            <v>215</v>
          </cell>
          <cell r="D399">
            <v>285</v>
          </cell>
          <cell r="E399">
            <v>320</v>
          </cell>
          <cell r="F399" t="str">
            <v>10.247619 - 1</v>
          </cell>
          <cell r="G399">
            <v>7260011</v>
          </cell>
          <cell r="H399"/>
          <cell r="K399"/>
        </row>
        <row r="400">
          <cell r="B400">
            <v>185</v>
          </cell>
          <cell r="C400">
            <v>215</v>
          </cell>
          <cell r="D400">
            <v>285</v>
          </cell>
          <cell r="E400">
            <v>320</v>
          </cell>
          <cell r="F400" t="str">
            <v>10.247619 - 1</v>
          </cell>
          <cell r="G400">
            <v>7260011</v>
          </cell>
          <cell r="H400"/>
          <cell r="K400"/>
        </row>
        <row r="401">
          <cell r="B401">
            <v>185</v>
          </cell>
          <cell r="C401">
            <v>215</v>
          </cell>
          <cell r="D401">
            <v>285</v>
          </cell>
          <cell r="E401">
            <v>320</v>
          </cell>
          <cell r="F401" t="str">
            <v>10.247619 - 1</v>
          </cell>
          <cell r="G401">
            <v>7260011</v>
          </cell>
          <cell r="H401"/>
          <cell r="K401"/>
        </row>
        <row r="402">
          <cell r="B402">
            <v>185</v>
          </cell>
          <cell r="C402">
            <v>213</v>
          </cell>
          <cell r="D402">
            <v>285</v>
          </cell>
          <cell r="E402">
            <v>320</v>
          </cell>
          <cell r="F402" t="str">
            <v>10.247619 - 1</v>
          </cell>
          <cell r="G402">
            <v>7260011</v>
          </cell>
          <cell r="H402"/>
          <cell r="K402"/>
        </row>
        <row r="403">
          <cell r="B403">
            <v>185</v>
          </cell>
          <cell r="C403">
            <v>213</v>
          </cell>
          <cell r="D403">
            <v>285</v>
          </cell>
          <cell r="E403">
            <v>320</v>
          </cell>
          <cell r="F403" t="str">
            <v>10.247619 - 1</v>
          </cell>
          <cell r="G403">
            <v>7260011</v>
          </cell>
          <cell r="H403"/>
          <cell r="K403"/>
        </row>
        <row r="404">
          <cell r="B404">
            <v>185</v>
          </cell>
          <cell r="C404">
            <v>213</v>
          </cell>
          <cell r="D404">
            <v>285</v>
          </cell>
          <cell r="E404">
            <v>320</v>
          </cell>
          <cell r="F404" t="str">
            <v>10.247619 - 1</v>
          </cell>
          <cell r="G404">
            <v>7260011</v>
          </cell>
          <cell r="H404"/>
          <cell r="K404"/>
        </row>
        <row r="405">
          <cell r="B405">
            <v>185</v>
          </cell>
          <cell r="C405">
            <v>215</v>
          </cell>
          <cell r="D405">
            <v>285</v>
          </cell>
          <cell r="E405">
            <v>320</v>
          </cell>
          <cell r="F405" t="str">
            <v>10.247619 - 1</v>
          </cell>
          <cell r="G405">
            <v>7260011</v>
          </cell>
          <cell r="H405"/>
          <cell r="K405"/>
        </row>
        <row r="406">
          <cell r="B406">
            <v>185</v>
          </cell>
          <cell r="C406">
            <v>215</v>
          </cell>
          <cell r="D406">
            <v>285</v>
          </cell>
          <cell r="E406">
            <v>320</v>
          </cell>
          <cell r="F406" t="str">
            <v>10.247619 - 1</v>
          </cell>
          <cell r="G406">
            <v>7260011</v>
          </cell>
          <cell r="H406"/>
          <cell r="K406"/>
        </row>
        <row r="407">
          <cell r="B407">
            <v>185</v>
          </cell>
          <cell r="C407">
            <v>213</v>
          </cell>
          <cell r="D407">
            <v>285</v>
          </cell>
          <cell r="E407">
            <v>320</v>
          </cell>
          <cell r="F407" t="str">
            <v>10.247619 - 1</v>
          </cell>
          <cell r="G407">
            <v>7260011</v>
          </cell>
          <cell r="H407"/>
          <cell r="K407"/>
        </row>
        <row r="408">
          <cell r="B408">
            <v>185</v>
          </cell>
          <cell r="C408">
            <v>213</v>
          </cell>
          <cell r="D408">
            <v>285</v>
          </cell>
          <cell r="E408">
            <v>320</v>
          </cell>
          <cell r="F408" t="str">
            <v>10.247619 - 1</v>
          </cell>
          <cell r="G408">
            <v>7260011</v>
          </cell>
          <cell r="H408"/>
          <cell r="K408"/>
        </row>
        <row r="409">
          <cell r="B409">
            <v>185</v>
          </cell>
          <cell r="C409">
            <v>212</v>
          </cell>
          <cell r="D409">
            <v>285</v>
          </cell>
          <cell r="E409">
            <v>320</v>
          </cell>
          <cell r="F409" t="str">
            <v>10.247619 - 1</v>
          </cell>
          <cell r="G409">
            <v>7260011</v>
          </cell>
          <cell r="H409"/>
          <cell r="K409"/>
        </row>
        <row r="410">
          <cell r="B410">
            <v>185</v>
          </cell>
          <cell r="C410">
            <v>215</v>
          </cell>
          <cell r="D410">
            <v>285</v>
          </cell>
          <cell r="E410">
            <v>320</v>
          </cell>
          <cell r="F410" t="str">
            <v>10.247619 - 1</v>
          </cell>
          <cell r="G410">
            <v>7260011</v>
          </cell>
          <cell r="H410"/>
          <cell r="K410"/>
        </row>
        <row r="411">
          <cell r="B411">
            <v>185</v>
          </cell>
          <cell r="C411">
            <v>260</v>
          </cell>
          <cell r="D411">
            <v>285</v>
          </cell>
          <cell r="E411">
            <v>320</v>
          </cell>
          <cell r="F411" t="str">
            <v>72.11870 - 19</v>
          </cell>
          <cell r="G411"/>
          <cell r="H411"/>
          <cell r="K411"/>
        </row>
        <row r="412">
          <cell r="B412">
            <v>185</v>
          </cell>
          <cell r="C412">
            <v>503</v>
          </cell>
          <cell r="D412">
            <v>285</v>
          </cell>
          <cell r="E412">
            <v>320</v>
          </cell>
          <cell r="F412" t="str">
            <v>72.23398 - 01</v>
          </cell>
          <cell r="G412">
            <v>7260012</v>
          </cell>
          <cell r="H412"/>
          <cell r="K412"/>
        </row>
        <row r="413">
          <cell r="B413">
            <v>185</v>
          </cell>
          <cell r="C413">
            <v>213</v>
          </cell>
          <cell r="D413">
            <v>285</v>
          </cell>
          <cell r="E413">
            <v>320</v>
          </cell>
          <cell r="F413" t="str">
            <v>10.247619 - 1</v>
          </cell>
          <cell r="G413">
            <v>7260011</v>
          </cell>
          <cell r="H413"/>
          <cell r="K413"/>
        </row>
        <row r="414">
          <cell r="B414">
            <v>185</v>
          </cell>
          <cell r="C414">
            <v>213</v>
          </cell>
          <cell r="D414">
            <v>285</v>
          </cell>
          <cell r="E414">
            <v>320</v>
          </cell>
          <cell r="F414" t="str">
            <v>10.247619 - 1</v>
          </cell>
          <cell r="G414">
            <v>7260011</v>
          </cell>
          <cell r="H414"/>
          <cell r="K414"/>
        </row>
        <row r="415">
          <cell r="B415">
            <v>185</v>
          </cell>
          <cell r="C415">
            <v>213</v>
          </cell>
          <cell r="D415">
            <v>285</v>
          </cell>
          <cell r="E415">
            <v>320</v>
          </cell>
          <cell r="F415" t="str">
            <v>10.247619 - 1</v>
          </cell>
          <cell r="G415">
            <v>7260011</v>
          </cell>
          <cell r="H415"/>
          <cell r="K415"/>
        </row>
        <row r="416">
          <cell r="B416">
            <v>185</v>
          </cell>
          <cell r="C416">
            <v>265</v>
          </cell>
          <cell r="D416">
            <v>285</v>
          </cell>
          <cell r="E416">
            <v>320</v>
          </cell>
          <cell r="F416" t="str">
            <v>72.11870 - 19</v>
          </cell>
          <cell r="G416"/>
          <cell r="H416"/>
          <cell r="K416"/>
        </row>
        <row r="417">
          <cell r="B417">
            <v>187.5</v>
          </cell>
          <cell r="C417">
            <v>213</v>
          </cell>
          <cell r="D417">
            <v>285</v>
          </cell>
          <cell r="E417">
            <v>320</v>
          </cell>
          <cell r="F417" t="str">
            <v>10.247619 - 2</v>
          </cell>
          <cell r="G417">
            <v>7260013</v>
          </cell>
          <cell r="H417"/>
          <cell r="K417"/>
        </row>
        <row r="418">
          <cell r="B418">
            <v>187.5</v>
          </cell>
          <cell r="C418">
            <v>215</v>
          </cell>
          <cell r="D418">
            <v>285</v>
          </cell>
          <cell r="E418">
            <v>320</v>
          </cell>
          <cell r="F418" t="str">
            <v>10.247619 - 2</v>
          </cell>
          <cell r="G418">
            <v>7260013</v>
          </cell>
          <cell r="H418"/>
          <cell r="K418"/>
        </row>
        <row r="419">
          <cell r="B419">
            <v>187.5</v>
          </cell>
          <cell r="C419">
            <v>265</v>
          </cell>
          <cell r="D419">
            <v>285</v>
          </cell>
          <cell r="E419">
            <v>320</v>
          </cell>
          <cell r="F419" t="str">
            <v>72.11870 - 20</v>
          </cell>
          <cell r="G419"/>
          <cell r="H419"/>
          <cell r="K419"/>
        </row>
        <row r="420">
          <cell r="B420">
            <v>187.5</v>
          </cell>
          <cell r="C420">
            <v>265</v>
          </cell>
          <cell r="D420">
            <v>285</v>
          </cell>
          <cell r="E420">
            <v>320</v>
          </cell>
          <cell r="F420" t="str">
            <v>72.11870 - 20</v>
          </cell>
          <cell r="G420"/>
          <cell r="H420"/>
          <cell r="K420"/>
        </row>
        <row r="421">
          <cell r="B421">
            <v>187.5</v>
          </cell>
          <cell r="C421">
            <v>265</v>
          </cell>
          <cell r="D421">
            <v>285</v>
          </cell>
          <cell r="E421">
            <v>320</v>
          </cell>
          <cell r="F421" t="str">
            <v>72.11870 - 20</v>
          </cell>
          <cell r="G421"/>
          <cell r="H421"/>
          <cell r="K421"/>
        </row>
        <row r="422">
          <cell r="B422">
            <v>187.5</v>
          </cell>
          <cell r="C422">
            <v>265</v>
          </cell>
          <cell r="D422">
            <v>285</v>
          </cell>
          <cell r="E422">
            <v>320</v>
          </cell>
          <cell r="F422" t="str">
            <v>72.11870 - 20</v>
          </cell>
          <cell r="G422"/>
          <cell r="H422"/>
          <cell r="K422"/>
        </row>
        <row r="423">
          <cell r="B423">
            <v>187.5</v>
          </cell>
          <cell r="C423">
            <v>215</v>
          </cell>
          <cell r="D423">
            <v>285</v>
          </cell>
          <cell r="E423">
            <v>320</v>
          </cell>
          <cell r="F423" t="str">
            <v>10.247619 - 2</v>
          </cell>
          <cell r="G423">
            <v>7260013</v>
          </cell>
          <cell r="H423"/>
          <cell r="K423"/>
        </row>
        <row r="424">
          <cell r="B424">
            <v>187.5</v>
          </cell>
          <cell r="C424">
            <v>215</v>
          </cell>
          <cell r="D424">
            <v>285</v>
          </cell>
          <cell r="E424">
            <v>320</v>
          </cell>
          <cell r="F424" t="str">
            <v>10.247619 - 2</v>
          </cell>
          <cell r="G424">
            <v>7260013</v>
          </cell>
          <cell r="H424"/>
          <cell r="K424"/>
        </row>
        <row r="425">
          <cell r="B425">
            <v>187.5</v>
          </cell>
          <cell r="C425">
            <v>317</v>
          </cell>
          <cell r="D425">
            <v>285</v>
          </cell>
          <cell r="E425">
            <v>320</v>
          </cell>
          <cell r="F425" t="str">
            <v>72.11871 - 20</v>
          </cell>
          <cell r="G425"/>
          <cell r="H425"/>
          <cell r="K425"/>
        </row>
        <row r="426">
          <cell r="B426">
            <v>187.5</v>
          </cell>
          <cell r="C426">
            <v>440</v>
          </cell>
          <cell r="D426">
            <v>285</v>
          </cell>
          <cell r="E426">
            <v>320</v>
          </cell>
          <cell r="F426" t="str">
            <v>10.241070 - 01</v>
          </cell>
          <cell r="G426">
            <v>7260014</v>
          </cell>
          <cell r="H426"/>
          <cell r="K426"/>
        </row>
        <row r="427">
          <cell r="B427">
            <v>187.5</v>
          </cell>
          <cell r="C427">
            <v>505</v>
          </cell>
          <cell r="D427">
            <v>285</v>
          </cell>
          <cell r="E427">
            <v>320</v>
          </cell>
          <cell r="F427" t="str">
            <v>72.23398 - 02</v>
          </cell>
          <cell r="G427">
            <v>7260015</v>
          </cell>
          <cell r="H427"/>
          <cell r="K427"/>
        </row>
        <row r="428">
          <cell r="B428">
            <v>187.5</v>
          </cell>
          <cell r="C428">
            <v>320</v>
          </cell>
          <cell r="D428">
            <v>285</v>
          </cell>
          <cell r="E428">
            <v>320</v>
          </cell>
          <cell r="F428" t="str">
            <v>72.11871 - 20</v>
          </cell>
          <cell r="G428"/>
          <cell r="H428"/>
          <cell r="K428"/>
        </row>
        <row r="429">
          <cell r="B429">
            <v>187.5</v>
          </cell>
          <cell r="C429">
            <v>215</v>
          </cell>
          <cell r="D429">
            <v>285</v>
          </cell>
          <cell r="E429">
            <v>320</v>
          </cell>
          <cell r="F429" t="str">
            <v>10.247619 - 2</v>
          </cell>
          <cell r="G429">
            <v>7260013</v>
          </cell>
          <cell r="H429"/>
          <cell r="K429"/>
        </row>
        <row r="430">
          <cell r="B430">
            <v>187.5</v>
          </cell>
          <cell r="C430">
            <v>265</v>
          </cell>
          <cell r="D430">
            <v>285</v>
          </cell>
          <cell r="E430">
            <v>320</v>
          </cell>
          <cell r="F430" t="str">
            <v>72.11870 - 20</v>
          </cell>
          <cell r="G430"/>
          <cell r="H430"/>
          <cell r="K430"/>
        </row>
        <row r="431">
          <cell r="B431">
            <v>187.5</v>
          </cell>
          <cell r="C431">
            <v>260</v>
          </cell>
          <cell r="D431">
            <v>285</v>
          </cell>
          <cell r="E431">
            <v>320</v>
          </cell>
          <cell r="F431" t="str">
            <v>72.11870 - 20</v>
          </cell>
          <cell r="G431"/>
          <cell r="H431"/>
          <cell r="K431"/>
        </row>
        <row r="432">
          <cell r="B432">
            <v>187.5</v>
          </cell>
          <cell r="C432">
            <v>317</v>
          </cell>
          <cell r="D432">
            <v>285</v>
          </cell>
          <cell r="E432">
            <v>320</v>
          </cell>
          <cell r="F432" t="str">
            <v>72.11871 - 20</v>
          </cell>
          <cell r="G432"/>
          <cell r="H432"/>
          <cell r="K432"/>
        </row>
        <row r="433">
          <cell r="B433">
            <v>187.5</v>
          </cell>
          <cell r="C433">
            <v>265</v>
          </cell>
          <cell r="D433">
            <v>285</v>
          </cell>
          <cell r="E433">
            <v>320</v>
          </cell>
          <cell r="F433" t="str">
            <v>72.11870 - 20</v>
          </cell>
          <cell r="G433"/>
          <cell r="H433"/>
          <cell r="K433"/>
        </row>
        <row r="434">
          <cell r="B434">
            <v>190</v>
          </cell>
          <cell r="C434">
            <v>265</v>
          </cell>
          <cell r="D434">
            <v>285</v>
          </cell>
          <cell r="E434">
            <v>320</v>
          </cell>
          <cell r="F434" t="str">
            <v>72.11870 - 21</v>
          </cell>
          <cell r="G434"/>
          <cell r="H434"/>
          <cell r="K434"/>
        </row>
        <row r="435">
          <cell r="B435">
            <v>190</v>
          </cell>
          <cell r="C435">
            <v>263</v>
          </cell>
          <cell r="D435">
            <v>285</v>
          </cell>
          <cell r="E435">
            <v>320</v>
          </cell>
          <cell r="F435" t="str">
            <v>72.11870 - 21</v>
          </cell>
          <cell r="G435"/>
          <cell r="H435"/>
          <cell r="K435"/>
        </row>
        <row r="436">
          <cell r="B436">
            <v>190</v>
          </cell>
          <cell r="C436">
            <v>263</v>
          </cell>
          <cell r="D436">
            <v>285</v>
          </cell>
          <cell r="E436">
            <v>320</v>
          </cell>
          <cell r="F436" t="str">
            <v>72.11870 - 21</v>
          </cell>
          <cell r="G436"/>
          <cell r="H436"/>
          <cell r="K436"/>
        </row>
        <row r="437">
          <cell r="B437">
            <v>190</v>
          </cell>
          <cell r="C437">
            <v>265</v>
          </cell>
          <cell r="D437">
            <v>285</v>
          </cell>
          <cell r="E437">
            <v>320</v>
          </cell>
          <cell r="F437" t="str">
            <v>72.11870 - 21</v>
          </cell>
          <cell r="G437"/>
          <cell r="H437"/>
          <cell r="K437"/>
        </row>
        <row r="438">
          <cell r="B438">
            <v>190</v>
          </cell>
          <cell r="C438">
            <v>265</v>
          </cell>
          <cell r="D438">
            <v>285</v>
          </cell>
          <cell r="E438">
            <v>320</v>
          </cell>
          <cell r="F438" t="str">
            <v>72.11870 - 21</v>
          </cell>
          <cell r="G438"/>
          <cell r="H438"/>
          <cell r="K438"/>
        </row>
        <row r="439">
          <cell r="B439">
            <v>190</v>
          </cell>
          <cell r="C439">
            <v>265</v>
          </cell>
          <cell r="D439">
            <v>285</v>
          </cell>
          <cell r="E439">
            <v>320</v>
          </cell>
          <cell r="F439" t="str">
            <v>72.11870 - 21</v>
          </cell>
          <cell r="G439"/>
          <cell r="H439"/>
          <cell r="K439"/>
        </row>
        <row r="440">
          <cell r="B440">
            <v>190</v>
          </cell>
          <cell r="C440">
            <v>265</v>
          </cell>
          <cell r="D440">
            <v>285</v>
          </cell>
          <cell r="E440">
            <v>320</v>
          </cell>
          <cell r="F440" t="str">
            <v>72.11870 - 21</v>
          </cell>
          <cell r="G440"/>
          <cell r="H440"/>
          <cell r="K440"/>
        </row>
        <row r="441">
          <cell r="B441">
            <v>190</v>
          </cell>
          <cell r="C441">
            <v>265</v>
          </cell>
          <cell r="D441">
            <v>285</v>
          </cell>
          <cell r="E441">
            <v>320</v>
          </cell>
          <cell r="F441" t="str">
            <v>72.11870 - 21</v>
          </cell>
          <cell r="G441"/>
          <cell r="H441"/>
          <cell r="K441"/>
        </row>
        <row r="442">
          <cell r="B442">
            <v>190</v>
          </cell>
          <cell r="C442">
            <v>260</v>
          </cell>
          <cell r="D442">
            <v>285</v>
          </cell>
          <cell r="E442">
            <v>320</v>
          </cell>
          <cell r="F442" t="str">
            <v>72.11870 - 21</v>
          </cell>
          <cell r="G442"/>
          <cell r="H442"/>
          <cell r="K442"/>
        </row>
        <row r="443">
          <cell r="B443">
            <v>190</v>
          </cell>
          <cell r="C443">
            <v>260</v>
          </cell>
          <cell r="D443">
            <v>285</v>
          </cell>
          <cell r="E443">
            <v>320</v>
          </cell>
          <cell r="F443" t="str">
            <v>72.11870 - 21</v>
          </cell>
          <cell r="G443"/>
          <cell r="H443"/>
          <cell r="K443"/>
        </row>
        <row r="444">
          <cell r="B444">
            <v>190</v>
          </cell>
          <cell r="C444">
            <v>265</v>
          </cell>
          <cell r="D444">
            <v>285</v>
          </cell>
          <cell r="E444">
            <v>320</v>
          </cell>
          <cell r="F444" t="str">
            <v>72.11870 - 21</v>
          </cell>
          <cell r="G444"/>
          <cell r="H444"/>
          <cell r="K444"/>
        </row>
        <row r="445">
          <cell r="B445">
            <v>190</v>
          </cell>
          <cell r="C445">
            <v>265</v>
          </cell>
          <cell r="D445">
            <v>285</v>
          </cell>
          <cell r="E445">
            <v>320</v>
          </cell>
          <cell r="F445" t="str">
            <v>72.11870 - 21</v>
          </cell>
          <cell r="G445"/>
          <cell r="H445"/>
          <cell r="K445"/>
        </row>
        <row r="446">
          <cell r="B446">
            <v>190</v>
          </cell>
          <cell r="C446">
            <v>265</v>
          </cell>
          <cell r="D446">
            <v>285</v>
          </cell>
          <cell r="E446">
            <v>320</v>
          </cell>
          <cell r="F446" t="str">
            <v>72.11870 - 21</v>
          </cell>
          <cell r="G446"/>
          <cell r="H446"/>
          <cell r="K446"/>
        </row>
        <row r="447">
          <cell r="B447">
            <v>190</v>
          </cell>
          <cell r="C447">
            <v>260</v>
          </cell>
          <cell r="D447">
            <v>285</v>
          </cell>
          <cell r="E447">
            <v>320</v>
          </cell>
          <cell r="F447" t="str">
            <v>72.11870 - 21</v>
          </cell>
          <cell r="G447"/>
          <cell r="H447"/>
          <cell r="K447"/>
        </row>
        <row r="448">
          <cell r="B448">
            <v>190</v>
          </cell>
          <cell r="C448">
            <v>265</v>
          </cell>
          <cell r="D448">
            <v>285</v>
          </cell>
          <cell r="E448">
            <v>320</v>
          </cell>
          <cell r="F448" t="str">
            <v>72.11870 - 21</v>
          </cell>
          <cell r="G448"/>
          <cell r="H448"/>
          <cell r="K448"/>
        </row>
        <row r="449">
          <cell r="B449">
            <v>190</v>
          </cell>
          <cell r="C449">
            <v>265</v>
          </cell>
          <cell r="D449">
            <v>285</v>
          </cell>
          <cell r="E449">
            <v>320</v>
          </cell>
          <cell r="F449" t="str">
            <v>72.11870 - 21</v>
          </cell>
          <cell r="G449"/>
          <cell r="H449"/>
          <cell r="K449"/>
        </row>
        <row r="450">
          <cell r="B450">
            <v>190</v>
          </cell>
          <cell r="C450">
            <v>265</v>
          </cell>
          <cell r="D450">
            <v>285</v>
          </cell>
          <cell r="E450">
            <v>320</v>
          </cell>
          <cell r="F450" t="str">
            <v>72.11870 - 21</v>
          </cell>
          <cell r="G450"/>
          <cell r="H450"/>
          <cell r="K450"/>
        </row>
        <row r="451">
          <cell r="B451">
            <v>190</v>
          </cell>
          <cell r="C451">
            <v>265</v>
          </cell>
          <cell r="D451">
            <v>285</v>
          </cell>
          <cell r="E451">
            <v>320</v>
          </cell>
          <cell r="F451" t="str">
            <v>72.11870 - 21</v>
          </cell>
          <cell r="G451"/>
          <cell r="H451"/>
          <cell r="K451"/>
        </row>
        <row r="452">
          <cell r="B452">
            <v>190</v>
          </cell>
          <cell r="C452">
            <v>263</v>
          </cell>
          <cell r="D452">
            <v>285</v>
          </cell>
          <cell r="E452">
            <v>320</v>
          </cell>
          <cell r="F452" t="str">
            <v>72.11870 - 21</v>
          </cell>
          <cell r="G452"/>
          <cell r="H452"/>
          <cell r="K452"/>
        </row>
        <row r="453">
          <cell r="B453">
            <v>190</v>
          </cell>
          <cell r="C453">
            <v>265</v>
          </cell>
          <cell r="D453">
            <v>285</v>
          </cell>
          <cell r="E453">
            <v>320</v>
          </cell>
          <cell r="F453" t="str">
            <v>72.11870 - 21</v>
          </cell>
          <cell r="G453"/>
          <cell r="H453"/>
          <cell r="K453"/>
        </row>
        <row r="454">
          <cell r="B454">
            <v>190</v>
          </cell>
          <cell r="C454">
            <v>263</v>
          </cell>
          <cell r="D454">
            <v>285</v>
          </cell>
          <cell r="E454">
            <v>320</v>
          </cell>
          <cell r="F454" t="str">
            <v>72.11870 - 21</v>
          </cell>
          <cell r="G454"/>
          <cell r="H454"/>
          <cell r="K454"/>
        </row>
        <row r="455">
          <cell r="B455">
            <v>190</v>
          </cell>
          <cell r="C455">
            <v>213</v>
          </cell>
          <cell r="D455">
            <v>285</v>
          </cell>
          <cell r="E455">
            <v>320</v>
          </cell>
          <cell r="F455" t="str">
            <v>10.247619 - 3</v>
          </cell>
          <cell r="G455">
            <v>7260016</v>
          </cell>
          <cell r="H455"/>
          <cell r="K455"/>
        </row>
        <row r="456">
          <cell r="B456">
            <v>190</v>
          </cell>
          <cell r="C456">
            <v>320</v>
          </cell>
          <cell r="D456">
            <v>285</v>
          </cell>
          <cell r="E456">
            <v>320</v>
          </cell>
          <cell r="F456" t="str">
            <v>72.11871 - 21</v>
          </cell>
          <cell r="G456"/>
          <cell r="H456"/>
          <cell r="K456"/>
        </row>
        <row r="457">
          <cell r="B457">
            <v>190</v>
          </cell>
          <cell r="C457">
            <v>265</v>
          </cell>
          <cell r="D457">
            <v>285</v>
          </cell>
          <cell r="E457">
            <v>320</v>
          </cell>
          <cell r="F457" t="str">
            <v>72.11870 - 21</v>
          </cell>
          <cell r="G457"/>
          <cell r="H457"/>
          <cell r="K457"/>
        </row>
        <row r="458">
          <cell r="B458">
            <v>190</v>
          </cell>
          <cell r="C458">
            <v>265</v>
          </cell>
          <cell r="D458">
            <v>285</v>
          </cell>
          <cell r="E458">
            <v>320</v>
          </cell>
          <cell r="F458" t="str">
            <v>72.11870 - 21</v>
          </cell>
          <cell r="G458"/>
          <cell r="H458"/>
          <cell r="K458"/>
        </row>
        <row r="459">
          <cell r="B459">
            <v>190</v>
          </cell>
          <cell r="C459">
            <v>265</v>
          </cell>
          <cell r="D459">
            <v>285</v>
          </cell>
          <cell r="E459">
            <v>320</v>
          </cell>
          <cell r="F459" t="str">
            <v>72.11870 - 21</v>
          </cell>
          <cell r="G459"/>
          <cell r="H459"/>
          <cell r="K459"/>
        </row>
        <row r="460">
          <cell r="B460">
            <v>190</v>
          </cell>
          <cell r="C460">
            <v>265</v>
          </cell>
          <cell r="D460">
            <v>285</v>
          </cell>
          <cell r="E460">
            <v>320</v>
          </cell>
          <cell r="F460" t="str">
            <v>72.11870 - 21</v>
          </cell>
          <cell r="G460"/>
          <cell r="H460"/>
          <cell r="K460"/>
        </row>
        <row r="461">
          <cell r="B461">
            <v>190</v>
          </cell>
          <cell r="C461">
            <v>265</v>
          </cell>
          <cell r="D461">
            <v>285</v>
          </cell>
          <cell r="E461">
            <v>320</v>
          </cell>
          <cell r="F461" t="str">
            <v>72.11870 - 21</v>
          </cell>
          <cell r="G461"/>
          <cell r="H461"/>
          <cell r="K461"/>
        </row>
        <row r="462">
          <cell r="B462">
            <v>190</v>
          </cell>
          <cell r="C462">
            <v>265</v>
          </cell>
          <cell r="D462">
            <v>285</v>
          </cell>
          <cell r="E462">
            <v>320</v>
          </cell>
          <cell r="F462" t="str">
            <v>72.11870 - 21</v>
          </cell>
          <cell r="G462"/>
          <cell r="H462"/>
          <cell r="K462"/>
        </row>
        <row r="463">
          <cell r="B463">
            <v>190</v>
          </cell>
          <cell r="C463">
            <v>265</v>
          </cell>
          <cell r="D463">
            <v>285</v>
          </cell>
          <cell r="E463">
            <v>320</v>
          </cell>
          <cell r="F463" t="str">
            <v>72.11870 - 21</v>
          </cell>
          <cell r="G463"/>
          <cell r="H463"/>
          <cell r="K463"/>
        </row>
        <row r="464">
          <cell r="B464">
            <v>190</v>
          </cell>
          <cell r="C464">
            <v>265</v>
          </cell>
          <cell r="D464">
            <v>285</v>
          </cell>
          <cell r="E464">
            <v>320</v>
          </cell>
          <cell r="F464" t="str">
            <v>72.11870 - 21</v>
          </cell>
          <cell r="G464"/>
          <cell r="H464"/>
          <cell r="K464"/>
        </row>
        <row r="465">
          <cell r="B465">
            <v>192.5</v>
          </cell>
          <cell r="C465">
            <v>265</v>
          </cell>
          <cell r="D465">
            <v>285</v>
          </cell>
          <cell r="E465">
            <v>320</v>
          </cell>
          <cell r="F465" t="str">
            <v>72.11870 - 22</v>
          </cell>
          <cell r="G465"/>
          <cell r="H465"/>
          <cell r="K465"/>
        </row>
        <row r="466">
          <cell r="B466">
            <v>192.5</v>
          </cell>
          <cell r="C466">
            <v>265</v>
          </cell>
          <cell r="D466">
            <v>285</v>
          </cell>
          <cell r="E466">
            <v>320</v>
          </cell>
          <cell r="F466" t="str">
            <v>72.11870 - 22</v>
          </cell>
          <cell r="G466"/>
          <cell r="H466"/>
          <cell r="K466"/>
        </row>
        <row r="467">
          <cell r="B467">
            <v>192.5</v>
          </cell>
          <cell r="C467">
            <v>263</v>
          </cell>
          <cell r="D467">
            <v>285</v>
          </cell>
          <cell r="E467">
            <v>320</v>
          </cell>
          <cell r="F467" t="str">
            <v>72.11870 - 22</v>
          </cell>
          <cell r="G467"/>
          <cell r="H467"/>
          <cell r="K467"/>
        </row>
        <row r="468">
          <cell r="B468">
            <v>192.5</v>
          </cell>
          <cell r="C468">
            <v>260</v>
          </cell>
          <cell r="D468">
            <v>285</v>
          </cell>
          <cell r="E468">
            <v>320</v>
          </cell>
          <cell r="F468" t="str">
            <v>72.11870 - 22</v>
          </cell>
          <cell r="G468"/>
          <cell r="H468"/>
          <cell r="K468"/>
        </row>
        <row r="469">
          <cell r="B469">
            <v>192.5</v>
          </cell>
          <cell r="C469">
            <v>265</v>
          </cell>
          <cell r="D469">
            <v>285</v>
          </cell>
          <cell r="E469">
            <v>320</v>
          </cell>
          <cell r="F469" t="str">
            <v>72.11870 - 22</v>
          </cell>
          <cell r="G469"/>
          <cell r="H469"/>
          <cell r="K469"/>
        </row>
        <row r="470">
          <cell r="B470">
            <v>192.5</v>
          </cell>
          <cell r="C470">
            <v>265</v>
          </cell>
          <cell r="D470">
            <v>285</v>
          </cell>
          <cell r="E470">
            <v>320</v>
          </cell>
          <cell r="F470" t="str">
            <v>72.11870 - 22</v>
          </cell>
          <cell r="G470"/>
          <cell r="H470"/>
          <cell r="K470"/>
        </row>
        <row r="471">
          <cell r="B471">
            <v>192.5</v>
          </cell>
          <cell r="C471">
            <v>265</v>
          </cell>
          <cell r="D471">
            <v>285</v>
          </cell>
          <cell r="E471">
            <v>320</v>
          </cell>
          <cell r="F471" t="str">
            <v>72.11870 - 22</v>
          </cell>
          <cell r="G471"/>
          <cell r="H471"/>
          <cell r="K471"/>
        </row>
        <row r="472">
          <cell r="B472">
            <v>192.5</v>
          </cell>
          <cell r="C472">
            <v>265</v>
          </cell>
          <cell r="D472">
            <v>285</v>
          </cell>
          <cell r="E472">
            <v>320</v>
          </cell>
          <cell r="F472" t="str">
            <v>72.11870 - 22</v>
          </cell>
          <cell r="G472"/>
          <cell r="H472"/>
          <cell r="K472"/>
        </row>
        <row r="473">
          <cell r="B473">
            <v>192.5</v>
          </cell>
          <cell r="C473">
            <v>265</v>
          </cell>
          <cell r="D473">
            <v>285</v>
          </cell>
          <cell r="E473">
            <v>320</v>
          </cell>
          <cell r="F473" t="str">
            <v>72.11870 - 22</v>
          </cell>
          <cell r="G473"/>
          <cell r="H473"/>
          <cell r="K473"/>
        </row>
        <row r="474">
          <cell r="B474">
            <v>192.5</v>
          </cell>
          <cell r="C474">
            <v>265</v>
          </cell>
          <cell r="D474">
            <v>285</v>
          </cell>
          <cell r="E474">
            <v>320</v>
          </cell>
          <cell r="F474" t="str">
            <v>72.11870 - 22</v>
          </cell>
          <cell r="G474"/>
          <cell r="H474"/>
          <cell r="K474"/>
        </row>
        <row r="475">
          <cell r="B475">
            <v>192.5</v>
          </cell>
          <cell r="C475">
            <v>263</v>
          </cell>
          <cell r="D475">
            <v>285</v>
          </cell>
          <cell r="E475">
            <v>320</v>
          </cell>
          <cell r="F475" t="str">
            <v>72.11870 - 22</v>
          </cell>
          <cell r="G475"/>
          <cell r="H475"/>
          <cell r="K475"/>
        </row>
        <row r="476">
          <cell r="B476">
            <v>192.5</v>
          </cell>
          <cell r="C476">
            <v>265</v>
          </cell>
          <cell r="D476">
            <v>285</v>
          </cell>
          <cell r="E476">
            <v>320</v>
          </cell>
          <cell r="F476" t="str">
            <v>72.11870 - 22</v>
          </cell>
          <cell r="G476"/>
          <cell r="H476"/>
          <cell r="K476"/>
        </row>
        <row r="477">
          <cell r="B477">
            <v>192.5</v>
          </cell>
          <cell r="C477">
            <v>265</v>
          </cell>
          <cell r="D477">
            <v>285</v>
          </cell>
          <cell r="E477">
            <v>320</v>
          </cell>
          <cell r="F477" t="str">
            <v>72.11870 - 22</v>
          </cell>
          <cell r="G477"/>
          <cell r="H477"/>
          <cell r="K477"/>
        </row>
        <row r="478">
          <cell r="B478">
            <v>192.5</v>
          </cell>
          <cell r="C478">
            <v>265</v>
          </cell>
          <cell r="D478">
            <v>285</v>
          </cell>
          <cell r="E478">
            <v>320</v>
          </cell>
          <cell r="F478" t="str">
            <v>72.11870 - 22</v>
          </cell>
          <cell r="G478"/>
          <cell r="H478"/>
          <cell r="K478"/>
        </row>
        <row r="479">
          <cell r="B479">
            <v>192.5</v>
          </cell>
          <cell r="C479">
            <v>265</v>
          </cell>
          <cell r="D479">
            <v>285</v>
          </cell>
          <cell r="E479">
            <v>320</v>
          </cell>
          <cell r="F479" t="str">
            <v>72.11870 - 22</v>
          </cell>
          <cell r="G479"/>
          <cell r="H479"/>
          <cell r="K479"/>
        </row>
        <row r="480">
          <cell r="B480">
            <v>192.5</v>
          </cell>
          <cell r="C480">
            <v>260</v>
          </cell>
          <cell r="D480">
            <v>375</v>
          </cell>
          <cell r="E480">
            <v>320</v>
          </cell>
          <cell r="F480" t="str">
            <v>72.49955 - 1</v>
          </cell>
          <cell r="G480"/>
          <cell r="H480"/>
          <cell r="K480"/>
        </row>
        <row r="481">
          <cell r="B481">
            <v>192.5</v>
          </cell>
          <cell r="C481">
            <v>265</v>
          </cell>
          <cell r="D481">
            <v>285</v>
          </cell>
          <cell r="E481">
            <v>320</v>
          </cell>
          <cell r="F481" t="str">
            <v>72.11870 - 22</v>
          </cell>
          <cell r="G481"/>
          <cell r="H481"/>
          <cell r="K481"/>
        </row>
        <row r="482">
          <cell r="B482">
            <v>192.5</v>
          </cell>
          <cell r="C482">
            <v>265</v>
          </cell>
          <cell r="D482">
            <v>285</v>
          </cell>
          <cell r="E482">
            <v>320</v>
          </cell>
          <cell r="F482" t="str">
            <v>72.11870 - 22</v>
          </cell>
          <cell r="G482"/>
          <cell r="H482"/>
          <cell r="K482"/>
        </row>
        <row r="483">
          <cell r="B483">
            <v>192.5</v>
          </cell>
          <cell r="C483">
            <v>265</v>
          </cell>
          <cell r="D483">
            <v>285</v>
          </cell>
          <cell r="E483">
            <v>320</v>
          </cell>
          <cell r="F483" t="str">
            <v>72.11870 - 22</v>
          </cell>
          <cell r="G483"/>
          <cell r="H483"/>
          <cell r="K483"/>
        </row>
        <row r="484">
          <cell r="B484">
            <v>192.5</v>
          </cell>
          <cell r="C484">
            <v>265</v>
          </cell>
          <cell r="D484">
            <v>285</v>
          </cell>
          <cell r="E484">
            <v>320</v>
          </cell>
          <cell r="F484" t="str">
            <v>72.11870 - 22</v>
          </cell>
          <cell r="G484"/>
          <cell r="H484"/>
          <cell r="K484"/>
        </row>
        <row r="485">
          <cell r="B485">
            <v>192.5</v>
          </cell>
          <cell r="C485">
            <v>250</v>
          </cell>
          <cell r="D485">
            <v>285</v>
          </cell>
          <cell r="E485">
            <v>320</v>
          </cell>
          <cell r="F485" t="str">
            <v>72.11870 - 22</v>
          </cell>
          <cell r="G485"/>
          <cell r="H485"/>
          <cell r="K485"/>
        </row>
        <row r="486">
          <cell r="B486">
            <v>192.5</v>
          </cell>
          <cell r="C486">
            <v>265</v>
          </cell>
          <cell r="D486">
            <v>285</v>
          </cell>
          <cell r="E486">
            <v>320</v>
          </cell>
          <cell r="F486" t="str">
            <v>72.11870 - 22</v>
          </cell>
          <cell r="G486"/>
          <cell r="H486"/>
          <cell r="K486"/>
        </row>
        <row r="487">
          <cell r="B487">
            <v>192.5</v>
          </cell>
          <cell r="C487">
            <v>265</v>
          </cell>
          <cell r="D487">
            <v>285</v>
          </cell>
          <cell r="E487">
            <v>320</v>
          </cell>
          <cell r="F487" t="str">
            <v>72.11870 - 22</v>
          </cell>
          <cell r="G487"/>
          <cell r="H487"/>
          <cell r="K487"/>
        </row>
        <row r="488">
          <cell r="B488">
            <v>192.5</v>
          </cell>
          <cell r="C488">
            <v>262</v>
          </cell>
          <cell r="D488">
            <v>285</v>
          </cell>
          <cell r="E488">
            <v>320</v>
          </cell>
          <cell r="F488" t="str">
            <v>72.11870 - 22</v>
          </cell>
          <cell r="G488"/>
          <cell r="H488"/>
          <cell r="K488"/>
        </row>
        <row r="489">
          <cell r="B489">
            <v>192.5</v>
          </cell>
          <cell r="C489">
            <v>317</v>
          </cell>
          <cell r="D489">
            <v>285</v>
          </cell>
          <cell r="E489">
            <v>320</v>
          </cell>
          <cell r="F489" t="str">
            <v>72.11871 - 22</v>
          </cell>
          <cell r="G489"/>
          <cell r="H489"/>
          <cell r="K489"/>
        </row>
        <row r="490">
          <cell r="B490">
            <v>192.5</v>
          </cell>
          <cell r="C490">
            <v>265</v>
          </cell>
          <cell r="D490">
            <v>285</v>
          </cell>
          <cell r="E490">
            <v>320</v>
          </cell>
          <cell r="F490" t="str">
            <v>72.11870 - 22</v>
          </cell>
          <cell r="G490"/>
          <cell r="H490"/>
          <cell r="K490"/>
        </row>
        <row r="491">
          <cell r="B491">
            <v>192.5</v>
          </cell>
          <cell r="C491">
            <v>260</v>
          </cell>
          <cell r="D491">
            <v>360</v>
          </cell>
          <cell r="E491">
            <v>320</v>
          </cell>
          <cell r="F491" t="str">
            <v>72.49955 - 1</v>
          </cell>
          <cell r="G491"/>
          <cell r="H491"/>
          <cell r="K491"/>
        </row>
        <row r="492">
          <cell r="B492">
            <v>192.5</v>
          </cell>
          <cell r="C492">
            <v>265</v>
          </cell>
          <cell r="D492">
            <v>285</v>
          </cell>
          <cell r="E492">
            <v>320</v>
          </cell>
          <cell r="F492" t="str">
            <v>72.11870 - 22</v>
          </cell>
          <cell r="G492"/>
          <cell r="H492"/>
          <cell r="K492"/>
        </row>
        <row r="493">
          <cell r="B493">
            <v>192.5</v>
          </cell>
          <cell r="C493">
            <v>260</v>
          </cell>
          <cell r="D493">
            <v>285</v>
          </cell>
          <cell r="E493">
            <v>320</v>
          </cell>
          <cell r="F493" t="str">
            <v>72.11870 - 22</v>
          </cell>
          <cell r="G493"/>
          <cell r="H493"/>
          <cell r="K493"/>
        </row>
        <row r="494">
          <cell r="B494">
            <v>192.5</v>
          </cell>
          <cell r="C494">
            <v>265</v>
          </cell>
          <cell r="D494">
            <v>285</v>
          </cell>
          <cell r="E494">
            <v>320</v>
          </cell>
          <cell r="F494" t="str">
            <v>72.11870 - 22</v>
          </cell>
          <cell r="G494"/>
          <cell r="H494"/>
          <cell r="K494"/>
        </row>
        <row r="495">
          <cell r="B495">
            <v>192.5</v>
          </cell>
          <cell r="C495">
            <v>265</v>
          </cell>
          <cell r="D495">
            <v>285</v>
          </cell>
          <cell r="E495">
            <v>320</v>
          </cell>
          <cell r="F495" t="str">
            <v>72.11870 - 22</v>
          </cell>
          <cell r="G495"/>
          <cell r="H495"/>
          <cell r="K495"/>
        </row>
        <row r="496">
          <cell r="B496">
            <v>192.5</v>
          </cell>
          <cell r="C496">
            <v>265</v>
          </cell>
          <cell r="D496">
            <v>285</v>
          </cell>
          <cell r="E496">
            <v>320</v>
          </cell>
          <cell r="F496" t="str">
            <v>72.11870 - 22</v>
          </cell>
          <cell r="G496"/>
          <cell r="H496"/>
          <cell r="K496"/>
        </row>
        <row r="497">
          <cell r="B497">
            <v>192.5</v>
          </cell>
          <cell r="C497">
            <v>265</v>
          </cell>
          <cell r="D497">
            <v>285</v>
          </cell>
          <cell r="E497">
            <v>320</v>
          </cell>
          <cell r="F497" t="str">
            <v>72.11870 - 22</v>
          </cell>
          <cell r="G497"/>
          <cell r="H497"/>
          <cell r="K497"/>
        </row>
        <row r="498">
          <cell r="B498">
            <v>192.5</v>
          </cell>
          <cell r="C498">
            <v>260</v>
          </cell>
          <cell r="D498">
            <v>375</v>
          </cell>
          <cell r="E498">
            <v>320</v>
          </cell>
          <cell r="F498" t="str">
            <v>72.49955 - 1</v>
          </cell>
          <cell r="G498"/>
          <cell r="H498"/>
          <cell r="K498"/>
        </row>
        <row r="499">
          <cell r="B499">
            <v>195</v>
          </cell>
          <cell r="C499">
            <v>265</v>
          </cell>
          <cell r="D499">
            <v>285</v>
          </cell>
          <cell r="E499">
            <v>320</v>
          </cell>
          <cell r="F499" t="str">
            <v>72.11870 - 23</v>
          </cell>
          <cell r="G499"/>
          <cell r="H499"/>
          <cell r="K499"/>
        </row>
        <row r="500">
          <cell r="B500">
            <v>195</v>
          </cell>
          <cell r="C500">
            <v>265</v>
          </cell>
          <cell r="D500">
            <v>285</v>
          </cell>
          <cell r="E500">
            <v>320</v>
          </cell>
          <cell r="F500" t="str">
            <v>72.11870 - 23</v>
          </cell>
          <cell r="G500"/>
          <cell r="H500"/>
          <cell r="K500"/>
        </row>
        <row r="501">
          <cell r="B501">
            <v>195</v>
          </cell>
          <cell r="C501">
            <v>265</v>
          </cell>
          <cell r="D501">
            <v>285</v>
          </cell>
          <cell r="E501">
            <v>320</v>
          </cell>
          <cell r="F501" t="str">
            <v>72.11870 - 23</v>
          </cell>
          <cell r="G501"/>
          <cell r="H501"/>
          <cell r="K501"/>
        </row>
        <row r="502">
          <cell r="B502">
            <v>195</v>
          </cell>
          <cell r="C502">
            <v>265</v>
          </cell>
          <cell r="D502">
            <v>285</v>
          </cell>
          <cell r="E502">
            <v>320</v>
          </cell>
          <cell r="F502" t="str">
            <v>72.11870 - 23</v>
          </cell>
          <cell r="G502"/>
          <cell r="H502"/>
          <cell r="K502"/>
        </row>
        <row r="503">
          <cell r="B503">
            <v>195</v>
          </cell>
          <cell r="C503">
            <v>265</v>
          </cell>
          <cell r="D503">
            <v>285</v>
          </cell>
          <cell r="E503">
            <v>320</v>
          </cell>
          <cell r="F503" t="str">
            <v>72.11870 - 23</v>
          </cell>
          <cell r="G503"/>
          <cell r="H503"/>
          <cell r="K503"/>
        </row>
        <row r="504">
          <cell r="B504">
            <v>195</v>
          </cell>
          <cell r="C504">
            <v>265</v>
          </cell>
          <cell r="D504">
            <v>285</v>
          </cell>
          <cell r="E504">
            <v>320</v>
          </cell>
          <cell r="F504" t="str">
            <v>72.11870 - 23</v>
          </cell>
          <cell r="G504"/>
          <cell r="H504"/>
          <cell r="K504"/>
        </row>
        <row r="505">
          <cell r="B505">
            <v>195</v>
          </cell>
          <cell r="C505">
            <v>260</v>
          </cell>
          <cell r="D505">
            <v>285</v>
          </cell>
          <cell r="E505">
            <v>320</v>
          </cell>
          <cell r="F505" t="str">
            <v>72.11870 - 23</v>
          </cell>
          <cell r="G505"/>
          <cell r="H505"/>
          <cell r="K505"/>
        </row>
        <row r="506">
          <cell r="B506">
            <v>195</v>
          </cell>
          <cell r="C506">
            <v>265</v>
          </cell>
          <cell r="D506">
            <v>285</v>
          </cell>
          <cell r="E506">
            <v>320</v>
          </cell>
          <cell r="F506" t="str">
            <v>72.11870 - 23</v>
          </cell>
          <cell r="G506"/>
          <cell r="H506"/>
          <cell r="K506"/>
        </row>
        <row r="507">
          <cell r="B507">
            <v>195</v>
          </cell>
          <cell r="C507">
            <v>265</v>
          </cell>
          <cell r="D507">
            <v>285</v>
          </cell>
          <cell r="E507">
            <v>320</v>
          </cell>
          <cell r="F507" t="str">
            <v>72.11870 - 23</v>
          </cell>
          <cell r="G507"/>
          <cell r="H507"/>
          <cell r="K507"/>
        </row>
        <row r="508">
          <cell r="B508">
            <v>195</v>
          </cell>
          <cell r="C508">
            <v>318</v>
          </cell>
          <cell r="D508">
            <v>285</v>
          </cell>
          <cell r="E508">
            <v>320</v>
          </cell>
          <cell r="F508" t="str">
            <v>72.11871 - 23</v>
          </cell>
          <cell r="G508">
            <v>7260017</v>
          </cell>
          <cell r="H508"/>
          <cell r="K508"/>
        </row>
        <row r="509">
          <cell r="B509">
            <v>195</v>
          </cell>
          <cell r="C509">
            <v>377</v>
          </cell>
          <cell r="D509">
            <v>285</v>
          </cell>
          <cell r="E509">
            <v>320</v>
          </cell>
          <cell r="F509" t="str">
            <v>72.42461 - 23</v>
          </cell>
          <cell r="G509">
            <v>7260018</v>
          </cell>
          <cell r="H509"/>
          <cell r="K509"/>
        </row>
        <row r="510">
          <cell r="B510">
            <v>195</v>
          </cell>
          <cell r="C510">
            <v>263</v>
          </cell>
          <cell r="D510">
            <v>285</v>
          </cell>
          <cell r="E510">
            <v>320</v>
          </cell>
          <cell r="F510" t="str">
            <v>72.11870 - 23</v>
          </cell>
          <cell r="G510"/>
          <cell r="H510"/>
          <cell r="K510"/>
        </row>
        <row r="511">
          <cell r="B511">
            <v>195</v>
          </cell>
          <cell r="C511">
            <v>377</v>
          </cell>
          <cell r="D511">
            <v>285</v>
          </cell>
          <cell r="E511">
            <v>320</v>
          </cell>
          <cell r="F511" t="str">
            <v>72.42461 - 23</v>
          </cell>
          <cell r="G511">
            <v>7260018</v>
          </cell>
          <cell r="H511"/>
          <cell r="K511"/>
        </row>
        <row r="512">
          <cell r="B512">
            <v>195</v>
          </cell>
          <cell r="C512">
            <v>260</v>
          </cell>
          <cell r="D512">
            <v>285</v>
          </cell>
          <cell r="E512">
            <v>320</v>
          </cell>
          <cell r="F512" t="str">
            <v>72.11870 - 23</v>
          </cell>
          <cell r="G512"/>
          <cell r="H512"/>
          <cell r="K512"/>
        </row>
        <row r="513">
          <cell r="B513">
            <v>195</v>
          </cell>
          <cell r="C513">
            <v>265</v>
          </cell>
          <cell r="D513">
            <v>285</v>
          </cell>
          <cell r="E513">
            <v>320</v>
          </cell>
          <cell r="F513" t="str">
            <v>72.11870 - 23</v>
          </cell>
          <cell r="G513"/>
          <cell r="H513"/>
          <cell r="K513"/>
        </row>
        <row r="514">
          <cell r="B514">
            <v>195</v>
          </cell>
          <cell r="C514">
            <v>265</v>
          </cell>
          <cell r="D514">
            <v>285</v>
          </cell>
          <cell r="E514">
            <v>320</v>
          </cell>
          <cell r="F514" t="str">
            <v>72.11870 - 23</v>
          </cell>
          <cell r="G514"/>
          <cell r="H514"/>
          <cell r="K514"/>
        </row>
        <row r="515">
          <cell r="B515">
            <v>197.5</v>
          </cell>
          <cell r="C515">
            <v>265</v>
          </cell>
          <cell r="D515">
            <v>285</v>
          </cell>
          <cell r="E515">
            <v>320</v>
          </cell>
          <cell r="F515" t="str">
            <v>72.11870 - 24</v>
          </cell>
          <cell r="G515"/>
          <cell r="H515"/>
          <cell r="K515"/>
        </row>
        <row r="516">
          <cell r="B516">
            <v>197.5</v>
          </cell>
          <cell r="C516">
            <v>260</v>
          </cell>
          <cell r="D516">
            <v>285</v>
          </cell>
          <cell r="E516">
            <v>320</v>
          </cell>
          <cell r="F516" t="str">
            <v>72.11870 - 24</v>
          </cell>
          <cell r="G516"/>
          <cell r="H516"/>
          <cell r="K516"/>
        </row>
        <row r="517">
          <cell r="B517">
            <v>197.5</v>
          </cell>
          <cell r="C517">
            <v>260</v>
          </cell>
          <cell r="D517">
            <v>285</v>
          </cell>
          <cell r="E517">
            <v>320</v>
          </cell>
          <cell r="F517" t="str">
            <v>72.11870 - 24</v>
          </cell>
          <cell r="G517"/>
          <cell r="H517"/>
          <cell r="K517"/>
        </row>
        <row r="518">
          <cell r="B518">
            <v>197.5</v>
          </cell>
          <cell r="C518">
            <v>265</v>
          </cell>
          <cell r="D518">
            <v>285</v>
          </cell>
          <cell r="E518">
            <v>320</v>
          </cell>
          <cell r="F518" t="str">
            <v>72.11870 - 24</v>
          </cell>
          <cell r="G518"/>
          <cell r="H518"/>
          <cell r="K518"/>
        </row>
        <row r="519">
          <cell r="B519">
            <v>197.5</v>
          </cell>
          <cell r="C519">
            <v>265</v>
          </cell>
          <cell r="D519">
            <v>285</v>
          </cell>
          <cell r="E519">
            <v>320</v>
          </cell>
          <cell r="F519" t="str">
            <v>72.11870 - 24</v>
          </cell>
          <cell r="G519"/>
          <cell r="H519"/>
          <cell r="K519"/>
        </row>
        <row r="520">
          <cell r="B520">
            <v>197.5</v>
          </cell>
          <cell r="C520">
            <v>263</v>
          </cell>
          <cell r="D520">
            <v>285</v>
          </cell>
          <cell r="E520">
            <v>320</v>
          </cell>
          <cell r="F520" t="str">
            <v>72.11870 - 24</v>
          </cell>
          <cell r="G520"/>
          <cell r="H520"/>
          <cell r="K520"/>
        </row>
        <row r="521">
          <cell r="B521">
            <v>197.5</v>
          </cell>
          <cell r="C521">
            <v>318</v>
          </cell>
          <cell r="D521">
            <v>285</v>
          </cell>
          <cell r="E521">
            <v>320</v>
          </cell>
          <cell r="F521" t="str">
            <v>72.11871 - 24</v>
          </cell>
          <cell r="G521"/>
          <cell r="H521"/>
          <cell r="K521"/>
        </row>
        <row r="522">
          <cell r="B522">
            <v>197.5</v>
          </cell>
          <cell r="C522">
            <v>325</v>
          </cell>
          <cell r="D522">
            <v>285</v>
          </cell>
          <cell r="E522">
            <v>320</v>
          </cell>
          <cell r="F522" t="str">
            <v>72.11871 - 24</v>
          </cell>
          <cell r="G522"/>
          <cell r="H522"/>
          <cell r="K522"/>
        </row>
        <row r="523">
          <cell r="B523">
            <v>197.5</v>
          </cell>
          <cell r="C523">
            <v>265</v>
          </cell>
          <cell r="D523">
            <v>285</v>
          </cell>
          <cell r="E523">
            <v>320</v>
          </cell>
          <cell r="F523" t="str">
            <v>72.11870 - 24</v>
          </cell>
          <cell r="G523"/>
          <cell r="H523"/>
          <cell r="K523"/>
        </row>
        <row r="524">
          <cell r="B524">
            <v>197.5</v>
          </cell>
          <cell r="C524">
            <v>265</v>
          </cell>
          <cell r="D524">
            <v>285</v>
          </cell>
          <cell r="E524">
            <v>320</v>
          </cell>
          <cell r="F524" t="str">
            <v>72.11870 - 24</v>
          </cell>
          <cell r="G524"/>
          <cell r="H524"/>
          <cell r="K524"/>
        </row>
        <row r="525">
          <cell r="B525">
            <v>197.5</v>
          </cell>
          <cell r="C525">
            <v>260</v>
          </cell>
          <cell r="D525">
            <v>285</v>
          </cell>
          <cell r="E525">
            <v>320</v>
          </cell>
          <cell r="F525" t="str">
            <v>72.11870 - 24</v>
          </cell>
          <cell r="G525"/>
          <cell r="H525"/>
          <cell r="K525"/>
        </row>
        <row r="526">
          <cell r="B526">
            <v>197.5</v>
          </cell>
          <cell r="C526">
            <v>378</v>
          </cell>
          <cell r="D526">
            <v>285</v>
          </cell>
          <cell r="E526">
            <v>320</v>
          </cell>
          <cell r="F526" t="str">
            <v>72.42461 - 24</v>
          </cell>
          <cell r="G526"/>
          <cell r="H526"/>
          <cell r="K526"/>
        </row>
        <row r="527">
          <cell r="B527">
            <v>197.5</v>
          </cell>
          <cell r="C527">
            <v>318</v>
          </cell>
          <cell r="D527">
            <v>285</v>
          </cell>
          <cell r="E527">
            <v>320</v>
          </cell>
          <cell r="F527" t="str">
            <v>72.11871 - 24</v>
          </cell>
          <cell r="G527"/>
          <cell r="H527"/>
          <cell r="K527"/>
        </row>
        <row r="528">
          <cell r="B528">
            <v>197.5</v>
          </cell>
          <cell r="C528">
            <v>263</v>
          </cell>
          <cell r="D528">
            <v>285</v>
          </cell>
          <cell r="E528">
            <v>320</v>
          </cell>
          <cell r="F528" t="str">
            <v>72.11870 - 24</v>
          </cell>
          <cell r="G528"/>
          <cell r="H528"/>
          <cell r="K528"/>
        </row>
        <row r="529">
          <cell r="B529">
            <v>197.5</v>
          </cell>
          <cell r="C529">
            <v>265</v>
          </cell>
          <cell r="D529">
            <v>285</v>
          </cell>
          <cell r="E529">
            <v>320</v>
          </cell>
          <cell r="F529" t="str">
            <v>72.11870 - 24</v>
          </cell>
          <cell r="G529"/>
          <cell r="H529"/>
          <cell r="K529"/>
        </row>
        <row r="530">
          <cell r="B530">
            <v>197.5</v>
          </cell>
          <cell r="C530">
            <v>375</v>
          </cell>
          <cell r="D530">
            <v>285</v>
          </cell>
          <cell r="E530">
            <v>320</v>
          </cell>
          <cell r="F530" t="str">
            <v>72.42461 - 24</v>
          </cell>
          <cell r="G530"/>
          <cell r="H530"/>
          <cell r="K530"/>
        </row>
        <row r="531">
          <cell r="B531">
            <v>200</v>
          </cell>
          <cell r="C531">
            <v>265</v>
          </cell>
          <cell r="D531">
            <v>285</v>
          </cell>
          <cell r="E531">
            <v>320</v>
          </cell>
          <cell r="F531" t="str">
            <v>72.11870 - 25</v>
          </cell>
          <cell r="G531"/>
          <cell r="H531"/>
          <cell r="K531"/>
        </row>
        <row r="532">
          <cell r="B532">
            <v>200</v>
          </cell>
          <cell r="C532">
            <v>265</v>
          </cell>
          <cell r="D532">
            <v>285</v>
          </cell>
          <cell r="E532">
            <v>320</v>
          </cell>
          <cell r="F532" t="str">
            <v>72.11870 - 25</v>
          </cell>
          <cell r="G532"/>
          <cell r="H532"/>
          <cell r="K532"/>
        </row>
        <row r="533">
          <cell r="B533">
            <v>200</v>
          </cell>
          <cell r="C533">
            <v>265</v>
          </cell>
          <cell r="D533">
            <v>285</v>
          </cell>
          <cell r="E533">
            <v>320</v>
          </cell>
          <cell r="F533" t="str">
            <v>72.11870 - 25</v>
          </cell>
          <cell r="G533"/>
          <cell r="H533"/>
          <cell r="K533"/>
        </row>
        <row r="534">
          <cell r="B534">
            <v>200</v>
          </cell>
          <cell r="C534">
            <v>410</v>
          </cell>
          <cell r="D534">
            <v>285</v>
          </cell>
          <cell r="E534">
            <v>320</v>
          </cell>
          <cell r="F534" t="str">
            <v>72.42346 - 01</v>
          </cell>
          <cell r="G534">
            <v>7260019</v>
          </cell>
          <cell r="K534"/>
        </row>
        <row r="535">
          <cell r="B535">
            <v>200</v>
          </cell>
          <cell r="C535">
            <v>265</v>
          </cell>
          <cell r="D535">
            <v>285</v>
          </cell>
          <cell r="E535">
            <v>320</v>
          </cell>
          <cell r="F535" t="str">
            <v>72.11870 - 25</v>
          </cell>
          <cell r="G535"/>
          <cell r="H535"/>
          <cell r="K535"/>
        </row>
        <row r="536">
          <cell r="B536">
            <v>200</v>
          </cell>
          <cell r="C536">
            <v>265</v>
          </cell>
          <cell r="D536">
            <v>285</v>
          </cell>
          <cell r="E536">
            <v>320</v>
          </cell>
          <cell r="F536" t="str">
            <v>72.11870 - 25</v>
          </cell>
          <cell r="G536"/>
          <cell r="H536"/>
          <cell r="K536"/>
        </row>
        <row r="537">
          <cell r="B537">
            <v>200</v>
          </cell>
          <cell r="C537">
            <v>260</v>
          </cell>
          <cell r="D537">
            <v>285</v>
          </cell>
          <cell r="E537">
            <v>320</v>
          </cell>
          <cell r="F537" t="str">
            <v>72.11870 - 25</v>
          </cell>
          <cell r="G537"/>
          <cell r="H537"/>
          <cell r="K537"/>
        </row>
        <row r="538">
          <cell r="B538">
            <v>200</v>
          </cell>
          <cell r="C538">
            <v>265</v>
          </cell>
          <cell r="D538">
            <v>285</v>
          </cell>
          <cell r="E538">
            <v>320</v>
          </cell>
          <cell r="F538" t="str">
            <v>72.11870 - 25</v>
          </cell>
          <cell r="G538"/>
          <cell r="H538"/>
          <cell r="K538"/>
        </row>
        <row r="539">
          <cell r="B539">
            <v>200</v>
          </cell>
          <cell r="C539">
            <v>260</v>
          </cell>
          <cell r="D539">
            <v>285</v>
          </cell>
          <cell r="E539">
            <v>320</v>
          </cell>
          <cell r="F539" t="str">
            <v>72.11870 - 25</v>
          </cell>
          <cell r="G539"/>
          <cell r="H539"/>
          <cell r="K539"/>
        </row>
        <row r="540">
          <cell r="B540">
            <v>200</v>
          </cell>
          <cell r="C540">
            <v>265</v>
          </cell>
          <cell r="D540">
            <v>285</v>
          </cell>
          <cell r="E540">
            <v>320</v>
          </cell>
          <cell r="F540" t="str">
            <v>72.11870 - 25</v>
          </cell>
          <cell r="G540"/>
          <cell r="H540"/>
          <cell r="K540"/>
        </row>
        <row r="541">
          <cell r="B541">
            <v>200</v>
          </cell>
          <cell r="C541">
            <v>265</v>
          </cell>
          <cell r="D541">
            <v>285</v>
          </cell>
          <cell r="E541">
            <v>320</v>
          </cell>
          <cell r="F541" t="str">
            <v>72.11870 - 25</v>
          </cell>
          <cell r="G541"/>
          <cell r="H541"/>
          <cell r="K541"/>
        </row>
        <row r="542">
          <cell r="B542">
            <v>200</v>
          </cell>
          <cell r="C542">
            <v>265</v>
          </cell>
          <cell r="D542">
            <v>285</v>
          </cell>
          <cell r="E542">
            <v>320</v>
          </cell>
          <cell r="F542" t="str">
            <v>72.11870 - 25</v>
          </cell>
          <cell r="G542"/>
          <cell r="H542"/>
          <cell r="K542"/>
        </row>
        <row r="543">
          <cell r="B543">
            <v>200</v>
          </cell>
          <cell r="C543">
            <v>262</v>
          </cell>
          <cell r="D543">
            <v>285</v>
          </cell>
          <cell r="E543">
            <v>320</v>
          </cell>
          <cell r="F543" t="str">
            <v>72.11870 - 25</v>
          </cell>
          <cell r="G543"/>
          <cell r="H543"/>
          <cell r="K543"/>
        </row>
        <row r="544">
          <cell r="B544">
            <v>200</v>
          </cell>
          <cell r="C544">
            <v>265</v>
          </cell>
          <cell r="D544">
            <v>285</v>
          </cell>
          <cell r="E544">
            <v>320</v>
          </cell>
          <cell r="F544" t="str">
            <v>72.11870 - 25</v>
          </cell>
          <cell r="G544"/>
          <cell r="H544"/>
          <cell r="K544"/>
        </row>
        <row r="545">
          <cell r="B545">
            <v>200</v>
          </cell>
          <cell r="C545">
            <v>315</v>
          </cell>
          <cell r="D545">
            <v>285</v>
          </cell>
          <cell r="E545">
            <v>320</v>
          </cell>
          <cell r="F545" t="str">
            <v>72.11871 - 25</v>
          </cell>
          <cell r="G545"/>
          <cell r="H545"/>
          <cell r="K545"/>
        </row>
        <row r="546">
          <cell r="B546">
            <v>200</v>
          </cell>
          <cell r="C546">
            <v>265</v>
          </cell>
          <cell r="D546">
            <v>285</v>
          </cell>
          <cell r="E546">
            <v>320</v>
          </cell>
          <cell r="F546" t="str">
            <v>72.11870 - 25</v>
          </cell>
          <cell r="G546"/>
          <cell r="H546"/>
          <cell r="K546"/>
        </row>
        <row r="547">
          <cell r="B547">
            <v>202.5</v>
          </cell>
          <cell r="C547">
            <v>410</v>
          </cell>
          <cell r="D547">
            <v>285</v>
          </cell>
          <cell r="E547">
            <v>320</v>
          </cell>
          <cell r="F547" t="str">
            <v>72.42346 - 02</v>
          </cell>
          <cell r="G547">
            <v>7260019</v>
          </cell>
          <cell r="H547"/>
          <cell r="K547"/>
        </row>
        <row r="548">
          <cell r="B548">
            <v>205</v>
          </cell>
          <cell r="C548">
            <v>260</v>
          </cell>
          <cell r="D548">
            <v>285</v>
          </cell>
          <cell r="E548">
            <v>320</v>
          </cell>
          <cell r="F548" t="str">
            <v>72.11870 - 27</v>
          </cell>
          <cell r="G548"/>
          <cell r="H548"/>
          <cell r="K548"/>
        </row>
        <row r="549">
          <cell r="B549">
            <v>205</v>
          </cell>
          <cell r="C549">
            <v>265</v>
          </cell>
          <cell r="D549">
            <v>285</v>
          </cell>
          <cell r="E549">
            <v>320</v>
          </cell>
          <cell r="F549" t="str">
            <v>72.11870 - 27</v>
          </cell>
          <cell r="G549"/>
          <cell r="H549"/>
          <cell r="K549"/>
        </row>
        <row r="550">
          <cell r="B550">
            <v>205</v>
          </cell>
          <cell r="C550">
            <v>265</v>
          </cell>
          <cell r="D550">
            <v>285</v>
          </cell>
          <cell r="E550">
            <v>320</v>
          </cell>
          <cell r="F550" t="str">
            <v>72.11870 - 27</v>
          </cell>
          <cell r="G550"/>
          <cell r="H550"/>
          <cell r="K550"/>
        </row>
        <row r="551">
          <cell r="B551">
            <v>205</v>
          </cell>
          <cell r="C551">
            <v>265</v>
          </cell>
          <cell r="D551">
            <v>285</v>
          </cell>
          <cell r="E551">
            <v>320</v>
          </cell>
          <cell r="F551" t="str">
            <v>72.11870 - 27</v>
          </cell>
          <cell r="G551"/>
          <cell r="H551"/>
          <cell r="K551"/>
        </row>
        <row r="552">
          <cell r="B552">
            <v>205</v>
          </cell>
          <cell r="C552">
            <v>265</v>
          </cell>
          <cell r="D552">
            <v>285</v>
          </cell>
          <cell r="E552">
            <v>320</v>
          </cell>
          <cell r="F552" t="str">
            <v>72.11870 - 27</v>
          </cell>
          <cell r="G552"/>
          <cell r="H552"/>
          <cell r="K552"/>
        </row>
        <row r="553">
          <cell r="B553">
            <v>205</v>
          </cell>
          <cell r="C553">
            <v>265</v>
          </cell>
          <cell r="D553">
            <v>285</v>
          </cell>
          <cell r="E553">
            <v>320</v>
          </cell>
          <cell r="F553" t="str">
            <v>72.11870 - 27</v>
          </cell>
          <cell r="G553"/>
          <cell r="H553"/>
          <cell r="K553"/>
        </row>
        <row r="554">
          <cell r="B554">
            <v>205</v>
          </cell>
          <cell r="C554">
            <v>265</v>
          </cell>
          <cell r="D554">
            <v>285</v>
          </cell>
          <cell r="E554">
            <v>320</v>
          </cell>
          <cell r="F554" t="str">
            <v>72.11870 - 27</v>
          </cell>
          <cell r="G554"/>
          <cell r="H554"/>
          <cell r="K554"/>
        </row>
        <row r="555">
          <cell r="B555">
            <v>205</v>
          </cell>
          <cell r="C555">
            <v>265</v>
          </cell>
          <cell r="D555">
            <v>285</v>
          </cell>
          <cell r="E555">
            <v>320</v>
          </cell>
          <cell r="F555" t="str">
            <v>72.11870 - 27</v>
          </cell>
          <cell r="G555"/>
          <cell r="H555"/>
          <cell r="K555"/>
        </row>
        <row r="556">
          <cell r="B556">
            <v>205</v>
          </cell>
          <cell r="C556">
            <v>265</v>
          </cell>
          <cell r="D556">
            <v>285</v>
          </cell>
          <cell r="E556">
            <v>320</v>
          </cell>
          <cell r="F556" t="str">
            <v>72.11870 - 27</v>
          </cell>
          <cell r="G556"/>
          <cell r="H556"/>
          <cell r="K556"/>
        </row>
        <row r="557">
          <cell r="B557">
            <v>205</v>
          </cell>
          <cell r="C557">
            <v>315</v>
          </cell>
          <cell r="D557">
            <v>285</v>
          </cell>
          <cell r="E557">
            <v>320</v>
          </cell>
          <cell r="F557" t="str">
            <v>72.11871 - 27</v>
          </cell>
          <cell r="G557"/>
          <cell r="H557"/>
          <cell r="K557"/>
        </row>
        <row r="558">
          <cell r="B558">
            <v>205</v>
          </cell>
          <cell r="C558">
            <v>260</v>
          </cell>
          <cell r="D558">
            <v>285</v>
          </cell>
          <cell r="E558">
            <v>320</v>
          </cell>
          <cell r="F558" t="str">
            <v>72.11870 - 27</v>
          </cell>
          <cell r="G558"/>
          <cell r="H558"/>
          <cell r="K558"/>
        </row>
        <row r="559">
          <cell r="B559">
            <v>205</v>
          </cell>
          <cell r="C559">
            <v>270</v>
          </cell>
          <cell r="D559">
            <v>285</v>
          </cell>
          <cell r="E559">
            <v>320</v>
          </cell>
          <cell r="F559" t="str">
            <v>72.11870 - 27</v>
          </cell>
          <cell r="G559"/>
          <cell r="H559"/>
          <cell r="K559"/>
        </row>
        <row r="560">
          <cell r="B560">
            <v>205</v>
          </cell>
          <cell r="C560">
            <v>263</v>
          </cell>
          <cell r="D560">
            <v>285</v>
          </cell>
          <cell r="E560">
            <v>320</v>
          </cell>
          <cell r="F560" t="str">
            <v>72.11870 - 27</v>
          </cell>
          <cell r="G560"/>
          <cell r="H560"/>
          <cell r="K560"/>
        </row>
        <row r="561">
          <cell r="B561">
            <v>205</v>
          </cell>
          <cell r="C561">
            <v>265</v>
          </cell>
          <cell r="D561">
            <v>285</v>
          </cell>
          <cell r="E561">
            <v>320</v>
          </cell>
          <cell r="F561" t="str">
            <v>72.11870 - 27</v>
          </cell>
          <cell r="G561"/>
          <cell r="H561"/>
          <cell r="K561"/>
        </row>
        <row r="562">
          <cell r="B562">
            <v>205</v>
          </cell>
          <cell r="C562">
            <v>260</v>
          </cell>
          <cell r="D562">
            <v>285</v>
          </cell>
          <cell r="E562">
            <v>320</v>
          </cell>
          <cell r="F562" t="str">
            <v>72.11870 - 27</v>
          </cell>
          <cell r="G562"/>
          <cell r="H562"/>
          <cell r="K562"/>
        </row>
        <row r="563">
          <cell r="B563">
            <v>205</v>
          </cell>
          <cell r="C563">
            <v>265</v>
          </cell>
          <cell r="D563">
            <v>285</v>
          </cell>
          <cell r="E563">
            <v>320</v>
          </cell>
          <cell r="F563" t="str">
            <v>72.11870 - 27</v>
          </cell>
          <cell r="G563"/>
          <cell r="H563"/>
          <cell r="K563"/>
        </row>
        <row r="564">
          <cell r="B564">
            <v>205</v>
          </cell>
          <cell r="C564">
            <v>265</v>
          </cell>
          <cell r="D564">
            <v>285</v>
          </cell>
          <cell r="E564">
            <v>320</v>
          </cell>
          <cell r="F564" t="str">
            <v>72.11870 - 27</v>
          </cell>
          <cell r="G564"/>
          <cell r="H564"/>
          <cell r="K564"/>
        </row>
        <row r="565">
          <cell r="B565">
            <v>207.5</v>
          </cell>
          <cell r="C565">
            <v>275</v>
          </cell>
          <cell r="D565">
            <v>285</v>
          </cell>
          <cell r="E565">
            <v>320</v>
          </cell>
          <cell r="F565" t="str">
            <v>10.242267 - 1</v>
          </cell>
          <cell r="G565">
            <v>7260020</v>
          </cell>
          <cell r="H565"/>
          <cell r="K565"/>
        </row>
        <row r="566">
          <cell r="B566">
            <v>207.5</v>
          </cell>
          <cell r="C566">
            <v>265</v>
          </cell>
          <cell r="D566">
            <v>285</v>
          </cell>
          <cell r="E566">
            <v>320</v>
          </cell>
          <cell r="F566" t="str">
            <v>72.11870 - 28</v>
          </cell>
          <cell r="G566"/>
          <cell r="H566"/>
          <cell r="K566"/>
        </row>
        <row r="567">
          <cell r="B567">
            <v>207.5</v>
          </cell>
          <cell r="C567">
            <v>440</v>
          </cell>
          <cell r="D567">
            <v>285</v>
          </cell>
          <cell r="E567">
            <v>320</v>
          </cell>
          <cell r="F567" t="str">
            <v>10.241070 - 02</v>
          </cell>
          <cell r="G567">
            <v>7260021</v>
          </cell>
          <cell r="H567"/>
          <cell r="K567"/>
        </row>
        <row r="568">
          <cell r="B568">
            <v>207.5</v>
          </cell>
          <cell r="C568">
            <v>263</v>
          </cell>
          <cell r="D568">
            <v>285</v>
          </cell>
          <cell r="E568">
            <v>320</v>
          </cell>
          <cell r="F568" t="str">
            <v>72.11870 - 28</v>
          </cell>
          <cell r="G568"/>
          <cell r="H568"/>
          <cell r="K568"/>
        </row>
        <row r="569">
          <cell r="B569">
            <v>207.5</v>
          </cell>
          <cell r="C569">
            <v>503</v>
          </cell>
          <cell r="D569">
            <v>285</v>
          </cell>
          <cell r="E569">
            <v>320</v>
          </cell>
          <cell r="F569" t="str">
            <v>72.23398 - 03</v>
          </cell>
          <cell r="G569">
            <v>7260022</v>
          </cell>
          <cell r="H569"/>
          <cell r="K569"/>
        </row>
        <row r="570">
          <cell r="B570">
            <v>207.5</v>
          </cell>
          <cell r="C570">
            <v>264</v>
          </cell>
          <cell r="D570">
            <v>285</v>
          </cell>
          <cell r="E570">
            <v>320</v>
          </cell>
          <cell r="F570" t="str">
            <v>72.11870 - 28</v>
          </cell>
          <cell r="G570"/>
          <cell r="H570"/>
          <cell r="K570"/>
        </row>
        <row r="571">
          <cell r="B571">
            <v>207.5</v>
          </cell>
          <cell r="C571">
            <v>260</v>
          </cell>
          <cell r="D571">
            <v>285</v>
          </cell>
          <cell r="E571">
            <v>320</v>
          </cell>
          <cell r="F571" t="str">
            <v>72.11870 - 28</v>
          </cell>
          <cell r="G571"/>
          <cell r="H571"/>
          <cell r="K571"/>
        </row>
        <row r="572">
          <cell r="B572">
            <v>207.5</v>
          </cell>
          <cell r="C572">
            <v>375</v>
          </cell>
          <cell r="D572">
            <v>285</v>
          </cell>
          <cell r="E572">
            <v>320</v>
          </cell>
          <cell r="F572" t="str">
            <v>72.42461 - 28</v>
          </cell>
          <cell r="G572"/>
          <cell r="H572"/>
          <cell r="K572"/>
        </row>
        <row r="573">
          <cell r="B573">
            <v>207.5</v>
          </cell>
          <cell r="C573">
            <v>263</v>
          </cell>
          <cell r="D573">
            <v>285</v>
          </cell>
          <cell r="E573">
            <v>320</v>
          </cell>
          <cell r="F573" t="str">
            <v>72.11870 - 28</v>
          </cell>
          <cell r="G573"/>
          <cell r="H573"/>
          <cell r="K573"/>
        </row>
        <row r="574">
          <cell r="B574">
            <v>210</v>
          </cell>
          <cell r="C574">
            <v>380</v>
          </cell>
          <cell r="D574">
            <v>285</v>
          </cell>
          <cell r="E574">
            <v>320</v>
          </cell>
          <cell r="F574" t="str">
            <v>72.42461 - 29</v>
          </cell>
          <cell r="G574"/>
          <cell r="H574"/>
          <cell r="K574"/>
        </row>
        <row r="575">
          <cell r="B575">
            <v>210</v>
          </cell>
          <cell r="C575">
            <v>265</v>
          </cell>
          <cell r="D575">
            <v>285</v>
          </cell>
          <cell r="E575">
            <v>320</v>
          </cell>
          <cell r="F575" t="str">
            <v>72.11870 - 29</v>
          </cell>
          <cell r="G575"/>
          <cell r="H575"/>
          <cell r="K575"/>
        </row>
        <row r="576">
          <cell r="B576">
            <v>210</v>
          </cell>
          <cell r="C576">
            <v>262</v>
          </cell>
          <cell r="D576">
            <v>285</v>
          </cell>
          <cell r="E576">
            <v>320</v>
          </cell>
          <cell r="F576" t="str">
            <v>72.11870 - 29</v>
          </cell>
          <cell r="G576"/>
          <cell r="H576"/>
          <cell r="K576"/>
        </row>
        <row r="577">
          <cell r="B577">
            <v>210</v>
          </cell>
          <cell r="C577">
            <v>380</v>
          </cell>
          <cell r="D577">
            <v>285</v>
          </cell>
          <cell r="E577">
            <v>320</v>
          </cell>
          <cell r="F577" t="str">
            <v>72.42461 - 29</v>
          </cell>
          <cell r="G577"/>
          <cell r="H577"/>
          <cell r="K577"/>
        </row>
        <row r="578">
          <cell r="B578">
            <v>210</v>
          </cell>
          <cell r="C578">
            <v>380</v>
          </cell>
          <cell r="D578">
            <v>285</v>
          </cell>
          <cell r="E578">
            <v>320</v>
          </cell>
          <cell r="F578" t="str">
            <v>72.42461 - 29</v>
          </cell>
          <cell r="G578"/>
          <cell r="H578"/>
          <cell r="K578"/>
        </row>
        <row r="579">
          <cell r="B579">
            <v>210</v>
          </cell>
          <cell r="C579">
            <v>265</v>
          </cell>
          <cell r="D579">
            <v>285</v>
          </cell>
          <cell r="E579">
            <v>320</v>
          </cell>
          <cell r="F579" t="str">
            <v>72.11870 - 29</v>
          </cell>
          <cell r="G579"/>
          <cell r="H579"/>
          <cell r="K579"/>
        </row>
        <row r="580">
          <cell r="B580">
            <v>210</v>
          </cell>
          <cell r="C580">
            <v>265</v>
          </cell>
          <cell r="D580">
            <v>285</v>
          </cell>
          <cell r="E580">
            <v>320</v>
          </cell>
          <cell r="F580" t="str">
            <v>72.11870 - 29</v>
          </cell>
          <cell r="G580"/>
          <cell r="H580"/>
          <cell r="K580"/>
        </row>
        <row r="581">
          <cell r="B581">
            <v>210</v>
          </cell>
          <cell r="C581">
            <v>376</v>
          </cell>
          <cell r="D581">
            <v>285</v>
          </cell>
          <cell r="E581">
            <v>320</v>
          </cell>
          <cell r="F581" t="str">
            <v>72.42461 - 29</v>
          </cell>
          <cell r="G581"/>
          <cell r="H581"/>
          <cell r="K581"/>
        </row>
        <row r="582">
          <cell r="B582">
            <v>210</v>
          </cell>
          <cell r="C582">
            <v>263</v>
          </cell>
          <cell r="D582">
            <v>285</v>
          </cell>
          <cell r="E582">
            <v>320</v>
          </cell>
          <cell r="F582" t="str">
            <v>72.11870 - 29</v>
          </cell>
          <cell r="G582"/>
          <cell r="H582"/>
          <cell r="K582"/>
        </row>
        <row r="583">
          <cell r="B583">
            <v>210</v>
          </cell>
          <cell r="C583">
            <v>265</v>
          </cell>
          <cell r="D583">
            <v>285</v>
          </cell>
          <cell r="E583">
            <v>320</v>
          </cell>
          <cell r="F583" t="str">
            <v>72.11870 - 29</v>
          </cell>
          <cell r="G583"/>
          <cell r="H583"/>
          <cell r="K583"/>
        </row>
        <row r="584">
          <cell r="B584">
            <v>210</v>
          </cell>
          <cell r="C584">
            <v>263</v>
          </cell>
          <cell r="D584">
            <v>285</v>
          </cell>
          <cell r="E584">
            <v>320</v>
          </cell>
          <cell r="F584" t="str">
            <v>72.11870 - 29</v>
          </cell>
          <cell r="G584"/>
          <cell r="H584"/>
          <cell r="K584"/>
        </row>
        <row r="585">
          <cell r="B585">
            <v>210</v>
          </cell>
          <cell r="C585">
            <v>398</v>
          </cell>
          <cell r="D585">
            <v>285</v>
          </cell>
          <cell r="E585">
            <v>320</v>
          </cell>
          <cell r="F585" t="str">
            <v>10.255223 - 5</v>
          </cell>
          <cell r="G585">
            <v>7260023</v>
          </cell>
          <cell r="H585"/>
          <cell r="K585"/>
        </row>
        <row r="586">
          <cell r="B586">
            <v>210</v>
          </cell>
          <cell r="C586">
            <v>400</v>
          </cell>
          <cell r="D586">
            <v>285</v>
          </cell>
          <cell r="E586">
            <v>320</v>
          </cell>
          <cell r="F586" t="str">
            <v>10.255223 - 5</v>
          </cell>
          <cell r="G586">
            <v>7260023</v>
          </cell>
          <cell r="H586" t="str">
            <v>Н.Н. - нет кокиля - 26.07.2022</v>
          </cell>
          <cell r="K586"/>
        </row>
        <row r="587">
          <cell r="B587">
            <v>210</v>
          </cell>
          <cell r="C587">
            <v>380</v>
          </cell>
          <cell r="D587">
            <v>285</v>
          </cell>
          <cell r="E587">
            <v>320</v>
          </cell>
          <cell r="F587" t="str">
            <v>72.42461 - 29</v>
          </cell>
          <cell r="G587"/>
          <cell r="H587"/>
          <cell r="K587"/>
        </row>
        <row r="588">
          <cell r="B588">
            <v>210</v>
          </cell>
          <cell r="C588">
            <v>263</v>
          </cell>
          <cell r="D588">
            <v>285</v>
          </cell>
          <cell r="E588">
            <v>320</v>
          </cell>
          <cell r="F588" t="str">
            <v>72.11870 - 29</v>
          </cell>
          <cell r="G588"/>
          <cell r="H588"/>
          <cell r="K588"/>
        </row>
        <row r="589">
          <cell r="B589">
            <v>210</v>
          </cell>
          <cell r="C589">
            <v>377</v>
          </cell>
          <cell r="D589">
            <v>285</v>
          </cell>
          <cell r="E589">
            <v>320</v>
          </cell>
          <cell r="F589" t="str">
            <v>72.42461 - 29</v>
          </cell>
          <cell r="G589"/>
          <cell r="H589"/>
          <cell r="K589"/>
        </row>
        <row r="590">
          <cell r="B590">
            <v>210</v>
          </cell>
          <cell r="C590">
            <v>318</v>
          </cell>
          <cell r="D590">
            <v>285</v>
          </cell>
          <cell r="E590">
            <v>320</v>
          </cell>
          <cell r="F590" t="str">
            <v>72.11871 - 29</v>
          </cell>
          <cell r="G590"/>
          <cell r="H590"/>
          <cell r="K590"/>
        </row>
        <row r="591">
          <cell r="B591">
            <v>210</v>
          </cell>
          <cell r="C591">
            <v>320</v>
          </cell>
          <cell r="D591">
            <v>285</v>
          </cell>
          <cell r="E591">
            <v>320</v>
          </cell>
          <cell r="F591" t="str">
            <v>72.11871 - 29</v>
          </cell>
          <cell r="G591"/>
          <cell r="H591"/>
          <cell r="K591"/>
        </row>
        <row r="592">
          <cell r="B592">
            <v>210</v>
          </cell>
          <cell r="C592">
            <v>315</v>
          </cell>
          <cell r="D592">
            <v>285</v>
          </cell>
          <cell r="E592">
            <v>320</v>
          </cell>
          <cell r="F592" t="str">
            <v>72.11871 - 29</v>
          </cell>
          <cell r="G592"/>
          <cell r="H592"/>
          <cell r="K592"/>
        </row>
        <row r="593">
          <cell r="B593">
            <v>210</v>
          </cell>
          <cell r="C593">
            <v>263</v>
          </cell>
          <cell r="D593">
            <v>285</v>
          </cell>
          <cell r="E593">
            <v>320</v>
          </cell>
          <cell r="F593" t="str">
            <v>72.11870 - 29</v>
          </cell>
          <cell r="G593"/>
          <cell r="H593"/>
          <cell r="K593"/>
        </row>
        <row r="594">
          <cell r="B594">
            <v>210</v>
          </cell>
          <cell r="C594">
            <v>263</v>
          </cell>
          <cell r="D594">
            <v>285</v>
          </cell>
          <cell r="E594">
            <v>320</v>
          </cell>
          <cell r="F594" t="str">
            <v>72.11870 - 29</v>
          </cell>
          <cell r="G594"/>
          <cell r="H594"/>
          <cell r="K594"/>
        </row>
        <row r="595">
          <cell r="B595">
            <v>210</v>
          </cell>
          <cell r="C595">
            <v>263</v>
          </cell>
          <cell r="D595">
            <v>285</v>
          </cell>
          <cell r="E595">
            <v>320</v>
          </cell>
          <cell r="F595" t="str">
            <v>72.11870 - 29</v>
          </cell>
          <cell r="G595"/>
          <cell r="H595"/>
          <cell r="K595"/>
        </row>
        <row r="596">
          <cell r="B596">
            <v>210</v>
          </cell>
          <cell r="C596">
            <v>380</v>
          </cell>
          <cell r="D596">
            <v>285</v>
          </cell>
          <cell r="E596">
            <v>320</v>
          </cell>
          <cell r="F596" t="str">
            <v>72.42461 - 29</v>
          </cell>
          <cell r="G596"/>
          <cell r="H596"/>
          <cell r="K596"/>
        </row>
        <row r="597">
          <cell r="B597">
            <v>210</v>
          </cell>
          <cell r="C597">
            <v>375</v>
          </cell>
          <cell r="D597">
            <v>285</v>
          </cell>
          <cell r="E597">
            <v>320</v>
          </cell>
          <cell r="F597" t="str">
            <v>72.42461 - 29</v>
          </cell>
          <cell r="G597"/>
          <cell r="H597"/>
          <cell r="K597"/>
        </row>
        <row r="598">
          <cell r="B598">
            <v>210</v>
          </cell>
          <cell r="C598">
            <v>375</v>
          </cell>
          <cell r="D598">
            <v>285</v>
          </cell>
          <cell r="E598">
            <v>320</v>
          </cell>
          <cell r="F598" t="str">
            <v>72.42461 - 29</v>
          </cell>
          <cell r="G598"/>
          <cell r="H598"/>
          <cell r="K598"/>
        </row>
        <row r="599">
          <cell r="B599">
            <v>212.5</v>
          </cell>
          <cell r="C599">
            <v>320</v>
          </cell>
          <cell r="D599">
            <v>285</v>
          </cell>
          <cell r="E599">
            <v>320</v>
          </cell>
          <cell r="F599" t="str">
            <v>72.11871 - 30</v>
          </cell>
          <cell r="G599">
            <v>7260024</v>
          </cell>
          <cell r="H599"/>
          <cell r="K599"/>
        </row>
        <row r="600">
          <cell r="B600">
            <v>212.5</v>
          </cell>
          <cell r="C600">
            <v>263</v>
          </cell>
          <cell r="D600">
            <v>285</v>
          </cell>
          <cell r="E600">
            <v>320</v>
          </cell>
          <cell r="F600" t="str">
            <v>72.11870 - 30</v>
          </cell>
          <cell r="G600"/>
          <cell r="H600"/>
          <cell r="K600"/>
        </row>
        <row r="601">
          <cell r="B601">
            <v>212.5</v>
          </cell>
          <cell r="C601">
            <v>400</v>
          </cell>
          <cell r="D601">
            <v>285</v>
          </cell>
          <cell r="E601">
            <v>320</v>
          </cell>
          <cell r="F601" t="str">
            <v>10.255223 - 6</v>
          </cell>
          <cell r="G601"/>
          <cell r="H601"/>
          <cell r="K601"/>
        </row>
        <row r="602">
          <cell r="B602">
            <v>212.5</v>
          </cell>
          <cell r="C602">
            <v>375</v>
          </cell>
          <cell r="D602">
            <v>285</v>
          </cell>
          <cell r="E602">
            <v>320</v>
          </cell>
          <cell r="F602" t="str">
            <v>72.42461 - 30</v>
          </cell>
          <cell r="G602"/>
          <cell r="H602"/>
          <cell r="K602"/>
        </row>
        <row r="603">
          <cell r="B603">
            <v>212.5</v>
          </cell>
          <cell r="C603">
            <v>380</v>
          </cell>
          <cell r="D603">
            <v>285</v>
          </cell>
          <cell r="E603">
            <v>320</v>
          </cell>
          <cell r="F603" t="str">
            <v>72.42461 - 30</v>
          </cell>
          <cell r="G603"/>
          <cell r="H603"/>
          <cell r="K603"/>
        </row>
        <row r="604">
          <cell r="B604">
            <v>212.5</v>
          </cell>
          <cell r="C604">
            <v>320</v>
          </cell>
          <cell r="D604">
            <v>285</v>
          </cell>
          <cell r="E604">
            <v>320</v>
          </cell>
          <cell r="F604" t="str">
            <v>72.11871 - 30</v>
          </cell>
          <cell r="G604">
            <v>7260024</v>
          </cell>
          <cell r="H604"/>
          <cell r="K604"/>
        </row>
        <row r="605">
          <cell r="B605">
            <v>212.5</v>
          </cell>
          <cell r="C605">
            <v>375</v>
          </cell>
          <cell r="D605">
            <v>285</v>
          </cell>
          <cell r="E605">
            <v>320</v>
          </cell>
          <cell r="F605" t="str">
            <v>72.42461 - 30</v>
          </cell>
          <cell r="G605"/>
          <cell r="H605"/>
          <cell r="K605"/>
        </row>
        <row r="606">
          <cell r="B606">
            <v>212.5</v>
          </cell>
          <cell r="C606">
            <v>375</v>
          </cell>
          <cell r="D606">
            <v>285</v>
          </cell>
          <cell r="E606">
            <v>320</v>
          </cell>
          <cell r="F606" t="str">
            <v>72.42461 - 30</v>
          </cell>
          <cell r="G606"/>
          <cell r="H606"/>
          <cell r="K606"/>
        </row>
        <row r="607">
          <cell r="B607">
            <v>212.5</v>
          </cell>
          <cell r="C607">
            <v>263</v>
          </cell>
          <cell r="D607">
            <v>285</v>
          </cell>
          <cell r="E607">
            <v>320</v>
          </cell>
          <cell r="F607" t="str">
            <v>72.11870 - 30</v>
          </cell>
          <cell r="G607"/>
          <cell r="H607"/>
          <cell r="K607"/>
        </row>
        <row r="608">
          <cell r="B608">
            <v>215</v>
          </cell>
          <cell r="C608">
            <v>375</v>
          </cell>
          <cell r="D608">
            <v>285</v>
          </cell>
          <cell r="E608">
            <v>320</v>
          </cell>
          <cell r="F608" t="str">
            <v>72.42461 - 31</v>
          </cell>
          <cell r="G608"/>
          <cell r="H608"/>
          <cell r="K608"/>
        </row>
        <row r="609">
          <cell r="B609">
            <v>215</v>
          </cell>
          <cell r="C609">
            <v>265</v>
          </cell>
          <cell r="D609">
            <v>285</v>
          </cell>
          <cell r="E609">
            <v>320</v>
          </cell>
          <cell r="F609" t="str">
            <v>72.11870 - 31</v>
          </cell>
          <cell r="G609"/>
          <cell r="H609"/>
          <cell r="K609"/>
        </row>
        <row r="610">
          <cell r="B610">
            <v>215</v>
          </cell>
          <cell r="C610">
            <v>265</v>
          </cell>
          <cell r="D610">
            <v>285</v>
          </cell>
          <cell r="E610">
            <v>320</v>
          </cell>
          <cell r="F610" t="str">
            <v>72.11870 - 31</v>
          </cell>
          <cell r="G610"/>
          <cell r="H610"/>
          <cell r="K610"/>
        </row>
        <row r="611">
          <cell r="B611">
            <v>215</v>
          </cell>
          <cell r="C611">
            <v>265</v>
          </cell>
          <cell r="D611">
            <v>285</v>
          </cell>
          <cell r="E611">
            <v>320</v>
          </cell>
          <cell r="F611" t="str">
            <v>72.11870 - 31</v>
          </cell>
          <cell r="G611"/>
          <cell r="H611"/>
          <cell r="K611"/>
        </row>
        <row r="612">
          <cell r="B612">
            <v>215</v>
          </cell>
          <cell r="C612">
            <v>320</v>
          </cell>
          <cell r="D612">
            <v>285</v>
          </cell>
          <cell r="E612">
            <v>320</v>
          </cell>
          <cell r="F612" t="str">
            <v>72.11871 - 31</v>
          </cell>
          <cell r="G612"/>
          <cell r="H612"/>
          <cell r="K612"/>
        </row>
        <row r="613">
          <cell r="B613">
            <v>215</v>
          </cell>
          <cell r="C613">
            <v>265</v>
          </cell>
          <cell r="D613">
            <v>285</v>
          </cell>
          <cell r="E613">
            <v>320</v>
          </cell>
          <cell r="F613" t="str">
            <v>72.11870 - 31</v>
          </cell>
          <cell r="G613"/>
          <cell r="H613"/>
          <cell r="K613"/>
        </row>
        <row r="614">
          <cell r="B614">
            <v>215</v>
          </cell>
          <cell r="C614">
            <v>377</v>
          </cell>
          <cell r="D614">
            <v>285</v>
          </cell>
          <cell r="E614">
            <v>320</v>
          </cell>
          <cell r="F614" t="str">
            <v>72.42461 - 31</v>
          </cell>
          <cell r="G614"/>
          <cell r="H614"/>
          <cell r="K614"/>
        </row>
        <row r="615">
          <cell r="B615">
            <v>215</v>
          </cell>
          <cell r="C615">
            <v>263</v>
          </cell>
          <cell r="D615">
            <v>285</v>
          </cell>
          <cell r="E615">
            <v>320</v>
          </cell>
          <cell r="F615" t="str">
            <v>72.11870 - 31</v>
          </cell>
          <cell r="G615"/>
          <cell r="H615"/>
          <cell r="K615"/>
        </row>
        <row r="616">
          <cell r="B616">
            <v>215</v>
          </cell>
          <cell r="C616">
            <v>263</v>
          </cell>
          <cell r="D616">
            <v>285</v>
          </cell>
          <cell r="E616">
            <v>320</v>
          </cell>
          <cell r="F616" t="str">
            <v>72.11870 - 31</v>
          </cell>
          <cell r="G616"/>
          <cell r="H616"/>
          <cell r="K616"/>
        </row>
        <row r="617">
          <cell r="B617">
            <v>215</v>
          </cell>
          <cell r="C617">
            <v>262</v>
          </cell>
          <cell r="D617">
            <v>285</v>
          </cell>
          <cell r="E617">
            <v>320</v>
          </cell>
          <cell r="F617" t="str">
            <v>72.11870 - 31</v>
          </cell>
          <cell r="G617"/>
          <cell r="H617"/>
          <cell r="K617"/>
        </row>
        <row r="618">
          <cell r="B618">
            <v>215</v>
          </cell>
          <cell r="C618">
            <v>375</v>
          </cell>
          <cell r="D618">
            <v>285</v>
          </cell>
          <cell r="E618">
            <v>320</v>
          </cell>
          <cell r="F618" t="str">
            <v>72.42461 - 31</v>
          </cell>
          <cell r="G618"/>
          <cell r="H618"/>
          <cell r="K618"/>
        </row>
        <row r="619">
          <cell r="B619">
            <v>215</v>
          </cell>
          <cell r="C619">
            <v>253</v>
          </cell>
          <cell r="D619">
            <v>375</v>
          </cell>
          <cell r="E619">
            <v>320</v>
          </cell>
          <cell r="F619" t="str">
            <v>72.11870 - 31</v>
          </cell>
          <cell r="G619">
            <v>7260025</v>
          </cell>
          <cell r="H619"/>
          <cell r="K619"/>
        </row>
        <row r="620">
          <cell r="B620">
            <v>215</v>
          </cell>
          <cell r="C620">
            <v>377</v>
          </cell>
          <cell r="D620">
            <v>285</v>
          </cell>
          <cell r="E620">
            <v>320</v>
          </cell>
          <cell r="F620" t="str">
            <v>72.42461 - 31</v>
          </cell>
          <cell r="G620"/>
          <cell r="H620"/>
          <cell r="K620"/>
        </row>
        <row r="621">
          <cell r="B621">
            <v>215</v>
          </cell>
          <cell r="C621">
            <v>317</v>
          </cell>
          <cell r="D621">
            <v>285</v>
          </cell>
          <cell r="E621">
            <v>320</v>
          </cell>
          <cell r="F621" t="str">
            <v>72.11871 - 31</v>
          </cell>
          <cell r="G621"/>
          <cell r="H621"/>
          <cell r="K621"/>
        </row>
        <row r="622">
          <cell r="B622">
            <v>215</v>
          </cell>
          <cell r="C622">
            <v>317</v>
          </cell>
          <cell r="D622">
            <v>285</v>
          </cell>
          <cell r="E622">
            <v>320</v>
          </cell>
          <cell r="F622" t="str">
            <v>72.11871 - 31</v>
          </cell>
          <cell r="G622"/>
          <cell r="H622"/>
          <cell r="K622"/>
        </row>
        <row r="623">
          <cell r="B623">
            <v>215</v>
          </cell>
          <cell r="C623">
            <v>265</v>
          </cell>
          <cell r="D623">
            <v>285</v>
          </cell>
          <cell r="E623">
            <v>320</v>
          </cell>
          <cell r="F623" t="str">
            <v>72.11870 - 31</v>
          </cell>
          <cell r="G623"/>
          <cell r="H623"/>
          <cell r="K623"/>
        </row>
        <row r="624">
          <cell r="B624">
            <v>217.5</v>
          </cell>
          <cell r="C624">
            <v>320</v>
          </cell>
          <cell r="D624">
            <v>285</v>
          </cell>
          <cell r="E624">
            <v>320</v>
          </cell>
          <cell r="F624" t="str">
            <v>72.11871 - 32</v>
          </cell>
          <cell r="G624"/>
          <cell r="H624"/>
          <cell r="K624"/>
        </row>
        <row r="625">
          <cell r="B625">
            <v>217.5</v>
          </cell>
          <cell r="C625">
            <v>320</v>
          </cell>
          <cell r="D625">
            <v>285</v>
          </cell>
          <cell r="E625">
            <v>320</v>
          </cell>
          <cell r="F625" t="str">
            <v>72.11871 - 32</v>
          </cell>
          <cell r="G625"/>
          <cell r="H625"/>
          <cell r="K625"/>
        </row>
        <row r="626">
          <cell r="B626">
            <v>217.5</v>
          </cell>
          <cell r="C626">
            <v>315</v>
          </cell>
          <cell r="D626">
            <v>285</v>
          </cell>
          <cell r="E626">
            <v>320</v>
          </cell>
          <cell r="F626" t="str">
            <v>72.11871 - 32</v>
          </cell>
          <cell r="G626"/>
          <cell r="H626"/>
          <cell r="K626"/>
        </row>
        <row r="627">
          <cell r="B627">
            <v>217.5</v>
          </cell>
          <cell r="C627">
            <v>400</v>
          </cell>
          <cell r="D627">
            <v>285</v>
          </cell>
          <cell r="E627">
            <v>320</v>
          </cell>
          <cell r="F627" t="str">
            <v>10.255223 - 8</v>
          </cell>
          <cell r="G627"/>
          <cell r="H627"/>
          <cell r="K627"/>
        </row>
        <row r="628">
          <cell r="B628">
            <v>217.5</v>
          </cell>
          <cell r="C628">
            <v>255</v>
          </cell>
          <cell r="D628">
            <v>285</v>
          </cell>
          <cell r="E628">
            <v>320</v>
          </cell>
          <cell r="F628" t="str">
            <v>72.11870 - 32</v>
          </cell>
          <cell r="G628"/>
          <cell r="H628"/>
          <cell r="K628"/>
        </row>
        <row r="629">
          <cell r="B629">
            <v>217.5</v>
          </cell>
          <cell r="C629">
            <v>400</v>
          </cell>
          <cell r="D629">
            <v>285</v>
          </cell>
          <cell r="E629">
            <v>320</v>
          </cell>
          <cell r="F629" t="str">
            <v>10.255223 - 8</v>
          </cell>
          <cell r="G629"/>
          <cell r="H629"/>
          <cell r="K629"/>
        </row>
        <row r="630">
          <cell r="B630">
            <v>217.5</v>
          </cell>
          <cell r="C630">
            <v>320</v>
          </cell>
          <cell r="D630">
            <v>285</v>
          </cell>
          <cell r="E630">
            <v>320</v>
          </cell>
          <cell r="F630" t="str">
            <v>72.11871 - 32</v>
          </cell>
          <cell r="G630"/>
          <cell r="H630"/>
          <cell r="K630"/>
        </row>
        <row r="631">
          <cell r="B631">
            <v>217.5</v>
          </cell>
          <cell r="C631">
            <v>455</v>
          </cell>
          <cell r="D631">
            <v>285</v>
          </cell>
          <cell r="E631">
            <v>320</v>
          </cell>
          <cell r="F631" t="str">
            <v>72.48007 - 01</v>
          </cell>
          <cell r="G631">
            <v>7260026</v>
          </cell>
          <cell r="H631"/>
          <cell r="K631"/>
        </row>
        <row r="632">
          <cell r="B632">
            <v>217.5</v>
          </cell>
          <cell r="C632">
            <v>260</v>
          </cell>
          <cell r="D632">
            <v>285</v>
          </cell>
          <cell r="E632">
            <v>320</v>
          </cell>
          <cell r="F632" t="str">
            <v>72.11870 - 32</v>
          </cell>
          <cell r="G632"/>
          <cell r="H632"/>
          <cell r="K632"/>
        </row>
        <row r="633">
          <cell r="B633">
            <v>220</v>
          </cell>
          <cell r="C633">
            <v>265</v>
          </cell>
          <cell r="D633">
            <v>285</v>
          </cell>
          <cell r="E633">
            <v>320</v>
          </cell>
          <cell r="F633" t="str">
            <v>72.11870 - 33</v>
          </cell>
          <cell r="G633"/>
          <cell r="H633"/>
          <cell r="K633"/>
        </row>
        <row r="634">
          <cell r="B634">
            <v>220</v>
          </cell>
          <cell r="C634">
            <v>260</v>
          </cell>
          <cell r="D634">
            <v>375</v>
          </cell>
          <cell r="E634">
            <v>450</v>
          </cell>
          <cell r="F634" t="str">
            <v>72.11870 - 33</v>
          </cell>
          <cell r="G634"/>
          <cell r="H634"/>
          <cell r="K634"/>
        </row>
        <row r="635">
          <cell r="B635">
            <v>220</v>
          </cell>
          <cell r="C635">
            <v>265</v>
          </cell>
          <cell r="D635">
            <v>285</v>
          </cell>
          <cell r="E635">
            <v>320</v>
          </cell>
          <cell r="F635" t="str">
            <v>72.11870 - 33</v>
          </cell>
          <cell r="G635"/>
          <cell r="H635"/>
          <cell r="K635"/>
        </row>
        <row r="636">
          <cell r="B636">
            <v>220</v>
          </cell>
          <cell r="C636">
            <v>264</v>
          </cell>
          <cell r="D636">
            <v>285</v>
          </cell>
          <cell r="E636">
            <v>320</v>
          </cell>
          <cell r="F636" t="str">
            <v>72.11870 - 33</v>
          </cell>
          <cell r="G636"/>
          <cell r="H636"/>
          <cell r="K636"/>
        </row>
        <row r="637">
          <cell r="B637">
            <v>220</v>
          </cell>
          <cell r="C637">
            <v>265</v>
          </cell>
          <cell r="D637">
            <v>285</v>
          </cell>
          <cell r="E637">
            <v>320</v>
          </cell>
          <cell r="F637" t="str">
            <v>72.11870 - 33</v>
          </cell>
          <cell r="G637"/>
          <cell r="H637"/>
          <cell r="K637"/>
        </row>
        <row r="638">
          <cell r="B638">
            <v>220</v>
          </cell>
          <cell r="C638">
            <v>263</v>
          </cell>
          <cell r="D638">
            <v>285</v>
          </cell>
          <cell r="E638">
            <v>320</v>
          </cell>
          <cell r="F638" t="str">
            <v>72.11870 - 33</v>
          </cell>
          <cell r="G638"/>
          <cell r="H638"/>
          <cell r="K638"/>
        </row>
        <row r="639">
          <cell r="B639">
            <v>220</v>
          </cell>
          <cell r="C639">
            <v>218</v>
          </cell>
          <cell r="D639">
            <v>285</v>
          </cell>
          <cell r="E639">
            <v>320</v>
          </cell>
          <cell r="F639" t="str">
            <v>10.247619 - 4</v>
          </cell>
          <cell r="G639">
            <v>7260027</v>
          </cell>
          <cell r="H639"/>
          <cell r="K639"/>
        </row>
        <row r="640">
          <cell r="B640">
            <v>220</v>
          </cell>
          <cell r="C640">
            <v>317</v>
          </cell>
          <cell r="D640">
            <v>375</v>
          </cell>
          <cell r="E640">
            <v>450</v>
          </cell>
          <cell r="F640" t="str">
            <v>72.11871 - 33</v>
          </cell>
          <cell r="G640"/>
          <cell r="H640"/>
          <cell r="K640"/>
        </row>
        <row r="641">
          <cell r="B641">
            <v>220</v>
          </cell>
          <cell r="C641">
            <v>263</v>
          </cell>
          <cell r="D641">
            <v>285</v>
          </cell>
          <cell r="E641">
            <v>320</v>
          </cell>
          <cell r="F641" t="str">
            <v>72.11870 - 33</v>
          </cell>
          <cell r="G641"/>
          <cell r="H641"/>
          <cell r="K641"/>
        </row>
        <row r="642">
          <cell r="B642">
            <v>220</v>
          </cell>
          <cell r="C642">
            <v>505</v>
          </cell>
          <cell r="D642">
            <v>285</v>
          </cell>
          <cell r="E642">
            <v>320</v>
          </cell>
          <cell r="F642" t="str">
            <v>72.23398 - 1</v>
          </cell>
          <cell r="G642">
            <v>7260028</v>
          </cell>
          <cell r="H642"/>
          <cell r="K642"/>
        </row>
        <row r="643">
          <cell r="B643">
            <v>220</v>
          </cell>
          <cell r="C643">
            <v>380</v>
          </cell>
          <cell r="D643">
            <v>360</v>
          </cell>
          <cell r="E643">
            <v>450</v>
          </cell>
          <cell r="F643" t="str">
            <v>72.42461 - 33</v>
          </cell>
          <cell r="G643">
            <v>7260029</v>
          </cell>
          <cell r="H643"/>
          <cell r="K643"/>
        </row>
        <row r="644">
          <cell r="B644">
            <v>220</v>
          </cell>
          <cell r="C644">
            <v>377</v>
          </cell>
          <cell r="D644">
            <v>360</v>
          </cell>
          <cell r="E644">
            <v>450</v>
          </cell>
          <cell r="F644" t="str">
            <v>72.42461 - 33</v>
          </cell>
          <cell r="G644">
            <v>7260029</v>
          </cell>
          <cell r="H644"/>
          <cell r="K644"/>
        </row>
        <row r="645">
          <cell r="B645">
            <v>220</v>
          </cell>
          <cell r="C645">
            <v>320</v>
          </cell>
          <cell r="D645">
            <v>285</v>
          </cell>
          <cell r="E645">
            <v>320</v>
          </cell>
          <cell r="F645" t="str">
            <v>72.11871 - 33</v>
          </cell>
          <cell r="G645"/>
          <cell r="H645"/>
          <cell r="K645"/>
        </row>
        <row r="646">
          <cell r="B646">
            <v>220</v>
          </cell>
          <cell r="C646">
            <v>320</v>
          </cell>
          <cell r="D646">
            <v>360</v>
          </cell>
          <cell r="E646">
            <v>450</v>
          </cell>
          <cell r="F646" t="str">
            <v>72.11871 - 33</v>
          </cell>
          <cell r="G646"/>
          <cell r="H646"/>
          <cell r="K646"/>
        </row>
        <row r="647">
          <cell r="B647">
            <v>220</v>
          </cell>
          <cell r="C647">
            <v>380</v>
          </cell>
          <cell r="D647">
            <v>360</v>
          </cell>
          <cell r="E647">
            <v>450</v>
          </cell>
          <cell r="F647" t="str">
            <v>72.42461 - 33</v>
          </cell>
          <cell r="G647">
            <v>7260029</v>
          </cell>
          <cell r="H647"/>
          <cell r="K647"/>
        </row>
        <row r="648">
          <cell r="B648">
            <v>222.5</v>
          </cell>
          <cell r="C648">
            <v>255</v>
          </cell>
          <cell r="D648">
            <v>360</v>
          </cell>
          <cell r="E648">
            <v>450</v>
          </cell>
          <cell r="F648" t="str">
            <v>72.11872 - 1</v>
          </cell>
          <cell r="G648"/>
          <cell r="H648"/>
          <cell r="K648"/>
        </row>
        <row r="649">
          <cell r="B649">
            <v>222.5</v>
          </cell>
          <cell r="C649">
            <v>260</v>
          </cell>
          <cell r="D649">
            <v>375</v>
          </cell>
          <cell r="E649">
            <v>450</v>
          </cell>
          <cell r="F649" t="str">
            <v>72.11872 - 1</v>
          </cell>
          <cell r="G649"/>
          <cell r="H649"/>
          <cell r="K649"/>
        </row>
        <row r="650">
          <cell r="B650">
            <v>222.5</v>
          </cell>
          <cell r="C650">
            <v>260</v>
          </cell>
          <cell r="D650">
            <v>360</v>
          </cell>
          <cell r="E650">
            <v>450</v>
          </cell>
          <cell r="F650" t="str">
            <v>72.11872 - 1</v>
          </cell>
          <cell r="G650"/>
          <cell r="H650"/>
          <cell r="K650"/>
        </row>
        <row r="651">
          <cell r="B651">
            <v>222.5</v>
          </cell>
          <cell r="C651">
            <v>260</v>
          </cell>
          <cell r="D651">
            <v>375</v>
          </cell>
          <cell r="E651">
            <v>450</v>
          </cell>
          <cell r="F651" t="str">
            <v>72.11872 - 1</v>
          </cell>
          <cell r="G651"/>
          <cell r="H651"/>
          <cell r="K651"/>
        </row>
        <row r="652">
          <cell r="B652">
            <v>222.5</v>
          </cell>
          <cell r="C652">
            <v>320</v>
          </cell>
          <cell r="D652">
            <v>360</v>
          </cell>
          <cell r="E652">
            <v>450</v>
          </cell>
          <cell r="F652" t="str">
            <v>72.11873 - 1</v>
          </cell>
          <cell r="G652"/>
          <cell r="H652"/>
          <cell r="K652"/>
        </row>
        <row r="653">
          <cell r="B653">
            <v>222.5</v>
          </cell>
          <cell r="C653">
            <v>497</v>
          </cell>
          <cell r="D653">
            <v>360</v>
          </cell>
          <cell r="E653">
            <v>400</v>
          </cell>
          <cell r="F653" t="str">
            <v>72.23398 - 1</v>
          </cell>
          <cell r="G653"/>
          <cell r="H653"/>
          <cell r="K653"/>
        </row>
        <row r="654">
          <cell r="B654">
            <v>222.5</v>
          </cell>
          <cell r="C654">
            <v>497</v>
          </cell>
          <cell r="D654">
            <v>360</v>
          </cell>
          <cell r="E654">
            <v>400</v>
          </cell>
          <cell r="F654" t="str">
            <v>72.23398 - 1</v>
          </cell>
          <cell r="G654"/>
          <cell r="H654"/>
          <cell r="K654"/>
        </row>
        <row r="655">
          <cell r="B655">
            <v>222.5</v>
          </cell>
          <cell r="C655">
            <v>257</v>
          </cell>
          <cell r="D655">
            <v>360</v>
          </cell>
          <cell r="E655">
            <v>450</v>
          </cell>
          <cell r="F655" t="str">
            <v>72.11872 - 1</v>
          </cell>
          <cell r="G655"/>
          <cell r="H655"/>
          <cell r="K655"/>
        </row>
        <row r="656">
          <cell r="B656">
            <v>225</v>
          </cell>
          <cell r="C656">
            <v>497</v>
          </cell>
          <cell r="D656">
            <v>360</v>
          </cell>
          <cell r="E656">
            <v>400</v>
          </cell>
          <cell r="F656" t="str">
            <v>72.23398 - 2</v>
          </cell>
          <cell r="G656"/>
          <cell r="H656"/>
          <cell r="K656"/>
        </row>
        <row r="657">
          <cell r="B657">
            <v>225</v>
          </cell>
          <cell r="C657">
            <v>258</v>
          </cell>
          <cell r="D657">
            <v>360</v>
          </cell>
          <cell r="E657">
            <v>450</v>
          </cell>
          <cell r="F657" t="str">
            <v>72.11872 - 2</v>
          </cell>
          <cell r="G657"/>
          <cell r="H657"/>
          <cell r="K657"/>
        </row>
        <row r="658">
          <cell r="B658">
            <v>225</v>
          </cell>
          <cell r="C658">
            <v>317</v>
          </cell>
          <cell r="D658">
            <v>375</v>
          </cell>
          <cell r="E658">
            <v>450</v>
          </cell>
          <cell r="F658" t="str">
            <v>72.11873 - 2</v>
          </cell>
          <cell r="G658"/>
          <cell r="H658"/>
          <cell r="K658"/>
        </row>
        <row r="659">
          <cell r="B659">
            <v>225</v>
          </cell>
          <cell r="C659">
            <v>320</v>
          </cell>
          <cell r="D659">
            <v>360</v>
          </cell>
          <cell r="E659">
            <v>450</v>
          </cell>
          <cell r="F659" t="str">
            <v>72.11873 - 2</v>
          </cell>
          <cell r="G659"/>
          <cell r="H659"/>
          <cell r="K659"/>
        </row>
        <row r="660">
          <cell r="B660">
            <v>225</v>
          </cell>
          <cell r="C660">
            <v>380</v>
          </cell>
          <cell r="D660">
            <v>360</v>
          </cell>
          <cell r="E660">
            <v>450</v>
          </cell>
          <cell r="F660" t="str">
            <v>72.11874 - 2</v>
          </cell>
          <cell r="G660">
            <v>7260030</v>
          </cell>
          <cell r="H660"/>
          <cell r="K660"/>
        </row>
        <row r="661">
          <cell r="B661">
            <v>227.5</v>
          </cell>
          <cell r="C661">
            <v>312</v>
          </cell>
          <cell r="D661">
            <v>375</v>
          </cell>
          <cell r="E661">
            <v>450</v>
          </cell>
          <cell r="F661" t="str">
            <v>72.11873 - 3</v>
          </cell>
          <cell r="G661"/>
          <cell r="H661"/>
          <cell r="K661"/>
        </row>
        <row r="662">
          <cell r="B662">
            <v>227.5</v>
          </cell>
          <cell r="C662">
            <v>320</v>
          </cell>
          <cell r="D662">
            <v>360</v>
          </cell>
          <cell r="E662">
            <v>450</v>
          </cell>
          <cell r="F662" t="str">
            <v>72.11873 - 3</v>
          </cell>
          <cell r="G662"/>
          <cell r="H662"/>
          <cell r="K662"/>
        </row>
        <row r="663">
          <cell r="B663">
            <v>227.5</v>
          </cell>
          <cell r="C663">
            <v>317</v>
          </cell>
          <cell r="D663">
            <v>360</v>
          </cell>
          <cell r="E663">
            <v>450</v>
          </cell>
          <cell r="F663" t="str">
            <v>72.11873 - 3</v>
          </cell>
          <cell r="G663"/>
          <cell r="H663"/>
          <cell r="K663"/>
        </row>
        <row r="664">
          <cell r="B664">
            <v>227.5</v>
          </cell>
          <cell r="C664">
            <v>318</v>
          </cell>
          <cell r="D664">
            <v>360</v>
          </cell>
          <cell r="E664">
            <v>450</v>
          </cell>
          <cell r="F664" t="str">
            <v>72.11873 - 3</v>
          </cell>
          <cell r="G664"/>
          <cell r="H664"/>
          <cell r="K664"/>
        </row>
        <row r="665">
          <cell r="B665">
            <v>227.5</v>
          </cell>
          <cell r="C665">
            <v>260</v>
          </cell>
          <cell r="D665">
            <v>360</v>
          </cell>
          <cell r="E665">
            <v>450</v>
          </cell>
          <cell r="F665" t="str">
            <v>72.11872 - 3</v>
          </cell>
          <cell r="G665"/>
          <cell r="H665"/>
          <cell r="K665"/>
        </row>
        <row r="666">
          <cell r="B666">
            <v>227.5</v>
          </cell>
          <cell r="C666">
            <v>320</v>
          </cell>
          <cell r="D666">
            <v>360</v>
          </cell>
          <cell r="E666">
            <v>450</v>
          </cell>
          <cell r="F666" t="str">
            <v>72.11873 - 3</v>
          </cell>
          <cell r="G666"/>
          <cell r="H666"/>
          <cell r="K666"/>
        </row>
        <row r="667">
          <cell r="B667">
            <v>227.5</v>
          </cell>
          <cell r="C667">
            <v>500</v>
          </cell>
          <cell r="D667">
            <v>360</v>
          </cell>
          <cell r="E667">
            <v>400</v>
          </cell>
          <cell r="F667" t="str">
            <v>72.23398 - 3</v>
          </cell>
          <cell r="G667"/>
          <cell r="H667"/>
          <cell r="K667"/>
        </row>
        <row r="668">
          <cell r="B668">
            <v>227.5</v>
          </cell>
          <cell r="C668">
            <v>498</v>
          </cell>
          <cell r="D668">
            <v>360</v>
          </cell>
          <cell r="E668">
            <v>400</v>
          </cell>
          <cell r="F668" t="str">
            <v>72.23398 - 3</v>
          </cell>
          <cell r="G668"/>
          <cell r="H668"/>
          <cell r="K668"/>
        </row>
        <row r="669">
          <cell r="B669">
            <v>230</v>
          </cell>
          <cell r="C669">
            <v>260</v>
          </cell>
          <cell r="D669">
            <v>375</v>
          </cell>
          <cell r="E669">
            <v>450</v>
          </cell>
          <cell r="F669" t="str">
            <v>72.11872 - 4</v>
          </cell>
          <cell r="G669"/>
          <cell r="H669"/>
          <cell r="K669"/>
        </row>
        <row r="670">
          <cell r="B670">
            <v>230</v>
          </cell>
          <cell r="C670">
            <v>260</v>
          </cell>
          <cell r="D670">
            <v>375</v>
          </cell>
          <cell r="E670">
            <v>450</v>
          </cell>
          <cell r="F670" t="str">
            <v>72.11872 - 4</v>
          </cell>
          <cell r="G670"/>
          <cell r="H670"/>
          <cell r="I670"/>
          <cell r="K670"/>
        </row>
        <row r="671">
          <cell r="B671">
            <v>230</v>
          </cell>
          <cell r="C671">
            <v>318</v>
          </cell>
          <cell r="D671">
            <v>360</v>
          </cell>
          <cell r="E671">
            <v>450</v>
          </cell>
          <cell r="F671" t="str">
            <v>72.11873 - 4</v>
          </cell>
          <cell r="G671"/>
          <cell r="H671"/>
          <cell r="I671"/>
          <cell r="K671"/>
        </row>
        <row r="672">
          <cell r="B672">
            <v>230</v>
          </cell>
          <cell r="C672">
            <v>380</v>
          </cell>
          <cell r="D672">
            <v>360</v>
          </cell>
          <cell r="E672">
            <v>450</v>
          </cell>
          <cell r="F672" t="str">
            <v>72.11874 - 4</v>
          </cell>
          <cell r="G672"/>
          <cell r="H672"/>
          <cell r="I672"/>
          <cell r="K672"/>
        </row>
        <row r="673">
          <cell r="B673">
            <v>230</v>
          </cell>
          <cell r="C673">
            <v>318</v>
          </cell>
          <cell r="D673">
            <v>360</v>
          </cell>
          <cell r="E673">
            <v>450</v>
          </cell>
          <cell r="F673" t="str">
            <v>72.11873 - 4</v>
          </cell>
          <cell r="G673"/>
          <cell r="H673"/>
          <cell r="I673"/>
          <cell r="K673"/>
        </row>
        <row r="674">
          <cell r="B674">
            <v>230</v>
          </cell>
          <cell r="C674">
            <v>380</v>
          </cell>
          <cell r="D674">
            <v>360</v>
          </cell>
          <cell r="E674">
            <v>450</v>
          </cell>
          <cell r="F674" t="str">
            <v>72.11874 - 4</v>
          </cell>
          <cell r="G674"/>
          <cell r="H674"/>
          <cell r="I674"/>
          <cell r="K674"/>
        </row>
        <row r="675">
          <cell r="B675">
            <v>230</v>
          </cell>
          <cell r="C675">
            <v>260</v>
          </cell>
          <cell r="D675">
            <v>360</v>
          </cell>
          <cell r="E675">
            <v>450</v>
          </cell>
          <cell r="F675" t="str">
            <v>72.11872 - 4</v>
          </cell>
          <cell r="G675"/>
          <cell r="H675"/>
          <cell r="I675"/>
          <cell r="K675"/>
        </row>
        <row r="676">
          <cell r="B676">
            <v>230</v>
          </cell>
          <cell r="C676">
            <v>260</v>
          </cell>
          <cell r="D676">
            <v>360</v>
          </cell>
          <cell r="E676">
            <v>450</v>
          </cell>
          <cell r="F676" t="str">
            <v>72.11872 - 4</v>
          </cell>
          <cell r="G676"/>
          <cell r="H676"/>
          <cell r="I676"/>
          <cell r="K676"/>
        </row>
        <row r="677">
          <cell r="B677">
            <v>230</v>
          </cell>
          <cell r="C677">
            <v>260</v>
          </cell>
          <cell r="D677">
            <v>375</v>
          </cell>
          <cell r="E677">
            <v>450</v>
          </cell>
          <cell r="F677" t="str">
            <v>72.11872 - 4</v>
          </cell>
          <cell r="G677"/>
          <cell r="H677"/>
          <cell r="I677"/>
          <cell r="K677"/>
        </row>
        <row r="678">
          <cell r="B678">
            <v>230</v>
          </cell>
          <cell r="C678">
            <v>380</v>
          </cell>
          <cell r="D678">
            <v>360</v>
          </cell>
          <cell r="E678">
            <v>450</v>
          </cell>
          <cell r="F678" t="str">
            <v>72.11874 - 4</v>
          </cell>
          <cell r="G678"/>
          <cell r="H678"/>
          <cell r="I678"/>
          <cell r="K678"/>
        </row>
        <row r="679">
          <cell r="B679">
            <v>232.5</v>
          </cell>
          <cell r="C679">
            <v>380</v>
          </cell>
          <cell r="D679">
            <v>360</v>
          </cell>
          <cell r="E679">
            <v>450</v>
          </cell>
          <cell r="F679" t="str">
            <v>72.11874 - 5</v>
          </cell>
          <cell r="G679"/>
          <cell r="H679"/>
          <cell r="I679"/>
          <cell r="K679"/>
        </row>
        <row r="680">
          <cell r="B680">
            <v>232.5</v>
          </cell>
          <cell r="C680">
            <v>260</v>
          </cell>
          <cell r="D680">
            <v>375</v>
          </cell>
          <cell r="E680">
            <v>450</v>
          </cell>
          <cell r="F680" t="str">
            <v>72.11872 - 5</v>
          </cell>
          <cell r="G680"/>
          <cell r="H680"/>
          <cell r="I680"/>
          <cell r="K680"/>
        </row>
        <row r="681">
          <cell r="B681">
            <v>232.5</v>
          </cell>
          <cell r="C681">
            <v>500</v>
          </cell>
          <cell r="D681">
            <v>375</v>
          </cell>
          <cell r="E681">
            <v>400</v>
          </cell>
          <cell r="F681" t="str">
            <v>72.23398 - 5</v>
          </cell>
          <cell r="G681"/>
          <cell r="H681"/>
          <cell r="I681"/>
          <cell r="K681"/>
        </row>
        <row r="682">
          <cell r="B682">
            <v>232.5</v>
          </cell>
          <cell r="C682">
            <v>260</v>
          </cell>
          <cell r="D682">
            <v>375</v>
          </cell>
          <cell r="E682">
            <v>450</v>
          </cell>
          <cell r="F682" t="str">
            <v>72.11872 - 5</v>
          </cell>
          <cell r="G682"/>
          <cell r="H682"/>
          <cell r="I682"/>
          <cell r="K682"/>
        </row>
        <row r="683">
          <cell r="B683">
            <v>232.5</v>
          </cell>
          <cell r="C683">
            <v>260</v>
          </cell>
          <cell r="D683">
            <v>375</v>
          </cell>
          <cell r="E683">
            <v>450</v>
          </cell>
          <cell r="F683" t="str">
            <v>72.11872 - 5</v>
          </cell>
          <cell r="G683"/>
          <cell r="H683"/>
          <cell r="K683"/>
        </row>
        <row r="684">
          <cell r="B684">
            <v>232.5</v>
          </cell>
          <cell r="C684">
            <v>260</v>
          </cell>
          <cell r="D684">
            <v>375</v>
          </cell>
          <cell r="E684">
            <v>450</v>
          </cell>
          <cell r="F684" t="str">
            <v>72.11872 - 5</v>
          </cell>
          <cell r="G684"/>
          <cell r="H684"/>
          <cell r="K684"/>
        </row>
        <row r="685">
          <cell r="B685">
            <v>232.5</v>
          </cell>
          <cell r="C685">
            <v>258</v>
          </cell>
          <cell r="D685">
            <v>360</v>
          </cell>
          <cell r="E685">
            <v>450</v>
          </cell>
          <cell r="F685" t="str">
            <v>72.11872 - 5</v>
          </cell>
          <cell r="G685"/>
          <cell r="H685"/>
          <cell r="K685"/>
        </row>
        <row r="686">
          <cell r="B686">
            <v>232.5</v>
          </cell>
          <cell r="C686">
            <v>257</v>
          </cell>
          <cell r="D686">
            <v>360</v>
          </cell>
          <cell r="E686">
            <v>450</v>
          </cell>
          <cell r="F686" t="str">
            <v>72.11872 - 5</v>
          </cell>
          <cell r="G686"/>
          <cell r="H686"/>
          <cell r="K686"/>
        </row>
        <row r="687">
          <cell r="B687">
            <v>232.5</v>
          </cell>
          <cell r="C687">
            <v>260</v>
          </cell>
          <cell r="D687">
            <v>360</v>
          </cell>
          <cell r="E687">
            <v>450</v>
          </cell>
          <cell r="F687" t="str">
            <v>72.11872 - 5</v>
          </cell>
          <cell r="G687"/>
          <cell r="H687"/>
          <cell r="K687"/>
        </row>
        <row r="688">
          <cell r="B688">
            <v>232.5</v>
          </cell>
          <cell r="C688">
            <v>260</v>
          </cell>
          <cell r="D688">
            <v>375</v>
          </cell>
          <cell r="E688">
            <v>450</v>
          </cell>
          <cell r="F688" t="str">
            <v>72.11872 - 5</v>
          </cell>
          <cell r="G688"/>
          <cell r="H688"/>
          <cell r="K688"/>
        </row>
        <row r="689">
          <cell r="B689">
            <v>232.5</v>
          </cell>
          <cell r="C689">
            <v>380</v>
          </cell>
          <cell r="D689">
            <v>375</v>
          </cell>
          <cell r="E689">
            <v>450</v>
          </cell>
          <cell r="F689" t="str">
            <v>72.11874 - 5</v>
          </cell>
          <cell r="G689"/>
          <cell r="H689"/>
          <cell r="K689"/>
        </row>
        <row r="690">
          <cell r="B690">
            <v>232.5</v>
          </cell>
          <cell r="C690">
            <v>260</v>
          </cell>
          <cell r="D690">
            <v>375</v>
          </cell>
          <cell r="E690">
            <v>450</v>
          </cell>
          <cell r="F690" t="str">
            <v>72.11872 - 5</v>
          </cell>
          <cell r="G690"/>
          <cell r="H690"/>
          <cell r="K690"/>
        </row>
        <row r="691">
          <cell r="B691">
            <v>232.5</v>
          </cell>
          <cell r="C691">
            <v>380</v>
          </cell>
          <cell r="D691">
            <v>360</v>
          </cell>
          <cell r="E691">
            <v>450</v>
          </cell>
          <cell r="F691" t="str">
            <v>72.11874 - 5</v>
          </cell>
          <cell r="G691"/>
          <cell r="H691"/>
          <cell r="K691"/>
        </row>
        <row r="692">
          <cell r="B692">
            <v>232.5</v>
          </cell>
          <cell r="C692">
            <v>260</v>
          </cell>
          <cell r="D692">
            <v>375</v>
          </cell>
          <cell r="E692">
            <v>450</v>
          </cell>
          <cell r="F692" t="str">
            <v>72.11872 - 5</v>
          </cell>
          <cell r="G692"/>
          <cell r="H692"/>
          <cell r="K692"/>
        </row>
        <row r="693">
          <cell r="B693">
            <v>232.5</v>
          </cell>
          <cell r="C693">
            <v>260</v>
          </cell>
          <cell r="D693">
            <v>375</v>
          </cell>
          <cell r="E693">
            <v>450</v>
          </cell>
          <cell r="F693" t="str">
            <v>72.11872 - 5</v>
          </cell>
          <cell r="G693"/>
          <cell r="H693"/>
          <cell r="K693"/>
        </row>
        <row r="694">
          <cell r="B694">
            <v>232.5</v>
          </cell>
          <cell r="C694">
            <v>260</v>
          </cell>
          <cell r="D694">
            <v>375</v>
          </cell>
          <cell r="E694">
            <v>450</v>
          </cell>
          <cell r="F694" t="str">
            <v>72.11872 - 5</v>
          </cell>
          <cell r="G694"/>
          <cell r="H694"/>
          <cell r="K694"/>
        </row>
        <row r="695">
          <cell r="B695">
            <v>232.5</v>
          </cell>
          <cell r="C695">
            <v>260</v>
          </cell>
          <cell r="D695">
            <v>375</v>
          </cell>
          <cell r="E695">
            <v>450</v>
          </cell>
          <cell r="F695" t="str">
            <v>72.11872 - 5</v>
          </cell>
          <cell r="G695"/>
          <cell r="H695"/>
          <cell r="K695"/>
        </row>
        <row r="696">
          <cell r="B696">
            <v>232.5</v>
          </cell>
          <cell r="C696">
            <v>260</v>
          </cell>
          <cell r="D696">
            <v>360</v>
          </cell>
          <cell r="E696">
            <v>450</v>
          </cell>
          <cell r="F696" t="str">
            <v>72.11872 - 5</v>
          </cell>
          <cell r="G696"/>
          <cell r="H696"/>
          <cell r="K696"/>
        </row>
        <row r="697">
          <cell r="B697">
            <v>232.5</v>
          </cell>
          <cell r="C697">
            <v>395</v>
          </cell>
          <cell r="D697">
            <v>360</v>
          </cell>
          <cell r="E697">
            <v>400</v>
          </cell>
          <cell r="F697" t="str">
            <v>10.255223 - 14</v>
          </cell>
          <cell r="G697">
            <v>7260031</v>
          </cell>
          <cell r="H697"/>
          <cell r="K697"/>
        </row>
        <row r="698">
          <cell r="B698">
            <v>232.5</v>
          </cell>
          <cell r="C698">
            <v>398</v>
          </cell>
          <cell r="D698">
            <v>285</v>
          </cell>
          <cell r="E698">
            <v>400</v>
          </cell>
          <cell r="F698" t="str">
            <v>10.255223 - 14</v>
          </cell>
          <cell r="G698">
            <v>7260031</v>
          </cell>
          <cell r="H698"/>
          <cell r="K698"/>
        </row>
        <row r="699">
          <cell r="B699">
            <v>235</v>
          </cell>
          <cell r="C699">
            <v>320</v>
          </cell>
          <cell r="D699">
            <v>375</v>
          </cell>
          <cell r="E699">
            <v>450</v>
          </cell>
          <cell r="F699" t="str">
            <v>72.11873 - 6</v>
          </cell>
          <cell r="G699"/>
          <cell r="H699"/>
          <cell r="K699"/>
        </row>
        <row r="700">
          <cell r="B700">
            <v>235</v>
          </cell>
          <cell r="C700">
            <v>318</v>
          </cell>
          <cell r="D700">
            <v>360</v>
          </cell>
          <cell r="E700">
            <v>450</v>
          </cell>
          <cell r="F700" t="str">
            <v>72.11873 - 6</v>
          </cell>
          <cell r="G700"/>
          <cell r="H700"/>
          <cell r="K700"/>
        </row>
        <row r="701">
          <cell r="B701">
            <v>235</v>
          </cell>
          <cell r="C701">
            <v>318</v>
          </cell>
          <cell r="D701">
            <v>375</v>
          </cell>
          <cell r="E701">
            <v>450</v>
          </cell>
          <cell r="F701" t="str">
            <v>72.11873 - 6</v>
          </cell>
          <cell r="G701"/>
          <cell r="H701"/>
          <cell r="K701"/>
        </row>
        <row r="702">
          <cell r="B702">
            <v>235</v>
          </cell>
          <cell r="C702">
            <v>380</v>
          </cell>
          <cell r="D702">
            <v>360</v>
          </cell>
          <cell r="E702">
            <v>450</v>
          </cell>
          <cell r="F702" t="str">
            <v>72.11874 - 6</v>
          </cell>
          <cell r="G702"/>
          <cell r="H702"/>
          <cell r="K702"/>
        </row>
        <row r="703">
          <cell r="B703">
            <v>235</v>
          </cell>
          <cell r="C703">
            <v>258</v>
          </cell>
          <cell r="D703">
            <v>360</v>
          </cell>
          <cell r="E703">
            <v>450</v>
          </cell>
          <cell r="F703" t="str">
            <v>72.11872 - 6</v>
          </cell>
          <cell r="G703">
            <v>7260032</v>
          </cell>
          <cell r="H703"/>
          <cell r="K703"/>
        </row>
        <row r="704">
          <cell r="B704">
            <v>235</v>
          </cell>
          <cell r="C704">
            <v>377</v>
          </cell>
          <cell r="D704">
            <v>360</v>
          </cell>
          <cell r="E704">
            <v>450</v>
          </cell>
          <cell r="F704" t="str">
            <v>72.11874 - 6</v>
          </cell>
          <cell r="G704"/>
          <cell r="H704"/>
          <cell r="K704"/>
        </row>
        <row r="705">
          <cell r="B705">
            <v>235</v>
          </cell>
          <cell r="C705">
            <v>380</v>
          </cell>
          <cell r="D705">
            <v>360</v>
          </cell>
          <cell r="E705">
            <v>450</v>
          </cell>
          <cell r="F705" t="str">
            <v>72.11874 - 6</v>
          </cell>
          <cell r="G705"/>
          <cell r="H705"/>
          <cell r="K705"/>
        </row>
        <row r="706">
          <cell r="B706">
            <v>237.5</v>
          </cell>
          <cell r="C706">
            <v>317</v>
          </cell>
          <cell r="D706">
            <v>360</v>
          </cell>
          <cell r="E706">
            <v>450</v>
          </cell>
          <cell r="F706" t="str">
            <v>72.11873 - 7</v>
          </cell>
          <cell r="G706"/>
          <cell r="H706"/>
          <cell r="K706"/>
        </row>
        <row r="707">
          <cell r="B707">
            <v>237.5</v>
          </cell>
          <cell r="C707">
            <v>260</v>
          </cell>
          <cell r="D707">
            <v>360</v>
          </cell>
          <cell r="E707">
            <v>450</v>
          </cell>
          <cell r="F707" t="str">
            <v>72.11872 - 7</v>
          </cell>
          <cell r="G707"/>
          <cell r="H707"/>
          <cell r="K707"/>
        </row>
        <row r="708">
          <cell r="B708">
            <v>237.5</v>
          </cell>
          <cell r="C708">
            <v>323</v>
          </cell>
          <cell r="D708">
            <v>360</v>
          </cell>
          <cell r="E708">
            <v>450</v>
          </cell>
          <cell r="F708" t="str">
            <v>72.11873 - 7</v>
          </cell>
          <cell r="G708"/>
          <cell r="H708"/>
          <cell r="K708"/>
        </row>
        <row r="709">
          <cell r="B709">
            <v>237.5</v>
          </cell>
          <cell r="C709">
            <v>260</v>
          </cell>
          <cell r="D709">
            <v>360</v>
          </cell>
          <cell r="E709">
            <v>450</v>
          </cell>
          <cell r="F709" t="str">
            <v>72.11872 - 7</v>
          </cell>
          <cell r="G709"/>
          <cell r="H709"/>
          <cell r="K709"/>
        </row>
        <row r="710">
          <cell r="B710">
            <v>237.5</v>
          </cell>
          <cell r="C710">
            <v>320</v>
          </cell>
          <cell r="D710">
            <v>375</v>
          </cell>
          <cell r="E710">
            <v>450</v>
          </cell>
          <cell r="F710" t="str">
            <v>72.11873 - 7</v>
          </cell>
          <cell r="G710"/>
          <cell r="H710"/>
          <cell r="K710"/>
        </row>
        <row r="711">
          <cell r="B711">
            <v>237.5</v>
          </cell>
          <cell r="C711">
            <v>378</v>
          </cell>
          <cell r="D711">
            <v>360</v>
          </cell>
          <cell r="E711">
            <v>450</v>
          </cell>
          <cell r="F711" t="str">
            <v>72.11874 - 7</v>
          </cell>
          <cell r="G711"/>
          <cell r="H711"/>
          <cell r="K711"/>
        </row>
        <row r="712">
          <cell r="B712">
            <v>240</v>
          </cell>
          <cell r="C712">
            <v>215</v>
          </cell>
          <cell r="D712">
            <v>375</v>
          </cell>
          <cell r="E712">
            <v>450</v>
          </cell>
          <cell r="F712" t="str">
            <v>10.247619 - 8</v>
          </cell>
          <cell r="G712"/>
          <cell r="H712"/>
          <cell r="K712"/>
        </row>
        <row r="713">
          <cell r="B713">
            <v>240</v>
          </cell>
          <cell r="C713">
            <v>500</v>
          </cell>
          <cell r="D713">
            <v>375</v>
          </cell>
          <cell r="E713">
            <v>400</v>
          </cell>
          <cell r="F713" t="str">
            <v>72.23398 - 8</v>
          </cell>
          <cell r="G713">
            <v>7260033</v>
          </cell>
          <cell r="H713"/>
          <cell r="K713"/>
        </row>
        <row r="714">
          <cell r="B714">
            <v>240</v>
          </cell>
          <cell r="C714">
            <v>215</v>
          </cell>
          <cell r="D714">
            <v>375</v>
          </cell>
          <cell r="E714">
            <v>450</v>
          </cell>
          <cell r="F714" t="str">
            <v>10.247619 - 8</v>
          </cell>
          <cell r="G714"/>
          <cell r="H714"/>
          <cell r="K714"/>
        </row>
        <row r="715">
          <cell r="B715">
            <v>240</v>
          </cell>
          <cell r="C715">
            <v>215</v>
          </cell>
          <cell r="D715">
            <v>375</v>
          </cell>
          <cell r="E715">
            <v>450</v>
          </cell>
          <cell r="F715" t="str">
            <v>10.247619 - 8</v>
          </cell>
          <cell r="G715"/>
          <cell r="H715"/>
          <cell r="K715"/>
        </row>
        <row r="716">
          <cell r="B716">
            <v>240</v>
          </cell>
          <cell r="C716">
            <v>213</v>
          </cell>
          <cell r="D716">
            <v>375</v>
          </cell>
          <cell r="E716">
            <v>450</v>
          </cell>
          <cell r="F716" t="str">
            <v>10.247619 - 8</v>
          </cell>
          <cell r="G716"/>
          <cell r="H716"/>
          <cell r="K716"/>
        </row>
        <row r="717">
          <cell r="B717">
            <v>240</v>
          </cell>
          <cell r="C717">
            <v>318</v>
          </cell>
          <cell r="D717">
            <v>360</v>
          </cell>
          <cell r="E717">
            <v>450</v>
          </cell>
          <cell r="F717" t="str">
            <v>72.11873 - 8</v>
          </cell>
          <cell r="G717"/>
          <cell r="H717"/>
          <cell r="K717"/>
        </row>
        <row r="718">
          <cell r="B718">
            <v>240</v>
          </cell>
          <cell r="C718">
            <v>320</v>
          </cell>
          <cell r="D718">
            <v>360</v>
          </cell>
          <cell r="E718">
            <v>450</v>
          </cell>
          <cell r="F718" t="str">
            <v>72.11873 - 8</v>
          </cell>
          <cell r="G718"/>
          <cell r="H718"/>
          <cell r="K718"/>
        </row>
        <row r="719">
          <cell r="B719">
            <v>240</v>
          </cell>
          <cell r="C719">
            <v>315</v>
          </cell>
          <cell r="D719">
            <v>360</v>
          </cell>
          <cell r="E719">
            <v>450</v>
          </cell>
          <cell r="F719" t="str">
            <v>72.11873 - 8</v>
          </cell>
          <cell r="G719"/>
          <cell r="H719"/>
          <cell r="K719"/>
        </row>
        <row r="720">
          <cell r="B720">
            <v>240</v>
          </cell>
          <cell r="C720">
            <v>380</v>
          </cell>
          <cell r="D720">
            <v>360</v>
          </cell>
          <cell r="E720">
            <v>450</v>
          </cell>
          <cell r="F720" t="str">
            <v>72.11874 - 8</v>
          </cell>
          <cell r="G720"/>
          <cell r="H720"/>
          <cell r="K720"/>
        </row>
        <row r="721">
          <cell r="B721">
            <v>240</v>
          </cell>
          <cell r="C721">
            <v>320</v>
          </cell>
          <cell r="D721">
            <v>360</v>
          </cell>
          <cell r="E721">
            <v>450</v>
          </cell>
          <cell r="F721" t="str">
            <v>72.11873 - 8</v>
          </cell>
          <cell r="G721"/>
          <cell r="H721"/>
          <cell r="K721"/>
        </row>
        <row r="722">
          <cell r="B722">
            <v>240</v>
          </cell>
          <cell r="C722">
            <v>320</v>
          </cell>
          <cell r="D722">
            <v>360</v>
          </cell>
          <cell r="E722">
            <v>450</v>
          </cell>
          <cell r="F722" t="str">
            <v>72.11873 - 8</v>
          </cell>
          <cell r="G722"/>
          <cell r="H722"/>
          <cell r="K722"/>
        </row>
        <row r="723">
          <cell r="B723">
            <v>242.5</v>
          </cell>
          <cell r="C723">
            <v>377</v>
          </cell>
          <cell r="D723">
            <v>375</v>
          </cell>
          <cell r="E723">
            <v>450</v>
          </cell>
          <cell r="F723" t="str">
            <v>72.11874 - 9</v>
          </cell>
          <cell r="G723"/>
          <cell r="H723"/>
          <cell r="K723"/>
        </row>
        <row r="724">
          <cell r="B724">
            <v>245</v>
          </cell>
          <cell r="C724">
            <v>497</v>
          </cell>
          <cell r="D724">
            <v>360</v>
          </cell>
          <cell r="E724">
            <v>400</v>
          </cell>
          <cell r="F724" t="str">
            <v>72.23398 - 10</v>
          </cell>
          <cell r="G724"/>
          <cell r="H724"/>
          <cell r="K724"/>
        </row>
        <row r="725">
          <cell r="B725">
            <v>245</v>
          </cell>
          <cell r="C725">
            <v>500</v>
          </cell>
          <cell r="D725">
            <v>375</v>
          </cell>
          <cell r="E725">
            <v>450</v>
          </cell>
          <cell r="F725" t="str">
            <v>72.23398 - 10</v>
          </cell>
          <cell r="G725"/>
          <cell r="H725"/>
          <cell r="K725"/>
        </row>
        <row r="726">
          <cell r="B726">
            <v>245</v>
          </cell>
          <cell r="C726">
            <v>260</v>
          </cell>
          <cell r="D726">
            <v>360</v>
          </cell>
          <cell r="E726">
            <v>450</v>
          </cell>
          <cell r="F726" t="str">
            <v>72.11872 - 10</v>
          </cell>
          <cell r="G726"/>
          <cell r="H726"/>
          <cell r="K726"/>
        </row>
        <row r="727">
          <cell r="B727">
            <v>245</v>
          </cell>
          <cell r="C727">
            <v>257</v>
          </cell>
          <cell r="D727">
            <v>360</v>
          </cell>
          <cell r="E727">
            <v>450</v>
          </cell>
          <cell r="F727" t="str">
            <v>72.11872 - 10</v>
          </cell>
          <cell r="G727"/>
          <cell r="H727"/>
          <cell r="K727"/>
        </row>
        <row r="728">
          <cell r="B728">
            <v>245</v>
          </cell>
          <cell r="C728">
            <v>257</v>
          </cell>
          <cell r="D728">
            <v>360</v>
          </cell>
          <cell r="E728">
            <v>450</v>
          </cell>
          <cell r="F728" t="str">
            <v>72.11872 - 10</v>
          </cell>
          <cell r="G728"/>
          <cell r="H728"/>
          <cell r="K728"/>
        </row>
        <row r="729">
          <cell r="B729">
            <v>245</v>
          </cell>
          <cell r="C729">
            <v>497</v>
          </cell>
          <cell r="D729">
            <v>360</v>
          </cell>
          <cell r="E729">
            <v>400</v>
          </cell>
          <cell r="F729" t="str">
            <v>72.23398 - 10</v>
          </cell>
          <cell r="G729"/>
          <cell r="H729"/>
          <cell r="K729"/>
        </row>
        <row r="730">
          <cell r="B730">
            <v>245</v>
          </cell>
          <cell r="C730">
            <v>257</v>
          </cell>
          <cell r="D730">
            <v>360</v>
          </cell>
          <cell r="E730">
            <v>450</v>
          </cell>
          <cell r="F730" t="str">
            <v>72.11872 - 10</v>
          </cell>
          <cell r="G730"/>
          <cell r="H730"/>
          <cell r="K730"/>
        </row>
        <row r="731">
          <cell r="B731">
            <v>245</v>
          </cell>
          <cell r="C731">
            <v>455</v>
          </cell>
          <cell r="D731">
            <v>360</v>
          </cell>
          <cell r="E731">
            <v>400</v>
          </cell>
          <cell r="F731" t="str">
            <v>72.48007 - 02</v>
          </cell>
          <cell r="G731">
            <v>7260034</v>
          </cell>
          <cell r="H731"/>
          <cell r="K731"/>
        </row>
        <row r="732">
          <cell r="B732">
            <v>245</v>
          </cell>
          <cell r="C732">
            <v>500</v>
          </cell>
          <cell r="D732">
            <v>360</v>
          </cell>
          <cell r="E732">
            <v>400</v>
          </cell>
          <cell r="F732" t="str">
            <v>72.23398 - 10</v>
          </cell>
          <cell r="G732"/>
          <cell r="H732"/>
          <cell r="K732"/>
        </row>
        <row r="733">
          <cell r="B733">
            <v>245</v>
          </cell>
          <cell r="C733">
            <v>640</v>
          </cell>
          <cell r="D733">
            <v>320</v>
          </cell>
          <cell r="E733">
            <v>320</v>
          </cell>
          <cell r="F733" t="str">
            <v>б/.н - н</v>
          </cell>
          <cell r="H733" t="str">
            <v>НЕТ ТОЛКАТЕЛЯ</v>
          </cell>
          <cell r="I733" t="str">
            <v>На нижнекамск. ц/б на пл. уч.№2 (з/крышка из проката, кокиль гильзован, Øгильзы 290 мм)</v>
          </cell>
          <cell r="K733"/>
        </row>
        <row r="734">
          <cell r="B734">
            <v>247.5</v>
          </cell>
          <cell r="C734">
            <v>505</v>
          </cell>
          <cell r="D734">
            <v>360</v>
          </cell>
          <cell r="E734">
            <v>450</v>
          </cell>
          <cell r="F734" t="str">
            <v>72.23398 - 11</v>
          </cell>
          <cell r="G734">
            <v>7260035</v>
          </cell>
          <cell r="H734"/>
          <cell r="K734"/>
        </row>
        <row r="735">
          <cell r="B735">
            <v>247.5</v>
          </cell>
          <cell r="C735">
            <v>260</v>
          </cell>
          <cell r="D735">
            <v>360</v>
          </cell>
          <cell r="E735">
            <v>450</v>
          </cell>
          <cell r="F735" t="str">
            <v>72.11872 - 11</v>
          </cell>
          <cell r="G735"/>
          <cell r="H735"/>
          <cell r="K735"/>
        </row>
        <row r="736">
          <cell r="B736">
            <v>247.5</v>
          </cell>
          <cell r="C736">
            <v>320</v>
          </cell>
          <cell r="D736">
            <v>375</v>
          </cell>
          <cell r="E736">
            <v>450</v>
          </cell>
          <cell r="F736" t="str">
            <v>72.11873 - 11</v>
          </cell>
          <cell r="H736"/>
          <cell r="K736"/>
        </row>
        <row r="737">
          <cell r="B737">
            <v>250</v>
          </cell>
          <cell r="C737">
            <v>318</v>
          </cell>
          <cell r="D737">
            <v>360</v>
          </cell>
          <cell r="E737">
            <v>450</v>
          </cell>
          <cell r="F737" t="str">
            <v>72.11873 - 12</v>
          </cell>
          <cell r="G737"/>
          <cell r="H737"/>
          <cell r="K737"/>
        </row>
        <row r="738">
          <cell r="B738">
            <v>250</v>
          </cell>
          <cell r="C738">
            <v>257</v>
          </cell>
          <cell r="D738">
            <v>360</v>
          </cell>
          <cell r="E738">
            <v>450</v>
          </cell>
          <cell r="F738" t="str">
            <v>72.11872 - 12</v>
          </cell>
          <cell r="G738"/>
          <cell r="H738"/>
          <cell r="K738"/>
        </row>
        <row r="739">
          <cell r="B739">
            <v>250</v>
          </cell>
          <cell r="C739">
            <v>257</v>
          </cell>
          <cell r="D739">
            <v>375</v>
          </cell>
          <cell r="E739">
            <v>450</v>
          </cell>
          <cell r="F739" t="str">
            <v>72.11872 - 12</v>
          </cell>
          <cell r="G739"/>
          <cell r="H739"/>
          <cell r="K739"/>
        </row>
        <row r="740">
          <cell r="B740">
            <v>250</v>
          </cell>
          <cell r="C740">
            <v>375</v>
          </cell>
          <cell r="D740">
            <v>360</v>
          </cell>
          <cell r="E740">
            <v>450</v>
          </cell>
          <cell r="F740" t="str">
            <v>72.11874 - 12</v>
          </cell>
          <cell r="G740"/>
          <cell r="H740"/>
          <cell r="K740"/>
        </row>
        <row r="741">
          <cell r="B741">
            <v>250</v>
          </cell>
          <cell r="C741">
            <v>320</v>
          </cell>
          <cell r="D741">
            <v>360</v>
          </cell>
          <cell r="E741">
            <v>450</v>
          </cell>
          <cell r="F741" t="str">
            <v>72.11873 - 12</v>
          </cell>
          <cell r="G741"/>
          <cell r="H741"/>
          <cell r="K741"/>
        </row>
        <row r="742">
          <cell r="B742">
            <v>250</v>
          </cell>
          <cell r="C742">
            <v>497</v>
          </cell>
          <cell r="D742">
            <v>360</v>
          </cell>
          <cell r="E742">
            <v>450</v>
          </cell>
          <cell r="F742" t="str">
            <v>72.23398 - 12</v>
          </cell>
          <cell r="G742"/>
          <cell r="H742"/>
          <cell r="K742"/>
        </row>
        <row r="743">
          <cell r="B743">
            <v>250</v>
          </cell>
          <cell r="C743">
            <v>260</v>
          </cell>
          <cell r="D743">
            <v>360</v>
          </cell>
          <cell r="E743">
            <v>450</v>
          </cell>
          <cell r="F743" t="str">
            <v>72.11872 - 12</v>
          </cell>
          <cell r="G743"/>
          <cell r="H743"/>
          <cell r="K743"/>
        </row>
        <row r="744">
          <cell r="B744">
            <v>250</v>
          </cell>
          <cell r="C744">
            <v>1130</v>
          </cell>
          <cell r="D744">
            <v>336</v>
          </cell>
          <cell r="E744">
            <v>300</v>
          </cell>
          <cell r="F744" t="str">
            <v>34.20230202-001</v>
          </cell>
          <cell r="G744"/>
          <cell r="H744" t="str">
            <v>ЕСТЬ заливочная крышка ф150</v>
          </cell>
        </row>
        <row r="745">
          <cell r="B745">
            <v>252.5</v>
          </cell>
          <cell r="C745">
            <v>378</v>
          </cell>
          <cell r="D745">
            <v>360</v>
          </cell>
          <cell r="E745">
            <v>450</v>
          </cell>
          <cell r="F745" t="str">
            <v>72.11874 - 13</v>
          </cell>
          <cell r="G745"/>
          <cell r="H745"/>
          <cell r="K745"/>
        </row>
        <row r="746">
          <cell r="B746">
            <v>252.5</v>
          </cell>
          <cell r="C746">
            <v>260</v>
          </cell>
          <cell r="D746">
            <v>360</v>
          </cell>
          <cell r="E746">
            <v>450</v>
          </cell>
          <cell r="F746" t="str">
            <v>72.11872 - 13</v>
          </cell>
          <cell r="G746"/>
          <cell r="H746"/>
          <cell r="K746"/>
        </row>
        <row r="747">
          <cell r="B747">
            <v>252.5</v>
          </cell>
          <cell r="C747">
            <v>260</v>
          </cell>
          <cell r="D747">
            <v>360</v>
          </cell>
          <cell r="E747">
            <v>450</v>
          </cell>
          <cell r="F747" t="str">
            <v>72.11872 - 13</v>
          </cell>
          <cell r="G747"/>
          <cell r="H747"/>
          <cell r="K747"/>
        </row>
        <row r="748">
          <cell r="B748">
            <v>252.5</v>
          </cell>
          <cell r="C748">
            <v>260</v>
          </cell>
          <cell r="D748">
            <v>360</v>
          </cell>
          <cell r="E748">
            <v>450</v>
          </cell>
          <cell r="F748" t="str">
            <v>72.11872 - 13</v>
          </cell>
          <cell r="G748"/>
          <cell r="H748"/>
          <cell r="K748"/>
        </row>
        <row r="749">
          <cell r="B749">
            <v>252.5</v>
          </cell>
          <cell r="C749">
            <v>497</v>
          </cell>
          <cell r="D749">
            <v>375</v>
          </cell>
          <cell r="E749">
            <v>400</v>
          </cell>
          <cell r="F749" t="str">
            <v>72.23398 - 13</v>
          </cell>
          <cell r="G749">
            <v>7260036</v>
          </cell>
          <cell r="H749"/>
          <cell r="K749"/>
        </row>
        <row r="750">
          <cell r="B750">
            <v>252.5</v>
          </cell>
          <cell r="C750">
            <v>495</v>
          </cell>
          <cell r="D750">
            <v>360</v>
          </cell>
          <cell r="E750">
            <v>400</v>
          </cell>
          <cell r="F750" t="str">
            <v>72.23398 - 13</v>
          </cell>
          <cell r="G750">
            <v>7260036</v>
          </cell>
          <cell r="H750"/>
          <cell r="K750"/>
        </row>
        <row r="751">
          <cell r="B751">
            <v>252.5</v>
          </cell>
          <cell r="C751">
            <v>260</v>
          </cell>
          <cell r="D751">
            <v>375</v>
          </cell>
          <cell r="E751">
            <v>450</v>
          </cell>
          <cell r="F751" t="str">
            <v>72.11872 - 13</v>
          </cell>
          <cell r="G751"/>
          <cell r="H751"/>
          <cell r="K751"/>
        </row>
        <row r="752">
          <cell r="B752">
            <v>252.5</v>
          </cell>
          <cell r="C752">
            <v>260</v>
          </cell>
          <cell r="D752">
            <v>360</v>
          </cell>
          <cell r="E752">
            <v>450</v>
          </cell>
          <cell r="F752" t="str">
            <v>72.11872 - 13</v>
          </cell>
          <cell r="G752"/>
          <cell r="H752"/>
          <cell r="K752"/>
        </row>
        <row r="753">
          <cell r="B753">
            <v>255</v>
          </cell>
          <cell r="C753">
            <v>257</v>
          </cell>
          <cell r="D753">
            <v>360</v>
          </cell>
          <cell r="E753">
            <v>450</v>
          </cell>
          <cell r="F753" t="str">
            <v>72.11872 - 14</v>
          </cell>
          <cell r="G753"/>
          <cell r="H753"/>
          <cell r="K753"/>
        </row>
        <row r="754">
          <cell r="B754">
            <v>255</v>
          </cell>
          <cell r="C754">
            <v>258</v>
          </cell>
          <cell r="D754">
            <v>360</v>
          </cell>
          <cell r="E754">
            <v>450</v>
          </cell>
          <cell r="F754" t="str">
            <v>72.11872 - 14</v>
          </cell>
          <cell r="G754"/>
          <cell r="H754"/>
          <cell r="K754"/>
        </row>
        <row r="755">
          <cell r="B755">
            <v>255</v>
          </cell>
          <cell r="C755">
            <v>260</v>
          </cell>
          <cell r="D755">
            <v>360</v>
          </cell>
          <cell r="E755">
            <v>450</v>
          </cell>
          <cell r="F755" t="str">
            <v>72.11872 - 14</v>
          </cell>
          <cell r="G755"/>
          <cell r="H755"/>
          <cell r="K755"/>
        </row>
        <row r="756">
          <cell r="B756">
            <v>255</v>
          </cell>
          <cell r="C756">
            <v>377</v>
          </cell>
          <cell r="D756">
            <v>360</v>
          </cell>
          <cell r="E756">
            <v>450</v>
          </cell>
          <cell r="F756" t="str">
            <v>72.11874 - 14</v>
          </cell>
          <cell r="G756">
            <v>7260037</v>
          </cell>
          <cell r="H756"/>
          <cell r="K756"/>
        </row>
        <row r="757">
          <cell r="B757">
            <v>255</v>
          </cell>
          <cell r="C757">
            <v>320</v>
          </cell>
          <cell r="D757">
            <v>360</v>
          </cell>
          <cell r="E757">
            <v>450</v>
          </cell>
          <cell r="F757" t="str">
            <v>72.11873 - 14</v>
          </cell>
          <cell r="G757"/>
          <cell r="H757"/>
          <cell r="K757"/>
        </row>
        <row r="758">
          <cell r="B758">
            <v>255</v>
          </cell>
          <cell r="C758">
            <v>260</v>
          </cell>
          <cell r="D758">
            <v>360</v>
          </cell>
          <cell r="E758">
            <v>450</v>
          </cell>
          <cell r="F758" t="str">
            <v>72.11872 - 14</v>
          </cell>
          <cell r="G758"/>
          <cell r="H758"/>
          <cell r="K758"/>
        </row>
        <row r="759">
          <cell r="B759">
            <v>255</v>
          </cell>
          <cell r="C759">
            <v>260</v>
          </cell>
          <cell r="D759">
            <v>360</v>
          </cell>
          <cell r="E759">
            <v>450</v>
          </cell>
          <cell r="F759" t="str">
            <v>72.11872 - 14</v>
          </cell>
          <cell r="G759"/>
          <cell r="H759"/>
          <cell r="K759"/>
        </row>
        <row r="760">
          <cell r="B760">
            <v>257.5</v>
          </cell>
          <cell r="C760">
            <v>380</v>
          </cell>
          <cell r="D760">
            <v>375</v>
          </cell>
          <cell r="E760">
            <v>450</v>
          </cell>
          <cell r="F760" t="str">
            <v>72.11874 - 15</v>
          </cell>
          <cell r="G760"/>
          <cell r="H760"/>
          <cell r="K760"/>
        </row>
        <row r="761">
          <cell r="B761">
            <v>257.5</v>
          </cell>
          <cell r="C761">
            <v>260</v>
          </cell>
          <cell r="D761">
            <v>360</v>
          </cell>
          <cell r="E761">
            <v>450</v>
          </cell>
          <cell r="F761" t="str">
            <v>72.11872 - 15</v>
          </cell>
          <cell r="G761"/>
          <cell r="H761"/>
          <cell r="K761"/>
        </row>
        <row r="762">
          <cell r="B762">
            <v>257.5</v>
          </cell>
          <cell r="C762">
            <v>260</v>
          </cell>
          <cell r="D762">
            <v>360</v>
          </cell>
          <cell r="E762">
            <v>450</v>
          </cell>
          <cell r="F762" t="str">
            <v>72.11872 - 15</v>
          </cell>
          <cell r="G762"/>
          <cell r="H762"/>
          <cell r="K762"/>
        </row>
        <row r="763">
          <cell r="B763">
            <v>257.5</v>
          </cell>
          <cell r="C763">
            <v>500</v>
          </cell>
          <cell r="D763">
            <v>360</v>
          </cell>
          <cell r="E763">
            <v>400</v>
          </cell>
          <cell r="F763" t="str">
            <v>72.23398 - 15</v>
          </cell>
          <cell r="G763">
            <v>7260038</v>
          </cell>
          <cell r="H763"/>
          <cell r="K763"/>
        </row>
        <row r="764">
          <cell r="B764">
            <v>260</v>
          </cell>
          <cell r="C764">
            <v>500</v>
          </cell>
          <cell r="D764">
            <v>360</v>
          </cell>
          <cell r="E764">
            <v>400</v>
          </cell>
          <cell r="F764" t="str">
            <v>72.23398 - 16</v>
          </cell>
          <cell r="G764"/>
          <cell r="H764"/>
          <cell r="K764"/>
        </row>
        <row r="765">
          <cell r="B765">
            <v>260</v>
          </cell>
          <cell r="C765">
            <v>495</v>
          </cell>
          <cell r="D765">
            <v>375</v>
          </cell>
          <cell r="E765">
            <v>400</v>
          </cell>
          <cell r="F765" t="str">
            <v>72.23398 - 16</v>
          </cell>
          <cell r="G765"/>
          <cell r="H765"/>
          <cell r="K765"/>
        </row>
        <row r="766">
          <cell r="B766">
            <v>260</v>
          </cell>
          <cell r="C766">
            <v>377</v>
          </cell>
          <cell r="D766">
            <v>360</v>
          </cell>
          <cell r="E766">
            <v>450</v>
          </cell>
          <cell r="F766" t="str">
            <v>72.11874 - 16</v>
          </cell>
          <cell r="G766"/>
          <cell r="H766"/>
          <cell r="K766"/>
        </row>
        <row r="767">
          <cell r="B767">
            <v>260</v>
          </cell>
          <cell r="C767">
            <v>258</v>
          </cell>
          <cell r="D767">
            <v>375</v>
          </cell>
          <cell r="E767">
            <v>450</v>
          </cell>
          <cell r="F767" t="str">
            <v>72.11872 - 16</v>
          </cell>
          <cell r="G767"/>
          <cell r="H767"/>
          <cell r="K767"/>
        </row>
        <row r="768">
          <cell r="B768">
            <v>260</v>
          </cell>
          <cell r="C768">
            <v>260</v>
          </cell>
          <cell r="D768">
            <v>375</v>
          </cell>
          <cell r="E768">
            <v>450</v>
          </cell>
          <cell r="F768" t="str">
            <v>72.11872 - 16</v>
          </cell>
          <cell r="G768"/>
          <cell r="H768"/>
          <cell r="K768"/>
        </row>
        <row r="769">
          <cell r="B769">
            <v>260</v>
          </cell>
          <cell r="C769">
            <v>318</v>
          </cell>
          <cell r="D769">
            <v>360</v>
          </cell>
          <cell r="E769">
            <v>450</v>
          </cell>
          <cell r="F769" t="str">
            <v>72.11873 - 16</v>
          </cell>
          <cell r="G769"/>
          <cell r="H769"/>
          <cell r="K769"/>
        </row>
        <row r="770">
          <cell r="B770">
            <v>260</v>
          </cell>
          <cell r="C770">
            <v>495</v>
          </cell>
          <cell r="D770">
            <v>360</v>
          </cell>
          <cell r="E770">
            <v>400</v>
          </cell>
          <cell r="F770" t="str">
            <v>72.23398 - 16</v>
          </cell>
          <cell r="G770"/>
          <cell r="H770"/>
          <cell r="K770"/>
        </row>
        <row r="771">
          <cell r="B771">
            <v>260</v>
          </cell>
          <cell r="C771">
            <v>257</v>
          </cell>
          <cell r="D771">
            <v>360</v>
          </cell>
          <cell r="E771">
            <v>450</v>
          </cell>
          <cell r="F771" t="str">
            <v>72.11872 - 16</v>
          </cell>
          <cell r="G771"/>
          <cell r="H771"/>
          <cell r="K771"/>
        </row>
        <row r="772">
          <cell r="B772">
            <v>260</v>
          </cell>
          <cell r="C772">
            <v>320</v>
          </cell>
          <cell r="D772">
            <v>375</v>
          </cell>
          <cell r="E772">
            <v>450</v>
          </cell>
          <cell r="F772" t="str">
            <v>72.11873 - 16</v>
          </cell>
          <cell r="G772"/>
          <cell r="H772"/>
          <cell r="K772"/>
        </row>
        <row r="773">
          <cell r="B773">
            <v>260</v>
          </cell>
          <cell r="C773">
            <v>380</v>
          </cell>
          <cell r="D773">
            <v>360</v>
          </cell>
          <cell r="E773">
            <v>450</v>
          </cell>
          <cell r="F773" t="str">
            <v>72.11874 - 16</v>
          </cell>
          <cell r="G773"/>
          <cell r="H773"/>
          <cell r="K773"/>
        </row>
        <row r="774">
          <cell r="B774">
            <v>260</v>
          </cell>
          <cell r="C774">
            <v>260</v>
          </cell>
          <cell r="D774">
            <v>360</v>
          </cell>
          <cell r="E774">
            <v>450</v>
          </cell>
          <cell r="F774" t="str">
            <v>72.11872 - 16</v>
          </cell>
          <cell r="G774"/>
          <cell r="H774"/>
          <cell r="K774"/>
        </row>
        <row r="775">
          <cell r="B775">
            <v>262.5</v>
          </cell>
          <cell r="C775">
            <v>377</v>
          </cell>
          <cell r="D775">
            <v>360</v>
          </cell>
          <cell r="E775">
            <v>450</v>
          </cell>
          <cell r="F775" t="str">
            <v>72.11874 - 17</v>
          </cell>
          <cell r="G775"/>
          <cell r="H775"/>
          <cell r="K775"/>
        </row>
        <row r="776">
          <cell r="B776">
            <v>262.5</v>
          </cell>
          <cell r="C776">
            <v>377</v>
          </cell>
          <cell r="D776">
            <v>360</v>
          </cell>
          <cell r="E776">
            <v>450</v>
          </cell>
          <cell r="F776" t="str">
            <v>72.11874 - 17</v>
          </cell>
          <cell r="G776"/>
          <cell r="H776"/>
          <cell r="K776"/>
        </row>
        <row r="777">
          <cell r="B777">
            <v>262.5</v>
          </cell>
          <cell r="C777">
            <v>260</v>
          </cell>
          <cell r="D777">
            <v>360</v>
          </cell>
          <cell r="E777">
            <v>450</v>
          </cell>
          <cell r="F777" t="str">
            <v>72.11872 - 17</v>
          </cell>
          <cell r="G777"/>
          <cell r="H777"/>
          <cell r="K777"/>
        </row>
        <row r="778">
          <cell r="B778">
            <v>262.5</v>
          </cell>
          <cell r="C778">
            <v>213</v>
          </cell>
          <cell r="D778">
            <v>375</v>
          </cell>
          <cell r="E778">
            <v>450</v>
          </cell>
          <cell r="F778" t="str">
            <v>10.246092 - 1</v>
          </cell>
          <cell r="G778">
            <v>7260039</v>
          </cell>
          <cell r="H778"/>
          <cell r="K778"/>
        </row>
        <row r="779">
          <cell r="B779">
            <v>265</v>
          </cell>
          <cell r="C779">
            <v>215</v>
          </cell>
          <cell r="D779">
            <v>375</v>
          </cell>
          <cell r="E779">
            <v>450</v>
          </cell>
          <cell r="F779" t="str">
            <v>10.246092 - 2</v>
          </cell>
          <cell r="G779"/>
          <cell r="H779"/>
          <cell r="K779"/>
        </row>
        <row r="780">
          <cell r="B780">
            <v>265</v>
          </cell>
          <cell r="C780">
            <v>215</v>
          </cell>
          <cell r="D780">
            <v>375</v>
          </cell>
          <cell r="E780">
            <v>450</v>
          </cell>
          <cell r="F780" t="str">
            <v>10.246092 - 2</v>
          </cell>
          <cell r="G780"/>
          <cell r="H780"/>
          <cell r="K780"/>
        </row>
        <row r="781">
          <cell r="B781">
            <v>265</v>
          </cell>
          <cell r="C781">
            <v>378</v>
          </cell>
          <cell r="D781">
            <v>360</v>
          </cell>
          <cell r="E781">
            <v>450</v>
          </cell>
          <cell r="F781" t="str">
            <v>72.11874 - 18</v>
          </cell>
          <cell r="G781"/>
          <cell r="H781"/>
          <cell r="K781"/>
        </row>
        <row r="782">
          <cell r="B782">
            <v>265</v>
          </cell>
          <cell r="C782">
            <v>540</v>
          </cell>
          <cell r="D782">
            <v>415</v>
          </cell>
          <cell r="E782">
            <v>400</v>
          </cell>
          <cell r="F782" t="str">
            <v>10.243375 - 1</v>
          </cell>
          <cell r="G782"/>
          <cell r="H782"/>
          <cell r="K782"/>
        </row>
        <row r="783">
          <cell r="B783">
            <v>267.5</v>
          </cell>
          <cell r="C783">
            <v>318</v>
          </cell>
          <cell r="D783">
            <v>375</v>
          </cell>
          <cell r="E783">
            <v>450</v>
          </cell>
          <cell r="F783" t="str">
            <v>72.11873 - 19</v>
          </cell>
          <cell r="G783"/>
          <cell r="H783"/>
          <cell r="K783"/>
        </row>
        <row r="784">
          <cell r="B784">
            <v>267.5</v>
          </cell>
          <cell r="C784">
            <v>500</v>
          </cell>
          <cell r="D784">
            <v>360</v>
          </cell>
          <cell r="E784">
            <v>400</v>
          </cell>
          <cell r="F784" t="str">
            <v>72.23398 - 19</v>
          </cell>
          <cell r="G784">
            <v>7260040</v>
          </cell>
          <cell r="H784"/>
          <cell r="K784"/>
        </row>
        <row r="785">
          <cell r="B785">
            <v>270</v>
          </cell>
          <cell r="C785">
            <v>540</v>
          </cell>
          <cell r="D785">
            <v>415</v>
          </cell>
          <cell r="E785">
            <v>400</v>
          </cell>
          <cell r="F785" t="str">
            <v>10.243375 - 3</v>
          </cell>
          <cell r="G785">
            <v>7260041</v>
          </cell>
          <cell r="H785"/>
          <cell r="K785"/>
        </row>
        <row r="786">
          <cell r="B786">
            <v>270</v>
          </cell>
          <cell r="C786">
            <v>315</v>
          </cell>
          <cell r="D786">
            <v>360</v>
          </cell>
          <cell r="E786">
            <v>450</v>
          </cell>
          <cell r="F786" t="str">
            <v>72.11873 - 20</v>
          </cell>
          <cell r="G786"/>
          <cell r="H786"/>
          <cell r="K786"/>
        </row>
        <row r="787">
          <cell r="B787">
            <v>270</v>
          </cell>
          <cell r="C787">
            <v>318</v>
          </cell>
          <cell r="D787">
            <v>360</v>
          </cell>
          <cell r="E787">
            <v>450</v>
          </cell>
          <cell r="F787" t="str">
            <v>72.11873 - 20</v>
          </cell>
          <cell r="G787"/>
          <cell r="H787"/>
          <cell r="K787"/>
        </row>
        <row r="788">
          <cell r="B788">
            <v>270</v>
          </cell>
          <cell r="C788">
            <v>260</v>
          </cell>
          <cell r="D788">
            <v>360</v>
          </cell>
          <cell r="E788">
            <v>450</v>
          </cell>
          <cell r="F788" t="str">
            <v>72.11872 - 20</v>
          </cell>
          <cell r="G788"/>
          <cell r="H788"/>
          <cell r="K788"/>
        </row>
        <row r="789">
          <cell r="B789">
            <v>275</v>
          </cell>
          <cell r="C789">
            <v>320</v>
          </cell>
          <cell r="D789">
            <v>360</v>
          </cell>
          <cell r="E789">
            <v>450</v>
          </cell>
          <cell r="F789" t="str">
            <v>72.11873 - 22</v>
          </cell>
          <cell r="G789"/>
          <cell r="H789"/>
          <cell r="K789"/>
        </row>
        <row r="790">
          <cell r="B790">
            <v>275</v>
          </cell>
          <cell r="C790">
            <v>380</v>
          </cell>
          <cell r="D790">
            <v>360</v>
          </cell>
          <cell r="E790">
            <v>450</v>
          </cell>
          <cell r="F790" t="str">
            <v>72.11873 - 22</v>
          </cell>
          <cell r="G790"/>
          <cell r="H790"/>
          <cell r="K790"/>
        </row>
        <row r="791">
          <cell r="B791">
            <v>275</v>
          </cell>
          <cell r="C791">
            <v>258</v>
          </cell>
          <cell r="D791">
            <v>375</v>
          </cell>
          <cell r="E791">
            <v>450</v>
          </cell>
          <cell r="F791" t="str">
            <v>72.11872 - 22</v>
          </cell>
          <cell r="G791"/>
          <cell r="H791"/>
          <cell r="K791"/>
        </row>
        <row r="792">
          <cell r="B792">
            <v>275</v>
          </cell>
          <cell r="C792">
            <v>260</v>
          </cell>
          <cell r="D792">
            <v>375</v>
          </cell>
          <cell r="E792">
            <v>450</v>
          </cell>
          <cell r="F792" t="str">
            <v>72.11872 - 22</v>
          </cell>
          <cell r="G792"/>
          <cell r="H792"/>
          <cell r="K792"/>
        </row>
        <row r="793">
          <cell r="B793">
            <v>275</v>
          </cell>
          <cell r="C793">
            <v>257</v>
          </cell>
          <cell r="D793">
            <v>360</v>
          </cell>
          <cell r="E793">
            <v>450</v>
          </cell>
          <cell r="F793" t="str">
            <v>72.11872 - 22</v>
          </cell>
          <cell r="G793"/>
          <cell r="H793"/>
          <cell r="K793"/>
        </row>
        <row r="794">
          <cell r="B794">
            <v>275</v>
          </cell>
          <cell r="C794">
            <v>260</v>
          </cell>
          <cell r="D794">
            <v>375</v>
          </cell>
          <cell r="E794">
            <v>450</v>
          </cell>
          <cell r="F794" t="str">
            <v>72.11872 - 22</v>
          </cell>
          <cell r="G794"/>
          <cell r="H794"/>
          <cell r="K794"/>
        </row>
        <row r="795">
          <cell r="B795">
            <v>275</v>
          </cell>
          <cell r="C795">
            <v>213</v>
          </cell>
          <cell r="D795">
            <v>375</v>
          </cell>
          <cell r="E795">
            <v>450</v>
          </cell>
          <cell r="F795" t="str">
            <v>10.246092 - 6</v>
          </cell>
          <cell r="G795"/>
          <cell r="H795"/>
          <cell r="K795"/>
        </row>
        <row r="796">
          <cell r="B796">
            <v>275</v>
          </cell>
          <cell r="C796">
            <v>317</v>
          </cell>
          <cell r="D796">
            <v>360</v>
          </cell>
          <cell r="E796">
            <v>450</v>
          </cell>
          <cell r="F796" t="str">
            <v>72.11873 - 22</v>
          </cell>
          <cell r="G796"/>
          <cell r="H796"/>
          <cell r="K796"/>
        </row>
        <row r="797">
          <cell r="B797">
            <v>275</v>
          </cell>
          <cell r="C797">
            <v>495</v>
          </cell>
          <cell r="D797">
            <v>360</v>
          </cell>
          <cell r="E797">
            <v>400</v>
          </cell>
          <cell r="F797" t="str">
            <v>72.23398 - 22</v>
          </cell>
          <cell r="G797"/>
          <cell r="H797"/>
          <cell r="K797"/>
        </row>
        <row r="798">
          <cell r="B798">
            <v>275</v>
          </cell>
          <cell r="C798">
            <v>260</v>
          </cell>
          <cell r="D798">
            <v>360</v>
          </cell>
          <cell r="E798">
            <v>450</v>
          </cell>
          <cell r="F798" t="str">
            <v>72.11872 - 22</v>
          </cell>
          <cell r="G798"/>
          <cell r="H798"/>
          <cell r="K798"/>
        </row>
        <row r="799">
          <cell r="B799">
            <v>275</v>
          </cell>
          <cell r="C799">
            <v>260</v>
          </cell>
          <cell r="D799">
            <v>375</v>
          </cell>
          <cell r="E799">
            <v>450</v>
          </cell>
          <cell r="F799" t="str">
            <v>72.11872 - 22</v>
          </cell>
          <cell r="G799"/>
          <cell r="H799"/>
          <cell r="K799"/>
        </row>
        <row r="800">
          <cell r="B800">
            <v>275</v>
          </cell>
          <cell r="C800">
            <v>375</v>
          </cell>
          <cell r="D800">
            <v>360</v>
          </cell>
          <cell r="E800">
            <v>450</v>
          </cell>
          <cell r="F800" t="str">
            <v>72.11874 - 22</v>
          </cell>
          <cell r="G800"/>
          <cell r="H800"/>
          <cell r="K800"/>
        </row>
        <row r="801">
          <cell r="B801">
            <v>277.5</v>
          </cell>
          <cell r="C801">
            <v>260</v>
          </cell>
          <cell r="D801">
            <v>375</v>
          </cell>
          <cell r="E801">
            <v>450</v>
          </cell>
          <cell r="F801" t="str">
            <v>72.11872 - 23</v>
          </cell>
          <cell r="G801"/>
          <cell r="H801"/>
          <cell r="K801"/>
        </row>
        <row r="802">
          <cell r="B802">
            <v>277.5</v>
          </cell>
          <cell r="C802">
            <v>260</v>
          </cell>
          <cell r="D802">
            <v>375</v>
          </cell>
          <cell r="E802">
            <v>450</v>
          </cell>
          <cell r="F802" t="str">
            <v>72.11872 - 23</v>
          </cell>
          <cell r="G802"/>
          <cell r="H802"/>
          <cell r="K802"/>
        </row>
        <row r="803">
          <cell r="B803">
            <v>277.5</v>
          </cell>
          <cell r="C803">
            <v>260</v>
          </cell>
          <cell r="D803">
            <v>360</v>
          </cell>
          <cell r="E803">
            <v>450</v>
          </cell>
          <cell r="F803" t="str">
            <v>72.11872 - 23</v>
          </cell>
          <cell r="G803"/>
          <cell r="H803"/>
          <cell r="K803"/>
        </row>
        <row r="804">
          <cell r="B804">
            <v>277.5</v>
          </cell>
          <cell r="C804">
            <v>320</v>
          </cell>
          <cell r="D804">
            <v>360</v>
          </cell>
          <cell r="E804">
            <v>450</v>
          </cell>
          <cell r="F804" t="str">
            <v>72.11873 - 23</v>
          </cell>
          <cell r="G804">
            <v>7260043</v>
          </cell>
          <cell r="H804"/>
          <cell r="K804"/>
        </row>
        <row r="805">
          <cell r="B805">
            <v>280</v>
          </cell>
          <cell r="C805">
            <v>375</v>
          </cell>
          <cell r="D805">
            <v>375</v>
          </cell>
          <cell r="E805">
            <v>450</v>
          </cell>
          <cell r="F805" t="str">
            <v>72.11874 - 24</v>
          </cell>
          <cell r="G805"/>
          <cell r="H805"/>
          <cell r="K805"/>
        </row>
        <row r="806">
          <cell r="B806">
            <v>280</v>
          </cell>
          <cell r="C806">
            <v>260</v>
          </cell>
          <cell r="D806">
            <v>375</v>
          </cell>
          <cell r="E806">
            <v>450</v>
          </cell>
          <cell r="F806" t="str">
            <v>72.11872 - 24</v>
          </cell>
          <cell r="G806"/>
          <cell r="H806"/>
          <cell r="K806"/>
        </row>
        <row r="807">
          <cell r="B807">
            <v>280</v>
          </cell>
          <cell r="C807">
            <v>260</v>
          </cell>
          <cell r="D807">
            <v>360</v>
          </cell>
          <cell r="E807">
            <v>450</v>
          </cell>
          <cell r="F807" t="str">
            <v>72.11872 - 24</v>
          </cell>
          <cell r="G807"/>
          <cell r="H807"/>
          <cell r="K807"/>
        </row>
        <row r="808">
          <cell r="B808">
            <v>280</v>
          </cell>
          <cell r="C808">
            <v>260</v>
          </cell>
          <cell r="D808">
            <v>360</v>
          </cell>
          <cell r="E808">
            <v>450</v>
          </cell>
          <cell r="F808" t="str">
            <v>72.11872 - 24</v>
          </cell>
          <cell r="G808"/>
          <cell r="H808"/>
          <cell r="K808"/>
        </row>
        <row r="809">
          <cell r="B809">
            <v>280</v>
          </cell>
          <cell r="C809">
            <v>318</v>
          </cell>
          <cell r="D809">
            <v>375</v>
          </cell>
          <cell r="E809">
            <v>450</v>
          </cell>
          <cell r="F809" t="str">
            <v>72.11873 - 24</v>
          </cell>
          <cell r="G809"/>
          <cell r="H809"/>
          <cell r="K809"/>
        </row>
        <row r="810">
          <cell r="B810">
            <v>280</v>
          </cell>
          <cell r="C810">
            <v>320</v>
          </cell>
          <cell r="D810">
            <v>360</v>
          </cell>
          <cell r="E810">
            <v>450</v>
          </cell>
          <cell r="F810" t="str">
            <v>72.11873 - 24</v>
          </cell>
          <cell r="G810"/>
          <cell r="H810"/>
          <cell r="K810"/>
        </row>
        <row r="811">
          <cell r="B811">
            <v>280</v>
          </cell>
          <cell r="C811">
            <v>377</v>
          </cell>
          <cell r="D811">
            <v>360</v>
          </cell>
          <cell r="E811">
            <v>450</v>
          </cell>
          <cell r="F811" t="str">
            <v>72.11874 - 24</v>
          </cell>
          <cell r="G811"/>
          <cell r="H811"/>
          <cell r="K811"/>
        </row>
        <row r="812">
          <cell r="B812">
            <v>280</v>
          </cell>
          <cell r="C812">
            <v>382</v>
          </cell>
          <cell r="D812">
            <v>360</v>
          </cell>
          <cell r="E812">
            <v>450</v>
          </cell>
          <cell r="F812" t="str">
            <v>72.11874 - 24</v>
          </cell>
          <cell r="G812"/>
          <cell r="H812"/>
          <cell r="K812"/>
        </row>
        <row r="813">
          <cell r="B813">
            <v>280</v>
          </cell>
          <cell r="C813">
            <v>257</v>
          </cell>
          <cell r="D813">
            <v>360</v>
          </cell>
          <cell r="E813">
            <v>450</v>
          </cell>
          <cell r="F813" t="str">
            <v>72.11872 - 24</v>
          </cell>
          <cell r="G813"/>
          <cell r="H813"/>
          <cell r="K813"/>
        </row>
        <row r="814">
          <cell r="B814">
            <v>280</v>
          </cell>
          <cell r="C814">
            <v>260</v>
          </cell>
          <cell r="D814">
            <v>375</v>
          </cell>
          <cell r="E814">
            <v>450</v>
          </cell>
          <cell r="F814" t="str">
            <v>72.11872 - 24</v>
          </cell>
          <cell r="G814"/>
          <cell r="H814"/>
          <cell r="K814"/>
        </row>
        <row r="815">
          <cell r="B815">
            <v>280</v>
          </cell>
          <cell r="C815">
            <v>260</v>
          </cell>
          <cell r="D815">
            <v>360</v>
          </cell>
          <cell r="E815">
            <v>450</v>
          </cell>
          <cell r="F815" t="str">
            <v>72.11872 - 24</v>
          </cell>
          <cell r="G815"/>
          <cell r="H815"/>
          <cell r="K815"/>
        </row>
        <row r="816">
          <cell r="B816">
            <v>282.5</v>
          </cell>
          <cell r="C816">
            <v>260</v>
          </cell>
          <cell r="D816">
            <v>360</v>
          </cell>
          <cell r="E816">
            <v>450</v>
          </cell>
          <cell r="F816" t="str">
            <v>72.11872 - 25</v>
          </cell>
          <cell r="G816"/>
          <cell r="H816"/>
          <cell r="K816"/>
        </row>
        <row r="817">
          <cell r="B817">
            <v>282.5</v>
          </cell>
          <cell r="C817">
            <v>260</v>
          </cell>
          <cell r="D817">
            <v>375</v>
          </cell>
          <cell r="E817">
            <v>450</v>
          </cell>
          <cell r="F817" t="str">
            <v>72.11872 - 25</v>
          </cell>
          <cell r="G817"/>
          <cell r="H817"/>
          <cell r="K817"/>
        </row>
        <row r="818">
          <cell r="B818">
            <v>282.5</v>
          </cell>
          <cell r="C818">
            <v>380</v>
          </cell>
          <cell r="D818">
            <v>360</v>
          </cell>
          <cell r="E818">
            <v>450</v>
          </cell>
          <cell r="F818" t="str">
            <v>72.11874 - 25</v>
          </cell>
          <cell r="G818"/>
          <cell r="H818"/>
          <cell r="K818"/>
        </row>
        <row r="819">
          <cell r="B819">
            <v>282.5</v>
          </cell>
          <cell r="C819">
            <v>317</v>
          </cell>
          <cell r="D819">
            <v>360</v>
          </cell>
          <cell r="E819">
            <v>450</v>
          </cell>
          <cell r="F819" t="str">
            <v>72.11873 - 25</v>
          </cell>
          <cell r="G819"/>
          <cell r="H819"/>
          <cell r="K819"/>
        </row>
        <row r="820">
          <cell r="B820">
            <v>282.5</v>
          </cell>
          <cell r="C820">
            <v>258</v>
          </cell>
          <cell r="D820">
            <v>360</v>
          </cell>
          <cell r="E820">
            <v>450</v>
          </cell>
          <cell r="F820" t="str">
            <v>72.11872 - 25</v>
          </cell>
          <cell r="G820"/>
          <cell r="H820"/>
          <cell r="K820"/>
        </row>
        <row r="821">
          <cell r="B821">
            <v>282.5</v>
          </cell>
          <cell r="C821">
            <v>260</v>
          </cell>
          <cell r="D821">
            <v>360</v>
          </cell>
          <cell r="E821">
            <v>450</v>
          </cell>
          <cell r="F821" t="str">
            <v>72.11872 - 25</v>
          </cell>
          <cell r="G821"/>
          <cell r="H821"/>
          <cell r="K821"/>
        </row>
        <row r="822">
          <cell r="B822">
            <v>282.5</v>
          </cell>
          <cell r="C822">
            <v>260</v>
          </cell>
          <cell r="D822">
            <v>360</v>
          </cell>
          <cell r="E822">
            <v>450</v>
          </cell>
          <cell r="F822" t="str">
            <v>72.11872 - 25</v>
          </cell>
          <cell r="G822"/>
          <cell r="H822"/>
          <cell r="K822"/>
        </row>
        <row r="823">
          <cell r="B823">
            <v>282.5</v>
          </cell>
          <cell r="C823">
            <v>260</v>
          </cell>
          <cell r="D823">
            <v>375</v>
          </cell>
          <cell r="E823">
            <v>450</v>
          </cell>
          <cell r="F823" t="str">
            <v>72.11872 - 25</v>
          </cell>
          <cell r="G823"/>
          <cell r="H823"/>
          <cell r="K823"/>
        </row>
        <row r="824">
          <cell r="B824">
            <v>282.5</v>
          </cell>
          <cell r="C824">
            <v>377</v>
          </cell>
          <cell r="D824">
            <v>360</v>
          </cell>
          <cell r="E824">
            <v>450</v>
          </cell>
          <cell r="F824" t="str">
            <v>72.11874 - 25</v>
          </cell>
          <cell r="G824"/>
          <cell r="H824"/>
          <cell r="K824"/>
        </row>
        <row r="825">
          <cell r="B825">
            <v>282.5</v>
          </cell>
          <cell r="C825">
            <v>320</v>
          </cell>
          <cell r="D825">
            <v>360</v>
          </cell>
          <cell r="E825">
            <v>450</v>
          </cell>
          <cell r="F825" t="str">
            <v>72.11873 - 25</v>
          </cell>
          <cell r="G825"/>
          <cell r="H825"/>
          <cell r="K825"/>
        </row>
        <row r="826">
          <cell r="B826">
            <v>282.5</v>
          </cell>
          <cell r="C826">
            <v>440</v>
          </cell>
          <cell r="D826">
            <v>375</v>
          </cell>
          <cell r="E826">
            <v>400</v>
          </cell>
          <cell r="F826" t="str">
            <v>10.241070 - 1</v>
          </cell>
          <cell r="G826"/>
          <cell r="H826"/>
          <cell r="K826"/>
        </row>
        <row r="827">
          <cell r="B827">
            <v>282.5</v>
          </cell>
          <cell r="C827">
            <v>377</v>
          </cell>
          <cell r="D827">
            <v>360</v>
          </cell>
          <cell r="E827">
            <v>450</v>
          </cell>
          <cell r="F827" t="str">
            <v>72.11874 - 25</v>
          </cell>
          <cell r="G827"/>
          <cell r="H827"/>
          <cell r="K827"/>
        </row>
        <row r="828">
          <cell r="B828">
            <v>282.5</v>
          </cell>
          <cell r="C828">
            <v>383</v>
          </cell>
          <cell r="D828">
            <v>375</v>
          </cell>
          <cell r="E828">
            <v>450</v>
          </cell>
          <cell r="F828" t="str">
            <v>72.11874 - 25</v>
          </cell>
          <cell r="G828"/>
          <cell r="H828"/>
          <cell r="K828"/>
        </row>
        <row r="829">
          <cell r="B829">
            <v>282.5</v>
          </cell>
          <cell r="C829">
            <v>420</v>
          </cell>
          <cell r="D829">
            <v>360</v>
          </cell>
          <cell r="E829">
            <v>400</v>
          </cell>
          <cell r="F829" t="str">
            <v>10.241070 - 1</v>
          </cell>
          <cell r="G829"/>
          <cell r="H829"/>
          <cell r="K829"/>
        </row>
        <row r="830">
          <cell r="B830">
            <v>282.5</v>
          </cell>
          <cell r="C830">
            <v>257</v>
          </cell>
          <cell r="D830">
            <v>360</v>
          </cell>
          <cell r="E830">
            <v>450</v>
          </cell>
          <cell r="F830" t="str">
            <v>72.11872 - 25</v>
          </cell>
          <cell r="G830"/>
          <cell r="H830"/>
          <cell r="K830"/>
        </row>
        <row r="831">
          <cell r="B831">
            <v>282.5</v>
          </cell>
          <cell r="C831">
            <v>260</v>
          </cell>
          <cell r="D831">
            <v>360</v>
          </cell>
          <cell r="E831">
            <v>450</v>
          </cell>
          <cell r="F831" t="str">
            <v>72.11872 - 25</v>
          </cell>
          <cell r="G831"/>
          <cell r="H831"/>
          <cell r="K831"/>
        </row>
        <row r="832">
          <cell r="B832">
            <v>285</v>
          </cell>
          <cell r="C832">
            <v>440</v>
          </cell>
          <cell r="D832">
            <v>375</v>
          </cell>
          <cell r="E832">
            <v>400</v>
          </cell>
          <cell r="F832" t="str">
            <v>10.241070 - 2</v>
          </cell>
          <cell r="G832"/>
          <cell r="H832"/>
          <cell r="K832"/>
        </row>
        <row r="833">
          <cell r="B833">
            <v>285</v>
          </cell>
          <cell r="C833">
            <v>213</v>
          </cell>
          <cell r="D833">
            <v>360</v>
          </cell>
          <cell r="E833">
            <v>450</v>
          </cell>
          <cell r="F833" t="str">
            <v>10.246094 - 2</v>
          </cell>
          <cell r="G833"/>
          <cell r="H833"/>
          <cell r="K833"/>
        </row>
        <row r="834">
          <cell r="B834">
            <v>285</v>
          </cell>
          <cell r="C834">
            <v>415</v>
          </cell>
          <cell r="D834">
            <v>360</v>
          </cell>
          <cell r="E834">
            <v>400</v>
          </cell>
          <cell r="F834" t="str">
            <v>72.42346 - 03</v>
          </cell>
          <cell r="G834">
            <v>7260044</v>
          </cell>
          <cell r="H834"/>
          <cell r="K834"/>
        </row>
        <row r="835">
          <cell r="B835">
            <v>285</v>
          </cell>
          <cell r="C835">
            <v>440</v>
          </cell>
          <cell r="D835">
            <v>375</v>
          </cell>
          <cell r="E835">
            <v>400</v>
          </cell>
          <cell r="F835" t="str">
            <v>10.241070 - 2</v>
          </cell>
          <cell r="G835"/>
          <cell r="H835"/>
          <cell r="K835"/>
        </row>
        <row r="836">
          <cell r="B836">
            <v>285</v>
          </cell>
          <cell r="C836">
            <v>260</v>
          </cell>
          <cell r="D836">
            <v>375</v>
          </cell>
          <cell r="E836">
            <v>450</v>
          </cell>
          <cell r="F836" t="str">
            <v>72.11872 - 26</v>
          </cell>
          <cell r="G836"/>
          <cell r="H836"/>
          <cell r="K836"/>
        </row>
        <row r="837">
          <cell r="B837">
            <v>285</v>
          </cell>
          <cell r="C837">
            <v>260</v>
          </cell>
          <cell r="D837">
            <v>375</v>
          </cell>
          <cell r="E837">
            <v>450</v>
          </cell>
          <cell r="F837" t="str">
            <v>72.11872 - 26</v>
          </cell>
          <cell r="G837"/>
          <cell r="H837"/>
          <cell r="K837"/>
        </row>
        <row r="838">
          <cell r="B838">
            <v>285</v>
          </cell>
          <cell r="C838">
            <v>260</v>
          </cell>
          <cell r="D838">
            <v>360</v>
          </cell>
          <cell r="E838">
            <v>450</v>
          </cell>
          <cell r="F838" t="str">
            <v>72.11872 - 26</v>
          </cell>
          <cell r="G838"/>
          <cell r="H838"/>
          <cell r="K838"/>
        </row>
        <row r="839">
          <cell r="B839">
            <v>285</v>
          </cell>
          <cell r="C839">
            <v>260</v>
          </cell>
          <cell r="D839">
            <v>375</v>
          </cell>
          <cell r="E839">
            <v>450</v>
          </cell>
          <cell r="F839" t="str">
            <v>72.11872 - 26</v>
          </cell>
          <cell r="G839"/>
          <cell r="H839"/>
          <cell r="K839"/>
        </row>
        <row r="840">
          <cell r="B840">
            <v>285</v>
          </cell>
          <cell r="C840">
            <v>320</v>
          </cell>
          <cell r="D840">
            <v>360</v>
          </cell>
          <cell r="E840">
            <v>450</v>
          </cell>
          <cell r="F840" t="str">
            <v>72.11873 - 26</v>
          </cell>
          <cell r="G840"/>
          <cell r="H840"/>
          <cell r="K840"/>
        </row>
        <row r="841">
          <cell r="B841">
            <v>285</v>
          </cell>
          <cell r="C841">
            <v>260</v>
          </cell>
          <cell r="D841">
            <v>375</v>
          </cell>
          <cell r="E841">
            <v>450</v>
          </cell>
          <cell r="F841" t="str">
            <v>72.11872 - 26</v>
          </cell>
          <cell r="G841"/>
          <cell r="H841"/>
          <cell r="K841"/>
        </row>
        <row r="842">
          <cell r="B842">
            <v>285</v>
          </cell>
          <cell r="C842">
            <v>210</v>
          </cell>
          <cell r="D842">
            <v>360</v>
          </cell>
          <cell r="E842">
            <v>450</v>
          </cell>
          <cell r="F842" t="str">
            <v>10.246094 - 2</v>
          </cell>
          <cell r="G842"/>
          <cell r="H842"/>
          <cell r="K842"/>
        </row>
        <row r="843">
          <cell r="B843">
            <v>285</v>
          </cell>
          <cell r="C843">
            <v>260</v>
          </cell>
          <cell r="D843">
            <v>360</v>
          </cell>
          <cell r="E843">
            <v>450</v>
          </cell>
          <cell r="F843" t="str">
            <v>72.11872 - 26</v>
          </cell>
          <cell r="G843"/>
          <cell r="H843"/>
          <cell r="K843"/>
        </row>
        <row r="844">
          <cell r="B844">
            <v>285</v>
          </cell>
          <cell r="C844">
            <v>257</v>
          </cell>
          <cell r="D844">
            <v>375</v>
          </cell>
          <cell r="E844">
            <v>450</v>
          </cell>
          <cell r="F844" t="str">
            <v>72.11872 - 26</v>
          </cell>
          <cell r="G844"/>
          <cell r="H844"/>
          <cell r="K844"/>
        </row>
        <row r="845">
          <cell r="B845">
            <v>285</v>
          </cell>
          <cell r="C845">
            <v>378</v>
          </cell>
          <cell r="D845">
            <v>360</v>
          </cell>
          <cell r="E845">
            <v>450</v>
          </cell>
          <cell r="F845" t="str">
            <v>72.11874 - 26</v>
          </cell>
          <cell r="G845"/>
          <cell r="H845"/>
          <cell r="K845"/>
        </row>
        <row r="846">
          <cell r="B846">
            <v>285</v>
          </cell>
          <cell r="C846">
            <v>379</v>
          </cell>
          <cell r="D846">
            <v>360</v>
          </cell>
          <cell r="E846">
            <v>450</v>
          </cell>
          <cell r="F846" t="str">
            <v>72.11874 - 26</v>
          </cell>
          <cell r="G846"/>
          <cell r="H846"/>
          <cell r="K846"/>
        </row>
        <row r="847">
          <cell r="B847">
            <v>285</v>
          </cell>
          <cell r="C847">
            <v>315</v>
          </cell>
          <cell r="D847">
            <v>375</v>
          </cell>
          <cell r="E847">
            <v>450</v>
          </cell>
          <cell r="F847" t="str">
            <v>72.11873 - 26</v>
          </cell>
          <cell r="G847"/>
          <cell r="H847"/>
          <cell r="K847"/>
        </row>
        <row r="848">
          <cell r="B848">
            <v>285</v>
          </cell>
          <cell r="C848">
            <v>375</v>
          </cell>
          <cell r="D848">
            <v>360</v>
          </cell>
          <cell r="E848">
            <v>450</v>
          </cell>
          <cell r="F848" t="str">
            <v>72.11874 - 26</v>
          </cell>
          <cell r="G848"/>
          <cell r="H848"/>
          <cell r="K848"/>
        </row>
        <row r="849">
          <cell r="B849">
            <v>285</v>
          </cell>
          <cell r="C849">
            <v>375</v>
          </cell>
          <cell r="D849">
            <v>375</v>
          </cell>
          <cell r="E849">
            <v>450</v>
          </cell>
          <cell r="F849" t="str">
            <v>72.11874 - 26</v>
          </cell>
          <cell r="G849"/>
          <cell r="H849"/>
          <cell r="K849"/>
        </row>
        <row r="850">
          <cell r="B850">
            <v>285</v>
          </cell>
          <cell r="C850">
            <v>317</v>
          </cell>
          <cell r="D850">
            <v>360</v>
          </cell>
          <cell r="E850">
            <v>450</v>
          </cell>
          <cell r="F850" t="str">
            <v>72.11873 - 26</v>
          </cell>
          <cell r="G850"/>
          <cell r="H850"/>
          <cell r="K850"/>
        </row>
        <row r="851">
          <cell r="B851">
            <v>285</v>
          </cell>
          <cell r="C851">
            <v>318</v>
          </cell>
          <cell r="D851">
            <v>360</v>
          </cell>
          <cell r="E851">
            <v>450</v>
          </cell>
          <cell r="F851" t="str">
            <v>72.11873 - 26</v>
          </cell>
          <cell r="G851"/>
          <cell r="H851"/>
          <cell r="K851"/>
        </row>
        <row r="852">
          <cell r="B852">
            <v>285</v>
          </cell>
          <cell r="C852">
            <v>437</v>
          </cell>
          <cell r="D852">
            <v>375</v>
          </cell>
          <cell r="E852">
            <v>400</v>
          </cell>
          <cell r="F852" t="str">
            <v>10.241070 - 2</v>
          </cell>
          <cell r="G852"/>
          <cell r="H852"/>
          <cell r="K852"/>
        </row>
        <row r="853">
          <cell r="B853">
            <v>285</v>
          </cell>
          <cell r="C853">
            <v>320</v>
          </cell>
          <cell r="D853">
            <v>360</v>
          </cell>
          <cell r="E853">
            <v>450</v>
          </cell>
          <cell r="F853" t="str">
            <v>72.11873 - 26</v>
          </cell>
          <cell r="G853"/>
          <cell r="H853"/>
          <cell r="K853"/>
        </row>
        <row r="854">
          <cell r="B854">
            <v>285</v>
          </cell>
          <cell r="C854">
            <v>260</v>
          </cell>
          <cell r="D854">
            <v>360</v>
          </cell>
          <cell r="E854">
            <v>450</v>
          </cell>
          <cell r="F854" t="str">
            <v>72.11872 - 26</v>
          </cell>
          <cell r="G854"/>
          <cell r="H854"/>
          <cell r="K854"/>
        </row>
        <row r="855">
          <cell r="B855">
            <v>285</v>
          </cell>
          <cell r="C855">
            <v>257</v>
          </cell>
          <cell r="D855">
            <v>360</v>
          </cell>
          <cell r="E855">
            <v>450</v>
          </cell>
          <cell r="F855" t="str">
            <v>72.11872 - 26</v>
          </cell>
          <cell r="G855"/>
          <cell r="H855"/>
          <cell r="K855"/>
        </row>
        <row r="856">
          <cell r="B856">
            <v>285</v>
          </cell>
          <cell r="C856">
            <v>440</v>
          </cell>
          <cell r="D856">
            <v>375</v>
          </cell>
          <cell r="E856">
            <v>400</v>
          </cell>
          <cell r="F856" t="str">
            <v>10.241070 - 2</v>
          </cell>
          <cell r="G856"/>
          <cell r="H856"/>
          <cell r="K856"/>
        </row>
        <row r="857">
          <cell r="B857">
            <v>285</v>
          </cell>
          <cell r="C857">
            <v>320</v>
          </cell>
          <cell r="D857">
            <v>360</v>
          </cell>
          <cell r="E857">
            <v>450</v>
          </cell>
          <cell r="F857" t="str">
            <v>72.11873 - 26</v>
          </cell>
          <cell r="G857"/>
          <cell r="H857"/>
          <cell r="K857"/>
        </row>
        <row r="858">
          <cell r="B858">
            <v>285</v>
          </cell>
          <cell r="C858">
            <v>260</v>
          </cell>
          <cell r="D858">
            <v>375</v>
          </cell>
          <cell r="E858">
            <v>450</v>
          </cell>
          <cell r="F858" t="str">
            <v>72.11872 - 26</v>
          </cell>
          <cell r="G858"/>
          <cell r="H858"/>
          <cell r="K858"/>
        </row>
        <row r="859">
          <cell r="B859">
            <v>285</v>
          </cell>
          <cell r="C859">
            <v>318</v>
          </cell>
          <cell r="D859">
            <v>360</v>
          </cell>
          <cell r="E859">
            <v>450</v>
          </cell>
          <cell r="F859" t="str">
            <v>72.11873 - 26</v>
          </cell>
          <cell r="G859"/>
          <cell r="H859"/>
          <cell r="K859"/>
        </row>
        <row r="860">
          <cell r="B860">
            <v>285</v>
          </cell>
          <cell r="C860">
            <v>260</v>
          </cell>
          <cell r="D860">
            <v>360</v>
          </cell>
          <cell r="E860">
            <v>450</v>
          </cell>
          <cell r="F860" t="str">
            <v>72.11872 - 26</v>
          </cell>
          <cell r="G860"/>
          <cell r="H860"/>
          <cell r="K860"/>
        </row>
        <row r="861">
          <cell r="B861">
            <v>287.5</v>
          </cell>
          <cell r="C861">
            <v>495</v>
          </cell>
          <cell r="D861">
            <v>375</v>
          </cell>
          <cell r="E861">
            <v>400</v>
          </cell>
          <cell r="F861" t="str">
            <v>72.23398 - 27</v>
          </cell>
          <cell r="G861">
            <v>7260045</v>
          </cell>
          <cell r="H861"/>
          <cell r="K861"/>
        </row>
        <row r="862">
          <cell r="B862">
            <v>287.5</v>
          </cell>
          <cell r="C862">
            <v>258</v>
          </cell>
          <cell r="D862">
            <v>360</v>
          </cell>
          <cell r="E862">
            <v>450</v>
          </cell>
          <cell r="F862" t="str">
            <v>72.11872 - 27</v>
          </cell>
          <cell r="G862"/>
          <cell r="H862"/>
          <cell r="K862"/>
        </row>
        <row r="863">
          <cell r="B863">
            <v>287.5</v>
          </cell>
          <cell r="C863">
            <v>415</v>
          </cell>
          <cell r="D863">
            <v>360</v>
          </cell>
          <cell r="E863">
            <v>400</v>
          </cell>
          <cell r="F863" t="str">
            <v>72.42346 - 04</v>
          </cell>
          <cell r="G863">
            <v>7260046</v>
          </cell>
          <cell r="H863"/>
          <cell r="K863"/>
        </row>
        <row r="864">
          <cell r="B864">
            <v>287.5</v>
          </cell>
          <cell r="C864">
            <v>440</v>
          </cell>
          <cell r="D864">
            <v>375</v>
          </cell>
          <cell r="E864">
            <v>400</v>
          </cell>
          <cell r="F864" t="str">
            <v>10.241070 - 3</v>
          </cell>
          <cell r="G864"/>
          <cell r="H864"/>
          <cell r="K864"/>
        </row>
        <row r="865">
          <cell r="B865">
            <v>287.5</v>
          </cell>
          <cell r="C865">
            <v>260</v>
          </cell>
          <cell r="D865">
            <v>360</v>
          </cell>
          <cell r="E865">
            <v>450</v>
          </cell>
          <cell r="F865" t="str">
            <v>72.11872 - 27</v>
          </cell>
          <cell r="G865"/>
          <cell r="H865"/>
          <cell r="K865"/>
        </row>
        <row r="866">
          <cell r="B866">
            <v>287.5</v>
          </cell>
          <cell r="C866">
            <v>258</v>
          </cell>
          <cell r="D866">
            <v>360</v>
          </cell>
          <cell r="E866">
            <v>450</v>
          </cell>
          <cell r="F866" t="str">
            <v>72.11872 - 27</v>
          </cell>
          <cell r="G866"/>
          <cell r="H866"/>
          <cell r="K866"/>
        </row>
        <row r="867">
          <cell r="B867">
            <v>287.5</v>
          </cell>
          <cell r="C867">
            <v>440</v>
          </cell>
          <cell r="D867">
            <v>375</v>
          </cell>
          <cell r="E867">
            <v>400</v>
          </cell>
          <cell r="F867" t="str">
            <v>10.241070 - 3</v>
          </cell>
          <cell r="G867"/>
          <cell r="H867"/>
          <cell r="K867"/>
        </row>
        <row r="868">
          <cell r="B868">
            <v>287.5</v>
          </cell>
          <cell r="C868">
            <v>260</v>
          </cell>
          <cell r="D868">
            <v>360</v>
          </cell>
          <cell r="E868">
            <v>450</v>
          </cell>
          <cell r="F868" t="str">
            <v>72.11872 - 27</v>
          </cell>
          <cell r="G868"/>
          <cell r="H868"/>
          <cell r="K868"/>
        </row>
        <row r="869">
          <cell r="B869">
            <v>287.5</v>
          </cell>
          <cell r="C869">
            <v>260</v>
          </cell>
          <cell r="D869">
            <v>360</v>
          </cell>
          <cell r="E869">
            <v>450</v>
          </cell>
          <cell r="F869" t="str">
            <v>72.11872 - 27</v>
          </cell>
          <cell r="G869"/>
          <cell r="H869"/>
          <cell r="K869"/>
        </row>
        <row r="870">
          <cell r="B870">
            <v>287.5</v>
          </cell>
          <cell r="C870">
            <v>438</v>
          </cell>
          <cell r="D870">
            <v>375</v>
          </cell>
          <cell r="E870">
            <v>400</v>
          </cell>
          <cell r="F870" t="str">
            <v>10.241070 - 3</v>
          </cell>
          <cell r="G870"/>
          <cell r="H870"/>
          <cell r="K870"/>
        </row>
        <row r="871">
          <cell r="B871">
            <v>290</v>
          </cell>
          <cell r="C871">
            <v>255</v>
          </cell>
          <cell r="D871">
            <v>360</v>
          </cell>
          <cell r="E871">
            <v>450</v>
          </cell>
          <cell r="F871" t="str">
            <v>72.11872 - 28</v>
          </cell>
          <cell r="G871"/>
          <cell r="H871"/>
          <cell r="K871"/>
        </row>
        <row r="872">
          <cell r="B872">
            <v>290</v>
          </cell>
          <cell r="C872">
            <v>260</v>
          </cell>
          <cell r="D872">
            <v>360</v>
          </cell>
          <cell r="E872">
            <v>450</v>
          </cell>
          <cell r="F872" t="str">
            <v>72.11872 - 28</v>
          </cell>
          <cell r="G872"/>
          <cell r="H872"/>
          <cell r="K872"/>
        </row>
        <row r="873">
          <cell r="B873">
            <v>290</v>
          </cell>
          <cell r="C873">
            <v>260</v>
          </cell>
          <cell r="D873">
            <v>360</v>
          </cell>
          <cell r="E873">
            <v>450</v>
          </cell>
          <cell r="F873" t="str">
            <v>72.11872 - 28</v>
          </cell>
          <cell r="G873"/>
          <cell r="H873"/>
          <cell r="K873"/>
        </row>
        <row r="874">
          <cell r="B874">
            <v>290</v>
          </cell>
          <cell r="C874">
            <v>260</v>
          </cell>
          <cell r="D874">
            <v>360</v>
          </cell>
          <cell r="E874">
            <v>450</v>
          </cell>
          <cell r="F874" t="str">
            <v>72.11872 - 28</v>
          </cell>
          <cell r="G874"/>
          <cell r="H874"/>
          <cell r="K874"/>
        </row>
        <row r="875">
          <cell r="B875">
            <v>290</v>
          </cell>
          <cell r="C875">
            <v>260</v>
          </cell>
          <cell r="D875">
            <v>375</v>
          </cell>
          <cell r="E875">
            <v>450</v>
          </cell>
          <cell r="F875" t="str">
            <v>72.11872 - 28</v>
          </cell>
          <cell r="G875"/>
          <cell r="H875"/>
          <cell r="K875"/>
        </row>
        <row r="876">
          <cell r="B876">
            <v>290</v>
          </cell>
          <cell r="C876">
            <v>317</v>
          </cell>
          <cell r="D876">
            <v>375</v>
          </cell>
          <cell r="E876">
            <v>450</v>
          </cell>
          <cell r="F876" t="str">
            <v>72.11873 - 28</v>
          </cell>
          <cell r="G876"/>
          <cell r="H876"/>
          <cell r="K876"/>
        </row>
        <row r="877">
          <cell r="B877">
            <v>290</v>
          </cell>
          <cell r="C877">
            <v>315</v>
          </cell>
          <cell r="D877">
            <v>375</v>
          </cell>
          <cell r="E877">
            <v>450</v>
          </cell>
          <cell r="F877" t="str">
            <v>72.11873 - 28</v>
          </cell>
          <cell r="G877"/>
          <cell r="H877"/>
          <cell r="K877"/>
        </row>
        <row r="878">
          <cell r="B878">
            <v>290</v>
          </cell>
          <cell r="C878">
            <v>412</v>
          </cell>
          <cell r="D878">
            <v>360</v>
          </cell>
          <cell r="E878">
            <v>400</v>
          </cell>
          <cell r="F878" t="str">
            <v>72.42346 - 05</v>
          </cell>
          <cell r="G878">
            <v>7260047</v>
          </cell>
          <cell r="H878"/>
          <cell r="K878"/>
        </row>
        <row r="879">
          <cell r="B879">
            <v>290</v>
          </cell>
          <cell r="C879">
            <v>375</v>
          </cell>
          <cell r="D879">
            <v>360</v>
          </cell>
          <cell r="E879">
            <v>450</v>
          </cell>
          <cell r="F879" t="str">
            <v>72.11874 - 28</v>
          </cell>
          <cell r="G879"/>
          <cell r="H879"/>
          <cell r="K879"/>
        </row>
        <row r="880">
          <cell r="B880">
            <v>290</v>
          </cell>
          <cell r="C880">
            <v>380</v>
          </cell>
          <cell r="D880">
            <v>360</v>
          </cell>
          <cell r="E880">
            <v>450</v>
          </cell>
          <cell r="F880" t="str">
            <v>72.11874 - 28</v>
          </cell>
          <cell r="G880"/>
          <cell r="H880"/>
          <cell r="K880"/>
        </row>
        <row r="881">
          <cell r="B881">
            <v>292.5</v>
          </cell>
          <cell r="C881">
            <v>440</v>
          </cell>
          <cell r="D881">
            <v>375</v>
          </cell>
          <cell r="E881">
            <v>400</v>
          </cell>
          <cell r="F881" t="str">
            <v>10.241070 - 5</v>
          </cell>
          <cell r="G881"/>
          <cell r="H881"/>
          <cell r="K881"/>
        </row>
        <row r="882">
          <cell r="B882">
            <v>292.5</v>
          </cell>
          <cell r="C882">
            <v>495</v>
          </cell>
          <cell r="D882">
            <v>375</v>
          </cell>
          <cell r="E882">
            <v>400</v>
          </cell>
          <cell r="F882" t="str">
            <v>72.23398 - 29</v>
          </cell>
          <cell r="G882"/>
          <cell r="H882"/>
          <cell r="K882"/>
        </row>
        <row r="883">
          <cell r="B883">
            <v>295</v>
          </cell>
          <cell r="C883">
            <v>543</v>
          </cell>
          <cell r="D883">
            <v>375</v>
          </cell>
          <cell r="E883">
            <v>400</v>
          </cell>
          <cell r="F883" t="str">
            <v>10.243375 - 1</v>
          </cell>
          <cell r="G883">
            <v>7260048</v>
          </cell>
          <cell r="H883"/>
          <cell r="K883"/>
        </row>
        <row r="884">
          <cell r="B884">
            <v>295</v>
          </cell>
          <cell r="C884">
            <v>260</v>
          </cell>
          <cell r="D884">
            <v>360</v>
          </cell>
          <cell r="E884">
            <v>450</v>
          </cell>
          <cell r="F884" t="str">
            <v>72.11872 - 30</v>
          </cell>
          <cell r="G884"/>
          <cell r="H884"/>
          <cell r="K884"/>
        </row>
        <row r="885">
          <cell r="B885">
            <v>295</v>
          </cell>
          <cell r="C885">
            <v>378</v>
          </cell>
          <cell r="D885">
            <v>360</v>
          </cell>
          <cell r="E885">
            <v>450</v>
          </cell>
          <cell r="F885" t="str">
            <v>72.11874 - 30</v>
          </cell>
          <cell r="G885"/>
          <cell r="H885"/>
          <cell r="K885"/>
        </row>
        <row r="886">
          <cell r="B886">
            <v>295</v>
          </cell>
          <cell r="C886">
            <v>260</v>
          </cell>
          <cell r="D886">
            <v>360</v>
          </cell>
          <cell r="E886">
            <v>450</v>
          </cell>
          <cell r="F886" t="str">
            <v>72.11872 - 30</v>
          </cell>
          <cell r="G886"/>
          <cell r="H886"/>
          <cell r="K886"/>
        </row>
        <row r="887">
          <cell r="B887">
            <v>295</v>
          </cell>
          <cell r="C887">
            <v>315</v>
          </cell>
          <cell r="D887">
            <v>360</v>
          </cell>
          <cell r="E887">
            <v>450</v>
          </cell>
          <cell r="F887" t="str">
            <v>72.11873 - 30</v>
          </cell>
          <cell r="G887"/>
          <cell r="H887"/>
          <cell r="K887"/>
        </row>
        <row r="888">
          <cell r="B888">
            <v>295</v>
          </cell>
          <cell r="C888">
            <v>317</v>
          </cell>
          <cell r="D888">
            <v>375</v>
          </cell>
          <cell r="E888">
            <v>450</v>
          </cell>
          <cell r="F888" t="str">
            <v>72.11873 - 30</v>
          </cell>
          <cell r="G888"/>
          <cell r="H888"/>
          <cell r="K888"/>
        </row>
        <row r="889">
          <cell r="B889">
            <v>295</v>
          </cell>
          <cell r="C889">
            <v>320</v>
          </cell>
          <cell r="D889">
            <v>360</v>
          </cell>
          <cell r="E889">
            <v>450</v>
          </cell>
          <cell r="F889" t="str">
            <v>72.11873 - 30</v>
          </cell>
          <cell r="G889"/>
          <cell r="H889"/>
          <cell r="K889"/>
        </row>
        <row r="890">
          <cell r="B890">
            <v>295</v>
          </cell>
          <cell r="C890">
            <v>317</v>
          </cell>
          <cell r="D890">
            <v>360</v>
          </cell>
          <cell r="E890">
            <v>450</v>
          </cell>
          <cell r="F890" t="str">
            <v>72.11873 - 30</v>
          </cell>
          <cell r="G890"/>
          <cell r="H890"/>
          <cell r="K890"/>
        </row>
        <row r="891">
          <cell r="B891">
            <v>295</v>
          </cell>
          <cell r="C891">
            <v>258</v>
          </cell>
          <cell r="D891">
            <v>360</v>
          </cell>
          <cell r="E891">
            <v>450</v>
          </cell>
          <cell r="F891" t="str">
            <v>72.11872 - 30</v>
          </cell>
          <cell r="G891"/>
          <cell r="H891"/>
          <cell r="K891"/>
        </row>
        <row r="892">
          <cell r="B892">
            <v>297.5</v>
          </cell>
          <cell r="C892">
            <v>260</v>
          </cell>
          <cell r="D892">
            <v>375</v>
          </cell>
          <cell r="E892">
            <v>450</v>
          </cell>
          <cell r="F892" t="str">
            <v>72.11872 - 31</v>
          </cell>
          <cell r="G892"/>
          <cell r="H892"/>
          <cell r="K892"/>
        </row>
        <row r="893">
          <cell r="B893">
            <v>297.5</v>
          </cell>
          <cell r="C893">
            <v>260</v>
          </cell>
          <cell r="D893">
            <v>375</v>
          </cell>
          <cell r="E893">
            <v>450</v>
          </cell>
          <cell r="F893" t="str">
            <v>72.11872 - 31</v>
          </cell>
          <cell r="G893"/>
          <cell r="H893"/>
          <cell r="K893"/>
        </row>
        <row r="894">
          <cell r="B894">
            <v>297.5</v>
          </cell>
          <cell r="C894">
            <v>253</v>
          </cell>
          <cell r="D894">
            <v>360</v>
          </cell>
          <cell r="E894">
            <v>450</v>
          </cell>
          <cell r="F894" t="str">
            <v>72.11872 - 31</v>
          </cell>
          <cell r="G894"/>
          <cell r="H894"/>
          <cell r="K894"/>
        </row>
        <row r="895">
          <cell r="B895">
            <v>297.5</v>
          </cell>
          <cell r="C895">
            <v>438</v>
          </cell>
          <cell r="D895">
            <v>375</v>
          </cell>
          <cell r="E895">
            <v>400</v>
          </cell>
          <cell r="F895" t="str">
            <v>10.241070 - 7</v>
          </cell>
          <cell r="G895"/>
          <cell r="H895"/>
          <cell r="K895"/>
        </row>
        <row r="896">
          <cell r="B896">
            <v>300</v>
          </cell>
          <cell r="C896">
            <v>440</v>
          </cell>
          <cell r="D896">
            <v>375</v>
          </cell>
          <cell r="E896">
            <v>400</v>
          </cell>
          <cell r="F896" t="str">
            <v>10.241070 - 8</v>
          </cell>
          <cell r="G896">
            <v>7260049</v>
          </cell>
          <cell r="H896"/>
          <cell r="K896"/>
        </row>
        <row r="897">
          <cell r="B897">
            <v>300</v>
          </cell>
          <cell r="C897">
            <v>470</v>
          </cell>
          <cell r="D897">
            <v>400</v>
          </cell>
          <cell r="E897">
            <v>400</v>
          </cell>
          <cell r="F897" t="str">
            <v>72.48005 - 1</v>
          </cell>
          <cell r="G897">
            <v>7260049</v>
          </cell>
          <cell r="H897"/>
          <cell r="K897"/>
        </row>
        <row r="898">
          <cell r="B898">
            <v>300</v>
          </cell>
          <cell r="C898">
            <v>318</v>
          </cell>
          <cell r="D898">
            <v>375</v>
          </cell>
          <cell r="E898">
            <v>450</v>
          </cell>
          <cell r="F898" t="str">
            <v>72.11873 - 32</v>
          </cell>
          <cell r="G898"/>
          <cell r="H898"/>
          <cell r="K898"/>
        </row>
        <row r="899">
          <cell r="B899">
            <v>300</v>
          </cell>
          <cell r="C899">
            <v>320</v>
          </cell>
          <cell r="D899">
            <v>360</v>
          </cell>
          <cell r="E899">
            <v>450</v>
          </cell>
          <cell r="F899" t="str">
            <v>72.11873 - 32</v>
          </cell>
          <cell r="G899"/>
          <cell r="H899"/>
          <cell r="K899"/>
        </row>
        <row r="900">
          <cell r="B900">
            <v>300</v>
          </cell>
          <cell r="C900">
            <v>373</v>
          </cell>
          <cell r="D900">
            <v>360</v>
          </cell>
          <cell r="E900">
            <v>450</v>
          </cell>
          <cell r="F900" t="str">
            <v>72.11874 - 32</v>
          </cell>
          <cell r="G900"/>
          <cell r="H900"/>
          <cell r="K900"/>
        </row>
        <row r="901">
          <cell r="B901">
            <v>300</v>
          </cell>
          <cell r="C901">
            <v>378</v>
          </cell>
          <cell r="D901">
            <v>360</v>
          </cell>
          <cell r="E901">
            <v>450</v>
          </cell>
          <cell r="F901" t="str">
            <v>72.11874 - 32</v>
          </cell>
          <cell r="G901"/>
          <cell r="H901"/>
          <cell r="K901"/>
        </row>
        <row r="902">
          <cell r="B902">
            <v>300</v>
          </cell>
          <cell r="C902">
            <v>310</v>
          </cell>
          <cell r="D902">
            <v>360</v>
          </cell>
          <cell r="E902">
            <v>450</v>
          </cell>
          <cell r="F902" t="str">
            <v>72.11873 - 32</v>
          </cell>
          <cell r="G902"/>
          <cell r="H902"/>
          <cell r="K902"/>
        </row>
        <row r="903">
          <cell r="B903">
            <v>300</v>
          </cell>
          <cell r="C903">
            <v>435</v>
          </cell>
          <cell r="D903">
            <v>360</v>
          </cell>
          <cell r="E903">
            <v>400</v>
          </cell>
          <cell r="F903" t="str">
            <v>10.241070 - 8</v>
          </cell>
          <cell r="G903">
            <v>7260050</v>
          </cell>
          <cell r="H903"/>
          <cell r="K903"/>
        </row>
        <row r="904">
          <cell r="B904">
            <v>300</v>
          </cell>
          <cell r="C904">
            <v>320</v>
          </cell>
          <cell r="D904">
            <v>360</v>
          </cell>
          <cell r="E904">
            <v>450</v>
          </cell>
          <cell r="F904" t="str">
            <v>72.11873 - 32</v>
          </cell>
          <cell r="G904"/>
          <cell r="H904"/>
          <cell r="K904"/>
        </row>
        <row r="905">
          <cell r="B905">
            <v>300</v>
          </cell>
          <cell r="C905">
            <v>320</v>
          </cell>
          <cell r="D905">
            <v>360</v>
          </cell>
          <cell r="E905">
            <v>450</v>
          </cell>
          <cell r="F905" t="str">
            <v>72.11873 - 32</v>
          </cell>
          <cell r="G905"/>
          <cell r="H905"/>
          <cell r="K905"/>
        </row>
        <row r="906">
          <cell r="B906">
            <v>300</v>
          </cell>
          <cell r="C906">
            <v>260</v>
          </cell>
          <cell r="D906">
            <v>360</v>
          </cell>
          <cell r="E906">
            <v>450</v>
          </cell>
          <cell r="F906" t="str">
            <v>72.11872 - 32</v>
          </cell>
          <cell r="G906"/>
          <cell r="H906"/>
          <cell r="K906"/>
        </row>
        <row r="907">
          <cell r="B907">
            <v>300</v>
          </cell>
          <cell r="C907">
            <v>260</v>
          </cell>
          <cell r="D907">
            <v>360</v>
          </cell>
          <cell r="E907">
            <v>450</v>
          </cell>
          <cell r="F907" t="str">
            <v>72.11872 - 32</v>
          </cell>
          <cell r="G907"/>
          <cell r="H907"/>
          <cell r="K907"/>
        </row>
        <row r="908">
          <cell r="B908">
            <v>300</v>
          </cell>
          <cell r="C908">
            <v>260</v>
          </cell>
          <cell r="D908">
            <v>375</v>
          </cell>
          <cell r="E908">
            <v>450</v>
          </cell>
          <cell r="F908" t="str">
            <v>72.11872 - 32</v>
          </cell>
          <cell r="G908"/>
          <cell r="H908"/>
          <cell r="K908"/>
        </row>
        <row r="909">
          <cell r="B909">
            <v>302.5</v>
          </cell>
          <cell r="C909">
            <v>465</v>
          </cell>
          <cell r="D909">
            <v>400</v>
          </cell>
          <cell r="E909">
            <v>400</v>
          </cell>
          <cell r="F909" t="str">
            <v>72.48005 - 2</v>
          </cell>
          <cell r="G909"/>
          <cell r="H909"/>
          <cell r="K909"/>
        </row>
        <row r="910">
          <cell r="B910">
            <v>302.5</v>
          </cell>
          <cell r="C910">
            <v>470</v>
          </cell>
          <cell r="D910">
            <v>400</v>
          </cell>
          <cell r="E910">
            <v>400</v>
          </cell>
          <cell r="F910" t="str">
            <v>72.48005 - 2</v>
          </cell>
          <cell r="G910"/>
          <cell r="H910"/>
          <cell r="K910"/>
        </row>
        <row r="911">
          <cell r="B911">
            <v>302.5</v>
          </cell>
          <cell r="C911">
            <v>470</v>
          </cell>
          <cell r="D911">
            <v>400</v>
          </cell>
          <cell r="E911">
            <v>400</v>
          </cell>
          <cell r="F911" t="str">
            <v>72.48005 - 2</v>
          </cell>
          <cell r="G911"/>
          <cell r="H911"/>
          <cell r="K911"/>
        </row>
        <row r="912">
          <cell r="B912">
            <v>305</v>
          </cell>
          <cell r="C912">
            <v>372</v>
          </cell>
          <cell r="D912">
            <v>375</v>
          </cell>
          <cell r="E912">
            <v>450</v>
          </cell>
          <cell r="F912" t="str">
            <v>24.271248 - 1</v>
          </cell>
          <cell r="G912">
            <v>7260051</v>
          </cell>
          <cell r="H912"/>
          <cell r="K912"/>
        </row>
        <row r="913">
          <cell r="B913">
            <v>307.5</v>
          </cell>
          <cell r="C913">
            <v>260</v>
          </cell>
          <cell r="D913">
            <v>415</v>
          </cell>
          <cell r="E913">
            <v>450</v>
          </cell>
          <cell r="F913" t="str">
            <v>10.252634 - 3</v>
          </cell>
          <cell r="G913"/>
          <cell r="H913"/>
          <cell r="K913"/>
        </row>
        <row r="914">
          <cell r="B914">
            <v>307.5</v>
          </cell>
          <cell r="C914">
            <v>467</v>
          </cell>
          <cell r="D914">
            <v>400</v>
          </cell>
          <cell r="E914">
            <v>400</v>
          </cell>
          <cell r="F914" t="str">
            <v>72.48005 - 3</v>
          </cell>
          <cell r="G914"/>
          <cell r="H914"/>
          <cell r="K914"/>
        </row>
        <row r="915">
          <cell r="B915">
            <v>307.5</v>
          </cell>
          <cell r="C915">
            <v>257</v>
          </cell>
          <cell r="D915">
            <v>360</v>
          </cell>
          <cell r="E915">
            <v>450</v>
          </cell>
          <cell r="F915" t="str">
            <v>72.11872 - 35</v>
          </cell>
          <cell r="G915"/>
          <cell r="H915"/>
          <cell r="K915"/>
        </row>
        <row r="916">
          <cell r="B916">
            <v>307.5</v>
          </cell>
          <cell r="C916">
            <v>260</v>
          </cell>
          <cell r="D916">
            <v>415</v>
          </cell>
          <cell r="E916">
            <v>450</v>
          </cell>
          <cell r="F916" t="str">
            <v>10.252634 - 3</v>
          </cell>
          <cell r="G916"/>
          <cell r="H916"/>
          <cell r="K916"/>
        </row>
        <row r="917">
          <cell r="B917">
            <v>307.5</v>
          </cell>
          <cell r="C917">
            <v>318</v>
          </cell>
          <cell r="D917">
            <v>375</v>
          </cell>
          <cell r="E917">
            <v>450</v>
          </cell>
          <cell r="F917" t="str">
            <v>10.246210 - 3</v>
          </cell>
          <cell r="G917">
            <v>7260052</v>
          </cell>
          <cell r="H917"/>
          <cell r="K917"/>
        </row>
        <row r="918">
          <cell r="B918">
            <v>307.5</v>
          </cell>
          <cell r="C918">
            <v>260</v>
          </cell>
          <cell r="D918">
            <v>360</v>
          </cell>
          <cell r="E918">
            <v>450</v>
          </cell>
          <cell r="F918" t="str">
            <v>72.11872 - 35</v>
          </cell>
          <cell r="G918"/>
          <cell r="H918"/>
          <cell r="K918"/>
        </row>
        <row r="919">
          <cell r="B919">
            <v>310</v>
          </cell>
          <cell r="C919">
            <v>255</v>
          </cell>
          <cell r="D919">
            <v>375</v>
          </cell>
          <cell r="E919">
            <v>450</v>
          </cell>
          <cell r="F919" t="str">
            <v>72.11872 - 36</v>
          </cell>
          <cell r="G919"/>
          <cell r="H919"/>
          <cell r="K919"/>
        </row>
        <row r="920">
          <cell r="B920">
            <v>310</v>
          </cell>
          <cell r="C920">
            <v>255</v>
          </cell>
          <cell r="D920">
            <v>360</v>
          </cell>
          <cell r="E920">
            <v>450</v>
          </cell>
          <cell r="F920" t="str">
            <v>72.11872 - 36</v>
          </cell>
          <cell r="G920"/>
          <cell r="H920"/>
          <cell r="K920"/>
        </row>
        <row r="921">
          <cell r="B921">
            <v>310</v>
          </cell>
          <cell r="C921">
            <v>255</v>
          </cell>
          <cell r="D921">
            <v>375</v>
          </cell>
          <cell r="E921">
            <v>450</v>
          </cell>
          <cell r="F921" t="str">
            <v>72.11872 - 36</v>
          </cell>
          <cell r="G921"/>
          <cell r="H921"/>
          <cell r="K921"/>
        </row>
        <row r="922">
          <cell r="B922">
            <v>310</v>
          </cell>
          <cell r="C922">
            <v>318</v>
          </cell>
          <cell r="D922">
            <v>360</v>
          </cell>
          <cell r="E922">
            <v>450</v>
          </cell>
          <cell r="F922" t="str">
            <v>10.246210 - 4</v>
          </cell>
          <cell r="G922"/>
          <cell r="H922"/>
          <cell r="K922"/>
        </row>
        <row r="923">
          <cell r="B923">
            <v>310</v>
          </cell>
          <cell r="C923">
            <v>367</v>
          </cell>
          <cell r="D923">
            <v>375</v>
          </cell>
          <cell r="E923">
            <v>450</v>
          </cell>
          <cell r="F923" t="str">
            <v>24.271248 - 3</v>
          </cell>
          <cell r="G923"/>
          <cell r="H923"/>
          <cell r="K923"/>
        </row>
        <row r="924">
          <cell r="B924">
            <v>310</v>
          </cell>
          <cell r="C924">
            <v>375</v>
          </cell>
          <cell r="D924">
            <v>360</v>
          </cell>
          <cell r="E924">
            <v>450</v>
          </cell>
          <cell r="F924" t="str">
            <v>24.271248 - 3</v>
          </cell>
          <cell r="G924"/>
          <cell r="H924"/>
          <cell r="K924"/>
        </row>
        <row r="925">
          <cell r="B925">
            <v>310</v>
          </cell>
          <cell r="C925">
            <v>320</v>
          </cell>
          <cell r="D925">
            <v>375</v>
          </cell>
          <cell r="E925">
            <v>450</v>
          </cell>
          <cell r="F925" t="str">
            <v>10.246210 - 4</v>
          </cell>
          <cell r="G925"/>
          <cell r="H925"/>
          <cell r="K925"/>
        </row>
        <row r="926">
          <cell r="B926">
            <v>310</v>
          </cell>
          <cell r="C926">
            <v>317</v>
          </cell>
          <cell r="D926">
            <v>415</v>
          </cell>
          <cell r="E926">
            <v>450</v>
          </cell>
          <cell r="F926" t="str">
            <v>10.246210 - 4</v>
          </cell>
          <cell r="G926"/>
          <cell r="H926"/>
          <cell r="K926"/>
        </row>
        <row r="927">
          <cell r="B927">
            <v>310</v>
          </cell>
          <cell r="C927">
            <v>260</v>
          </cell>
          <cell r="D927">
            <v>360</v>
          </cell>
          <cell r="E927">
            <v>450</v>
          </cell>
          <cell r="F927" t="str">
            <v>72.11872 - 36</v>
          </cell>
          <cell r="G927"/>
          <cell r="H927"/>
          <cell r="K927"/>
        </row>
        <row r="928">
          <cell r="B928">
            <v>312.5</v>
          </cell>
          <cell r="C928">
            <v>470</v>
          </cell>
          <cell r="D928">
            <v>400</v>
          </cell>
          <cell r="E928">
            <v>400</v>
          </cell>
          <cell r="F928" t="str">
            <v>72.48005 - 5</v>
          </cell>
          <cell r="G928"/>
          <cell r="H928"/>
          <cell r="K928"/>
        </row>
        <row r="929">
          <cell r="B929">
            <v>312.5</v>
          </cell>
          <cell r="C929">
            <v>470</v>
          </cell>
          <cell r="D929">
            <v>400</v>
          </cell>
          <cell r="E929">
            <v>400</v>
          </cell>
          <cell r="F929" t="str">
            <v>72.48005 - 5</v>
          </cell>
          <cell r="G929"/>
          <cell r="H929"/>
          <cell r="K929"/>
        </row>
        <row r="930">
          <cell r="B930">
            <v>312.5</v>
          </cell>
          <cell r="C930">
            <v>470</v>
          </cell>
          <cell r="D930">
            <v>400</v>
          </cell>
          <cell r="E930">
            <v>400</v>
          </cell>
          <cell r="F930" t="str">
            <v>72.48005 - 5</v>
          </cell>
          <cell r="G930"/>
          <cell r="H930"/>
          <cell r="K930"/>
        </row>
        <row r="931">
          <cell r="B931">
            <v>312.5</v>
          </cell>
          <cell r="C931">
            <v>365</v>
          </cell>
          <cell r="D931">
            <v>375</v>
          </cell>
          <cell r="E931">
            <v>450</v>
          </cell>
          <cell r="F931" t="str">
            <v>72.18376 - 1</v>
          </cell>
          <cell r="G931">
            <v>7260053</v>
          </cell>
          <cell r="H931"/>
          <cell r="K931"/>
        </row>
        <row r="932">
          <cell r="B932">
            <v>312.5</v>
          </cell>
          <cell r="C932">
            <v>470</v>
          </cell>
          <cell r="D932">
            <v>400</v>
          </cell>
          <cell r="E932">
            <v>400</v>
          </cell>
          <cell r="F932" t="str">
            <v>72.48005 - 5</v>
          </cell>
          <cell r="G932"/>
          <cell r="H932"/>
          <cell r="K932"/>
        </row>
        <row r="933">
          <cell r="B933">
            <v>312.5</v>
          </cell>
          <cell r="C933">
            <v>470</v>
          </cell>
          <cell r="D933">
            <v>400</v>
          </cell>
          <cell r="E933">
            <v>400</v>
          </cell>
          <cell r="F933" t="str">
            <v>72.48005 - 5</v>
          </cell>
          <cell r="G933"/>
          <cell r="H933"/>
          <cell r="K933"/>
        </row>
        <row r="934">
          <cell r="B934">
            <v>312.5</v>
          </cell>
          <cell r="C934">
            <v>260</v>
          </cell>
          <cell r="D934">
            <v>360</v>
          </cell>
          <cell r="E934">
            <v>450</v>
          </cell>
          <cell r="F934" t="str">
            <v>72.11872 - 37</v>
          </cell>
          <cell r="G934"/>
          <cell r="H934"/>
          <cell r="K934"/>
        </row>
        <row r="935">
          <cell r="B935">
            <v>312.5</v>
          </cell>
          <cell r="C935">
            <v>260</v>
          </cell>
          <cell r="D935">
            <v>360</v>
          </cell>
          <cell r="E935">
            <v>450</v>
          </cell>
          <cell r="F935" t="str">
            <v>72.11872 - 37</v>
          </cell>
          <cell r="G935"/>
          <cell r="H935"/>
          <cell r="K935"/>
        </row>
        <row r="936">
          <cell r="B936">
            <v>312.5</v>
          </cell>
          <cell r="C936">
            <v>467</v>
          </cell>
          <cell r="D936">
            <v>400</v>
          </cell>
          <cell r="E936">
            <v>400</v>
          </cell>
          <cell r="F936" t="str">
            <v>72.48005 - 5</v>
          </cell>
          <cell r="G936"/>
          <cell r="H936"/>
          <cell r="K936"/>
        </row>
        <row r="937">
          <cell r="B937">
            <v>312.5</v>
          </cell>
          <cell r="C937">
            <v>467</v>
          </cell>
          <cell r="D937">
            <v>400</v>
          </cell>
          <cell r="E937">
            <v>400</v>
          </cell>
          <cell r="F937" t="str">
            <v>72.48005 - 5</v>
          </cell>
          <cell r="G937"/>
          <cell r="H937"/>
          <cell r="K937"/>
        </row>
        <row r="938">
          <cell r="B938">
            <v>315</v>
          </cell>
          <cell r="C938">
            <v>530</v>
          </cell>
          <cell r="D938">
            <v>415</v>
          </cell>
          <cell r="E938">
            <v>400</v>
          </cell>
          <cell r="F938" t="str">
            <v>10.249496 - 1</v>
          </cell>
          <cell r="G938">
            <v>7260054</v>
          </cell>
          <cell r="H938" t="str">
            <v>можно толкатель дл.30 для БрА9Ж3Л</v>
          </cell>
          <cell r="K938"/>
        </row>
        <row r="939">
          <cell r="B939">
            <v>315</v>
          </cell>
          <cell r="C939">
            <v>260</v>
          </cell>
          <cell r="D939">
            <v>360</v>
          </cell>
          <cell r="E939">
            <v>450</v>
          </cell>
          <cell r="F939" t="str">
            <v>72.11872 - 38</v>
          </cell>
          <cell r="G939"/>
          <cell r="H939"/>
          <cell r="K939"/>
        </row>
        <row r="940">
          <cell r="B940">
            <v>315</v>
          </cell>
          <cell r="C940">
            <v>260</v>
          </cell>
          <cell r="D940">
            <v>375</v>
          </cell>
          <cell r="E940">
            <v>450</v>
          </cell>
          <cell r="F940" t="str">
            <v>72.11872 - 38</v>
          </cell>
          <cell r="G940"/>
          <cell r="H940"/>
          <cell r="K940"/>
        </row>
        <row r="941">
          <cell r="B941">
            <v>315</v>
          </cell>
          <cell r="C941">
            <v>397</v>
          </cell>
          <cell r="D941">
            <v>415</v>
          </cell>
          <cell r="E941">
            <v>400</v>
          </cell>
          <cell r="F941" t="str">
            <v>72.18376 - 6</v>
          </cell>
          <cell r="G941"/>
          <cell r="H941"/>
          <cell r="K941"/>
        </row>
        <row r="942">
          <cell r="B942">
            <v>315</v>
          </cell>
          <cell r="C942">
            <v>470</v>
          </cell>
          <cell r="D942">
            <v>400</v>
          </cell>
          <cell r="E942">
            <v>400</v>
          </cell>
          <cell r="F942" t="str">
            <v>72.48005 - 6</v>
          </cell>
          <cell r="G942">
            <v>7260055</v>
          </cell>
          <cell r="H942"/>
          <cell r="K942"/>
        </row>
        <row r="943">
          <cell r="B943">
            <v>315</v>
          </cell>
          <cell r="C943">
            <v>257</v>
          </cell>
          <cell r="D943">
            <v>375</v>
          </cell>
          <cell r="E943">
            <v>450</v>
          </cell>
          <cell r="F943" t="str">
            <v>72.11872 - 38</v>
          </cell>
          <cell r="G943"/>
          <cell r="H943"/>
          <cell r="K943"/>
        </row>
        <row r="944">
          <cell r="B944">
            <v>315</v>
          </cell>
          <cell r="C944">
            <v>530</v>
          </cell>
          <cell r="D944">
            <v>415</v>
          </cell>
          <cell r="E944">
            <v>400</v>
          </cell>
          <cell r="F944" t="str">
            <v>10.249496 - 1</v>
          </cell>
          <cell r="G944"/>
          <cell r="H944"/>
          <cell r="K944"/>
        </row>
        <row r="945">
          <cell r="B945">
            <v>315</v>
          </cell>
          <cell r="C945">
            <v>255</v>
          </cell>
          <cell r="D945">
            <v>360</v>
          </cell>
          <cell r="E945">
            <v>450</v>
          </cell>
          <cell r="F945" t="str">
            <v>72.11872 - 38</v>
          </cell>
          <cell r="G945"/>
          <cell r="H945"/>
          <cell r="K945"/>
        </row>
        <row r="946">
          <cell r="B946">
            <v>317.5</v>
          </cell>
          <cell r="C946">
            <v>363</v>
          </cell>
          <cell r="D946">
            <v>375</v>
          </cell>
          <cell r="E946">
            <v>450</v>
          </cell>
          <cell r="F946" t="str">
            <v>72.18376 - 2</v>
          </cell>
          <cell r="G946">
            <v>7260056</v>
          </cell>
          <cell r="H946"/>
          <cell r="K946"/>
        </row>
        <row r="947">
          <cell r="B947">
            <v>317.5</v>
          </cell>
          <cell r="C947">
            <v>257</v>
          </cell>
          <cell r="D947">
            <v>360</v>
          </cell>
          <cell r="E947">
            <v>450</v>
          </cell>
          <cell r="F947" t="str">
            <v>72.11872 - 39</v>
          </cell>
          <cell r="G947"/>
          <cell r="H947"/>
          <cell r="K947"/>
        </row>
        <row r="948">
          <cell r="B948">
            <v>317.5</v>
          </cell>
          <cell r="C948">
            <v>257</v>
          </cell>
          <cell r="D948">
            <v>360</v>
          </cell>
          <cell r="E948">
            <v>450</v>
          </cell>
          <cell r="F948" t="str">
            <v>72.11872 - 39</v>
          </cell>
          <cell r="G948"/>
          <cell r="H948"/>
          <cell r="K948"/>
        </row>
        <row r="949">
          <cell r="B949">
            <v>320</v>
          </cell>
          <cell r="C949">
            <v>525</v>
          </cell>
          <cell r="D949">
            <v>415</v>
          </cell>
          <cell r="E949">
            <v>400</v>
          </cell>
          <cell r="F949" t="str">
            <v>10.249496 - 3</v>
          </cell>
          <cell r="G949">
            <v>7260057</v>
          </cell>
          <cell r="H949" t="str">
            <v>Переточили Ø320 -&gt; Ø330</v>
          </cell>
          <cell r="K949"/>
        </row>
        <row r="950">
          <cell r="B950">
            <v>320</v>
          </cell>
          <cell r="C950">
            <v>255</v>
          </cell>
          <cell r="D950">
            <v>375</v>
          </cell>
          <cell r="E950">
            <v>450</v>
          </cell>
          <cell r="F950" t="str">
            <v>72.11872 - 40</v>
          </cell>
          <cell r="G950"/>
          <cell r="H950"/>
          <cell r="K950"/>
        </row>
        <row r="951">
          <cell r="B951">
            <v>320</v>
          </cell>
          <cell r="C951">
            <v>260</v>
          </cell>
          <cell r="D951">
            <v>360</v>
          </cell>
          <cell r="E951">
            <v>450</v>
          </cell>
          <cell r="F951" t="str">
            <v>72.11872 - 40</v>
          </cell>
          <cell r="G951"/>
          <cell r="H951"/>
          <cell r="K951"/>
        </row>
        <row r="952">
          <cell r="B952">
            <v>320</v>
          </cell>
          <cell r="C952">
            <v>257</v>
          </cell>
          <cell r="D952">
            <v>360</v>
          </cell>
          <cell r="E952">
            <v>450</v>
          </cell>
          <cell r="F952" t="str">
            <v>72.11872 - 40</v>
          </cell>
          <cell r="G952"/>
          <cell r="H952"/>
          <cell r="K952"/>
        </row>
        <row r="953">
          <cell r="B953">
            <v>320</v>
          </cell>
          <cell r="C953">
            <v>260</v>
          </cell>
          <cell r="D953">
            <v>360</v>
          </cell>
          <cell r="E953">
            <v>450</v>
          </cell>
          <cell r="F953" t="str">
            <v>72.11872 - 40</v>
          </cell>
          <cell r="G953"/>
          <cell r="H953"/>
          <cell r="K953"/>
        </row>
        <row r="954">
          <cell r="B954">
            <v>320</v>
          </cell>
          <cell r="C954">
            <v>467</v>
          </cell>
          <cell r="D954">
            <v>400</v>
          </cell>
          <cell r="E954">
            <v>400</v>
          </cell>
          <cell r="F954" t="str">
            <v>72.48005 - 8</v>
          </cell>
          <cell r="G954"/>
          <cell r="H954"/>
          <cell r="K954"/>
        </row>
        <row r="955">
          <cell r="B955">
            <v>320</v>
          </cell>
          <cell r="C955">
            <v>265</v>
          </cell>
          <cell r="D955">
            <v>415</v>
          </cell>
          <cell r="E955">
            <v>450</v>
          </cell>
          <cell r="F955" t="str">
            <v>72.11872 - 40</v>
          </cell>
          <cell r="G955"/>
          <cell r="H955"/>
          <cell r="K955"/>
        </row>
        <row r="956">
          <cell r="B956">
            <v>320</v>
          </cell>
          <cell r="C956">
            <v>257</v>
          </cell>
          <cell r="D956">
            <v>360</v>
          </cell>
          <cell r="E956">
            <v>450</v>
          </cell>
          <cell r="F956" t="str">
            <v>72.11872 - 40</v>
          </cell>
          <cell r="G956"/>
          <cell r="H956"/>
          <cell r="K956"/>
        </row>
        <row r="957">
          <cell r="B957">
            <v>322.5</v>
          </cell>
          <cell r="C957">
            <v>265</v>
          </cell>
          <cell r="D957">
            <v>415</v>
          </cell>
          <cell r="E957">
            <v>450</v>
          </cell>
          <cell r="F957" t="str">
            <v>72.11872 - 41</v>
          </cell>
          <cell r="G957"/>
          <cell r="H957"/>
          <cell r="K957"/>
        </row>
        <row r="958">
          <cell r="B958">
            <v>322.5</v>
          </cell>
          <cell r="C958">
            <v>257</v>
          </cell>
          <cell r="D958">
            <v>360</v>
          </cell>
          <cell r="E958">
            <v>450</v>
          </cell>
          <cell r="F958" t="str">
            <v>72.11872 - 41</v>
          </cell>
          <cell r="G958"/>
          <cell r="H958"/>
          <cell r="K958"/>
        </row>
        <row r="959">
          <cell r="B959">
            <v>322.5</v>
          </cell>
          <cell r="C959">
            <v>375</v>
          </cell>
          <cell r="D959">
            <v>360</v>
          </cell>
          <cell r="E959">
            <v>450</v>
          </cell>
          <cell r="F959" t="str">
            <v>72.18376 - 1</v>
          </cell>
          <cell r="G959">
            <v>7260058</v>
          </cell>
          <cell r="H959"/>
          <cell r="K959"/>
        </row>
        <row r="960">
          <cell r="B960">
            <v>322.5</v>
          </cell>
          <cell r="C960">
            <v>378</v>
          </cell>
          <cell r="D960">
            <v>360</v>
          </cell>
          <cell r="E960">
            <v>450</v>
          </cell>
          <cell r="F960" t="str">
            <v>72.18376 - 1</v>
          </cell>
          <cell r="G960">
            <v>7260058</v>
          </cell>
          <cell r="H960"/>
          <cell r="K960"/>
        </row>
        <row r="961">
          <cell r="B961">
            <v>322.5</v>
          </cell>
          <cell r="C961">
            <v>260</v>
          </cell>
          <cell r="D961">
            <v>415</v>
          </cell>
          <cell r="E961">
            <v>450</v>
          </cell>
          <cell r="F961" t="str">
            <v>72.11872 - 41</v>
          </cell>
          <cell r="G961"/>
          <cell r="H961"/>
          <cell r="K961"/>
        </row>
        <row r="962">
          <cell r="B962">
            <v>325</v>
          </cell>
          <cell r="C962">
            <v>235</v>
          </cell>
          <cell r="D962">
            <v>415</v>
          </cell>
          <cell r="E962">
            <v>450</v>
          </cell>
          <cell r="F962" t="str">
            <v>72.48674 - 1</v>
          </cell>
          <cell r="G962"/>
          <cell r="H962"/>
          <cell r="K962"/>
        </row>
        <row r="963">
          <cell r="B963">
            <v>325</v>
          </cell>
          <cell r="C963">
            <v>400</v>
          </cell>
          <cell r="D963">
            <v>415</v>
          </cell>
          <cell r="E963">
            <v>400</v>
          </cell>
          <cell r="F963" t="str">
            <v>72.18376 - 10</v>
          </cell>
          <cell r="G963"/>
          <cell r="H963"/>
          <cell r="K963"/>
        </row>
        <row r="964">
          <cell r="B964">
            <v>325</v>
          </cell>
          <cell r="C964">
            <v>260</v>
          </cell>
          <cell r="D964">
            <v>360</v>
          </cell>
          <cell r="E964">
            <v>450</v>
          </cell>
          <cell r="F964" t="str">
            <v>72.11872 - 42</v>
          </cell>
          <cell r="G964"/>
          <cell r="H964"/>
          <cell r="K964"/>
        </row>
        <row r="965">
          <cell r="B965">
            <v>325</v>
          </cell>
          <cell r="C965">
            <v>360</v>
          </cell>
          <cell r="D965">
            <v>360</v>
          </cell>
          <cell r="E965">
            <v>450</v>
          </cell>
          <cell r="F965" t="str">
            <v>72.18376 - 10</v>
          </cell>
          <cell r="G965"/>
          <cell r="H965"/>
          <cell r="K965"/>
        </row>
        <row r="966">
          <cell r="B966">
            <v>327.5</v>
          </cell>
          <cell r="C966">
            <v>375</v>
          </cell>
          <cell r="D966">
            <v>360</v>
          </cell>
          <cell r="E966">
            <v>450</v>
          </cell>
          <cell r="F966" t="str">
            <v>72.18376 - 3</v>
          </cell>
          <cell r="G966">
            <v>7260059</v>
          </cell>
          <cell r="H966"/>
          <cell r="K966"/>
        </row>
        <row r="967">
          <cell r="B967">
            <v>330</v>
          </cell>
          <cell r="C967">
            <v>385</v>
          </cell>
          <cell r="D967">
            <v>375</v>
          </cell>
          <cell r="E967">
            <v>450</v>
          </cell>
          <cell r="F967" t="str">
            <v>72.18376 - 4</v>
          </cell>
          <cell r="G967">
            <v>7260060</v>
          </cell>
          <cell r="H967"/>
          <cell r="K967"/>
        </row>
        <row r="968">
          <cell r="B968">
            <v>330</v>
          </cell>
          <cell r="C968">
            <v>400</v>
          </cell>
          <cell r="D968">
            <v>415</v>
          </cell>
          <cell r="E968">
            <v>400</v>
          </cell>
          <cell r="F968" t="str">
            <v>72.18376 - 14</v>
          </cell>
          <cell r="G968"/>
          <cell r="H968"/>
          <cell r="K968"/>
        </row>
        <row r="969">
          <cell r="B969">
            <v>330</v>
          </cell>
          <cell r="C969">
            <v>495</v>
          </cell>
          <cell r="D969">
            <v>450</v>
          </cell>
          <cell r="E969">
            <v>400</v>
          </cell>
          <cell r="F969" t="str">
            <v>10.264624 - 4</v>
          </cell>
          <cell r="G969">
            <v>7260061</v>
          </cell>
          <cell r="H969"/>
          <cell r="K969"/>
        </row>
        <row r="970">
          <cell r="B970">
            <v>330</v>
          </cell>
          <cell r="C970">
            <v>525</v>
          </cell>
          <cell r="D970">
            <v>415</v>
          </cell>
          <cell r="E970">
            <v>400</v>
          </cell>
          <cell r="F970" t="str">
            <v>10.249496 - 3</v>
          </cell>
          <cell r="G970"/>
          <cell r="H970" t="str">
            <v xml:space="preserve">Переточен с  Ø320 </v>
          </cell>
          <cell r="K970"/>
        </row>
        <row r="971">
          <cell r="B971">
            <v>332.5</v>
          </cell>
          <cell r="C971">
            <v>395</v>
          </cell>
          <cell r="D971">
            <v>415</v>
          </cell>
          <cell r="E971">
            <v>400</v>
          </cell>
          <cell r="F971" t="str">
            <v>72.18376 - 15</v>
          </cell>
          <cell r="G971">
            <v>7260062</v>
          </cell>
          <cell r="H971"/>
          <cell r="K971"/>
        </row>
        <row r="972">
          <cell r="B972">
            <v>332.5</v>
          </cell>
          <cell r="C972">
            <v>215</v>
          </cell>
          <cell r="D972">
            <v>415</v>
          </cell>
          <cell r="E972">
            <v>450</v>
          </cell>
          <cell r="F972" t="str">
            <v>10.246214 - 5</v>
          </cell>
          <cell r="G972">
            <v>7260063</v>
          </cell>
          <cell r="H972"/>
          <cell r="K972"/>
        </row>
        <row r="973">
          <cell r="B973">
            <v>332.5</v>
          </cell>
          <cell r="C973">
            <v>395</v>
          </cell>
          <cell r="D973">
            <v>415</v>
          </cell>
          <cell r="E973">
            <v>400</v>
          </cell>
          <cell r="F973" t="str">
            <v>72.18376 - 15</v>
          </cell>
          <cell r="G973">
            <v>7260062</v>
          </cell>
          <cell r="H973"/>
          <cell r="K973"/>
        </row>
        <row r="974">
          <cell r="B974">
            <v>335</v>
          </cell>
          <cell r="C974">
            <v>210</v>
          </cell>
          <cell r="D974">
            <v>415</v>
          </cell>
          <cell r="E974">
            <v>450</v>
          </cell>
          <cell r="F974" t="str">
            <v>10.246214 - 6</v>
          </cell>
          <cell r="G974"/>
          <cell r="H974"/>
          <cell r="K974"/>
        </row>
        <row r="975">
          <cell r="B975">
            <v>335</v>
          </cell>
          <cell r="C975">
            <v>210</v>
          </cell>
          <cell r="D975">
            <v>415</v>
          </cell>
          <cell r="E975">
            <v>450</v>
          </cell>
          <cell r="F975" t="str">
            <v>10.246214 - 6</v>
          </cell>
          <cell r="G975"/>
          <cell r="H975"/>
          <cell r="K975"/>
        </row>
        <row r="976">
          <cell r="B976">
            <v>335</v>
          </cell>
          <cell r="C976">
            <v>210</v>
          </cell>
          <cell r="D976">
            <v>415</v>
          </cell>
          <cell r="E976">
            <v>450</v>
          </cell>
          <cell r="F976" t="str">
            <v>10.246214 - 6</v>
          </cell>
          <cell r="G976"/>
          <cell r="H976"/>
          <cell r="K976"/>
        </row>
        <row r="977">
          <cell r="B977">
            <v>335</v>
          </cell>
          <cell r="C977">
            <v>212</v>
          </cell>
          <cell r="D977">
            <v>415</v>
          </cell>
          <cell r="E977">
            <v>450</v>
          </cell>
          <cell r="F977" t="str">
            <v>10.246214 - 6</v>
          </cell>
          <cell r="G977"/>
          <cell r="H977"/>
          <cell r="K977"/>
        </row>
        <row r="978">
          <cell r="B978">
            <v>335</v>
          </cell>
          <cell r="C978">
            <v>210</v>
          </cell>
          <cell r="D978">
            <v>360</v>
          </cell>
          <cell r="E978">
            <v>450</v>
          </cell>
          <cell r="F978" t="str">
            <v>10.246214 - 6</v>
          </cell>
          <cell r="G978"/>
          <cell r="H978"/>
          <cell r="K978"/>
        </row>
        <row r="979">
          <cell r="B979">
            <v>335</v>
          </cell>
          <cell r="C979">
            <v>258</v>
          </cell>
          <cell r="D979">
            <v>360</v>
          </cell>
          <cell r="E979">
            <v>450</v>
          </cell>
          <cell r="F979" t="str">
            <v>72.11872 - 46</v>
          </cell>
          <cell r="G979">
            <v>7260064</v>
          </cell>
          <cell r="H979"/>
          <cell r="K979"/>
        </row>
        <row r="980">
          <cell r="B980">
            <v>335</v>
          </cell>
          <cell r="C980">
            <v>255</v>
          </cell>
          <cell r="D980">
            <v>360</v>
          </cell>
          <cell r="E980">
            <v>450</v>
          </cell>
          <cell r="F980" t="str">
            <v>72.11872 - 46</v>
          </cell>
          <cell r="G980">
            <v>7260064</v>
          </cell>
          <cell r="H980"/>
          <cell r="K980"/>
        </row>
        <row r="981">
          <cell r="B981">
            <v>337.5</v>
          </cell>
          <cell r="C981">
            <v>260</v>
          </cell>
          <cell r="D981">
            <v>375</v>
          </cell>
          <cell r="E981">
            <v>450</v>
          </cell>
          <cell r="F981" t="str">
            <v>72.11872 - 47</v>
          </cell>
          <cell r="G981">
            <v>7260065</v>
          </cell>
          <cell r="H981"/>
          <cell r="K981"/>
        </row>
        <row r="982">
          <cell r="B982">
            <v>337.5</v>
          </cell>
          <cell r="C982">
            <v>260</v>
          </cell>
          <cell r="D982">
            <v>360</v>
          </cell>
          <cell r="E982">
            <v>450</v>
          </cell>
          <cell r="F982" t="str">
            <v>72.11872 - 47</v>
          </cell>
          <cell r="G982">
            <v>7260065</v>
          </cell>
          <cell r="H982"/>
          <cell r="K982"/>
        </row>
        <row r="983">
          <cell r="B983">
            <v>340</v>
          </cell>
          <cell r="C983">
            <v>315</v>
          </cell>
          <cell r="D983">
            <v>415</v>
          </cell>
          <cell r="E983">
            <v>450</v>
          </cell>
          <cell r="F983" t="str">
            <v>10.252631 - 1</v>
          </cell>
          <cell r="G983">
            <v>7260066</v>
          </cell>
          <cell r="H983"/>
          <cell r="K983"/>
        </row>
        <row r="984">
          <cell r="B984">
            <v>340</v>
          </cell>
          <cell r="C984">
            <v>380</v>
          </cell>
          <cell r="D984">
            <v>415</v>
          </cell>
          <cell r="E984">
            <v>450</v>
          </cell>
          <cell r="F984" t="str">
            <v>72.11876 - 16</v>
          </cell>
          <cell r="G984"/>
          <cell r="H984"/>
          <cell r="K984"/>
        </row>
        <row r="985">
          <cell r="B985">
            <v>347.5</v>
          </cell>
          <cell r="C985">
            <v>263</v>
          </cell>
          <cell r="D985">
            <v>415</v>
          </cell>
          <cell r="E985">
            <v>450</v>
          </cell>
          <cell r="F985" t="str">
            <v>72.11872 - 51</v>
          </cell>
          <cell r="G985">
            <v>7260067</v>
          </cell>
          <cell r="H985"/>
          <cell r="K985"/>
        </row>
        <row r="986">
          <cell r="B986">
            <v>347.5</v>
          </cell>
          <cell r="C986">
            <v>495</v>
          </cell>
          <cell r="D986">
            <v>450</v>
          </cell>
          <cell r="E986">
            <v>400</v>
          </cell>
          <cell r="F986" t="str">
            <v>10.264624 - 11</v>
          </cell>
          <cell r="G986"/>
          <cell r="H986"/>
          <cell r="K986"/>
        </row>
        <row r="987">
          <cell r="B987">
            <v>347.5</v>
          </cell>
          <cell r="C987">
            <v>495</v>
          </cell>
          <cell r="D987">
            <v>450</v>
          </cell>
          <cell r="E987">
            <v>400</v>
          </cell>
          <cell r="F987" t="str">
            <v>10.264624 - 11</v>
          </cell>
          <cell r="G987"/>
          <cell r="H987"/>
          <cell r="K987"/>
        </row>
        <row r="988">
          <cell r="B988">
            <v>350</v>
          </cell>
          <cell r="C988">
            <v>397</v>
          </cell>
          <cell r="D988">
            <v>415</v>
          </cell>
          <cell r="E988">
            <v>400</v>
          </cell>
          <cell r="F988" t="str">
            <v>72.11876 - 20</v>
          </cell>
          <cell r="G988"/>
          <cell r="H988"/>
          <cell r="K988"/>
        </row>
        <row r="989">
          <cell r="B989">
            <v>350</v>
          </cell>
          <cell r="C989">
            <v>398</v>
          </cell>
          <cell r="D989">
            <v>415</v>
          </cell>
          <cell r="E989">
            <v>400</v>
          </cell>
          <cell r="F989" t="str">
            <v>72.11876 - 20</v>
          </cell>
          <cell r="G989"/>
          <cell r="H989"/>
          <cell r="K989"/>
        </row>
        <row r="990">
          <cell r="B990">
            <v>350</v>
          </cell>
          <cell r="C990">
            <v>257</v>
          </cell>
          <cell r="D990">
            <v>415</v>
          </cell>
          <cell r="E990">
            <v>450</v>
          </cell>
          <cell r="F990" t="str">
            <v>72.11875 - 20</v>
          </cell>
          <cell r="G990"/>
          <cell r="H990"/>
          <cell r="K990"/>
        </row>
        <row r="991">
          <cell r="B991">
            <v>350</v>
          </cell>
          <cell r="C991">
            <v>257</v>
          </cell>
          <cell r="D991">
            <v>400</v>
          </cell>
          <cell r="E991">
            <v>450</v>
          </cell>
          <cell r="F991" t="str">
            <v>72.11875 - 20</v>
          </cell>
          <cell r="G991"/>
          <cell r="H991"/>
          <cell r="K991"/>
        </row>
        <row r="992">
          <cell r="B992">
            <v>350</v>
          </cell>
          <cell r="C992">
            <v>397</v>
          </cell>
          <cell r="D992">
            <v>415</v>
          </cell>
          <cell r="E992">
            <v>400</v>
          </cell>
          <cell r="F992" t="str">
            <v>72.11876 - 20</v>
          </cell>
          <cell r="G992"/>
          <cell r="H992"/>
          <cell r="K992"/>
        </row>
        <row r="993">
          <cell r="B993">
            <v>355</v>
          </cell>
          <cell r="C993">
            <v>495</v>
          </cell>
          <cell r="D993">
            <v>450</v>
          </cell>
          <cell r="E993">
            <v>400</v>
          </cell>
          <cell r="F993" t="str">
            <v>10.254624 - 14</v>
          </cell>
          <cell r="G993">
            <v>7260068</v>
          </cell>
          <cell r="H993"/>
          <cell r="K993"/>
        </row>
        <row r="994">
          <cell r="B994">
            <v>355</v>
          </cell>
          <cell r="C994">
            <v>495</v>
          </cell>
          <cell r="D994">
            <v>450</v>
          </cell>
          <cell r="E994">
            <v>400</v>
          </cell>
          <cell r="F994" t="str">
            <v>10.254624 - 14</v>
          </cell>
          <cell r="G994">
            <v>7260068</v>
          </cell>
          <cell r="H994"/>
          <cell r="K994"/>
        </row>
        <row r="995">
          <cell r="B995">
            <v>355</v>
          </cell>
          <cell r="C995">
            <v>240</v>
          </cell>
          <cell r="D995">
            <v>415</v>
          </cell>
          <cell r="E995">
            <v>450</v>
          </cell>
          <cell r="F995" t="str">
            <v>72.48674 - 1</v>
          </cell>
          <cell r="G995">
            <v>7260069</v>
          </cell>
          <cell r="H995"/>
          <cell r="K995"/>
        </row>
        <row r="996">
          <cell r="B996">
            <v>355</v>
          </cell>
          <cell r="C996">
            <v>387</v>
          </cell>
          <cell r="D996">
            <v>375</v>
          </cell>
          <cell r="E996">
            <v>450</v>
          </cell>
          <cell r="F996" t="str">
            <v>72.11876 - 22</v>
          </cell>
          <cell r="G996">
            <v>7260070</v>
          </cell>
          <cell r="H996"/>
          <cell r="K996"/>
        </row>
        <row r="997">
          <cell r="B997">
            <v>360</v>
          </cell>
          <cell r="C997">
            <v>500</v>
          </cell>
          <cell r="D997">
            <v>470</v>
          </cell>
          <cell r="E997">
            <v>400</v>
          </cell>
          <cell r="F997" t="str">
            <v>10.254624 - 16</v>
          </cell>
          <cell r="G997">
            <v>7260071</v>
          </cell>
          <cell r="H997"/>
          <cell r="K997"/>
        </row>
        <row r="998">
          <cell r="B998">
            <v>365</v>
          </cell>
          <cell r="C998">
            <v>495</v>
          </cell>
          <cell r="D998">
            <v>470</v>
          </cell>
          <cell r="E998">
            <v>400</v>
          </cell>
          <cell r="F998" t="str">
            <v>10.254624 - 18</v>
          </cell>
          <cell r="G998"/>
          <cell r="H998"/>
          <cell r="K998"/>
        </row>
        <row r="999">
          <cell r="B999">
            <v>365</v>
          </cell>
          <cell r="C999">
            <v>317</v>
          </cell>
          <cell r="D999">
            <v>415</v>
          </cell>
          <cell r="E999">
            <v>450</v>
          </cell>
          <cell r="F999" t="str">
            <v>10.252631 - 2</v>
          </cell>
          <cell r="G999"/>
          <cell r="H999"/>
          <cell r="K999"/>
        </row>
        <row r="1000">
          <cell r="B1000">
            <v>365</v>
          </cell>
          <cell r="C1000">
            <v>315</v>
          </cell>
          <cell r="D1000">
            <v>415</v>
          </cell>
          <cell r="E1000">
            <v>450</v>
          </cell>
          <cell r="F1000" t="str">
            <v>10.252631 - 2</v>
          </cell>
          <cell r="G1000"/>
          <cell r="H1000"/>
          <cell r="K1000"/>
        </row>
        <row r="1001">
          <cell r="B1001">
            <v>365</v>
          </cell>
          <cell r="C1001">
            <v>500</v>
          </cell>
          <cell r="D1001">
            <v>470</v>
          </cell>
          <cell r="E1001">
            <v>400</v>
          </cell>
          <cell r="F1001" t="str">
            <v>10.254624 - 18</v>
          </cell>
          <cell r="G1001"/>
          <cell r="H1001"/>
          <cell r="K1001"/>
        </row>
        <row r="1002">
          <cell r="B1002">
            <v>367.5</v>
          </cell>
          <cell r="C1002">
            <v>654</v>
          </cell>
          <cell r="D1002">
            <v>400</v>
          </cell>
          <cell r="E1002">
            <v>400</v>
          </cell>
          <cell r="F1002" t="str">
            <v>72.47722 - 01</v>
          </cell>
          <cell r="G1002">
            <v>7260072</v>
          </cell>
          <cell r="H1002" t="str">
            <v>1/30</v>
          </cell>
          <cell r="I1002" t="str">
            <v>Без дна - можно стационарно</v>
          </cell>
        </row>
        <row r="1003">
          <cell r="B1003">
            <v>370</v>
          </cell>
          <cell r="C1003">
            <v>255</v>
          </cell>
          <cell r="D1003">
            <v>400</v>
          </cell>
          <cell r="E1003">
            <v>450</v>
          </cell>
          <cell r="F1003" t="str">
            <v>72.11872 - 60</v>
          </cell>
          <cell r="G1003">
            <v>7260073</v>
          </cell>
          <cell r="H1003"/>
        </row>
        <row r="1004">
          <cell r="B1004">
            <v>372.5</v>
          </cell>
          <cell r="C1004">
            <v>498</v>
          </cell>
          <cell r="D1004">
            <v>470</v>
          </cell>
          <cell r="E1004">
            <v>400</v>
          </cell>
          <cell r="F1004" t="str">
            <v>10.254624 - 21</v>
          </cell>
          <cell r="G1004">
            <v>7260074</v>
          </cell>
          <cell r="H1004"/>
          <cell r="K1004"/>
        </row>
        <row r="1005">
          <cell r="B1005">
            <v>372.5</v>
          </cell>
          <cell r="C1005">
            <v>495</v>
          </cell>
          <cell r="D1005">
            <v>470</v>
          </cell>
          <cell r="E1005">
            <v>400</v>
          </cell>
          <cell r="F1005" t="str">
            <v>10.254624 - 21</v>
          </cell>
          <cell r="G1005">
            <v>7260074</v>
          </cell>
          <cell r="H1005"/>
          <cell r="K1005"/>
        </row>
        <row r="1006">
          <cell r="B1006">
            <v>372.5</v>
          </cell>
          <cell r="C1006">
            <v>397</v>
          </cell>
          <cell r="D1006">
            <v>470</v>
          </cell>
          <cell r="E1006">
            <v>400</v>
          </cell>
          <cell r="F1006" t="str">
            <v>10.242291 - 1</v>
          </cell>
          <cell r="G1006"/>
          <cell r="H1006"/>
          <cell r="K1006"/>
        </row>
        <row r="1007">
          <cell r="B1007">
            <v>377.5</v>
          </cell>
          <cell r="C1007">
            <v>655</v>
          </cell>
          <cell r="D1007">
            <v>470</v>
          </cell>
          <cell r="E1007">
            <v>400</v>
          </cell>
          <cell r="F1007" t="str">
            <v>72.47722 - 01</v>
          </cell>
          <cell r="G1007">
            <v>7260075</v>
          </cell>
          <cell r="H1007"/>
          <cell r="I1007" t="str">
            <v>Для Оловянистых бронз - стационарно - не брать (большая масса, слиток может привариться к днищу)</v>
          </cell>
          <cell r="K1007"/>
        </row>
        <row r="1008">
          <cell r="B1008">
            <v>377.5</v>
          </cell>
          <cell r="C1008">
            <v>230</v>
          </cell>
          <cell r="D1008">
            <v>415</v>
          </cell>
          <cell r="E1008">
            <v>400</v>
          </cell>
          <cell r="F1008" t="str">
            <v>72.48674 - 2</v>
          </cell>
          <cell r="G1008">
            <v>7260076</v>
          </cell>
          <cell r="H1008"/>
          <cell r="K1008"/>
        </row>
        <row r="1009">
          <cell r="B1009">
            <v>377.5</v>
          </cell>
          <cell r="C1009">
            <v>455</v>
          </cell>
          <cell r="D1009">
            <v>470</v>
          </cell>
          <cell r="E1009">
            <v>400</v>
          </cell>
          <cell r="F1009" t="str">
            <v>72.48007 - 1</v>
          </cell>
          <cell r="G1009"/>
          <cell r="H1009"/>
          <cell r="K1009"/>
        </row>
        <row r="1010">
          <cell r="B1010">
            <v>377.5</v>
          </cell>
          <cell r="C1010">
            <v>457</v>
          </cell>
          <cell r="D1010">
            <v>500</v>
          </cell>
          <cell r="E1010">
            <v>400</v>
          </cell>
          <cell r="F1010" t="str">
            <v>72.48007 - 1</v>
          </cell>
          <cell r="G1010"/>
          <cell r="H1010"/>
          <cell r="K1010"/>
        </row>
        <row r="1011">
          <cell r="B1011">
            <v>377.5</v>
          </cell>
          <cell r="C1011">
            <v>457</v>
          </cell>
          <cell r="D1011">
            <v>500</v>
          </cell>
          <cell r="E1011">
            <v>400</v>
          </cell>
          <cell r="F1011" t="str">
            <v>72.48007 - 1</v>
          </cell>
          <cell r="G1011"/>
          <cell r="H1011"/>
          <cell r="K1011"/>
        </row>
        <row r="1012">
          <cell r="B1012">
            <v>377.5</v>
          </cell>
          <cell r="C1012">
            <v>460</v>
          </cell>
          <cell r="D1012">
            <v>500</v>
          </cell>
          <cell r="E1012">
            <v>400</v>
          </cell>
          <cell r="F1012" t="str">
            <v>72.48007 - 1</v>
          </cell>
          <cell r="G1012"/>
          <cell r="H1012"/>
          <cell r="K1012"/>
        </row>
        <row r="1013">
          <cell r="B1013">
            <v>380</v>
          </cell>
          <cell r="C1013">
            <v>420</v>
          </cell>
          <cell r="D1013">
            <v>520</v>
          </cell>
          <cell r="E1013">
            <v>400</v>
          </cell>
          <cell r="F1013" t="str">
            <v>72.42346 - 6</v>
          </cell>
          <cell r="G1013"/>
          <cell r="H1013"/>
          <cell r="K1013"/>
        </row>
        <row r="1014">
          <cell r="B1014">
            <v>380</v>
          </cell>
          <cell r="C1014">
            <v>460</v>
          </cell>
          <cell r="D1014">
            <v>500</v>
          </cell>
          <cell r="E1014">
            <v>400</v>
          </cell>
          <cell r="F1014" t="str">
            <v>72.48007 - 2</v>
          </cell>
          <cell r="G1014"/>
          <cell r="H1014"/>
          <cell r="K1014"/>
        </row>
        <row r="1015">
          <cell r="B1015">
            <v>380</v>
          </cell>
          <cell r="C1015">
            <v>413</v>
          </cell>
          <cell r="D1015">
            <v>500</v>
          </cell>
          <cell r="E1015">
            <v>400</v>
          </cell>
          <cell r="F1015" t="str">
            <v>72.42346 - 6</v>
          </cell>
          <cell r="G1015"/>
          <cell r="H1015"/>
          <cell r="K1015"/>
        </row>
        <row r="1016">
          <cell r="B1016">
            <v>380</v>
          </cell>
          <cell r="C1016">
            <v>540</v>
          </cell>
          <cell r="D1016">
            <v>470</v>
          </cell>
          <cell r="E1016">
            <v>400</v>
          </cell>
          <cell r="F1016" t="str">
            <v>10.256074 - 1</v>
          </cell>
          <cell r="G1016"/>
          <cell r="H1016"/>
          <cell r="K1016"/>
        </row>
        <row r="1017">
          <cell r="B1017">
            <v>382.5</v>
          </cell>
          <cell r="C1017">
            <v>540</v>
          </cell>
          <cell r="D1017">
            <v>470</v>
          </cell>
          <cell r="E1017">
            <v>400</v>
          </cell>
          <cell r="F1017" t="str">
            <v>10.256074 - 2</v>
          </cell>
          <cell r="G1017"/>
          <cell r="H1017"/>
          <cell r="K1017"/>
        </row>
        <row r="1018">
          <cell r="B1018">
            <v>385</v>
          </cell>
          <cell r="C1018">
            <v>455</v>
          </cell>
          <cell r="D1018">
            <v>500</v>
          </cell>
          <cell r="E1018">
            <v>400</v>
          </cell>
          <cell r="F1018" t="str">
            <v>72.48007 - 4</v>
          </cell>
          <cell r="G1018"/>
          <cell r="H1018"/>
          <cell r="K1018"/>
        </row>
        <row r="1019">
          <cell r="B1019">
            <v>385</v>
          </cell>
          <cell r="C1019">
            <v>455</v>
          </cell>
          <cell r="D1019">
            <v>470</v>
          </cell>
          <cell r="E1019">
            <v>400</v>
          </cell>
          <cell r="F1019" t="str">
            <v>72.48007 - 4</v>
          </cell>
          <cell r="G1019"/>
          <cell r="H1019"/>
          <cell r="K1019"/>
        </row>
        <row r="1020">
          <cell r="B1020">
            <v>385</v>
          </cell>
          <cell r="C1020">
            <v>457</v>
          </cell>
          <cell r="D1020">
            <v>500</v>
          </cell>
          <cell r="E1020">
            <v>400</v>
          </cell>
          <cell r="F1020" t="str">
            <v>72.48007 - 4</v>
          </cell>
          <cell r="G1020"/>
          <cell r="H1020"/>
          <cell r="K1020"/>
        </row>
        <row r="1021">
          <cell r="B1021">
            <v>385</v>
          </cell>
          <cell r="C1021">
            <v>460</v>
          </cell>
          <cell r="D1021">
            <v>470</v>
          </cell>
          <cell r="E1021">
            <v>400</v>
          </cell>
          <cell r="F1021" t="str">
            <v>72.48007 - 4</v>
          </cell>
          <cell r="G1021"/>
          <cell r="H1021"/>
          <cell r="K1021"/>
        </row>
        <row r="1022">
          <cell r="B1022">
            <v>390</v>
          </cell>
          <cell r="C1022">
            <v>453</v>
          </cell>
          <cell r="D1022">
            <v>470</v>
          </cell>
          <cell r="E1022">
            <v>400</v>
          </cell>
          <cell r="F1022" t="str">
            <v>72.48007 - 6</v>
          </cell>
          <cell r="G1022"/>
          <cell r="H1022"/>
          <cell r="K1022"/>
        </row>
        <row r="1023">
          <cell r="B1023">
            <v>390</v>
          </cell>
          <cell r="C1023">
            <v>455</v>
          </cell>
          <cell r="D1023">
            <v>470</v>
          </cell>
          <cell r="E1023">
            <v>400</v>
          </cell>
          <cell r="F1023" t="str">
            <v>72.48007 - 6</v>
          </cell>
          <cell r="G1023"/>
          <cell r="H1023"/>
          <cell r="K1023"/>
        </row>
        <row r="1024">
          <cell r="B1024">
            <v>392.5</v>
          </cell>
          <cell r="C1024">
            <v>327</v>
          </cell>
          <cell r="D1024">
            <v>520</v>
          </cell>
          <cell r="E1024">
            <v>400</v>
          </cell>
          <cell r="F1024" t="str">
            <v>72.45826 - 01</v>
          </cell>
          <cell r="G1024">
            <v>7260077</v>
          </cell>
          <cell r="H1024"/>
          <cell r="K1024"/>
        </row>
        <row r="1025">
          <cell r="B1025">
            <v>392.5</v>
          </cell>
          <cell r="C1025">
            <v>330</v>
          </cell>
          <cell r="D1025">
            <v>520</v>
          </cell>
          <cell r="E1025">
            <v>400</v>
          </cell>
          <cell r="F1025" t="str">
            <v>72.45826 - 01</v>
          </cell>
          <cell r="G1025">
            <v>7260077</v>
          </cell>
          <cell r="H1025"/>
          <cell r="K1025"/>
        </row>
        <row r="1026">
          <cell r="B1026">
            <v>392.5</v>
          </cell>
          <cell r="C1026">
            <v>300</v>
          </cell>
          <cell r="D1026">
            <v>520</v>
          </cell>
          <cell r="E1026">
            <v>400</v>
          </cell>
          <cell r="F1026" t="str">
            <v>72.37421 - 2</v>
          </cell>
          <cell r="G1026"/>
          <cell r="H1026"/>
          <cell r="K1026"/>
        </row>
        <row r="1027">
          <cell r="B1027">
            <v>392.5</v>
          </cell>
          <cell r="C1027">
            <v>345</v>
          </cell>
          <cell r="D1027">
            <v>470</v>
          </cell>
          <cell r="E1027">
            <v>400</v>
          </cell>
          <cell r="F1027" t="str">
            <v>72.45826 - 01</v>
          </cell>
          <cell r="G1027">
            <v>7260078</v>
          </cell>
          <cell r="H1027"/>
          <cell r="K1027"/>
        </row>
        <row r="1028">
          <cell r="B1028">
            <v>397.5</v>
          </cell>
          <cell r="C1028">
            <v>327</v>
          </cell>
          <cell r="D1028">
            <v>520</v>
          </cell>
          <cell r="E1028">
            <v>400</v>
          </cell>
          <cell r="F1028" t="str">
            <v>72.45826 - 01</v>
          </cell>
          <cell r="G1028">
            <v>7260079</v>
          </cell>
          <cell r="H1028"/>
          <cell r="K1028"/>
        </row>
        <row r="1029">
          <cell r="B1029">
            <v>397.5</v>
          </cell>
          <cell r="C1029">
            <v>228</v>
          </cell>
          <cell r="D1029">
            <v>470</v>
          </cell>
          <cell r="E1029">
            <v>400</v>
          </cell>
          <cell r="F1029" t="str">
            <v>72.42344 - 1</v>
          </cell>
          <cell r="G1029"/>
          <cell r="H1029"/>
          <cell r="K1029"/>
        </row>
        <row r="1030">
          <cell r="B1030">
            <v>405</v>
          </cell>
          <cell r="C1030">
            <v>450</v>
          </cell>
          <cell r="D1030">
            <v>470</v>
          </cell>
          <cell r="E1030">
            <v>400</v>
          </cell>
          <cell r="F1030" t="str">
            <v>72.48007 - 12</v>
          </cell>
          <cell r="G1030">
            <v>7260080</v>
          </cell>
          <cell r="H1030"/>
          <cell r="K1030"/>
        </row>
        <row r="1031">
          <cell r="B1031">
            <v>410</v>
          </cell>
          <cell r="C1031">
            <v>470</v>
          </cell>
          <cell r="D1031">
            <v>470</v>
          </cell>
          <cell r="E1031">
            <v>400</v>
          </cell>
          <cell r="F1031" t="str">
            <v>72.48005 - 9</v>
          </cell>
          <cell r="G1031">
            <v>7260081</v>
          </cell>
          <cell r="H1031"/>
          <cell r="K1031"/>
        </row>
        <row r="1032">
          <cell r="B1032">
            <v>412.5</v>
          </cell>
          <cell r="C1032">
            <v>512</v>
          </cell>
          <cell r="D1032">
            <v>500</v>
          </cell>
          <cell r="E1032">
            <v>400</v>
          </cell>
          <cell r="F1032" t="str">
            <v>10.247097 - 01</v>
          </cell>
          <cell r="G1032">
            <v>7260082</v>
          </cell>
          <cell r="H1032"/>
          <cell r="K1032"/>
        </row>
        <row r="1033">
          <cell r="B1033">
            <v>415</v>
          </cell>
          <cell r="C1033">
            <v>275</v>
          </cell>
          <cell r="D1033">
            <v>520</v>
          </cell>
          <cell r="E1033">
            <v>400</v>
          </cell>
          <cell r="F1033" t="str">
            <v>72.42346 - 5</v>
          </cell>
          <cell r="G1033"/>
          <cell r="H1033"/>
          <cell r="K1033"/>
        </row>
        <row r="1034">
          <cell r="B1034">
            <v>415</v>
          </cell>
          <cell r="C1034">
            <v>280</v>
          </cell>
          <cell r="D1034">
            <v>520</v>
          </cell>
          <cell r="E1034">
            <v>400</v>
          </cell>
          <cell r="F1034" t="str">
            <v>72.42346 - 5</v>
          </cell>
          <cell r="G1034"/>
          <cell r="H1034"/>
          <cell r="K1034"/>
        </row>
        <row r="1035">
          <cell r="B1035">
            <v>415</v>
          </cell>
          <cell r="C1035">
            <v>275</v>
          </cell>
          <cell r="D1035">
            <v>500</v>
          </cell>
          <cell r="E1035">
            <v>400</v>
          </cell>
          <cell r="F1035" t="str">
            <v>72.42346 - 5</v>
          </cell>
          <cell r="G1035"/>
          <cell r="H1035"/>
          <cell r="K1035"/>
        </row>
        <row r="1036">
          <cell r="B1036">
            <v>417.5</v>
          </cell>
          <cell r="C1036">
            <v>257</v>
          </cell>
          <cell r="D1036">
            <v>470</v>
          </cell>
          <cell r="E1036">
            <v>400</v>
          </cell>
          <cell r="F1036" t="str">
            <v>72.48041 - 1</v>
          </cell>
          <cell r="G1036">
            <v>7260083</v>
          </cell>
          <cell r="H1036"/>
          <cell r="K1036"/>
        </row>
        <row r="1037">
          <cell r="B1037">
            <v>417.5</v>
          </cell>
          <cell r="C1037">
            <v>515</v>
          </cell>
          <cell r="D1037">
            <v>520</v>
          </cell>
          <cell r="E1037">
            <v>400</v>
          </cell>
          <cell r="F1037" t="str">
            <v>10.247286 - 1</v>
          </cell>
          <cell r="G1037"/>
          <cell r="H1037"/>
          <cell r="K1037"/>
        </row>
        <row r="1038">
          <cell r="B1038">
            <v>417.5</v>
          </cell>
          <cell r="C1038">
            <v>257</v>
          </cell>
          <cell r="D1038">
            <v>470</v>
          </cell>
          <cell r="E1038">
            <v>400</v>
          </cell>
          <cell r="F1038" t="str">
            <v>72.48041 - 1</v>
          </cell>
          <cell r="G1038"/>
          <cell r="H1038"/>
          <cell r="K1038"/>
        </row>
        <row r="1039">
          <cell r="B1039">
            <v>420</v>
          </cell>
          <cell r="C1039">
            <v>510</v>
          </cell>
          <cell r="D1039">
            <v>520</v>
          </cell>
          <cell r="E1039">
            <v>400</v>
          </cell>
          <cell r="F1039" t="str">
            <v>10.247286 - 1</v>
          </cell>
          <cell r="G1039"/>
          <cell r="H1039"/>
          <cell r="K1039"/>
        </row>
        <row r="1040">
          <cell r="B1040">
            <v>420</v>
          </cell>
          <cell r="C1040">
            <v>300</v>
          </cell>
          <cell r="D1040">
            <v>520</v>
          </cell>
          <cell r="E1040">
            <v>400</v>
          </cell>
          <cell r="F1040" t="str">
            <v>72.37421 - 1</v>
          </cell>
          <cell r="G1040"/>
          <cell r="H1040"/>
          <cell r="K1040"/>
        </row>
        <row r="1041">
          <cell r="B1041">
            <v>420</v>
          </cell>
          <cell r="C1041">
            <v>295</v>
          </cell>
          <cell r="D1041">
            <v>520</v>
          </cell>
          <cell r="E1041">
            <v>400</v>
          </cell>
          <cell r="F1041" t="str">
            <v>72.37421 - 1</v>
          </cell>
          <cell r="G1041"/>
          <cell r="H1041"/>
          <cell r="K1041"/>
        </row>
        <row r="1042">
          <cell r="B1042">
            <v>420</v>
          </cell>
          <cell r="C1042">
            <v>260</v>
          </cell>
          <cell r="D1042">
            <v>500</v>
          </cell>
          <cell r="E1042">
            <v>400</v>
          </cell>
          <cell r="F1042" t="str">
            <v>72.48041 - 2</v>
          </cell>
          <cell r="G1042"/>
          <cell r="H1042"/>
          <cell r="K1042"/>
        </row>
        <row r="1043">
          <cell r="B1043">
            <v>420</v>
          </cell>
          <cell r="C1043">
            <v>260</v>
          </cell>
          <cell r="D1043">
            <v>500</v>
          </cell>
          <cell r="E1043">
            <v>400</v>
          </cell>
          <cell r="F1043" t="str">
            <v>72.48041 - 2</v>
          </cell>
          <cell r="G1043"/>
          <cell r="H1043"/>
          <cell r="K1043"/>
        </row>
        <row r="1044">
          <cell r="B1044">
            <v>420</v>
          </cell>
          <cell r="C1044">
            <v>300</v>
          </cell>
          <cell r="D1044">
            <v>520</v>
          </cell>
          <cell r="E1044">
            <v>400</v>
          </cell>
          <cell r="F1044" t="str">
            <v>72.37421 - 1</v>
          </cell>
          <cell r="G1044"/>
          <cell r="H1044"/>
          <cell r="K1044"/>
        </row>
        <row r="1045">
          <cell r="B1045">
            <v>420</v>
          </cell>
          <cell r="C1045">
            <v>245</v>
          </cell>
          <cell r="D1045">
            <v>500</v>
          </cell>
          <cell r="E1045">
            <v>400</v>
          </cell>
          <cell r="F1045" t="str">
            <v>72.48041 - 2</v>
          </cell>
          <cell r="G1045"/>
          <cell r="H1045"/>
          <cell r="K1045"/>
        </row>
        <row r="1046">
          <cell r="B1046">
            <v>420</v>
          </cell>
          <cell r="C1046">
            <v>257</v>
          </cell>
          <cell r="D1046">
            <v>500</v>
          </cell>
          <cell r="E1046">
            <v>400</v>
          </cell>
          <cell r="F1046" t="str">
            <v>72.48041 - 2</v>
          </cell>
          <cell r="G1046"/>
          <cell r="H1046"/>
          <cell r="K1046"/>
        </row>
        <row r="1047">
          <cell r="B1047">
            <v>420</v>
          </cell>
          <cell r="C1047">
            <v>300</v>
          </cell>
          <cell r="D1047">
            <v>520</v>
          </cell>
          <cell r="E1047">
            <v>400</v>
          </cell>
          <cell r="F1047" t="str">
            <v>72.37421 - 1</v>
          </cell>
          <cell r="G1047"/>
          <cell r="H1047"/>
          <cell r="K1047"/>
        </row>
        <row r="1048">
          <cell r="B1048">
            <v>425</v>
          </cell>
          <cell r="C1048">
            <v>333</v>
          </cell>
          <cell r="D1048">
            <v>520</v>
          </cell>
          <cell r="E1048">
            <v>400</v>
          </cell>
          <cell r="F1048" t="str">
            <v>72.45826 - 1</v>
          </cell>
          <cell r="G1048"/>
          <cell r="H1048"/>
          <cell r="K1048"/>
        </row>
        <row r="1049">
          <cell r="B1049">
            <v>425</v>
          </cell>
          <cell r="C1049">
            <v>335</v>
          </cell>
          <cell r="D1049">
            <v>520</v>
          </cell>
          <cell r="E1049">
            <v>400</v>
          </cell>
          <cell r="F1049" t="str">
            <v>72.45826 - 1</v>
          </cell>
          <cell r="G1049"/>
          <cell r="H1049"/>
          <cell r="K1049"/>
        </row>
        <row r="1050">
          <cell r="B1050">
            <v>427.5</v>
          </cell>
          <cell r="C1050">
            <v>335</v>
          </cell>
          <cell r="D1050">
            <v>520</v>
          </cell>
          <cell r="E1050">
            <v>400</v>
          </cell>
          <cell r="F1050" t="str">
            <v>72.45826 - 2</v>
          </cell>
          <cell r="G1050"/>
          <cell r="H1050"/>
          <cell r="K1050"/>
        </row>
        <row r="1051">
          <cell r="B1051">
            <v>427.5</v>
          </cell>
          <cell r="C1051">
            <v>505</v>
          </cell>
          <cell r="D1051">
            <v>520</v>
          </cell>
          <cell r="E1051">
            <v>400</v>
          </cell>
          <cell r="F1051" t="str">
            <v>10.245114 - 1</v>
          </cell>
          <cell r="G1051"/>
          <cell r="H1051"/>
          <cell r="K1051"/>
        </row>
        <row r="1052">
          <cell r="B1052">
            <v>430</v>
          </cell>
          <cell r="C1052">
            <v>180</v>
          </cell>
          <cell r="D1052">
            <v>520</v>
          </cell>
          <cell r="E1052">
            <v>400</v>
          </cell>
          <cell r="F1052" t="str">
            <v>72.42346 - 2</v>
          </cell>
          <cell r="G1052"/>
          <cell r="H1052"/>
          <cell r="K1052"/>
        </row>
        <row r="1053">
          <cell r="B1053">
            <v>430</v>
          </cell>
          <cell r="C1053">
            <v>550</v>
          </cell>
          <cell r="D1053">
            <v>550</v>
          </cell>
          <cell r="E1053">
            <v>400</v>
          </cell>
          <cell r="F1053" t="str">
            <v>72.47252 - 01</v>
          </cell>
          <cell r="G1053">
            <v>7260084</v>
          </cell>
          <cell r="H1053"/>
          <cell r="K1053"/>
        </row>
        <row r="1054">
          <cell r="B1054">
            <v>430</v>
          </cell>
          <cell r="C1054">
            <v>612</v>
          </cell>
          <cell r="D1054">
            <v>500</v>
          </cell>
          <cell r="E1054">
            <v>400</v>
          </cell>
          <cell r="F1054" t="str">
            <v>10.254085 - 01</v>
          </cell>
          <cell r="G1054">
            <v>7260085</v>
          </cell>
          <cell r="H1054"/>
          <cell r="K1054"/>
        </row>
        <row r="1055">
          <cell r="B1055">
            <v>432.5</v>
          </cell>
          <cell r="C1055">
            <v>510</v>
          </cell>
          <cell r="D1055">
            <v>520</v>
          </cell>
          <cell r="E1055">
            <v>400</v>
          </cell>
          <cell r="F1055" t="str">
            <v>10.247097 - 1</v>
          </cell>
          <cell r="G1055"/>
          <cell r="H1055"/>
          <cell r="K1055"/>
        </row>
        <row r="1056">
          <cell r="B1056">
            <v>440</v>
          </cell>
          <cell r="C1056">
            <v>255</v>
          </cell>
          <cell r="D1056">
            <v>550</v>
          </cell>
          <cell r="E1056">
            <v>400</v>
          </cell>
          <cell r="F1056" t="str">
            <v>10.540085 - 1</v>
          </cell>
          <cell r="G1056"/>
          <cell r="H1056"/>
          <cell r="K1056"/>
        </row>
        <row r="1057">
          <cell r="B1057">
            <v>440</v>
          </cell>
          <cell r="C1057">
            <v>265</v>
          </cell>
          <cell r="D1057">
            <v>550</v>
          </cell>
          <cell r="E1057">
            <v>400</v>
          </cell>
          <cell r="F1057" t="str">
            <v>10.540085 - 1</v>
          </cell>
          <cell r="G1057"/>
          <cell r="H1057"/>
          <cell r="K1057"/>
        </row>
        <row r="1058">
          <cell r="B1058">
            <v>440</v>
          </cell>
          <cell r="C1058">
            <v>513</v>
          </cell>
          <cell r="D1058">
            <v>500</v>
          </cell>
          <cell r="E1058">
            <v>400</v>
          </cell>
          <cell r="F1058" t="str">
            <v>10.247097 - 3</v>
          </cell>
          <cell r="G1058">
            <v>7260086</v>
          </cell>
          <cell r="H1058"/>
          <cell r="K1058"/>
        </row>
        <row r="1059">
          <cell r="B1059">
            <v>440</v>
          </cell>
          <cell r="C1059">
            <v>512</v>
          </cell>
          <cell r="D1059">
            <v>500</v>
          </cell>
          <cell r="E1059">
            <v>400</v>
          </cell>
          <cell r="F1059" t="str">
            <v>10.247097 - 3</v>
          </cell>
          <cell r="G1059">
            <v>7260086</v>
          </cell>
          <cell r="H1059"/>
          <cell r="K1059"/>
        </row>
        <row r="1060">
          <cell r="B1060">
            <v>440</v>
          </cell>
          <cell r="C1060">
            <v>505</v>
          </cell>
          <cell r="D1060">
            <v>500</v>
          </cell>
          <cell r="E1060">
            <v>400</v>
          </cell>
          <cell r="F1060" t="str">
            <v>10.247097 - 1</v>
          </cell>
          <cell r="G1060">
            <v>7260086</v>
          </cell>
          <cell r="H1060"/>
          <cell r="K1060"/>
        </row>
        <row r="1061">
          <cell r="B1061">
            <v>442.5</v>
          </cell>
          <cell r="C1061">
            <v>160</v>
          </cell>
          <cell r="D1061">
            <v>520</v>
          </cell>
          <cell r="E1061">
            <v>400</v>
          </cell>
          <cell r="F1061" t="str">
            <v>72.471147 - 2</v>
          </cell>
          <cell r="G1061"/>
          <cell r="H1061"/>
          <cell r="K1061"/>
        </row>
        <row r="1062">
          <cell r="B1062">
            <v>442.5</v>
          </cell>
          <cell r="C1062">
            <v>355</v>
          </cell>
          <cell r="D1062">
            <v>520</v>
          </cell>
          <cell r="E1062">
            <v>400</v>
          </cell>
          <cell r="F1062" t="str">
            <v>72.47730 - 1</v>
          </cell>
          <cell r="G1062"/>
          <cell r="H1062"/>
          <cell r="K1062"/>
        </row>
        <row r="1063">
          <cell r="B1063">
            <v>445</v>
          </cell>
          <cell r="C1063">
            <v>160</v>
          </cell>
          <cell r="D1063">
            <v>520</v>
          </cell>
          <cell r="E1063">
            <v>400</v>
          </cell>
          <cell r="F1063" t="str">
            <v>72.471147 - 3</v>
          </cell>
          <cell r="G1063"/>
          <cell r="H1063"/>
          <cell r="K1063"/>
        </row>
        <row r="1064">
          <cell r="B1064">
            <v>445</v>
          </cell>
          <cell r="C1064">
            <v>160</v>
          </cell>
          <cell r="D1064">
            <v>520</v>
          </cell>
          <cell r="E1064">
            <v>400</v>
          </cell>
          <cell r="F1064" t="str">
            <v>72.471147 - 3</v>
          </cell>
          <cell r="G1064"/>
          <cell r="H1064"/>
          <cell r="K1064"/>
        </row>
        <row r="1065">
          <cell r="B1065">
            <v>445</v>
          </cell>
          <cell r="C1065">
            <v>160</v>
          </cell>
          <cell r="D1065">
            <v>520</v>
          </cell>
          <cell r="E1065">
            <v>400</v>
          </cell>
          <cell r="F1065" t="str">
            <v>72.471147 - 3</v>
          </cell>
          <cell r="G1065"/>
          <cell r="H1065"/>
          <cell r="K1065"/>
        </row>
        <row r="1066">
          <cell r="B1066">
            <v>445</v>
          </cell>
          <cell r="C1066">
            <v>160</v>
          </cell>
          <cell r="D1066">
            <v>520</v>
          </cell>
          <cell r="E1066">
            <v>400</v>
          </cell>
          <cell r="F1066" t="str">
            <v>72.471147 - 3</v>
          </cell>
          <cell r="G1066"/>
          <cell r="H1066"/>
          <cell r="K1066"/>
        </row>
        <row r="1067">
          <cell r="B1067">
            <v>445</v>
          </cell>
          <cell r="C1067">
            <v>1140</v>
          </cell>
          <cell r="D1067" t="str">
            <v>530 (индивидуально)</v>
          </cell>
          <cell r="E1067" t="str">
            <v>300 (17 машина)</v>
          </cell>
          <cell r="F1067"/>
          <cell r="G1067" t="str">
            <v>800÷900 об/мин</v>
          </cell>
          <cell r="H1067" t="str">
            <v>з/к черт.34.20220210-002 (фзал=300)</v>
          </cell>
          <cell r="I1067"/>
          <cell r="K1067"/>
        </row>
        <row r="1068">
          <cell r="B1068">
            <v>447.5</v>
          </cell>
          <cell r="C1068">
            <v>160</v>
          </cell>
          <cell r="D1068">
            <v>520</v>
          </cell>
          <cell r="E1068">
            <v>400</v>
          </cell>
          <cell r="F1068" t="str">
            <v>72.471147 - 4</v>
          </cell>
          <cell r="G1068"/>
          <cell r="H1068"/>
          <cell r="K1068"/>
        </row>
        <row r="1069">
          <cell r="B1069">
            <v>457.5</v>
          </cell>
          <cell r="C1069">
            <v>540</v>
          </cell>
          <cell r="D1069">
            <v>520</v>
          </cell>
          <cell r="E1069">
            <v>400</v>
          </cell>
          <cell r="F1069" t="str">
            <v>10.256050 - 11</v>
          </cell>
          <cell r="G1069"/>
          <cell r="H1069" t="str">
            <v xml:space="preserve"> с днищем</v>
          </cell>
          <cell r="I1069"/>
        </row>
        <row r="1070">
          <cell r="B1070">
            <v>460</v>
          </cell>
          <cell r="C1070">
            <v>218</v>
          </cell>
          <cell r="D1070">
            <v>520</v>
          </cell>
          <cell r="E1070">
            <v>400</v>
          </cell>
          <cell r="F1070" t="str">
            <v>72.42346 - 1</v>
          </cell>
          <cell r="G1070"/>
          <cell r="H1070"/>
          <cell r="K1070"/>
        </row>
        <row r="1071">
          <cell r="B1071">
            <v>475</v>
          </cell>
          <cell r="C1071">
            <v>270</v>
          </cell>
          <cell r="D1071">
            <v>520</v>
          </cell>
          <cell r="E1071">
            <v>400</v>
          </cell>
          <cell r="F1071" t="str">
            <v>72.47345 - 1</v>
          </cell>
          <cell r="G1071"/>
          <cell r="H1071"/>
          <cell r="K1071"/>
        </row>
        <row r="1072">
          <cell r="B1072">
            <v>475</v>
          </cell>
          <cell r="C1072">
            <v>397</v>
          </cell>
          <cell r="D1072">
            <v>520</v>
          </cell>
          <cell r="E1072">
            <v>400</v>
          </cell>
          <cell r="F1072" t="str">
            <v>10.242291 - 2</v>
          </cell>
          <cell r="G1072">
            <v>7260087</v>
          </cell>
          <cell r="H1072" t="str">
            <v>Кокиля нет</v>
          </cell>
          <cell r="K1072"/>
        </row>
        <row r="1073">
          <cell r="B1073">
            <v>480</v>
          </cell>
          <cell r="C1073">
            <v>630</v>
          </cell>
          <cell r="D1073">
            <v>610</v>
          </cell>
          <cell r="E1073">
            <v>400</v>
          </cell>
          <cell r="F1073" t="str">
            <v>10.240268 - 1</v>
          </cell>
          <cell r="G1073"/>
          <cell r="H1073" t="str">
            <v>З/к. ф=120,0 (посадка 610) сейчас нет</v>
          </cell>
          <cell r="K1073"/>
        </row>
        <row r="1074">
          <cell r="B1074">
            <v>480</v>
          </cell>
          <cell r="C1074">
            <v>630</v>
          </cell>
          <cell r="D1074">
            <v>610</v>
          </cell>
          <cell r="E1074">
            <v>400</v>
          </cell>
          <cell r="F1074" t="str">
            <v>10.240268 - 1</v>
          </cell>
          <cell r="G1074"/>
          <cell r="H1074"/>
          <cell r="K1074"/>
        </row>
        <row r="1075">
          <cell r="B1075">
            <v>482.5</v>
          </cell>
          <cell r="C1075">
            <v>633</v>
          </cell>
          <cell r="D1075">
            <v>610</v>
          </cell>
          <cell r="E1075">
            <v>400</v>
          </cell>
          <cell r="F1075" t="str">
            <v>10.240268 - 1</v>
          </cell>
          <cell r="G1075"/>
          <cell r="H1075"/>
          <cell r="K1075"/>
        </row>
        <row r="1076">
          <cell r="B1076">
            <v>495</v>
          </cell>
          <cell r="C1076">
            <v>375</v>
          </cell>
          <cell r="D1076">
            <v>550</v>
          </cell>
          <cell r="E1076">
            <v>400</v>
          </cell>
          <cell r="F1076" t="str">
            <v>72.47928 - 1</v>
          </cell>
          <cell r="G1076"/>
          <cell r="H1076" t="str">
            <v xml:space="preserve">Кокиль без дна - Н.Н. - 10.01.22 </v>
          </cell>
          <cell r="K1076"/>
        </row>
        <row r="1077">
          <cell r="B1077">
            <v>495</v>
          </cell>
          <cell r="C1077">
            <v>380</v>
          </cell>
          <cell r="D1077">
            <v>550</v>
          </cell>
          <cell r="E1077">
            <v>400</v>
          </cell>
          <cell r="F1077" t="str">
            <v>72.47928 - 1</v>
          </cell>
          <cell r="G1077"/>
          <cell r="H1077"/>
          <cell r="K1077"/>
        </row>
        <row r="1078">
          <cell r="B1078">
            <v>500</v>
          </cell>
          <cell r="C1078">
            <v>128</v>
          </cell>
          <cell r="D1078">
            <v>610</v>
          </cell>
          <cell r="E1078">
            <v>400</v>
          </cell>
          <cell r="F1078" t="str">
            <v>10.240586 - 1</v>
          </cell>
          <cell r="G1078"/>
          <cell r="H1078"/>
          <cell r="K1078"/>
        </row>
        <row r="1079">
          <cell r="B1079">
            <v>500</v>
          </cell>
          <cell r="C1079">
            <v>680</v>
          </cell>
          <cell r="D1079">
            <v>610</v>
          </cell>
          <cell r="E1079">
            <v>400</v>
          </cell>
          <cell r="F1079" t="str">
            <v>24.271247 - 1</v>
          </cell>
          <cell r="G1079"/>
          <cell r="H1079"/>
          <cell r="K1079"/>
        </row>
        <row r="1080">
          <cell r="B1080">
            <v>500</v>
          </cell>
          <cell r="C1080">
            <v>248</v>
          </cell>
          <cell r="D1080">
            <v>570</v>
          </cell>
          <cell r="E1080">
            <v>400</v>
          </cell>
          <cell r="F1080" t="str">
            <v>72.47183 - 1</v>
          </cell>
          <cell r="G1080"/>
          <cell r="H1080"/>
          <cell r="K1080"/>
        </row>
        <row r="1081">
          <cell r="B1081">
            <v>500</v>
          </cell>
          <cell r="C1081">
            <v>247</v>
          </cell>
          <cell r="D1081">
            <v>570</v>
          </cell>
          <cell r="E1081">
            <v>400</v>
          </cell>
          <cell r="F1081" t="str">
            <v>72.47183 - 1</v>
          </cell>
          <cell r="G1081"/>
          <cell r="H1081"/>
          <cell r="K1081"/>
        </row>
        <row r="1082">
          <cell r="B1082">
            <v>502.5</v>
          </cell>
          <cell r="C1082">
            <v>205</v>
          </cell>
          <cell r="D1082">
            <v>570</v>
          </cell>
          <cell r="E1082">
            <v>400</v>
          </cell>
          <cell r="F1082" t="str">
            <v>10.246214 - 7</v>
          </cell>
          <cell r="G1082">
            <v>7260088</v>
          </cell>
          <cell r="H1082"/>
          <cell r="K1082"/>
        </row>
        <row r="1083">
          <cell r="B1083">
            <v>505</v>
          </cell>
          <cell r="C1083">
            <v>680</v>
          </cell>
          <cell r="D1083">
            <v>610</v>
          </cell>
          <cell r="E1083">
            <v>400</v>
          </cell>
          <cell r="F1083" t="str">
            <v>24.271247 - 1</v>
          </cell>
          <cell r="G1083"/>
          <cell r="H1083"/>
          <cell r="K1083"/>
        </row>
        <row r="1084">
          <cell r="B1084">
            <v>505</v>
          </cell>
          <cell r="C1084">
            <v>245</v>
          </cell>
          <cell r="D1084">
            <v>550</v>
          </cell>
          <cell r="E1084">
            <v>400</v>
          </cell>
          <cell r="F1084" t="str">
            <v>72.47183 - 1</v>
          </cell>
          <cell r="G1084"/>
          <cell r="H1084"/>
          <cell r="K1084"/>
        </row>
        <row r="1085">
          <cell r="B1085">
            <v>507.5</v>
          </cell>
          <cell r="C1085">
            <v>580</v>
          </cell>
          <cell r="D1085">
            <v>570</v>
          </cell>
          <cell r="E1085">
            <v>400</v>
          </cell>
          <cell r="F1085" t="str">
            <v>72.47252 - 1</v>
          </cell>
          <cell r="G1085"/>
          <cell r="H1085"/>
          <cell r="K1085"/>
        </row>
        <row r="1086">
          <cell r="B1086">
            <v>507.5</v>
          </cell>
          <cell r="C1086">
            <v>545</v>
          </cell>
          <cell r="D1086">
            <v>610</v>
          </cell>
          <cell r="E1086">
            <v>400</v>
          </cell>
          <cell r="F1086" t="str">
            <v>72.47252 - 1</v>
          </cell>
          <cell r="G1086"/>
          <cell r="H1086"/>
          <cell r="K1086"/>
        </row>
        <row r="1087">
          <cell r="B1087">
            <v>510</v>
          </cell>
          <cell r="C1087">
            <v>120</v>
          </cell>
          <cell r="D1087">
            <v>610</v>
          </cell>
          <cell r="E1087">
            <v>400</v>
          </cell>
          <cell r="F1087" t="str">
            <v>72.47347 - 2</v>
          </cell>
          <cell r="G1087"/>
          <cell r="H1087"/>
          <cell r="K1087"/>
        </row>
        <row r="1088">
          <cell r="B1088">
            <v>510</v>
          </cell>
          <cell r="C1088">
            <v>120</v>
          </cell>
          <cell r="D1088">
            <v>570</v>
          </cell>
          <cell r="E1088">
            <v>400</v>
          </cell>
          <cell r="F1088" t="str">
            <v>72.47347 - 2</v>
          </cell>
          <cell r="G1088"/>
          <cell r="H1088"/>
          <cell r="K1088"/>
        </row>
        <row r="1089">
          <cell r="B1089">
            <v>510</v>
          </cell>
          <cell r="C1089">
            <v>120</v>
          </cell>
          <cell r="D1089">
            <v>610</v>
          </cell>
          <cell r="E1089">
            <v>400</v>
          </cell>
          <cell r="F1089" t="str">
            <v>72.47347 - 2</v>
          </cell>
          <cell r="G1089"/>
          <cell r="H1089"/>
          <cell r="K1089"/>
        </row>
        <row r="1090">
          <cell r="B1090">
            <v>510</v>
          </cell>
          <cell r="C1090">
            <v>120</v>
          </cell>
          <cell r="D1090">
            <v>610</v>
          </cell>
          <cell r="E1090">
            <v>400</v>
          </cell>
          <cell r="F1090" t="str">
            <v>72.47347 - 2</v>
          </cell>
          <cell r="G1090"/>
          <cell r="H1090"/>
          <cell r="K1090"/>
        </row>
        <row r="1091">
          <cell r="B1091">
            <v>515</v>
          </cell>
          <cell r="C1091">
            <v>265</v>
          </cell>
          <cell r="D1091">
            <v>610</v>
          </cell>
          <cell r="E1091">
            <v>400</v>
          </cell>
          <cell r="F1091" t="str">
            <v>10.540085 - 1</v>
          </cell>
          <cell r="G1091">
            <v>7260089</v>
          </cell>
          <cell r="H1091"/>
          <cell r="K1091"/>
        </row>
        <row r="1092">
          <cell r="B1092">
            <v>517.5</v>
          </cell>
          <cell r="C1092">
            <v>510</v>
          </cell>
          <cell r="D1092">
            <v>610</v>
          </cell>
          <cell r="E1092">
            <v>400</v>
          </cell>
          <cell r="F1092" t="str">
            <v>72.47351 - 1</v>
          </cell>
          <cell r="G1092"/>
          <cell r="H1092"/>
          <cell r="K1092"/>
        </row>
        <row r="1093">
          <cell r="B1093">
            <v>520</v>
          </cell>
          <cell r="C1093">
            <v>230</v>
          </cell>
          <cell r="D1093">
            <v>570</v>
          </cell>
          <cell r="E1093">
            <v>400</v>
          </cell>
          <cell r="F1093" t="str">
            <v>72.48006 - 1</v>
          </cell>
          <cell r="H1093" t="str">
            <v>добавлен 11.06.2021</v>
          </cell>
          <cell r="K1093"/>
        </row>
        <row r="1094">
          <cell r="B1094">
            <v>520</v>
          </cell>
          <cell r="C1094">
            <v>615</v>
          </cell>
          <cell r="D1094">
            <v>570</v>
          </cell>
          <cell r="E1094">
            <v>400</v>
          </cell>
          <cell r="F1094" t="str">
            <v>10.254085 - 1</v>
          </cell>
          <cell r="G1094"/>
          <cell r="H1094"/>
          <cell r="K1094"/>
        </row>
        <row r="1095">
          <cell r="B1095">
            <v>520</v>
          </cell>
          <cell r="C1095">
            <v>510</v>
          </cell>
          <cell r="D1095">
            <v>570</v>
          </cell>
          <cell r="E1095">
            <v>400</v>
          </cell>
          <cell r="F1095" t="str">
            <v>72.47351 - 1</v>
          </cell>
          <cell r="G1095"/>
          <cell r="H1095"/>
          <cell r="K1095"/>
        </row>
        <row r="1096">
          <cell r="B1096">
            <v>522.5</v>
          </cell>
          <cell r="C1096">
            <v>510</v>
          </cell>
          <cell r="D1096">
            <v>610</v>
          </cell>
          <cell r="E1096">
            <v>400</v>
          </cell>
          <cell r="F1096" t="str">
            <v>72.47351 - 2</v>
          </cell>
          <cell r="G1096"/>
          <cell r="H1096"/>
          <cell r="K1096"/>
        </row>
        <row r="1097">
          <cell r="B1097">
            <v>522.5</v>
          </cell>
          <cell r="C1097">
            <v>277</v>
          </cell>
          <cell r="D1097">
            <v>570</v>
          </cell>
          <cell r="E1097">
            <v>400</v>
          </cell>
          <cell r="F1097" t="str">
            <v>72.48006 - 1</v>
          </cell>
          <cell r="G1097"/>
          <cell r="H1097"/>
          <cell r="K1097"/>
        </row>
        <row r="1098">
          <cell r="B1098">
            <v>525</v>
          </cell>
          <cell r="C1098">
            <v>165</v>
          </cell>
          <cell r="D1098">
            <v>610</v>
          </cell>
          <cell r="E1098">
            <v>400</v>
          </cell>
          <cell r="F1098" t="str">
            <v>72.47348 - 1</v>
          </cell>
          <cell r="G1098"/>
          <cell r="H1098"/>
          <cell r="K1098"/>
        </row>
        <row r="1099">
          <cell r="B1099">
            <v>525</v>
          </cell>
          <cell r="C1099">
            <v>615</v>
          </cell>
          <cell r="D1099">
            <v>570</v>
          </cell>
          <cell r="E1099">
            <v>400</v>
          </cell>
          <cell r="F1099" t="str">
            <v>10.254085 - 2</v>
          </cell>
          <cell r="G1099">
            <v>7260090</v>
          </cell>
          <cell r="H1099"/>
          <cell r="K1099"/>
        </row>
        <row r="1100">
          <cell r="B1100">
            <v>527.5</v>
          </cell>
          <cell r="C1100">
            <v>508</v>
          </cell>
          <cell r="D1100">
            <v>610</v>
          </cell>
          <cell r="E1100">
            <v>400</v>
          </cell>
          <cell r="F1100" t="str">
            <v>72.47351 - 4</v>
          </cell>
          <cell r="G1100">
            <v>7260091</v>
          </cell>
          <cell r="H1100"/>
          <cell r="K1100"/>
        </row>
        <row r="1101">
          <cell r="B1101">
            <v>527.5</v>
          </cell>
          <cell r="C1101">
            <v>677</v>
          </cell>
          <cell r="D1101">
            <v>570</v>
          </cell>
          <cell r="E1101">
            <v>400</v>
          </cell>
          <cell r="F1101" t="str">
            <v>24.271247 - 1</v>
          </cell>
          <cell r="G1101">
            <v>7260092</v>
          </cell>
          <cell r="H1101" t="str">
            <v>Толкатель утоплен в кокиль, рабочая длина - 677 мм</v>
          </cell>
          <cell r="K1101"/>
        </row>
        <row r="1102">
          <cell r="B1102">
            <v>530</v>
          </cell>
          <cell r="C1102">
            <v>375</v>
          </cell>
          <cell r="D1102">
            <v>610</v>
          </cell>
          <cell r="E1102">
            <v>400</v>
          </cell>
          <cell r="F1102" t="str">
            <v>72.47350 - 1</v>
          </cell>
          <cell r="G1102"/>
          <cell r="H1102"/>
          <cell r="K1102"/>
        </row>
        <row r="1103">
          <cell r="B1103">
            <v>530</v>
          </cell>
          <cell r="C1103">
            <v>374</v>
          </cell>
          <cell r="D1103">
            <v>610</v>
          </cell>
          <cell r="E1103">
            <v>400</v>
          </cell>
          <cell r="F1103" t="str">
            <v>72.47350 - 1</v>
          </cell>
          <cell r="G1103"/>
          <cell r="H1103"/>
          <cell r="K1103"/>
        </row>
        <row r="1104">
          <cell r="B1104">
            <v>532.5</v>
          </cell>
          <cell r="C1104">
            <v>550</v>
          </cell>
          <cell r="D1104">
            <v>610</v>
          </cell>
          <cell r="E1104">
            <v>400</v>
          </cell>
          <cell r="F1104" t="str">
            <v>10.242267 - 01</v>
          </cell>
          <cell r="G1104">
            <v>7260093</v>
          </cell>
          <cell r="H1104"/>
          <cell r="K1104"/>
        </row>
        <row r="1105">
          <cell r="B1105">
            <v>535</v>
          </cell>
          <cell r="C1105">
            <v>170</v>
          </cell>
          <cell r="D1105">
            <v>610</v>
          </cell>
          <cell r="E1105">
            <v>400</v>
          </cell>
          <cell r="F1105" t="str">
            <v>72.44922 - 1</v>
          </cell>
          <cell r="G1105"/>
          <cell r="H1105" t="str">
            <v>Не найден - Ковалев 02.11.2023</v>
          </cell>
          <cell r="K1105"/>
        </row>
        <row r="1106">
          <cell r="B1106">
            <v>537.5</v>
          </cell>
          <cell r="C1106">
            <v>260</v>
          </cell>
          <cell r="D1106">
            <v>610</v>
          </cell>
          <cell r="E1106">
            <v>400</v>
          </cell>
          <cell r="F1106" t="str">
            <v>72.48652 - 1</v>
          </cell>
          <cell r="G1106"/>
          <cell r="H1106"/>
          <cell r="K1106"/>
        </row>
        <row r="1107">
          <cell r="B1107">
            <v>545</v>
          </cell>
          <cell r="C1107">
            <v>403</v>
          </cell>
          <cell r="D1107">
            <v>640</v>
          </cell>
          <cell r="E1107">
            <v>400</v>
          </cell>
          <cell r="F1107" t="str">
            <v>10.242291 - 3</v>
          </cell>
          <cell r="G1107">
            <v>7260094</v>
          </cell>
          <cell r="H1107"/>
          <cell r="K1107"/>
        </row>
        <row r="1108">
          <cell r="B1108">
            <v>547.5</v>
          </cell>
          <cell r="C1108">
            <v>263</v>
          </cell>
          <cell r="D1108">
            <v>610</v>
          </cell>
          <cell r="E1108">
            <v>400</v>
          </cell>
          <cell r="F1108" t="str">
            <v>72.48652 - 1</v>
          </cell>
          <cell r="G1108">
            <v>7260095</v>
          </cell>
          <cell r="H1108"/>
          <cell r="K1108"/>
        </row>
        <row r="1109">
          <cell r="B1109">
            <v>555</v>
          </cell>
          <cell r="C1109">
            <v>135</v>
          </cell>
          <cell r="D1109">
            <v>640</v>
          </cell>
          <cell r="E1109">
            <v>400</v>
          </cell>
          <cell r="F1109" t="str">
            <v>72.47352 - 1</v>
          </cell>
          <cell r="G1109"/>
          <cell r="H1109"/>
          <cell r="K1109"/>
        </row>
        <row r="1110">
          <cell r="B1110">
            <v>555</v>
          </cell>
          <cell r="C1110">
            <v>132</v>
          </cell>
          <cell r="D1110">
            <v>640</v>
          </cell>
          <cell r="E1110">
            <v>400</v>
          </cell>
          <cell r="F1110" t="str">
            <v>72.47352 - 1</v>
          </cell>
          <cell r="G1110"/>
          <cell r="H1110"/>
          <cell r="K1110"/>
        </row>
        <row r="1111">
          <cell r="B1111">
            <v>555</v>
          </cell>
          <cell r="C1111">
            <v>645</v>
          </cell>
          <cell r="D1111">
            <v>640</v>
          </cell>
          <cell r="E1111">
            <v>400</v>
          </cell>
          <cell r="F1111" t="str">
            <v>72.47722 - 1</v>
          </cell>
          <cell r="G1111"/>
          <cell r="H1111" t="str">
            <v>ф зал.кр. = 150 (посадка 640)</v>
          </cell>
          <cell r="K1111"/>
        </row>
        <row r="1112">
          <cell r="B1112">
            <v>560</v>
          </cell>
          <cell r="C1112">
            <v>135</v>
          </cell>
          <cell r="D1112">
            <v>610</v>
          </cell>
          <cell r="E1112">
            <v>400</v>
          </cell>
          <cell r="F1112" t="str">
            <v>72.47352 - 1</v>
          </cell>
          <cell r="G1112"/>
          <cell r="K1112"/>
        </row>
        <row r="1113">
          <cell r="B1113">
            <v>565</v>
          </cell>
          <cell r="C1113">
            <v>350</v>
          </cell>
          <cell r="D1113">
            <v>640</v>
          </cell>
          <cell r="E1113">
            <v>400</v>
          </cell>
          <cell r="F1113" t="str">
            <v>72.47730 - 1</v>
          </cell>
          <cell r="G1113">
            <v>7260096</v>
          </cell>
          <cell r="H1113" t="str">
            <v>могут выставить толкатель на меньшую рабочую длину  - 04.02.2021</v>
          </cell>
          <cell r="K1113"/>
        </row>
        <row r="1114">
          <cell r="B1114">
            <v>565</v>
          </cell>
          <cell r="C1114">
            <v>588</v>
          </cell>
          <cell r="D1114">
            <v>640</v>
          </cell>
          <cell r="E1114">
            <v>400</v>
          </cell>
          <cell r="F1114" t="str">
            <v>72.47252 - 1</v>
          </cell>
          <cell r="G1114">
            <v>7260097</v>
          </cell>
          <cell r="H1114"/>
          <cell r="K1114"/>
        </row>
        <row r="1115">
          <cell r="B1115">
            <v>572.5</v>
          </cell>
          <cell r="C1115">
            <v>645</v>
          </cell>
          <cell r="D1115">
            <v>670</v>
          </cell>
          <cell r="E1115">
            <v>400</v>
          </cell>
          <cell r="F1115" t="str">
            <v>72.47722 - 1</v>
          </cell>
          <cell r="G1115">
            <v>7260098</v>
          </cell>
          <cell r="H1115"/>
          <cell r="K1115"/>
        </row>
        <row r="1116">
          <cell r="B1116">
            <v>575</v>
          </cell>
          <cell r="C1116">
            <v>280</v>
          </cell>
          <cell r="D1116">
            <v>640</v>
          </cell>
          <cell r="E1116">
            <v>400</v>
          </cell>
          <cell r="F1116" t="str">
            <v>72.47345 - 1</v>
          </cell>
          <cell r="G1116">
            <v>7260099</v>
          </cell>
          <cell r="H1116" t="str">
            <v>могут выставить толкатель на меньшую рабочую длину  - 04.02.2021</v>
          </cell>
          <cell r="K1116"/>
        </row>
        <row r="1117">
          <cell r="B1117">
            <v>575</v>
          </cell>
          <cell r="C1117">
            <v>483</v>
          </cell>
          <cell r="D1117">
            <v>640</v>
          </cell>
          <cell r="E1117">
            <v>400</v>
          </cell>
          <cell r="F1117" t="str">
            <v>10.245420 - 1</v>
          </cell>
          <cell r="G1117">
            <v>7260100</v>
          </cell>
          <cell r="H1117"/>
          <cell r="K1117"/>
        </row>
        <row r="1118">
          <cell r="B1118">
            <v>580</v>
          </cell>
          <cell r="C1118">
            <v>457</v>
          </cell>
          <cell r="D1118">
            <v>670</v>
          </cell>
          <cell r="E1118">
            <v>400</v>
          </cell>
          <cell r="F1118" t="str">
            <v>10.245420 - 1</v>
          </cell>
          <cell r="G1118"/>
          <cell r="H1118"/>
          <cell r="K1118"/>
        </row>
        <row r="1119">
          <cell r="B1119">
            <v>585</v>
          </cell>
          <cell r="C1119">
            <v>315</v>
          </cell>
          <cell r="D1119">
            <v>700</v>
          </cell>
          <cell r="E1119">
            <v>400</v>
          </cell>
          <cell r="F1119" t="str">
            <v>10.252631 - 3</v>
          </cell>
          <cell r="G1119">
            <v>7260101</v>
          </cell>
          <cell r="H1119" t="str">
            <v>могут выставить рабочую длину 100мм - 10.02.2021</v>
          </cell>
          <cell r="K1119"/>
        </row>
        <row r="1120">
          <cell r="B1120">
            <v>585</v>
          </cell>
          <cell r="C1120">
            <v>360</v>
          </cell>
          <cell r="D1120">
            <v>670</v>
          </cell>
          <cell r="E1120">
            <v>400</v>
          </cell>
          <cell r="F1120" t="str">
            <v>10.252638 - 1</v>
          </cell>
          <cell r="G1120"/>
          <cell r="H1120"/>
          <cell r="K1120"/>
        </row>
        <row r="1121">
          <cell r="B1121">
            <v>590</v>
          </cell>
          <cell r="C1121">
            <v>363</v>
          </cell>
          <cell r="D1121">
            <v>700</v>
          </cell>
          <cell r="E1121">
            <v>400</v>
          </cell>
          <cell r="F1121" t="str">
            <v>10.252638 - 1</v>
          </cell>
          <cell r="G1121"/>
          <cell r="H1121" t="str">
            <v>расточен с ф=585</v>
          </cell>
          <cell r="K1121"/>
        </row>
        <row r="1122">
          <cell r="B1122">
            <v>592.5</v>
          </cell>
          <cell r="C1122">
            <v>270</v>
          </cell>
          <cell r="D1122">
            <v>700</v>
          </cell>
          <cell r="E1122">
            <v>400</v>
          </cell>
          <cell r="F1122" t="str">
            <v>72.47345 - 2</v>
          </cell>
          <cell r="G1122">
            <v>7260102</v>
          </cell>
          <cell r="H1122"/>
          <cell r="K1122"/>
        </row>
        <row r="1123">
          <cell r="B1123">
            <v>595</v>
          </cell>
          <cell r="C1123">
            <v>300</v>
          </cell>
          <cell r="D1123">
            <v>670</v>
          </cell>
          <cell r="E1123">
            <v>400</v>
          </cell>
          <cell r="F1123" t="str">
            <v>10.254087 - 1</v>
          </cell>
          <cell r="G1123"/>
          <cell r="H1123"/>
          <cell r="K1123"/>
        </row>
        <row r="1124">
          <cell r="B1124">
            <v>597.5</v>
          </cell>
          <cell r="C1124">
            <v>592</v>
          </cell>
          <cell r="D1124">
            <v>700</v>
          </cell>
          <cell r="E1124">
            <v>400</v>
          </cell>
          <cell r="F1124" t="str">
            <v>10.240253 - 1</v>
          </cell>
          <cell r="G1124"/>
          <cell r="H1124"/>
          <cell r="K1124"/>
        </row>
        <row r="1125">
          <cell r="B1125">
            <v>600</v>
          </cell>
          <cell r="C1125">
            <v>260</v>
          </cell>
          <cell r="D1125">
            <v>670</v>
          </cell>
          <cell r="E1125">
            <v>400</v>
          </cell>
          <cell r="F1125" t="str">
            <v>72.46042 - 1</v>
          </cell>
          <cell r="G1125">
            <v>7260103</v>
          </cell>
          <cell r="H1125"/>
          <cell r="K1125"/>
        </row>
        <row r="1126">
          <cell r="B1126">
            <v>610</v>
          </cell>
          <cell r="C1126">
            <v>643</v>
          </cell>
          <cell r="D1126">
            <v>670</v>
          </cell>
          <cell r="E1126">
            <v>400</v>
          </cell>
          <cell r="F1126" t="str">
            <v>10.240253 - 1</v>
          </cell>
          <cell r="G1126"/>
          <cell r="H1126"/>
          <cell r="K1126"/>
        </row>
        <row r="1127">
          <cell r="B1127">
            <v>610</v>
          </cell>
          <cell r="C1127">
            <v>420</v>
          </cell>
          <cell r="D1127">
            <v>700</v>
          </cell>
          <cell r="E1127">
            <v>400</v>
          </cell>
          <cell r="F1127" t="str">
            <v>72.47354 - 1</v>
          </cell>
          <cell r="G1127"/>
          <cell r="H1127"/>
          <cell r="K1127"/>
        </row>
        <row r="1128">
          <cell r="B1128">
            <v>620</v>
          </cell>
          <cell r="C1128">
            <v>640</v>
          </cell>
          <cell r="D1128">
            <v>700</v>
          </cell>
          <cell r="E1128">
            <v>400</v>
          </cell>
          <cell r="F1128" t="str">
            <v>10.240253 - 1</v>
          </cell>
          <cell r="G1128">
            <v>7260104</v>
          </cell>
          <cell r="H1128"/>
          <cell r="K1128"/>
        </row>
        <row r="1129">
          <cell r="B1129">
            <v>622.5</v>
          </cell>
          <cell r="C1129">
            <v>200</v>
          </cell>
          <cell r="D1129">
            <v>700</v>
          </cell>
          <cell r="E1129">
            <v>400</v>
          </cell>
          <cell r="F1129" t="str">
            <v>10.246214 - 8</v>
          </cell>
          <cell r="G1129">
            <v>7260105</v>
          </cell>
          <cell r="H1129" t="str">
            <v>Толкатель утоплен в кокиль (рабочая длина-200 мм)</v>
          </cell>
          <cell r="I1129"/>
          <cell r="K1129"/>
        </row>
        <row r="1130">
          <cell r="B1130">
            <v>625</v>
          </cell>
          <cell r="C1130">
            <v>200</v>
          </cell>
          <cell r="D1130">
            <v>700</v>
          </cell>
          <cell r="E1130">
            <v>400</v>
          </cell>
          <cell r="F1130" t="str">
            <v>10.246214 - 9</v>
          </cell>
          <cell r="G1130">
            <v>7260105</v>
          </cell>
          <cell r="H1130"/>
          <cell r="K1130"/>
        </row>
        <row r="1131">
          <cell r="B1131">
            <v>627.5</v>
          </cell>
          <cell r="C1131">
            <v>200</v>
          </cell>
          <cell r="D1131">
            <v>670</v>
          </cell>
          <cell r="E1131">
            <v>400</v>
          </cell>
          <cell r="F1131" t="str">
            <v>72.480019 - б/н</v>
          </cell>
          <cell r="G1131">
            <v>7260105</v>
          </cell>
          <cell r="H1131" t="str">
    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    </cell>
        </row>
        <row r="1132">
          <cell r="B1132">
            <v>630</v>
          </cell>
          <cell r="C1132">
            <v>420</v>
          </cell>
          <cell r="D1132">
            <v>700</v>
          </cell>
          <cell r="E1132">
            <v>400</v>
          </cell>
          <cell r="F1132" t="str">
            <v>72.49192 - 1</v>
          </cell>
          <cell r="G1132"/>
          <cell r="H1132"/>
          <cell r="K1132"/>
        </row>
        <row r="1133">
          <cell r="B1133">
            <v>635</v>
          </cell>
          <cell r="C1133">
            <v>320</v>
          </cell>
          <cell r="D1133">
            <v>700</v>
          </cell>
          <cell r="E1133">
            <v>400</v>
          </cell>
          <cell r="F1133" t="str">
            <v>72.11867 - 11</v>
          </cell>
          <cell r="G1133"/>
          <cell r="H1133"/>
          <cell r="K1133"/>
        </row>
        <row r="1134">
          <cell r="B1134">
            <v>635</v>
          </cell>
          <cell r="C1134">
            <v>420</v>
          </cell>
          <cell r="D1134">
            <v>700</v>
          </cell>
          <cell r="E1134">
            <v>400</v>
          </cell>
          <cell r="F1134" t="str">
            <v>72.11867 - 11</v>
          </cell>
          <cell r="G1134"/>
          <cell r="H1134"/>
          <cell r="K1134"/>
        </row>
        <row r="1135">
          <cell r="B1135">
            <v>637.5</v>
          </cell>
          <cell r="C1135">
            <v>470</v>
          </cell>
          <cell r="D1135">
            <v>700</v>
          </cell>
          <cell r="E1135">
            <v>400</v>
          </cell>
          <cell r="F1135" t="str">
            <v>72.11867 - 11</v>
          </cell>
          <cell r="G1135">
            <v>7260106</v>
          </cell>
          <cell r="H1135"/>
          <cell r="K1135"/>
        </row>
        <row r="1136">
          <cell r="B1136">
            <v>642.5</v>
          </cell>
          <cell r="C1136">
            <v>575</v>
          </cell>
          <cell r="D1136">
            <v>700</v>
          </cell>
          <cell r="E1136">
            <v>400</v>
          </cell>
          <cell r="F1136" t="str">
            <v>72.11867 - 11</v>
          </cell>
          <cell r="G1136">
            <v>7260107</v>
          </cell>
          <cell r="H1136" t="str">
            <v>665 - Размер возле заливочной крышки</v>
          </cell>
          <cell r="K1136"/>
        </row>
        <row r="1137">
          <cell r="B1137">
            <v>650</v>
          </cell>
          <cell r="C1137">
            <v>155</v>
          </cell>
          <cell r="D1137">
            <v>700</v>
          </cell>
          <cell r="E1137">
            <v>400</v>
          </cell>
          <cell r="F1137" t="str">
            <v>72.11867 - 11</v>
          </cell>
          <cell r="G1137" t="str">
            <v>Без толкателя</v>
          </cell>
          <cell r="H1137"/>
          <cell r="K1137"/>
        </row>
        <row r="1138">
          <cell r="B1138">
            <v>650</v>
          </cell>
          <cell r="C1138">
            <v>153</v>
          </cell>
          <cell r="D1138">
            <v>700</v>
          </cell>
          <cell r="E1138">
            <v>400</v>
          </cell>
          <cell r="F1138" t="str">
            <v>72.11867 - 11</v>
          </cell>
          <cell r="G1138"/>
          <cell r="H1138" t="str">
            <v>Заливочная крышка пос.700 - заливочное отв.-100мм</v>
          </cell>
          <cell r="K1138"/>
        </row>
        <row r="1139">
          <cell r="B1139">
            <v>650</v>
          </cell>
          <cell r="C1139">
            <v>155</v>
          </cell>
          <cell r="D1139">
            <v>700</v>
          </cell>
          <cell r="E1139">
            <v>400</v>
          </cell>
          <cell r="F1139" t="str">
            <v>72.11867 - 11</v>
          </cell>
          <cell r="G1139"/>
          <cell r="H1139"/>
          <cell r="K1139"/>
        </row>
        <row r="1140">
          <cell r="B1140">
            <v>650</v>
          </cell>
          <cell r="C1140">
            <v>150</v>
          </cell>
          <cell r="D1140">
            <v>700</v>
          </cell>
          <cell r="E1140">
            <v>400</v>
          </cell>
          <cell r="F1140" t="str">
            <v>72.11867 - 11</v>
          </cell>
          <cell r="G1140"/>
          <cell r="H1140"/>
          <cell r="K1140"/>
        </row>
        <row r="1141">
          <cell r="B1141">
            <v>652.5</v>
          </cell>
          <cell r="C1141">
            <v>154</v>
          </cell>
          <cell r="D1141">
            <v>700</v>
          </cell>
          <cell r="E1141">
            <v>400</v>
          </cell>
          <cell r="F1141" t="str">
            <v>72.11867 - 11</v>
          </cell>
          <cell r="G1141"/>
          <cell r="H1141"/>
          <cell r="K1141"/>
        </row>
        <row r="1142">
          <cell r="B1142">
            <v>652.5</v>
          </cell>
          <cell r="C1142">
            <v>150</v>
          </cell>
          <cell r="D1142">
            <v>700</v>
          </cell>
          <cell r="E1142">
            <v>400</v>
          </cell>
          <cell r="F1142" t="str">
            <v>72.11867 - 11</v>
          </cell>
          <cell r="G1142"/>
          <cell r="H1142"/>
          <cell r="K1142"/>
        </row>
        <row r="1143">
          <cell r="B1143">
            <v>655</v>
          </cell>
          <cell r="C1143">
            <v>175</v>
          </cell>
          <cell r="D1143">
            <v>700</v>
          </cell>
          <cell r="E1143">
            <v>400</v>
          </cell>
          <cell r="F1143" t="str">
            <v>72.11867 - 12</v>
          </cell>
          <cell r="G1143" t="str">
            <v>Без толкателя</v>
          </cell>
          <cell r="H1143"/>
          <cell r="K1143"/>
        </row>
        <row r="1144">
          <cell r="B1144">
            <v>655</v>
          </cell>
          <cell r="C1144">
            <v>175</v>
          </cell>
          <cell r="D1144">
            <v>700</v>
          </cell>
          <cell r="E1144">
            <v>400</v>
          </cell>
          <cell r="F1144" t="str">
            <v>72.11867 - 12</v>
          </cell>
          <cell r="G1144"/>
          <cell r="H1144"/>
          <cell r="K1144"/>
        </row>
        <row r="1145">
          <cell r="B1145">
            <v>655</v>
          </cell>
          <cell r="C1145">
            <v>153</v>
          </cell>
          <cell r="D1145">
            <v>700</v>
          </cell>
          <cell r="E1145">
            <v>400</v>
          </cell>
          <cell r="F1145" t="str">
            <v>72.11867 - 12</v>
          </cell>
          <cell r="G1145"/>
          <cell r="H1145"/>
          <cell r="K1145"/>
        </row>
        <row r="1146">
          <cell r="B1146">
            <v>655</v>
          </cell>
          <cell r="C1146">
            <v>155</v>
          </cell>
          <cell r="D1146">
            <v>700</v>
          </cell>
          <cell r="E1146">
            <v>400</v>
          </cell>
          <cell r="F1146" t="str">
            <v>72.11867 - 13</v>
          </cell>
          <cell r="G1146"/>
          <cell r="H1146"/>
          <cell r="K1146"/>
        </row>
        <row r="1147">
          <cell r="B1147">
            <v>655</v>
          </cell>
          <cell r="C1147">
            <v>155</v>
          </cell>
          <cell r="D1147">
            <v>700</v>
          </cell>
          <cell r="E1147">
            <v>400</v>
          </cell>
          <cell r="F1147" t="str">
            <v>72.11867 - 13</v>
          </cell>
          <cell r="G1147"/>
          <cell r="H1147"/>
          <cell r="K1147"/>
        </row>
        <row r="1148">
          <cell r="B1148">
            <v>657.5</v>
          </cell>
          <cell r="C1148">
            <v>150</v>
          </cell>
          <cell r="D1148">
            <v>700</v>
          </cell>
          <cell r="E1148">
            <v>400</v>
          </cell>
          <cell r="F1148" t="str">
            <v>72.11867 - 13</v>
          </cell>
          <cell r="G1148" t="str">
            <v>Без толкателя</v>
          </cell>
          <cell r="H1148">
            <v>27.487499999999955</v>
          </cell>
          <cell r="K1148"/>
        </row>
        <row r="1149">
          <cell r="B1149">
            <v>660</v>
          </cell>
          <cell r="C1149">
            <v>150</v>
          </cell>
          <cell r="D1149">
            <v>700</v>
          </cell>
          <cell r="E1149">
            <v>400</v>
          </cell>
          <cell r="F1149" t="str">
            <v>72.11867 - 13</v>
          </cell>
          <cell r="G1149" t="str">
            <v>Без толкателя</v>
          </cell>
          <cell r="H1149"/>
          <cell r="K1149"/>
        </row>
        <row r="1150">
          <cell r="B1150">
            <v>660</v>
          </cell>
          <cell r="C1150">
            <v>150</v>
          </cell>
          <cell r="D1150">
            <v>700</v>
          </cell>
          <cell r="E1150">
            <v>400</v>
          </cell>
          <cell r="F1150" t="str">
            <v>72.11867 - 13</v>
          </cell>
          <cell r="G1150"/>
          <cell r="H1150"/>
          <cell r="K1150"/>
        </row>
        <row r="1151">
          <cell r="B1151">
            <v>665</v>
          </cell>
          <cell r="C1151">
            <v>175</v>
          </cell>
          <cell r="D1151"/>
          <cell r="E1151"/>
          <cell r="F1151"/>
          <cell r="G1151" t="str">
            <v>Вышел из строя 01.2024 (Металлолом)</v>
          </cell>
          <cell r="H1151"/>
          <cell r="K1151"/>
        </row>
        <row r="1152">
          <cell r="B1152">
            <v>667.5</v>
          </cell>
          <cell r="C1152">
            <v>173</v>
          </cell>
          <cell r="D1152">
            <v>700</v>
          </cell>
          <cell r="E1152">
            <v>400</v>
          </cell>
          <cell r="F1152" t="str">
            <v>72.11867 - 14</v>
          </cell>
          <cell r="G1152" t="str">
            <v>Без толкателя</v>
          </cell>
          <cell r="H1152"/>
          <cell r="K1152"/>
        </row>
        <row r="1153">
          <cell r="B1153">
            <v>700</v>
          </cell>
          <cell r="C1153">
            <v>260</v>
          </cell>
          <cell r="D1153">
            <v>743</v>
          </cell>
          <cell r="E1153">
            <v>400</v>
          </cell>
          <cell r="F1153" t="str">
            <v>5694.392.0005СБ</v>
          </cell>
          <cell r="G1153" t="str">
            <v>Толкатель утоплен (ф560*40)</v>
          </cell>
          <cell r="H1153" t="str">
            <v>Крышка черт.5694.392.0007, ф крышки 250 мм, ф посадки 745 мм</v>
          </cell>
          <cell r="I1153"/>
          <cell r="K1153"/>
        </row>
      </sheetData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ЦБ кокили"/>
      <sheetName val="ЦБ Кокили с буртом"/>
      <sheetName val="Изложницы"/>
      <sheetName val="Прибыльные надставки"/>
    </sheetNames>
    <sheetDataSet>
      <sheetData sheetId="0"/>
      <sheetData sheetId="1"/>
      <sheetData sheetId="2">
        <row r="2">
          <cell r="A2">
            <v>800</v>
          </cell>
          <cell r="B2">
            <v>825</v>
          </cell>
          <cell r="C2">
            <v>550</v>
          </cell>
          <cell r="D2">
            <v>920</v>
          </cell>
        </row>
        <row r="3">
          <cell r="A3">
            <v>650</v>
          </cell>
          <cell r="B3">
            <v>670</v>
          </cell>
          <cell r="C3">
            <v>860</v>
          </cell>
          <cell r="D3">
            <v>775</v>
          </cell>
        </row>
        <row r="4">
          <cell r="A4">
            <v>510</v>
          </cell>
          <cell r="B4">
            <v>530</v>
          </cell>
          <cell r="C4">
            <v>330</v>
          </cell>
          <cell r="D4">
            <v>566</v>
          </cell>
          <cell r="E4" t="str">
            <v>Н.Н.-29.11.2021</v>
          </cell>
        </row>
        <row r="5">
          <cell r="A5">
            <v>480</v>
          </cell>
          <cell r="B5">
            <v>510</v>
          </cell>
          <cell r="C5">
            <v>1100</v>
          </cell>
          <cell r="D5">
            <v>566</v>
          </cell>
          <cell r="E5" t="str">
            <v>есть нарощалки на низ кокиля Ø470х120, на верх кокиля Ø440х360 ВолгаСтальПроект</v>
          </cell>
          <cell r="F5">
            <v>650</v>
          </cell>
          <cell r="G5">
            <v>1750</v>
          </cell>
          <cell r="H5" t="str">
            <v>102.56.452</v>
          </cell>
        </row>
        <row r="6">
          <cell r="A6">
            <v>430</v>
          </cell>
          <cell r="B6">
            <v>450</v>
          </cell>
          <cell r="C6">
            <v>1250</v>
          </cell>
          <cell r="D6">
            <v>566</v>
          </cell>
          <cell r="E6" t="str">
            <v xml:space="preserve">есть нарощалки на верх Ø480х330, Ø515х85*, Ø500х62*, Ø600х150*   *- изготовлены под совместное применение (РЧЗ 34.2020.09.04,-1,-2), з-з ОНСС  </v>
          </cell>
          <cell r="F6">
            <v>650</v>
          </cell>
          <cell r="G6">
            <v>1750</v>
          </cell>
          <cell r="H6" t="str">
            <v>102.56.452</v>
          </cell>
          <cell r="I6" t="str">
            <v>расточили с 427/445 в июне 2020</v>
          </cell>
        </row>
        <row r="7">
          <cell r="A7">
            <v>370</v>
          </cell>
          <cell r="B7">
            <v>400</v>
          </cell>
          <cell r="C7">
            <v>800</v>
          </cell>
          <cell r="D7">
            <v>470</v>
          </cell>
          <cell r="F7">
            <v>610</v>
          </cell>
          <cell r="G7">
            <v>1300</v>
          </cell>
          <cell r="H7" t="str">
            <v>242.71.638</v>
          </cell>
        </row>
        <row r="8">
          <cell r="A8">
            <v>350</v>
          </cell>
          <cell r="B8">
            <v>356</v>
          </cell>
          <cell r="C8">
            <v>560</v>
          </cell>
          <cell r="D8">
            <v>400</v>
          </cell>
          <cell r="E8" t="str">
            <v>Из цб кокиля Приварили, разрезали июль 2021</v>
          </cell>
        </row>
        <row r="9">
          <cell r="A9">
            <v>330</v>
          </cell>
          <cell r="B9">
            <v>370</v>
          </cell>
          <cell r="C9">
            <v>850</v>
          </cell>
          <cell r="D9">
            <v>470</v>
          </cell>
          <cell r="F9">
            <v>610</v>
          </cell>
          <cell r="G9">
            <v>1300</v>
          </cell>
          <cell r="H9" t="str">
            <v>242.71.638</v>
          </cell>
        </row>
        <row r="10">
          <cell r="A10">
            <v>325</v>
          </cell>
          <cell r="B10">
            <v>370</v>
          </cell>
          <cell r="C10">
            <v>1000</v>
          </cell>
          <cell r="D10">
            <v>470</v>
          </cell>
          <cell r="F10">
            <v>610</v>
          </cell>
          <cell r="G10">
            <v>1400</v>
          </cell>
          <cell r="H10" t="str">
            <v>242.71.638-1</v>
          </cell>
        </row>
        <row r="11">
          <cell r="A11">
            <v>310</v>
          </cell>
          <cell r="B11">
            <v>330</v>
          </cell>
          <cell r="C11">
            <v>800</v>
          </cell>
          <cell r="D11">
            <v>400</v>
          </cell>
          <cell r="E11" t="str">
            <v>Внутри раковины, не используется</v>
          </cell>
        </row>
        <row r="12">
          <cell r="A12">
            <v>330</v>
          </cell>
          <cell r="B12">
            <v>330</v>
          </cell>
          <cell r="C12">
            <v>240</v>
          </cell>
        </row>
        <row r="13">
          <cell r="A13">
            <v>275</v>
          </cell>
          <cell r="B13">
            <v>290</v>
          </cell>
          <cell r="C13">
            <v>800</v>
          </cell>
          <cell r="D13">
            <v>315</v>
          </cell>
          <cell r="E13" t="str">
            <v>Большая трещина</v>
          </cell>
        </row>
        <row r="14">
          <cell r="A14">
            <v>250</v>
          </cell>
          <cell r="B14">
            <v>270</v>
          </cell>
          <cell r="C14">
            <v>800</v>
          </cell>
          <cell r="D14">
            <v>400</v>
          </cell>
          <cell r="F14">
            <v>450</v>
          </cell>
          <cell r="G14">
            <v>600</v>
          </cell>
          <cell r="H14" t="str">
            <v>242.71.635</v>
          </cell>
        </row>
        <row r="15">
          <cell r="A15">
            <v>250</v>
          </cell>
          <cell r="B15">
            <v>270</v>
          </cell>
          <cell r="C15">
            <v>800</v>
          </cell>
          <cell r="D15">
            <v>400</v>
          </cell>
          <cell r="E15" t="str">
            <v>есть нарощалка Ø340х250</v>
          </cell>
          <cell r="F15">
            <v>450</v>
          </cell>
          <cell r="G15">
            <v>600</v>
          </cell>
          <cell r="H15" t="str">
            <v>242.71.635</v>
          </cell>
        </row>
        <row r="16">
          <cell r="A16">
            <v>240</v>
          </cell>
          <cell r="B16">
            <v>250</v>
          </cell>
          <cell r="C16">
            <v>800</v>
          </cell>
          <cell r="D16">
            <v>315</v>
          </cell>
          <cell r="E16" t="str">
            <v>переточен с 220/230  Большая трещина</v>
          </cell>
          <cell r="G16" t="str">
            <v>Костерин С.П. 22.03.2021</v>
          </cell>
          <cell r="I16" t="str">
            <v>Ковалев</v>
          </cell>
        </row>
        <row r="17">
          <cell r="A17">
            <v>220</v>
          </cell>
          <cell r="B17">
            <v>235</v>
          </cell>
          <cell r="C17">
            <v>420</v>
          </cell>
          <cell r="D17">
            <v>305</v>
          </cell>
        </row>
        <row r="18">
          <cell r="A18">
            <v>200</v>
          </cell>
          <cell r="B18">
            <v>213</v>
          </cell>
          <cell r="C18">
            <v>400</v>
          </cell>
          <cell r="D18">
            <v>310</v>
          </cell>
        </row>
        <row r="19">
          <cell r="A19">
            <v>200</v>
          </cell>
          <cell r="B19">
            <v>226</v>
          </cell>
          <cell r="C19">
            <v>780</v>
          </cell>
          <cell r="D19">
            <v>315</v>
          </cell>
          <cell r="E19" t="str">
            <v>есть нарощалки Ø260х410, Ø220/230х465 (5694.392.0105)</v>
          </cell>
          <cell r="F19">
            <v>350</v>
          </cell>
          <cell r="G19">
            <v>245</v>
          </cell>
          <cell r="H19" t="str">
            <v>102.46.285-3</v>
          </cell>
        </row>
        <row r="20">
          <cell r="A20">
            <v>195</v>
          </cell>
          <cell r="B20">
            <v>213</v>
          </cell>
          <cell r="C20">
            <v>785</v>
          </cell>
          <cell r="D20">
            <v>310</v>
          </cell>
          <cell r="F20">
            <v>450</v>
          </cell>
          <cell r="G20">
            <v>680</v>
          </cell>
          <cell r="H20" t="str">
            <v>242.71.012</v>
          </cell>
          <cell r="I20" t="str">
            <v>Ковалев</v>
          </cell>
        </row>
        <row r="21">
          <cell r="A21">
            <v>170</v>
          </cell>
          <cell r="B21">
            <v>177</v>
          </cell>
          <cell r="C21">
            <v>400</v>
          </cell>
          <cell r="H21" t="str">
            <v>102.46.285-1</v>
          </cell>
        </row>
        <row r="22">
          <cell r="A22">
            <v>160</v>
          </cell>
          <cell r="B22">
            <v>167</v>
          </cell>
          <cell r="C22">
            <v>400</v>
          </cell>
          <cell r="D22">
            <v>315</v>
          </cell>
          <cell r="F22">
            <v>300</v>
          </cell>
          <cell r="G22">
            <v>196</v>
          </cell>
          <cell r="H22" t="str">
            <v>102.46.286-3</v>
          </cell>
        </row>
        <row r="23">
          <cell r="A23">
            <v>140</v>
          </cell>
          <cell r="B23">
            <v>170</v>
          </cell>
          <cell r="C23">
            <v>380</v>
          </cell>
          <cell r="D23">
            <v>310</v>
          </cell>
        </row>
        <row r="24">
          <cell r="A24">
            <v>140</v>
          </cell>
          <cell r="B24">
            <v>170</v>
          </cell>
          <cell r="C24">
            <v>675</v>
          </cell>
          <cell r="D24">
            <v>310</v>
          </cell>
          <cell r="F24">
            <v>320</v>
          </cell>
          <cell r="G24">
            <v>360</v>
          </cell>
          <cell r="H24" t="str">
            <v>34.01.2018.140.700</v>
          </cell>
        </row>
        <row r="25">
          <cell r="A25">
            <v>140</v>
          </cell>
          <cell r="B25">
            <v>150</v>
          </cell>
          <cell r="C25">
            <v>380</v>
          </cell>
          <cell r="D25">
            <v>315</v>
          </cell>
          <cell r="F25">
            <v>300</v>
          </cell>
          <cell r="G25">
            <v>230</v>
          </cell>
          <cell r="H25" t="str">
            <v>102.46.286-1</v>
          </cell>
        </row>
        <row r="26">
          <cell r="A26">
            <v>135</v>
          </cell>
          <cell r="B26">
            <v>145</v>
          </cell>
          <cell r="C26">
            <v>330</v>
          </cell>
          <cell r="D26">
            <v>295</v>
          </cell>
          <cell r="F26">
            <v>295</v>
          </cell>
        </row>
        <row r="27">
          <cell r="A27">
            <v>130</v>
          </cell>
          <cell r="B27">
            <v>160</v>
          </cell>
          <cell r="C27">
            <v>400</v>
          </cell>
        </row>
        <row r="28">
          <cell r="A28">
            <v>125</v>
          </cell>
          <cell r="B28">
            <v>125</v>
          </cell>
          <cell r="C28">
            <v>400</v>
          </cell>
          <cell r="E28" t="str">
            <v>нет кокиля</v>
          </cell>
          <cell r="F28">
            <v>270</v>
          </cell>
          <cell r="G28">
            <v>85</v>
          </cell>
          <cell r="H28" t="str">
            <v>72.11.802</v>
          </cell>
        </row>
        <row r="29">
          <cell r="A29">
            <v>120</v>
          </cell>
          <cell r="B29">
            <v>120</v>
          </cell>
          <cell r="C29">
            <v>300</v>
          </cell>
          <cell r="E29" t="str">
            <v>Кол-во кокилей -3шт  Кокиль разъемный, прибыль: Ø200/210, h-40</v>
          </cell>
          <cell r="F29">
            <v>270</v>
          </cell>
          <cell r="G29">
            <v>91</v>
          </cell>
          <cell r="H29" t="str">
            <v>72.11.802</v>
          </cell>
        </row>
        <row r="30">
          <cell r="A30">
            <v>110</v>
          </cell>
          <cell r="B30">
            <v>115</v>
          </cell>
          <cell r="C30">
            <v>400</v>
          </cell>
          <cell r="E30" t="str">
            <v>Требуется замена, крупная сетка разгара</v>
          </cell>
          <cell r="F30">
            <v>270</v>
          </cell>
          <cell r="G30">
            <v>95</v>
          </cell>
          <cell r="H30" t="str">
            <v>72.11.802</v>
          </cell>
        </row>
        <row r="31">
          <cell r="A31">
            <v>105</v>
          </cell>
          <cell r="B31">
            <v>115</v>
          </cell>
          <cell r="C31">
            <v>440</v>
          </cell>
          <cell r="E31" t="str">
            <v>Кокиль вытряхной</v>
          </cell>
        </row>
        <row r="32">
          <cell r="A32">
            <v>105</v>
          </cell>
          <cell r="B32">
            <v>105</v>
          </cell>
          <cell r="C32">
            <v>400</v>
          </cell>
          <cell r="F32">
            <v>250</v>
          </cell>
          <cell r="G32">
            <v>63</v>
          </cell>
          <cell r="H32" t="str">
            <v>72.11.802</v>
          </cell>
        </row>
        <row r="33">
          <cell r="A33">
            <v>100</v>
          </cell>
          <cell r="B33">
            <v>100</v>
          </cell>
          <cell r="C33">
            <v>400</v>
          </cell>
          <cell r="E33" t="str">
            <v>Требуется замена, крупная сетка разгара</v>
          </cell>
          <cell r="F33">
            <v>250</v>
          </cell>
          <cell r="G33">
            <v>65</v>
          </cell>
          <cell r="H33" t="str">
            <v>72.11.802</v>
          </cell>
        </row>
        <row r="34">
          <cell r="A34">
            <v>95</v>
          </cell>
          <cell r="B34">
            <v>95</v>
          </cell>
          <cell r="C34">
            <v>400</v>
          </cell>
          <cell r="F34">
            <v>250</v>
          </cell>
          <cell r="G34">
            <v>67</v>
          </cell>
          <cell r="H34" t="str">
            <v>72.11.802</v>
          </cell>
        </row>
        <row r="35">
          <cell r="A35">
            <v>90</v>
          </cell>
          <cell r="B35">
            <v>90</v>
          </cell>
          <cell r="C35">
            <v>400</v>
          </cell>
          <cell r="F35">
            <v>250</v>
          </cell>
          <cell r="G35">
            <v>65</v>
          </cell>
          <cell r="H35" t="str">
            <v>72.11.802</v>
          </cell>
        </row>
        <row r="36">
          <cell r="A36">
            <v>85</v>
          </cell>
          <cell r="B36">
            <v>85</v>
          </cell>
          <cell r="C36">
            <v>400</v>
          </cell>
          <cell r="F36">
            <v>250</v>
          </cell>
          <cell r="G36">
            <v>70</v>
          </cell>
          <cell r="H36" t="str">
            <v>72.11.802</v>
          </cell>
          <cell r="I36" t="str">
            <v>4шт.</v>
          </cell>
        </row>
        <row r="37">
          <cell r="A37">
            <v>80</v>
          </cell>
          <cell r="B37">
            <v>80</v>
          </cell>
          <cell r="C37">
            <v>400</v>
          </cell>
          <cell r="F37">
            <v>220</v>
          </cell>
          <cell r="G37">
            <v>41</v>
          </cell>
          <cell r="H37" t="str">
            <v>72.11.802</v>
          </cell>
        </row>
        <row r="38">
          <cell r="A38">
            <v>78</v>
          </cell>
          <cell r="B38">
            <v>97</v>
          </cell>
          <cell r="C38">
            <v>440</v>
          </cell>
          <cell r="E38" t="str">
            <v>Кокиль вытряхной</v>
          </cell>
          <cell r="F38">
            <v>170</v>
          </cell>
          <cell r="G38" t="str">
            <v>Возможно использовать как нарощалку</v>
          </cell>
        </row>
        <row r="39">
          <cell r="A39">
            <v>70</v>
          </cell>
          <cell r="B39">
            <v>70</v>
          </cell>
          <cell r="C39">
            <v>400</v>
          </cell>
          <cell r="F39">
            <v>220</v>
          </cell>
          <cell r="G39">
            <v>45</v>
          </cell>
          <cell r="H39" t="str">
            <v>72.11.803</v>
          </cell>
          <cell r="I39" t="str">
            <v>1шт.</v>
          </cell>
        </row>
        <row r="40">
          <cell r="A40" t="str">
            <v>кв.70х70</v>
          </cell>
          <cell r="C40">
            <v>400</v>
          </cell>
        </row>
        <row r="41">
          <cell r="A41">
            <v>50</v>
          </cell>
          <cell r="B41">
            <v>50</v>
          </cell>
          <cell r="C41">
            <v>400</v>
          </cell>
          <cell r="G41">
            <v>62</v>
          </cell>
          <cell r="H41" t="str">
            <v>7230.788</v>
          </cell>
        </row>
        <row r="42">
          <cell r="A42">
            <v>35</v>
          </cell>
          <cell r="C42">
            <v>400</v>
          </cell>
          <cell r="G42">
            <v>62</v>
          </cell>
          <cell r="H42" t="str">
            <v>7230.755</v>
          </cell>
        </row>
        <row r="43">
          <cell r="A43">
            <v>45</v>
          </cell>
          <cell r="C43">
            <v>400</v>
          </cell>
          <cell r="G43">
            <v>62</v>
          </cell>
          <cell r="H43" t="str">
            <v>7230.755</v>
          </cell>
        </row>
        <row r="44">
          <cell r="A44">
            <v>50</v>
          </cell>
          <cell r="C44">
            <v>400</v>
          </cell>
          <cell r="G44">
            <v>62</v>
          </cell>
          <cell r="H44" t="str">
            <v>7230.755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3" Type="http://schemas.openxmlformats.org/officeDocument/2006/relationships/printerSettings" Target="../printerSettings/printerSettings1.bin"/><Relationship Id="rId7" Type="http://schemas.openxmlformats.org/officeDocument/2006/relationships/ctrlProp" Target="../ctrlProps/ctrlProp2.xml"/><Relationship Id="rId2" Type="http://schemas.openxmlformats.org/officeDocument/2006/relationships/hyperlink" Target="file:///\\ad\&#1086;&#1073;&#1084;&#1077;&#1085;\Scanned%20Documents\&#1051;&#1080;&#1090;&#1077;&#1081;&#1085;&#1099;&#1077;%20&#1082;&#1072;&#1088;&#1090;&#1099;\1275.03.308.jpg" TargetMode="External"/><Relationship Id="rId1" Type="http://schemas.openxmlformats.org/officeDocument/2006/relationships/hyperlink" Target="file:///\\ad\&#1086;&#1073;&#1084;&#1077;&#1085;\Scanned%20Documents\&#1063;&#1077;&#1088;&#1090;&#1077;&#1078;&#1080;\1275.03.308.jpg" TargetMode="External"/><Relationship Id="rId6" Type="http://schemas.openxmlformats.org/officeDocument/2006/relationships/ctrlProp" Target="../ctrlProps/ctrlProp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Relationship Id="rId5" Type="http://schemas.openxmlformats.org/officeDocument/2006/relationships/ctrlProp" Target="../ctrlProps/ctrlProp5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ad\&#1090;&#1077;&#1093;&#1085;&#1086;&#1083;&#1086;&#1075;&#1080;\&#1047;&#1072;&#1082;&#1072;&#1079;&#1099;\&#1055;&#1077;&#1088;&#1077;&#1095;&#1077;&#1085;&#1100;%20&#1089;&#1090;&#1072;&#1094;&#1080;&#1086;&#1085;&#1072;&#1088;&#1085;&#1099;&#1093;%20&#1082;&#1086;&#1082;&#1080;&#1083;&#1077;&#1081;%20&#1087;&#1086;&#1076;%20&#1087;&#1083;&#1072;&#1085;&#1082;&#1080;.xlsx" TargetMode="External"/><Relationship Id="rId5" Type="http://schemas.openxmlformats.org/officeDocument/2006/relationships/ctrlProp" Target="../ctrlProps/ctrlProp9.xml"/><Relationship Id="rId4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file:///\\ad\&#1086;&#1073;&#1084;&#1077;&#1085;\&#1050;&#1086;&#1090;&#1086;&#1074;%20&#1044;.&#1040;\&#1058;&#1077;&#1093;&#1085;&#1086;&#1083;&#1086;&#1075;&#1080;&#1103;%20&#1088;&#1086;&#1083;&#1080;&#1082;&#1086;&#1074;&#1099;&#1077;%20&#1084;&#1072;&#1096;&#1080;&#1085;&#1099;\&#1041;&#1086;&#1083;&#1100;&#1096;&#1072;&#1103;%20&#1088;&#1086;&#1083;&#1080;&#1082;&#1086;&#1074;&#1072;&#1103;" TargetMode="External"/><Relationship Id="rId1" Type="http://schemas.openxmlformats.org/officeDocument/2006/relationships/hyperlink" Target="file:///\\ad\&#1090;&#1077;&#1093;&#1085;&#1086;&#1083;&#1086;&#1075;&#1080;\&#1054;&#1089;&#1085;&#1072;&#1089;&#1090;&#1082;&#1072;_&#1076;&#1083;&#1103;_&#1073;&#1086;&#1083;&#1100;&#1096;&#1086;&#1081;%20&#1088;&#1086;&#1083;&#1080;&#1082;&#1086;&#1074;&#1086;&#1081;_&#1084;&#1072;&#1096;&#1080;&#1085;&#1099;.xlsx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file:///\\ad\&#1086;&#1073;&#1084;&#1077;&#1085;\Scanned%20Documents\&#1051;&#1080;&#1090;&#1077;&#1081;&#1085;&#1099;&#1077;%20&#1082;&#1072;&#1088;&#1090;&#1099;\1277.04.307.jpg" TargetMode="External"/><Relationship Id="rId13" Type="http://schemas.openxmlformats.org/officeDocument/2006/relationships/drawing" Target="../drawings/drawing7.xml"/><Relationship Id="rId3" Type="http://schemas.openxmlformats.org/officeDocument/2006/relationships/hyperlink" Target="file:///\\ad\&#1086;&#1073;&#1084;&#1077;&#1085;\Scanned%20Documents\&#1063;&#1077;&#1088;&#1090;&#1077;&#1078;&#1080;\1277.04.608.jpeg" TargetMode="External"/><Relationship Id="rId7" Type="http://schemas.openxmlformats.org/officeDocument/2006/relationships/hyperlink" Target="file:///\\ad\&#1086;&#1073;&#1084;&#1077;&#1085;\Scanned%20Documents\&#1051;&#1080;&#1090;&#1077;&#1081;&#1085;&#1099;&#1077;%20&#1082;&#1072;&#1088;&#1090;&#1099;\1275.04.712-1.jpg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file:///\\ad\&#1086;&#1073;&#1084;&#1077;&#1085;\Scanned%20Documents\&#1063;&#1077;&#1088;&#1090;&#1077;&#1078;&#1080;\1277.04.307.jpg" TargetMode="External"/><Relationship Id="rId1" Type="http://schemas.openxmlformats.org/officeDocument/2006/relationships/hyperlink" Target="file:///\\ad\&#1086;&#1073;&#1084;&#1077;&#1085;\Scanned%20Documents\&#1051;&#1080;&#1090;&#1077;&#1081;&#1085;&#1099;&#1077;%20&#1082;&#1072;&#1088;&#1090;&#1099;\15.00194.jpg" TargetMode="External"/><Relationship Id="rId6" Type="http://schemas.openxmlformats.org/officeDocument/2006/relationships/hyperlink" Target="file:///\\ad\&#1086;&#1073;&#1084;&#1077;&#1085;\Scanned%20Documents\&#1063;&#1077;&#1088;&#1090;&#1077;&#1078;&#1080;\&#1051;&#1105;&#1078;&#1082;&#1072;.jpg" TargetMode="External"/><Relationship Id="rId11" Type="http://schemas.openxmlformats.org/officeDocument/2006/relationships/hyperlink" Target="../Scanned%20Documents/&#1051;&#1080;&#1090;&#1077;&#1081;&#1085;&#1099;&#1077;%20&#1082;&#1072;&#1088;&#1090;&#1099;/1268.04.613.jpg" TargetMode="External"/><Relationship Id="rId5" Type="http://schemas.openxmlformats.org/officeDocument/2006/relationships/hyperlink" Target="file:///\\ad\&#1086;&#1073;&#1084;&#1077;&#1085;\Scanned%20Documents\&#1063;&#1077;&#1088;&#1090;&#1077;&#1078;&#1080;\&#1050;&#1083;&#1072;&#1087;&#1072;&#1085;%20&#1082;&#1086;&#1085;&#1080;&#1095;&#1077;&#1089;&#1082;&#1080;&#1081;.jpg" TargetMode="External"/><Relationship Id="rId10" Type="http://schemas.openxmlformats.org/officeDocument/2006/relationships/hyperlink" Target="../Scanned%20Documents/&#1063;&#1077;&#1088;&#1090;&#1077;&#1078;&#1080;/1268.04.613.jpg" TargetMode="External"/><Relationship Id="rId4" Type="http://schemas.openxmlformats.org/officeDocument/2006/relationships/hyperlink" Target="file:///\\ad\&#1086;&#1073;&#1084;&#1077;&#1085;\Scanned%20Documents\&#1063;&#1077;&#1088;&#1090;&#1077;&#1078;&#1080;\1277.04.608-1.jpg" TargetMode="External"/><Relationship Id="rId9" Type="http://schemas.openxmlformats.org/officeDocument/2006/relationships/hyperlink" Target="file:///\\ad\&#1086;&#1073;&#1084;&#1077;&#1085;\Scanned%20Documents\&#1051;&#1080;&#1090;&#1077;&#1081;&#1085;&#1099;&#1077;%20&#1082;&#1072;&#1088;&#1090;&#1099;\1277.04.608.jpg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file:///\\ad\&#1086;&#1073;&#1084;&#1077;&#1085;\Scanned%20Documents\&#1051;&#1080;&#1090;&#1077;&#1081;&#1085;&#1099;&#1077;%20&#1082;&#1072;&#1088;&#1090;&#1099;\1269.01.03.jp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10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.xml"/><Relationship Id="rId3" Type="http://schemas.openxmlformats.org/officeDocument/2006/relationships/hyperlink" Target="..\&#1041;&#1083;&#1072;&#1085;&#1082;&#1080;\&#1041;&#1086;&#1083;&#1074;&#1072;&#1085;&#1099;2.xlsx" TargetMode="External"/><Relationship Id="rId7" Type="http://schemas.openxmlformats.org/officeDocument/2006/relationships/vmlDrawing" Target="../drawings/vmlDrawing6.vml"/><Relationship Id="rId2" Type="http://schemas.openxmlformats.org/officeDocument/2006/relationships/hyperlink" Target="file:///\\ad\&#1090;&#1077;&#1093;&#1085;&#1086;&#1083;&#1086;&#1075;&#1080;\&#1047;&#1072;&#1082;&#1072;&#1079;&#1099;\&#1062;&#1041;%20&#1054;&#1057;&#1053;&#1040;&#1057;&#1058;&#1050;&#1040;+&#1048;&#1047;&#1051;&#1054;&#1046;&#1053;&#1048;&#1062;&#1067;.xls" TargetMode="External"/><Relationship Id="rId1" Type="http://schemas.openxmlformats.org/officeDocument/2006/relationships/hyperlink" Target="file:///\\ad\&#1086;&#1073;&#1084;&#1077;&#1085;\&#1050;&#1086;&#1074;&#1072;&#1083;&#1077;&#1074;%20&#1040;.&#1057;\&#1041;&#1086;&#1083;&#1074;&#1072;&#1085;&#1099;2.xlsx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12.bin"/><Relationship Id="rId4" Type="http://schemas.openxmlformats.org/officeDocument/2006/relationships/hyperlink" Target="file:///\\ad\&#1090;&#1077;&#1093;&#1085;&#1086;&#1083;&#1086;&#1075;&#1080;\&#1056;&#1040;&#1041;&#1054;&#1058;&#1040;\&#1084;.&#1079;&#1072;&#1074;&#1072;&#1083;&#1082;&#1072;.xlsx" TargetMode="External"/><Relationship Id="rId9" Type="http://schemas.openxmlformats.org/officeDocument/2006/relationships/ctrlProp" Target="../ctrlProps/ctrlProp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pageSetUpPr fitToPage="1"/>
  </sheetPr>
  <dimension ref="B1:AQ69"/>
  <sheetViews>
    <sheetView showGridLines="0" zoomScale="70" zoomScaleNormal="70" workbookViewId="0">
      <selection activeCell="G7" sqref="G7"/>
    </sheetView>
  </sheetViews>
  <sheetFormatPr defaultColWidth="8.5546875" defaultRowHeight="15.6" x14ac:dyDescent="0.3"/>
  <cols>
    <col min="1" max="1" width="2.88671875" style="642" customWidth="1"/>
    <col min="2" max="2" width="5.109375" style="642" customWidth="1"/>
    <col min="3" max="3" width="8.5546875" style="642"/>
    <col min="4" max="4" width="9.33203125" style="642" customWidth="1"/>
    <col min="5" max="5" width="11.88671875" style="642" customWidth="1"/>
    <col min="6" max="6" width="14.33203125" style="642" customWidth="1"/>
    <col min="7" max="7" width="9.44140625" style="642" customWidth="1"/>
    <col min="8" max="8" width="13.88671875" style="642" customWidth="1"/>
    <col min="9" max="9" width="12.21875" style="642" customWidth="1"/>
    <col min="10" max="10" width="11" style="642" customWidth="1"/>
    <col min="11" max="11" width="20.44140625" style="642" customWidth="1"/>
    <col min="12" max="12" width="3.88671875" style="642" customWidth="1"/>
    <col min="13" max="13" width="26.88671875" style="642" customWidth="1"/>
    <col min="14" max="14" width="13.33203125" style="642" customWidth="1"/>
    <col min="15" max="15" width="10.33203125" style="642" customWidth="1"/>
    <col min="16" max="16" width="11" style="642" customWidth="1"/>
    <col min="17" max="17" width="4.21875" style="642" customWidth="1"/>
    <col min="18" max="18" width="14" style="642" customWidth="1"/>
    <col min="19" max="19" width="8.6640625" style="642" customWidth="1"/>
    <col min="20" max="21" width="15.5546875" style="642" customWidth="1"/>
    <col min="22" max="22" width="8.44140625" style="642" customWidth="1"/>
    <col min="23" max="23" width="10.33203125" style="642" customWidth="1"/>
    <col min="24" max="24" width="8.5546875" style="642"/>
    <col min="25" max="25" width="11" style="642" customWidth="1"/>
    <col min="26" max="26" width="12.44140625" style="642" customWidth="1"/>
    <col min="27" max="27" width="3.21875" style="642" customWidth="1"/>
    <col min="28" max="28" width="30.5546875" style="642" customWidth="1"/>
    <col min="29" max="29" width="11.6640625" style="642" customWidth="1"/>
    <col min="30" max="30" width="3.44140625" style="642" customWidth="1"/>
    <col min="31" max="31" width="7.88671875" style="642" customWidth="1"/>
    <col min="32" max="32" width="7.5546875" style="642" customWidth="1"/>
    <col min="33" max="33" width="10.88671875" style="642" customWidth="1"/>
    <col min="34" max="34" width="7.33203125" style="642" customWidth="1"/>
    <col min="35" max="35" width="14.109375" style="642" customWidth="1"/>
    <col min="36" max="36" width="12.6640625" style="642" customWidth="1"/>
    <col min="37" max="37" width="9.88671875" style="642" customWidth="1"/>
    <col min="38" max="38" width="9.21875" style="642" customWidth="1"/>
    <col min="39" max="39" width="10.6640625" style="642" customWidth="1"/>
    <col min="40" max="40" width="24.109375" style="642" customWidth="1"/>
    <col min="41" max="41" width="3.6640625" style="642" customWidth="1"/>
    <col min="42" max="42" width="23.5546875" style="642" customWidth="1"/>
    <col min="43" max="43" width="10.5546875" style="642" bestFit="1" customWidth="1"/>
    <col min="44" max="16384" width="8.5546875" style="642"/>
  </cols>
  <sheetData>
    <row r="1" spans="2:43" ht="16.2" thickBot="1" x14ac:dyDescent="0.35">
      <c r="K1" s="642" t="s">
        <v>410</v>
      </c>
      <c r="Z1" s="642" t="s">
        <v>410</v>
      </c>
      <c r="AN1" s="642" t="s">
        <v>410</v>
      </c>
    </row>
    <row r="2" spans="2:43" ht="16.2" thickBot="1" x14ac:dyDescent="0.35">
      <c r="B2" s="683"/>
      <c r="C2" s="685"/>
      <c r="D2" s="685"/>
      <c r="E2" s="685"/>
      <c r="F2" s="685" t="s">
        <v>0</v>
      </c>
      <c r="G2" s="685"/>
      <c r="H2" s="685"/>
      <c r="I2" s="685"/>
      <c r="J2" s="685"/>
      <c r="K2" s="684" t="s">
        <v>1132</v>
      </c>
      <c r="M2" s="850" t="s">
        <v>1</v>
      </c>
      <c r="N2" s="1000"/>
      <c r="O2" s="1001" t="s">
        <v>1109</v>
      </c>
      <c r="R2" s="683"/>
      <c r="S2" s="685"/>
      <c r="T2" s="685"/>
      <c r="U2" s="685" t="s">
        <v>0</v>
      </c>
      <c r="V2" s="685"/>
      <c r="W2" s="685"/>
      <c r="X2" s="685"/>
      <c r="Y2" s="685"/>
      <c r="Z2" s="684" t="s">
        <v>1132</v>
      </c>
      <c r="AE2" s="683"/>
      <c r="AF2" s="685"/>
      <c r="AG2" s="685"/>
      <c r="AH2" s="685"/>
      <c r="AI2" s="685" t="s">
        <v>0</v>
      </c>
      <c r="AJ2" s="685"/>
      <c r="AK2" s="685"/>
      <c r="AL2" s="685"/>
      <c r="AM2" s="685"/>
      <c r="AN2" s="684" t="s">
        <v>1132</v>
      </c>
      <c r="AP2" s="850" t="s">
        <v>1</v>
      </c>
    </row>
    <row r="3" spans="2:43" x14ac:dyDescent="0.3">
      <c r="B3" s="647"/>
      <c r="C3" s="641" t="s">
        <v>2</v>
      </c>
      <c r="D3" s="641"/>
      <c r="E3" s="641"/>
      <c r="F3" s="641"/>
      <c r="G3" s="883" t="s">
        <v>1282</v>
      </c>
      <c r="H3" s="641"/>
      <c r="I3" s="641"/>
      <c r="J3" s="816" t="s">
        <v>434</v>
      </c>
      <c r="K3" s="643" t="s">
        <v>1185</v>
      </c>
      <c r="M3" s="815" t="s">
        <v>3</v>
      </c>
      <c r="N3" s="998">
        <f>IF(O3=0,_xlfn.CEILING.MATH((N16+N22*2)/0.985,1),O3)</f>
        <v>1140</v>
      </c>
      <c r="O3" s="858"/>
      <c r="R3" s="647"/>
      <c r="S3" s="641" t="s">
        <v>2</v>
      </c>
      <c r="T3" s="641"/>
      <c r="U3" s="641"/>
      <c r="V3" s="883" t="s">
        <v>974</v>
      </c>
      <c r="W3" s="641"/>
      <c r="X3" s="641"/>
      <c r="Y3" s="816" t="s">
        <v>661</v>
      </c>
      <c r="Z3" s="643" t="s">
        <v>379</v>
      </c>
      <c r="AE3" s="647"/>
      <c r="AF3" s="641" t="s">
        <v>2</v>
      </c>
      <c r="AG3" s="641"/>
      <c r="AH3" s="641"/>
      <c r="AI3" s="641"/>
      <c r="AJ3" s="883" t="s">
        <v>1173</v>
      </c>
      <c r="AK3" s="641"/>
      <c r="AL3" s="641"/>
      <c r="AM3" s="816" t="s">
        <v>434</v>
      </c>
      <c r="AN3" s="643" t="s">
        <v>1180</v>
      </c>
      <c r="AP3" s="815" t="s">
        <v>3</v>
      </c>
      <c r="AQ3" s="642">
        <v>460</v>
      </c>
    </row>
    <row r="4" spans="2:43" x14ac:dyDescent="0.3">
      <c r="B4" s="640"/>
      <c r="C4" s="457" t="s">
        <v>4</v>
      </c>
      <c r="D4" s="457"/>
      <c r="E4" s="457"/>
      <c r="F4" s="457"/>
      <c r="G4" s="884" t="s">
        <v>1283</v>
      </c>
      <c r="H4" s="457"/>
      <c r="I4" s="457"/>
      <c r="J4" s="457" t="s">
        <v>784</v>
      </c>
      <c r="K4" s="1025" t="s">
        <v>1186</v>
      </c>
      <c r="M4" s="815" t="s">
        <v>5</v>
      </c>
      <c r="N4" s="999">
        <f>ROUNDUP(I28/0.994,0)</f>
        <v>1031</v>
      </c>
      <c r="O4" s="858"/>
      <c r="R4" s="640"/>
      <c r="S4" s="457" t="s">
        <v>4</v>
      </c>
      <c r="T4" s="457"/>
      <c r="U4" s="457"/>
      <c r="V4" s="884" t="s">
        <v>978</v>
      </c>
      <c r="W4" s="457"/>
      <c r="X4" s="457"/>
      <c r="Y4" s="852"/>
      <c r="Z4" s="644"/>
      <c r="AE4" s="640"/>
      <c r="AF4" s="457" t="s">
        <v>4</v>
      </c>
      <c r="AG4" s="457"/>
      <c r="AH4" s="457"/>
      <c r="AI4" s="457"/>
      <c r="AJ4" s="884" t="s">
        <v>1180</v>
      </c>
      <c r="AK4" s="457"/>
      <c r="AL4" s="457"/>
      <c r="AM4" s="457" t="s">
        <v>784</v>
      </c>
      <c r="AN4" s="1025"/>
      <c r="AP4" s="815" t="s">
        <v>5</v>
      </c>
      <c r="AQ4" s="642">
        <v>380</v>
      </c>
    </row>
    <row r="5" spans="2:43" x14ac:dyDescent="0.3">
      <c r="B5" s="640"/>
      <c r="C5" s="457" t="s">
        <v>6</v>
      </c>
      <c r="D5" s="457"/>
      <c r="E5" s="457"/>
      <c r="F5" s="457"/>
      <c r="G5" s="657" t="s">
        <v>7</v>
      </c>
      <c r="H5" s="457"/>
      <c r="I5" s="457"/>
      <c r="J5" s="713" t="s">
        <v>946</v>
      </c>
      <c r="K5" s="817" t="str">
        <f>" Ø = "&amp;N4&amp;" мм., "</f>
        <v xml:space="preserve"> Ø = 1031 мм., </v>
      </c>
      <c r="M5" s="815" t="s">
        <v>8</v>
      </c>
      <c r="N5" s="998">
        <f>ROUNDUP((N18+N23+N22+N25+N26)/0.985,0)</f>
        <v>299</v>
      </c>
      <c r="O5" s="858">
        <v>320</v>
      </c>
      <c r="R5" s="640"/>
      <c r="S5" s="457" t="s">
        <v>6</v>
      </c>
      <c r="T5" s="457"/>
      <c r="U5" s="457"/>
      <c r="V5" s="657" t="s">
        <v>977</v>
      </c>
      <c r="W5" s="457"/>
      <c r="X5" s="457"/>
      <c r="Y5" s="713"/>
      <c r="Z5" s="644"/>
      <c r="AE5" s="640"/>
      <c r="AF5" s="457" t="s">
        <v>6</v>
      </c>
      <c r="AG5" s="457"/>
      <c r="AH5" s="457"/>
      <c r="AI5" s="457"/>
      <c r="AJ5" s="657" t="s">
        <v>7</v>
      </c>
      <c r="AK5" s="457"/>
      <c r="AL5" s="457"/>
      <c r="AM5" s="713" t="s">
        <v>946</v>
      </c>
      <c r="AN5" s="817" t="str">
        <f>" Ø = "&amp;AQ4&amp;" мм., "</f>
        <v xml:space="preserve"> Ø = 380 мм., </v>
      </c>
      <c r="AP5" s="815" t="s">
        <v>8</v>
      </c>
      <c r="AQ5" s="642">
        <v>900</v>
      </c>
    </row>
    <row r="6" spans="2:43" ht="15" customHeight="1" thickBot="1" x14ac:dyDescent="0.35">
      <c r="B6" s="658"/>
      <c r="C6" s="659" t="s">
        <v>10</v>
      </c>
      <c r="D6" s="659"/>
      <c r="E6" s="659"/>
      <c r="F6" s="659"/>
      <c r="G6" s="885" t="s">
        <v>11</v>
      </c>
      <c r="H6" s="659"/>
      <c r="I6" s="659"/>
      <c r="J6" s="820"/>
      <c r="K6" s="853" t="str">
        <f>"Н = "&amp;N8+(F22+15)+H26</f>
        <v>Н = 580</v>
      </c>
      <c r="M6" s="818" t="s">
        <v>12</v>
      </c>
      <c r="N6" s="819">
        <f>VLOOKUP(G8,Данные!A3:I27,9,FALSE())</f>
        <v>7.6</v>
      </c>
      <c r="R6" s="658"/>
      <c r="S6" s="659" t="s">
        <v>10</v>
      </c>
      <c r="T6" s="659"/>
      <c r="U6" s="659"/>
      <c r="V6" s="885" t="s">
        <v>824</v>
      </c>
      <c r="W6" s="659"/>
      <c r="X6" s="659"/>
      <c r="Y6" s="820"/>
      <c r="Z6" s="687"/>
      <c r="AE6" s="658"/>
      <c r="AF6" s="659" t="s">
        <v>10</v>
      </c>
      <c r="AG6" s="659"/>
      <c r="AH6" s="659"/>
      <c r="AI6" s="659"/>
      <c r="AJ6" s="885" t="s">
        <v>1181</v>
      </c>
      <c r="AK6" s="659"/>
      <c r="AL6" s="659"/>
      <c r="AM6" s="820"/>
      <c r="AN6" s="853" t="str">
        <f>"Н = "&amp;AQ8+(AI22+15)+AK26</f>
        <v>Н = 902</v>
      </c>
      <c r="AP6" s="818" t="s">
        <v>12</v>
      </c>
      <c r="AQ6" s="642">
        <f>VLOOKUP(AJ8,Данные!A3:I27,9,FALSE())</f>
        <v>9.1</v>
      </c>
    </row>
    <row r="7" spans="2:43" x14ac:dyDescent="0.3">
      <c r="B7" s="640"/>
      <c r="C7" s="457"/>
      <c r="D7" s="457"/>
      <c r="E7" s="457"/>
      <c r="F7" s="457"/>
      <c r="G7" s="657"/>
      <c r="H7" s="457"/>
      <c r="I7" s="457"/>
      <c r="J7" s="457"/>
      <c r="K7" s="644"/>
      <c r="M7" s="821" t="s">
        <v>880</v>
      </c>
      <c r="N7" s="1022">
        <f>CEILING(((J28+Данные!F32*2)-I28)/2,1)</f>
        <v>53</v>
      </c>
      <c r="R7" s="647"/>
      <c r="S7" s="641"/>
      <c r="T7" s="641"/>
      <c r="U7" s="641"/>
      <c r="V7" s="883"/>
      <c r="W7" s="641"/>
      <c r="X7" s="641"/>
      <c r="Y7" s="641"/>
      <c r="Z7" s="648"/>
      <c r="AE7" s="640"/>
      <c r="AF7" s="457"/>
      <c r="AG7" s="457"/>
      <c r="AH7" s="457"/>
      <c r="AI7" s="457"/>
      <c r="AJ7" s="457"/>
      <c r="AK7" s="457"/>
      <c r="AL7" s="457"/>
      <c r="AM7" s="457"/>
      <c r="AN7" s="644"/>
      <c r="AP7" s="821" t="s">
        <v>14</v>
      </c>
      <c r="AQ7" s="642">
        <v>115</v>
      </c>
    </row>
    <row r="8" spans="2:43" x14ac:dyDescent="0.3">
      <c r="B8" s="640"/>
      <c r="C8" s="457" t="s">
        <v>16</v>
      </c>
      <c r="D8" s="457"/>
      <c r="E8" s="457"/>
      <c r="F8" s="457"/>
      <c r="G8" s="825" t="s">
        <v>35</v>
      </c>
      <c r="H8" s="649"/>
      <c r="I8" s="649"/>
      <c r="J8" s="657" t="s">
        <v>17</v>
      </c>
      <c r="K8" s="650">
        <f>G9/G14</f>
        <v>0.16363636363636364</v>
      </c>
      <c r="M8" s="821" t="s">
        <v>14</v>
      </c>
      <c r="N8" s="1013">
        <f>CEILING(((J28+Данные!F32*2)-I28)/2*N9,5)</f>
        <v>180</v>
      </c>
      <c r="O8" s="858"/>
      <c r="R8" s="640"/>
      <c r="S8" s="457" t="s">
        <v>16</v>
      </c>
      <c r="T8" s="457"/>
      <c r="U8" s="457"/>
      <c r="V8" s="678" t="s">
        <v>979</v>
      </c>
      <c r="W8" s="457"/>
      <c r="X8" s="457"/>
      <c r="Y8" s="457" t="s">
        <v>17</v>
      </c>
      <c r="Z8" s="650">
        <f>V9/V13</f>
        <v>0.17534246575342466</v>
      </c>
      <c r="AE8" s="640"/>
      <c r="AF8" s="457" t="s">
        <v>16</v>
      </c>
      <c r="AG8" s="457"/>
      <c r="AH8" s="457"/>
      <c r="AI8" s="457"/>
      <c r="AJ8" s="825" t="s">
        <v>9</v>
      </c>
      <c r="AK8" s="649"/>
      <c r="AL8" s="649"/>
      <c r="AM8" s="657" t="s">
        <v>17</v>
      </c>
      <c r="AN8" s="650">
        <f>AJ9/AJ14</f>
        <v>0.34165834165834164</v>
      </c>
      <c r="AP8" s="821" t="s">
        <v>460</v>
      </c>
    </row>
    <row r="9" spans="2:43" x14ac:dyDescent="0.3">
      <c r="B9" s="640"/>
      <c r="C9" s="457" t="s">
        <v>19</v>
      </c>
      <c r="D9" s="457"/>
      <c r="E9" s="457"/>
      <c r="F9" s="457"/>
      <c r="G9" s="651">
        <f>IF(N20&lt;&gt;0,N20,IF(N19&lt;100,ROUNDUP(N19,1),ROUNDUP(N19,0)))</f>
        <v>135</v>
      </c>
      <c r="H9" s="827"/>
      <c r="I9" s="828"/>
      <c r="J9" s="657"/>
      <c r="K9" s="650"/>
      <c r="M9" s="821" t="s">
        <v>460</v>
      </c>
      <c r="N9" s="823">
        <v>3.4</v>
      </c>
      <c r="R9" s="640"/>
      <c r="S9" s="457" t="s">
        <v>19</v>
      </c>
      <c r="T9" s="457"/>
      <c r="U9" s="457"/>
      <c r="V9" s="651">
        <f>IF(AC28=0,AC27,AC28)</f>
        <v>256</v>
      </c>
      <c r="W9" s="652"/>
      <c r="X9" s="457"/>
      <c r="Y9" s="457"/>
      <c r="Z9" s="650"/>
      <c r="AE9" s="640"/>
      <c r="AF9" s="457" t="s">
        <v>19</v>
      </c>
      <c r="AG9" s="457"/>
      <c r="AH9" s="457"/>
      <c r="AI9" s="457"/>
      <c r="AJ9" s="651">
        <v>684</v>
      </c>
      <c r="AK9" s="827"/>
      <c r="AL9" s="828"/>
      <c r="AM9" s="657"/>
      <c r="AN9" s="650"/>
      <c r="AP9" s="815" t="s">
        <v>358</v>
      </c>
      <c r="AQ9" s="642">
        <v>521.5</v>
      </c>
    </row>
    <row r="10" spans="2:43" x14ac:dyDescent="0.3">
      <c r="B10" s="640"/>
      <c r="C10" s="457" t="s">
        <v>22</v>
      </c>
      <c r="D10" s="457"/>
      <c r="E10" s="457"/>
      <c r="F10" s="457"/>
      <c r="G10" s="653">
        <f>ROUNDUP(N11,0)</f>
        <v>419</v>
      </c>
      <c r="H10" s="654"/>
      <c r="I10" s="457"/>
      <c r="J10" s="657" t="s">
        <v>23</v>
      </c>
      <c r="K10" s="650">
        <f>G9/G16</f>
        <v>0.15734265734265734</v>
      </c>
      <c r="L10" s="828"/>
      <c r="M10" s="815" t="s">
        <v>358</v>
      </c>
      <c r="N10" s="826">
        <f>N3+Данные!F32*2+E24*2+N8/D35/2</f>
        <v>1185</v>
      </c>
      <c r="R10" s="640"/>
      <c r="S10" s="457" t="s">
        <v>22</v>
      </c>
      <c r="T10" s="457"/>
      <c r="U10" s="457"/>
      <c r="V10" s="653">
        <f>ROUNDUP(AC19,0)</f>
        <v>-1547</v>
      </c>
      <c r="W10" s="654">
        <v>870</v>
      </c>
      <c r="X10" s="457"/>
      <c r="Y10" s="457" t="s">
        <v>23</v>
      </c>
      <c r="Z10" s="650">
        <f>V9/V14</f>
        <v>0.16842105263157894</v>
      </c>
      <c r="AB10" s="850" t="s">
        <v>1</v>
      </c>
      <c r="AC10" s="851"/>
      <c r="AE10" s="640"/>
      <c r="AF10" s="457" t="s">
        <v>22</v>
      </c>
      <c r="AG10" s="457"/>
      <c r="AH10" s="457"/>
      <c r="AI10" s="457"/>
      <c r="AJ10" s="653">
        <v>1430</v>
      </c>
      <c r="AK10" s="654"/>
      <c r="AL10" s="457"/>
      <c r="AM10" s="657" t="s">
        <v>23</v>
      </c>
      <c r="AN10" s="650">
        <f>AJ9/AJ16</f>
        <v>0.328372539606337</v>
      </c>
      <c r="AP10" s="818" t="s">
        <v>20</v>
      </c>
      <c r="AQ10" s="642">
        <f>(((AQ19*0.985)*(AQ19*0.985)-(AQ4*0.994)*(AQ4*0.994))*3.1415926*AQ5*AQ6)/4000000</f>
        <v>425.91026928118123</v>
      </c>
    </row>
    <row r="11" spans="2:43" x14ac:dyDescent="0.3">
      <c r="B11" s="640"/>
      <c r="C11" s="457" t="s">
        <v>24</v>
      </c>
      <c r="D11" s="457"/>
      <c r="E11" s="457"/>
      <c r="F11" s="457"/>
      <c r="G11" s="856">
        <f>ROUNDUP(N12,0)</f>
        <v>362</v>
      </c>
      <c r="H11" s="654"/>
      <c r="I11" s="457"/>
      <c r="J11" s="457"/>
      <c r="K11" s="650"/>
      <c r="M11" s="818" t="s">
        <v>20</v>
      </c>
      <c r="N11" s="855">
        <f>Данные!B34</f>
        <v>418.88236436543997</v>
      </c>
      <c r="O11" s="1005"/>
      <c r="R11" s="640"/>
      <c r="S11" s="457" t="s">
        <v>24</v>
      </c>
      <c r="T11" s="457"/>
      <c r="U11" s="457"/>
      <c r="V11" s="651">
        <v>418</v>
      </c>
      <c r="W11" s="654"/>
      <c r="X11" s="457"/>
      <c r="Y11" s="457"/>
      <c r="Z11" s="650"/>
      <c r="AB11" s="815" t="s">
        <v>1136</v>
      </c>
      <c r="AC11" s="720">
        <v>545</v>
      </c>
      <c r="AE11" s="640"/>
      <c r="AF11" s="457" t="s">
        <v>24</v>
      </c>
      <c r="AG11" s="457"/>
      <c r="AH11" s="457"/>
      <c r="AI11" s="457"/>
      <c r="AJ11" s="651">
        <v>452</v>
      </c>
      <c r="AK11" s="654"/>
      <c r="AL11" s="457"/>
      <c r="AM11" s="457"/>
      <c r="AN11" s="650"/>
      <c r="AP11" s="818" t="s">
        <v>24</v>
      </c>
      <c r="AQ11" s="642">
        <f>((AQ9*AQ9-(AQ4*0.994)*(AQ4*0.994))*3.1415926*AQ7*AQ6)/4000000</f>
        <v>106.26580673752383</v>
      </c>
    </row>
    <row r="12" spans="2:43" x14ac:dyDescent="0.3">
      <c r="B12" s="640"/>
      <c r="C12" s="655" t="s">
        <v>356</v>
      </c>
      <c r="D12" s="655"/>
      <c r="E12" s="655"/>
      <c r="F12" s="457"/>
      <c r="G12" s="651">
        <f>ROUNDUP(N13,0)</f>
        <v>44</v>
      </c>
      <c r="H12" s="654"/>
      <c r="I12" s="457"/>
      <c r="J12" s="457"/>
      <c r="K12" s="650"/>
      <c r="M12" s="818" t="s">
        <v>24</v>
      </c>
      <c r="N12" s="855">
        <f>Данные!B35</f>
        <v>361.8157306271076</v>
      </c>
      <c r="R12" s="640"/>
      <c r="S12" s="655" t="s">
        <v>356</v>
      </c>
      <c r="T12" s="655"/>
      <c r="U12" s="457"/>
      <c r="V12" s="651">
        <v>172</v>
      </c>
      <c r="W12" s="654"/>
      <c r="X12" s="457"/>
      <c r="Y12" s="457"/>
      <c r="Z12" s="650"/>
      <c r="AB12" s="815" t="s">
        <v>1137</v>
      </c>
      <c r="AC12" s="720">
        <v>425</v>
      </c>
      <c r="AE12" s="640"/>
      <c r="AF12" s="655" t="s">
        <v>356</v>
      </c>
      <c r="AG12" s="655"/>
      <c r="AH12" s="655"/>
      <c r="AI12" s="457"/>
      <c r="AJ12" s="651">
        <v>120</v>
      </c>
      <c r="AK12" s="654"/>
      <c r="AL12" s="457"/>
      <c r="AM12" s="457"/>
      <c r="AN12" s="650"/>
      <c r="AP12" s="826" t="s">
        <v>356</v>
      </c>
      <c r="AQ12" s="642">
        <v>152</v>
      </c>
    </row>
    <row r="13" spans="2:43" x14ac:dyDescent="0.3">
      <c r="B13" s="640"/>
      <c r="C13" s="457" t="s">
        <v>27</v>
      </c>
      <c r="D13" s="457"/>
      <c r="E13" s="457"/>
      <c r="F13" s="457"/>
      <c r="G13" s="651">
        <f>G10+G11+G12</f>
        <v>825</v>
      </c>
      <c r="H13" s="654"/>
      <c r="I13" s="457"/>
      <c r="J13" s="457"/>
      <c r="K13" s="644"/>
      <c r="M13" s="826" t="s">
        <v>356</v>
      </c>
      <c r="N13" s="818">
        <f>Данные!B31</f>
        <v>43.88</v>
      </c>
      <c r="R13" s="640"/>
      <c r="S13" s="457" t="s">
        <v>27</v>
      </c>
      <c r="T13" s="457"/>
      <c r="U13" s="457"/>
      <c r="V13" s="651">
        <v>1460</v>
      </c>
      <c r="W13" s="654"/>
      <c r="X13" s="457"/>
      <c r="Y13" s="457"/>
      <c r="Z13" s="644"/>
      <c r="AB13" s="815" t="s">
        <v>1138</v>
      </c>
      <c r="AC13" s="720">
        <v>400</v>
      </c>
      <c r="AE13" s="640"/>
      <c r="AF13" s="457" t="s">
        <v>27</v>
      </c>
      <c r="AG13" s="457"/>
      <c r="AH13" s="457"/>
      <c r="AI13" s="457"/>
      <c r="AJ13" s="651">
        <f>AJ10+AJ11+AJ12</f>
        <v>2002</v>
      </c>
      <c r="AK13" s="654"/>
      <c r="AL13" s="457"/>
      <c r="AM13" s="457"/>
      <c r="AN13" s="644"/>
      <c r="AP13" s="829"/>
    </row>
    <row r="14" spans="2:43" x14ac:dyDescent="0.3">
      <c r="B14" s="640"/>
      <c r="C14" s="457" t="s">
        <v>29</v>
      </c>
      <c r="D14" s="457"/>
      <c r="E14" s="457"/>
      <c r="F14" s="457"/>
      <c r="G14" s="651">
        <f>ROUNDUP(G13/G17,0)</f>
        <v>825</v>
      </c>
      <c r="H14" s="654"/>
      <c r="I14" s="457"/>
      <c r="J14" s="457"/>
      <c r="K14" s="644"/>
      <c r="M14" s="829"/>
      <c r="N14" s="857"/>
      <c r="R14" s="640"/>
      <c r="S14" s="457" t="s">
        <v>32</v>
      </c>
      <c r="T14" s="457"/>
      <c r="U14" s="457"/>
      <c r="V14" s="651">
        <v>1520</v>
      </c>
      <c r="W14" s="654"/>
      <c r="X14" s="457"/>
      <c r="Y14" s="457"/>
      <c r="Z14" s="656"/>
      <c r="AB14" s="815" t="s">
        <v>1139</v>
      </c>
      <c r="AC14" s="720">
        <v>318</v>
      </c>
      <c r="AE14" s="640"/>
      <c r="AF14" s="457" t="s">
        <v>29</v>
      </c>
      <c r="AG14" s="457"/>
      <c r="AH14" s="457"/>
      <c r="AI14" s="457"/>
      <c r="AJ14" s="651">
        <f>ROUNDUP(AJ13/AJ17,0)</f>
        <v>2002</v>
      </c>
      <c r="AK14" s="654"/>
      <c r="AL14" s="457"/>
      <c r="AM14" s="457"/>
      <c r="AN14" s="644"/>
      <c r="AP14" s="818" t="s">
        <v>30</v>
      </c>
    </row>
    <row r="15" spans="2:43" ht="16.2" thickBot="1" x14ac:dyDescent="0.35">
      <c r="B15" s="640"/>
      <c r="C15" s="457" t="s">
        <v>32</v>
      </c>
      <c r="D15" s="457"/>
      <c r="E15" s="457"/>
      <c r="F15" s="457"/>
      <c r="G15" s="651">
        <f>ROUND(G13*1.04,0)</f>
        <v>858</v>
      </c>
      <c r="H15" s="654"/>
      <c r="J15" s="457"/>
      <c r="K15" s="656"/>
      <c r="M15" s="819" t="s">
        <v>30</v>
      </c>
      <c r="N15" s="961"/>
      <c r="R15" s="658"/>
      <c r="S15" s="659" t="s">
        <v>36</v>
      </c>
      <c r="T15" s="659"/>
      <c r="U15" s="659"/>
      <c r="V15" s="833">
        <v>1</v>
      </c>
      <c r="W15" s="659"/>
      <c r="X15" s="659"/>
      <c r="Y15" s="659"/>
      <c r="Z15" s="661"/>
      <c r="AB15" s="815" t="s">
        <v>8</v>
      </c>
      <c r="AC15" s="720">
        <v>1540</v>
      </c>
      <c r="AE15" s="640"/>
      <c r="AF15" s="457" t="s">
        <v>32</v>
      </c>
      <c r="AG15" s="457"/>
      <c r="AH15" s="457"/>
      <c r="AI15" s="457"/>
      <c r="AJ15" s="651">
        <f>ROUNDUP(AJ13*1.04,0)</f>
        <v>2083</v>
      </c>
      <c r="AK15" s="654"/>
      <c r="AL15" s="457"/>
      <c r="AM15" s="457"/>
      <c r="AN15" s="656"/>
      <c r="AP15" s="815" t="s">
        <v>3</v>
      </c>
      <c r="AQ15" s="642">
        <v>440</v>
      </c>
    </row>
    <row r="16" spans="2:43" x14ac:dyDescent="0.3">
      <c r="B16" s="640"/>
      <c r="C16" s="457" t="s">
        <v>34</v>
      </c>
      <c r="D16" s="457"/>
      <c r="E16" s="457"/>
      <c r="F16" s="457"/>
      <c r="G16" s="651">
        <f>ROUNDUP(G15/G17,0)</f>
        <v>858</v>
      </c>
      <c r="H16" s="654"/>
      <c r="I16" s="457"/>
      <c r="J16" s="457"/>
      <c r="K16" s="656"/>
      <c r="M16" s="815" t="s">
        <v>3</v>
      </c>
      <c r="N16" s="720">
        <v>1100</v>
      </c>
      <c r="R16" s="647"/>
      <c r="S16" s="641" t="s">
        <v>221</v>
      </c>
      <c r="T16" s="641"/>
      <c r="U16" s="641"/>
      <c r="V16" s="641"/>
      <c r="W16" s="641"/>
      <c r="X16" s="641" t="s">
        <v>380</v>
      </c>
      <c r="Y16" s="836"/>
      <c r="Z16" s="837"/>
      <c r="AB16" s="818" t="s">
        <v>12</v>
      </c>
      <c r="AC16" s="819">
        <f>VLOOKUP(V8,Данные!A3:I27,9,FALSE())</f>
        <v>9.1999999999999993</v>
      </c>
      <c r="AE16" s="640"/>
      <c r="AF16" s="457" t="s">
        <v>34</v>
      </c>
      <c r="AG16" s="457"/>
      <c r="AH16" s="457"/>
      <c r="AI16" s="457"/>
      <c r="AJ16" s="651">
        <f>ROUNDUP(AJ15/AJ17,0)</f>
        <v>2083</v>
      </c>
      <c r="AK16" s="654"/>
      <c r="AL16" s="457"/>
      <c r="AM16" s="457"/>
      <c r="AN16" s="656"/>
      <c r="AP16" s="815" t="s">
        <v>5</v>
      </c>
      <c r="AQ16" s="642">
        <v>400</v>
      </c>
    </row>
    <row r="17" spans="2:43" ht="15" customHeight="1" x14ac:dyDescent="0.3">
      <c r="B17" s="640"/>
      <c r="C17" s="457" t="s">
        <v>36</v>
      </c>
      <c r="D17" s="457"/>
      <c r="E17" s="457"/>
      <c r="F17" s="457"/>
      <c r="G17" s="651">
        <f>G18*G19</f>
        <v>1</v>
      </c>
      <c r="H17" s="457"/>
      <c r="I17" s="457"/>
      <c r="J17" s="457"/>
      <c r="K17" s="656"/>
      <c r="M17" s="815" t="s">
        <v>5</v>
      </c>
      <c r="N17" s="720">
        <v>1050</v>
      </c>
      <c r="R17" s="640"/>
      <c r="S17" s="662">
        <f>ROUNDUP(AC17*0.985,0)</f>
        <v>217</v>
      </c>
      <c r="T17" s="662"/>
      <c r="U17" s="636">
        <f>ROUND(AC15*0.985,0)</f>
        <v>1517</v>
      </c>
      <c r="V17" s="457"/>
      <c r="W17" s="457"/>
      <c r="X17" s="457"/>
      <c r="Y17" s="663"/>
      <c r="Z17" s="664"/>
      <c r="AB17" s="815" t="s">
        <v>14</v>
      </c>
      <c r="AC17" s="822">
        <v>220</v>
      </c>
      <c r="AE17" s="640"/>
      <c r="AF17" s="457" t="s">
        <v>36</v>
      </c>
      <c r="AG17" s="457"/>
      <c r="AH17" s="457"/>
      <c r="AI17" s="457"/>
      <c r="AJ17" s="651">
        <f>AJ18*AJ19</f>
        <v>1</v>
      </c>
      <c r="AK17" s="457"/>
      <c r="AL17" s="457"/>
      <c r="AM17" s="457"/>
      <c r="AN17" s="656"/>
      <c r="AP17" s="815" t="s">
        <v>8</v>
      </c>
      <c r="AQ17" s="642">
        <v>780</v>
      </c>
    </row>
    <row r="18" spans="2:43" x14ac:dyDescent="0.3">
      <c r="B18" s="640"/>
      <c r="C18" s="457" t="s">
        <v>38</v>
      </c>
      <c r="D18" s="457"/>
      <c r="E18" s="457"/>
      <c r="F18" s="457"/>
      <c r="G18" s="651">
        <v>1</v>
      </c>
      <c r="H18" s="457"/>
      <c r="I18" s="457"/>
      <c r="J18" s="457"/>
      <c r="K18" s="656"/>
      <c r="M18" s="815" t="s">
        <v>8</v>
      </c>
      <c r="N18" s="720">
        <v>210</v>
      </c>
      <c r="R18" s="640"/>
      <c r="S18" s="457"/>
      <c r="T18" s="457"/>
      <c r="U18" s="665" t="str">
        <f>"("&amp;AC26&amp;")"</f>
        <v>(1380)</v>
      </c>
      <c r="V18" s="457"/>
      <c r="W18" s="457"/>
      <c r="X18" s="457"/>
      <c r="Y18" s="457"/>
      <c r="Z18" s="664"/>
      <c r="AB18" s="815" t="s">
        <v>358</v>
      </c>
      <c r="AC18" s="824">
        <v>372.5</v>
      </c>
      <c r="AE18" s="640"/>
      <c r="AF18" s="457" t="s">
        <v>38</v>
      </c>
      <c r="AG18" s="457"/>
      <c r="AH18" s="457"/>
      <c r="AI18" s="457"/>
      <c r="AJ18" s="651">
        <v>1</v>
      </c>
      <c r="AK18" s="457"/>
      <c r="AL18" s="457"/>
      <c r="AM18" s="457"/>
      <c r="AN18" s="656"/>
    </row>
    <row r="19" spans="2:43" ht="16.2" thickBot="1" x14ac:dyDescent="0.35">
      <c r="B19" s="658"/>
      <c r="C19" s="659" t="s">
        <v>40</v>
      </c>
      <c r="D19" s="659"/>
      <c r="E19" s="659"/>
      <c r="F19" s="659"/>
      <c r="G19" s="833">
        <v>1</v>
      </c>
      <c r="H19" s="659"/>
      <c r="I19" s="659"/>
      <c r="J19" s="659"/>
      <c r="K19" s="661"/>
      <c r="M19" s="818" t="s">
        <v>19</v>
      </c>
      <c r="N19" s="818">
        <f>((N16*N16-N17*N17)*3.1415926*N18*N6)/4000000</f>
        <v>134.7507605955</v>
      </c>
      <c r="R19" s="640"/>
      <c r="S19" s="457"/>
      <c r="T19" s="838">
        <v>40</v>
      </c>
      <c r="U19" s="457"/>
      <c r="V19" s="457"/>
      <c r="W19" s="457"/>
      <c r="X19" s="457"/>
      <c r="Y19" s="457"/>
      <c r="Z19" s="666"/>
      <c r="AB19" s="818" t="s">
        <v>20</v>
      </c>
      <c r="AC19" s="854">
        <f>(3.1415926*AC15/3000000*((AC11/2)*(AC11/2)+(AC11/2)*(AC13/2)+(AC13/2)*(AC13/2))*Y62)-(3.1415926*AC15/3000000*((AC12/2)*(AC12/2)+(AC12/2)*(AC14/2)+(AC14/2)*(AC14/2))*AC16)</f>
        <v>-1546.3507909588304</v>
      </c>
      <c r="AE19" s="658"/>
      <c r="AF19" s="659" t="s">
        <v>40</v>
      </c>
      <c r="AG19" s="659"/>
      <c r="AH19" s="659"/>
      <c r="AI19" s="659"/>
      <c r="AJ19" s="833">
        <v>1</v>
      </c>
      <c r="AK19" s="659"/>
      <c r="AL19" s="659"/>
      <c r="AM19" s="659"/>
      <c r="AN19" s="661"/>
      <c r="AP19" s="834" t="s">
        <v>811</v>
      </c>
      <c r="AQ19" s="642">
        <f>(AQ3+(AQ3+2*AJ20))/2</f>
        <v>464</v>
      </c>
    </row>
    <row r="20" spans="2:43" x14ac:dyDescent="0.3">
      <c r="B20" s="647"/>
      <c r="C20" s="641" t="s">
        <v>1047</v>
      </c>
      <c r="D20" s="641"/>
      <c r="E20" s="641"/>
      <c r="F20" s="641" t="str">
        <f>"Формовочный уклон  "&amp;ROUND(Данные!F32,0)</f>
        <v>Формовочный уклон  3</v>
      </c>
      <c r="G20" s="641"/>
      <c r="H20" s="641"/>
      <c r="I20" s="641" t="s">
        <v>354</v>
      </c>
      <c r="J20" s="836"/>
      <c r="K20" s="837"/>
      <c r="M20" s="831" t="s">
        <v>271</v>
      </c>
      <c r="N20" s="860"/>
      <c r="R20" s="640"/>
      <c r="S20" s="457"/>
      <c r="T20" s="457"/>
      <c r="U20" s="457"/>
      <c r="V20" s="457"/>
      <c r="W20" s="457"/>
      <c r="X20" s="457"/>
      <c r="Y20" s="667"/>
      <c r="Z20" s="666"/>
      <c r="AB20" s="818" t="s">
        <v>24</v>
      </c>
      <c r="AC20" s="855">
        <f>((AC18*AC18-146.5*146.5)*3.1415926*AC17*AC16)/4000000</f>
        <v>186.45592098674641</v>
      </c>
      <c r="AE20" s="647"/>
      <c r="AF20" s="641" t="s">
        <v>221</v>
      </c>
      <c r="AG20" s="641"/>
      <c r="AH20" s="641"/>
      <c r="AI20" s="641" t="str">
        <f>"Формовочный уклон"</f>
        <v>Формовочный уклон</v>
      </c>
      <c r="AJ20" s="835">
        <v>4</v>
      </c>
      <c r="AK20" s="641"/>
      <c r="AL20" s="641" t="s">
        <v>818</v>
      </c>
      <c r="AM20" s="836"/>
      <c r="AN20" s="837"/>
    </row>
    <row r="21" spans="2:43" x14ac:dyDescent="0.3">
      <c r="B21" s="640"/>
      <c r="C21" s="457"/>
      <c r="D21" s="457"/>
      <c r="E21" s="457"/>
      <c r="F21" s="457"/>
      <c r="G21" s="457"/>
      <c r="H21" s="457"/>
      <c r="I21" s="457"/>
      <c r="J21" s="663"/>
      <c r="K21" s="664"/>
      <c r="M21" s="1478" t="s">
        <v>1033</v>
      </c>
      <c r="N21" s="1479"/>
      <c r="O21" s="1005"/>
      <c r="P21" s="962"/>
      <c r="R21" s="640"/>
      <c r="S21" s="457"/>
      <c r="T21" s="457"/>
      <c r="U21" s="457"/>
      <c r="V21" s="457"/>
      <c r="W21" s="457"/>
      <c r="X21" s="457"/>
      <c r="Y21" s="654">
        <v>180</v>
      </c>
      <c r="Z21" s="666"/>
      <c r="AB21" s="818" t="s">
        <v>26</v>
      </c>
      <c r="AC21" s="818">
        <v>28.5</v>
      </c>
      <c r="AE21" s="640"/>
      <c r="AF21" s="457"/>
      <c r="AH21" s="457"/>
      <c r="AI21" s="457"/>
      <c r="AJ21" s="457"/>
      <c r="AK21" s="457"/>
      <c r="AL21" s="457"/>
      <c r="AM21" s="663"/>
      <c r="AN21" s="664"/>
      <c r="AQ21" s="962"/>
    </row>
    <row r="22" spans="2:43" x14ac:dyDescent="0.3">
      <c r="B22" s="640"/>
      <c r="C22" s="457"/>
      <c r="D22" s="662">
        <f>IF(O8=0,ROUND(N8*0.985,0),ROUNDUP(O8*0.985,0))</f>
        <v>177</v>
      </c>
      <c r="E22" s="662"/>
      <c r="F22" s="662">
        <f>IF(O5=0,ROUNDUP(N5*0.985,0),O5-15)</f>
        <v>305</v>
      </c>
      <c r="G22" s="457" t="str">
        <f>"( "&amp;F22+15&amp;" для модели) * "</f>
        <v xml:space="preserve">( 320 для модели) * </v>
      </c>
      <c r="H22" s="457"/>
      <c r="I22" s="457"/>
      <c r="J22" s="1209"/>
      <c r="K22" s="664"/>
      <c r="M22" s="964" t="s">
        <v>1034</v>
      </c>
      <c r="N22" s="965" t="str">
        <f>Данные!E205</f>
        <v xml:space="preserve">11 </v>
      </c>
      <c r="O22" s="963"/>
      <c r="P22" s="963"/>
      <c r="R22" s="640"/>
      <c r="S22" s="457"/>
      <c r="T22" s="457"/>
      <c r="U22" s="457"/>
      <c r="V22" s="457"/>
      <c r="W22" s="457"/>
      <c r="X22" s="457"/>
      <c r="Y22" s="669"/>
      <c r="Z22" s="666"/>
      <c r="AB22" s="829"/>
      <c r="AC22" s="857"/>
      <c r="AE22" s="640"/>
      <c r="AG22" s="662">
        <v>113</v>
      </c>
      <c r="AH22" s="662"/>
      <c r="AI22" s="662">
        <f>ROUNDUP(AQ5*0.985,0)</f>
        <v>887</v>
      </c>
      <c r="AJ22" s="457" t="s">
        <v>1182</v>
      </c>
      <c r="AK22" s="457"/>
      <c r="AL22" s="457"/>
      <c r="AM22" s="663"/>
      <c r="AN22" s="664"/>
      <c r="AQ22" s="962"/>
    </row>
    <row r="23" spans="2:43" x14ac:dyDescent="0.3">
      <c r="B23" s="640"/>
      <c r="C23" s="457"/>
      <c r="D23" s="457"/>
      <c r="E23" s="457"/>
      <c r="F23" s="699" t="str">
        <f>"( "&amp;N18&amp;" )"</f>
        <v>( 210 )</v>
      </c>
      <c r="G23" s="457"/>
      <c r="H23" s="457"/>
      <c r="I23" s="457"/>
      <c r="J23" s="663"/>
      <c r="K23" s="664"/>
      <c r="M23" s="863" t="s">
        <v>996</v>
      </c>
      <c r="N23" s="965" t="str">
        <f>Данные!F205</f>
        <v xml:space="preserve"> 13 </v>
      </c>
      <c r="R23" s="865" t="s">
        <v>1066</v>
      </c>
      <c r="S23" s="457"/>
      <c r="T23" s="1206" t="str">
        <f>"Ø "&amp;ROUNDUP(AC12*0.994,0)</f>
        <v>Ø 423</v>
      </c>
      <c r="U23" s="457"/>
      <c r="V23" s="457"/>
      <c r="W23" s="457"/>
      <c r="X23" s="457"/>
      <c r="Y23" s="670" t="str">
        <f>"Ø "&amp;ROUND(AC14*0.994,0)</f>
        <v>Ø 316</v>
      </c>
      <c r="Z23" s="866" t="str">
        <f>"Ø "&amp;ROUND(AC13*0.985,0)</f>
        <v>Ø 394</v>
      </c>
      <c r="AB23" s="818" t="s">
        <v>30</v>
      </c>
      <c r="AC23" s="815"/>
      <c r="AE23" s="640"/>
      <c r="AF23" s="457"/>
      <c r="AG23" s="457"/>
      <c r="AH23" s="457"/>
      <c r="AI23" s="675" t="str">
        <f>"( "&amp;AQ17&amp;" )"</f>
        <v>( 780 )</v>
      </c>
      <c r="AJ23" s="457"/>
      <c r="AK23" s="457"/>
      <c r="AL23" s="457"/>
      <c r="AM23" s="663"/>
      <c r="AN23" s="664"/>
    </row>
    <row r="24" spans="2:43" x14ac:dyDescent="0.3">
      <c r="B24" s="640"/>
      <c r="C24" s="457"/>
      <c r="D24" s="457"/>
      <c r="E24" s="838">
        <v>15</v>
      </c>
      <c r="F24" s="457"/>
      <c r="G24" s="457"/>
      <c r="H24" s="457"/>
      <c r="I24" s="457"/>
      <c r="J24" s="457"/>
      <c r="K24" s="666"/>
      <c r="M24" s="863" t="s">
        <v>997</v>
      </c>
      <c r="N24" s="965" t="str">
        <f>Данные!G205</f>
        <v xml:space="preserve"> 13</v>
      </c>
      <c r="R24" s="867"/>
      <c r="S24" s="457"/>
      <c r="T24" s="868" t="s">
        <v>976</v>
      </c>
      <c r="U24" s="674"/>
      <c r="V24" s="457"/>
      <c r="W24" s="457"/>
      <c r="X24" s="457"/>
      <c r="Y24" s="675" t="str">
        <f>"("&amp;AC25&amp;")"</f>
        <v>(348)</v>
      </c>
      <c r="Z24" s="869" t="str">
        <f>"("&amp;AC24&amp;")"</f>
        <v>(379,5)</v>
      </c>
      <c r="AB24" s="815" t="s">
        <v>3</v>
      </c>
      <c r="AC24" s="858">
        <v>379.5</v>
      </c>
      <c r="AE24" s="640"/>
      <c r="AF24" s="457"/>
      <c r="AG24" s="457"/>
      <c r="AH24" s="838">
        <v>18</v>
      </c>
      <c r="AI24" s="457"/>
      <c r="AJ24" s="457"/>
      <c r="AK24" s="457"/>
      <c r="AL24" s="457"/>
      <c r="AM24" s="457"/>
      <c r="AN24" s="666"/>
    </row>
    <row r="25" spans="2:43" x14ac:dyDescent="0.3">
      <c r="B25" s="640"/>
      <c r="C25" s="457"/>
      <c r="D25" s="457"/>
      <c r="E25" s="457"/>
      <c r="F25" s="457"/>
      <c r="G25" s="457"/>
      <c r="H25" s="457"/>
      <c r="I25" s="457"/>
      <c r="J25" s="667"/>
      <c r="K25" s="666"/>
      <c r="M25" s="863" t="s">
        <v>1035</v>
      </c>
      <c r="N25" s="965">
        <f>Данные!D238</f>
        <v>20</v>
      </c>
      <c r="R25" s="640"/>
      <c r="S25" s="457"/>
      <c r="T25" s="457"/>
      <c r="U25" s="457"/>
      <c r="V25" s="457"/>
      <c r="W25" s="457"/>
      <c r="X25" s="457"/>
      <c r="Y25" s="668"/>
      <c r="Z25" s="666"/>
      <c r="AB25" s="815" t="s">
        <v>5</v>
      </c>
      <c r="AC25" s="858">
        <v>348</v>
      </c>
      <c r="AE25" s="640"/>
      <c r="AF25" s="457"/>
      <c r="AG25" s="457"/>
      <c r="AH25" s="457"/>
      <c r="AI25" s="457"/>
      <c r="AJ25" s="457"/>
      <c r="AK25" s="457"/>
      <c r="AL25" s="457"/>
      <c r="AM25" s="667"/>
      <c r="AN25" s="666"/>
      <c r="AQ25" s="642">
        <f>((2157*2157-1977*1977)*3.1415926*400*AQ6)/4000000</f>
        <v>2127.3269158159201</v>
      </c>
    </row>
    <row r="26" spans="2:43" x14ac:dyDescent="0.3">
      <c r="B26" s="640"/>
      <c r="C26" s="457"/>
      <c r="D26" s="457"/>
      <c r="E26" s="457"/>
      <c r="F26" s="457"/>
      <c r="G26" s="457"/>
      <c r="H26" s="657">
        <v>80</v>
      </c>
      <c r="J26" s="668"/>
      <c r="K26" s="666"/>
      <c r="M26" s="858" t="s">
        <v>1050</v>
      </c>
      <c r="N26" s="858">
        <v>40</v>
      </c>
      <c r="R26" s="640"/>
      <c r="S26" s="457"/>
      <c r="T26" s="457"/>
      <c r="U26" s="457"/>
      <c r="V26" s="457"/>
      <c r="W26" s="457"/>
      <c r="X26" s="457"/>
      <c r="Y26" s="668"/>
      <c r="Z26" s="666"/>
      <c r="AB26" s="815" t="s">
        <v>8</v>
      </c>
      <c r="AC26" s="858">
        <v>1380</v>
      </c>
      <c r="AE26" s="839"/>
      <c r="AF26" s="457"/>
      <c r="AG26" s="457"/>
      <c r="AH26" s="457"/>
      <c r="AI26" s="457"/>
      <c r="AJ26" s="457"/>
      <c r="AK26" s="457"/>
      <c r="AL26" s="654">
        <v>80</v>
      </c>
      <c r="AM26" s="668"/>
      <c r="AN26" s="666"/>
      <c r="AQ26" s="642">
        <f>AQ25*2/3</f>
        <v>1418.21794387728</v>
      </c>
    </row>
    <row r="27" spans="2:43" ht="16.2" thickBot="1" x14ac:dyDescent="0.35">
      <c r="B27" s="640"/>
      <c r="C27" s="457"/>
      <c r="D27" s="457"/>
      <c r="E27" s="457"/>
      <c r="F27" s="457"/>
      <c r="G27" s="457"/>
      <c r="H27" s="457"/>
      <c r="I27" s="457"/>
      <c r="J27" s="669"/>
      <c r="K27" s="666"/>
      <c r="M27" s="1489" t="s">
        <v>269</v>
      </c>
      <c r="N27" s="1489"/>
      <c r="R27" s="640"/>
      <c r="S27" s="676"/>
      <c r="T27" s="457"/>
      <c r="U27" s="677"/>
      <c r="V27" s="673"/>
      <c r="W27" s="457"/>
      <c r="X27" s="457"/>
      <c r="Y27" s="668"/>
      <c r="Z27" s="666"/>
      <c r="AB27" s="818" t="s">
        <v>19</v>
      </c>
      <c r="AC27" s="818">
        <f>ROUNDUP(((AC24*AC24-AC25*AC25)*3.1415926*AC26*AC16)/4000000,0)</f>
        <v>229</v>
      </c>
      <c r="AE27" s="840"/>
      <c r="AF27" s="457"/>
      <c r="AG27" s="457"/>
      <c r="AH27" s="457"/>
      <c r="AI27" s="457"/>
      <c r="AJ27" s="457"/>
      <c r="AK27" s="457"/>
      <c r="AL27" s="457"/>
      <c r="AM27" s="669"/>
      <c r="AN27" s="666"/>
      <c r="AQ27" s="642">
        <f>AQ25/3</f>
        <v>709.10897193864002</v>
      </c>
    </row>
    <row r="28" spans="2:43" ht="16.2" thickBot="1" x14ac:dyDescent="0.35">
      <c r="B28" s="640"/>
      <c r="C28" s="457"/>
      <c r="D28" s="457"/>
      <c r="E28" s="457"/>
      <c r="F28" s="457"/>
      <c r="G28" s="457"/>
      <c r="H28" s="457"/>
      <c r="I28" s="654">
        <f>IF(O4=0,N17-N24*2,ROUNDDOWN(O4*0.994,0))</f>
        <v>1024</v>
      </c>
      <c r="J28" s="827">
        <f>IF(O3=0,ROUNDUP(N3*0.985,0),ROUNDUP(O3*0.985,0))</f>
        <v>1123</v>
      </c>
      <c r="K28" s="666"/>
      <c r="M28" s="1490" t="s">
        <v>277</v>
      </c>
      <c r="N28" s="1490"/>
      <c r="R28" s="640"/>
      <c r="S28" s="676"/>
      <c r="T28" s="457" t="str">
        <f>IF(Данные!U33=TRUE,"ХХХХХХХХХХХХХХХХХХХХХХХХХХХХХХХХХХХХХХ","")</f>
        <v/>
      </c>
      <c r="U28" s="677"/>
      <c r="V28" s="673"/>
      <c r="W28" s="457"/>
      <c r="X28" s="457"/>
      <c r="Y28" s="668"/>
      <c r="Z28" s="666"/>
      <c r="AB28" s="830" t="s">
        <v>271</v>
      </c>
      <c r="AC28" s="859">
        <v>256</v>
      </c>
      <c r="AE28" s="640"/>
      <c r="AF28" s="457"/>
      <c r="AG28" s="457"/>
      <c r="AH28" s="457"/>
      <c r="AI28" s="457"/>
      <c r="AJ28" s="457"/>
      <c r="AK28" s="457"/>
      <c r="AL28" s="671" t="str">
        <f>"Ø "&amp;ROUNDDOWN(AQ4*0.994,0)</f>
        <v>Ø 377</v>
      </c>
      <c r="AM28" s="671" t="str">
        <f>"Ø "&amp;ROUNDUP(AQ3*0.985,0)</f>
        <v>Ø 454</v>
      </c>
      <c r="AN28" s="666"/>
      <c r="AQ28" s="1014">
        <v>1461</v>
      </c>
    </row>
    <row r="29" spans="2:43" x14ac:dyDescent="0.3">
      <c r="B29" s="640"/>
      <c r="C29" s="457"/>
      <c r="D29" s="457"/>
      <c r="E29" s="673"/>
      <c r="F29" s="674"/>
      <c r="G29" s="457"/>
      <c r="H29" s="457"/>
      <c r="I29" s="649" t="str">
        <f>"("&amp;N17&amp;")"</f>
        <v>(1050)</v>
      </c>
      <c r="J29" s="649" t="str">
        <f>"("&amp;N16&amp;")"</f>
        <v>(1100)</v>
      </c>
      <c r="K29" s="666"/>
      <c r="M29" s="1490" t="s">
        <v>1036</v>
      </c>
      <c r="N29" s="1490"/>
      <c r="R29" s="640"/>
      <c r="S29" s="457"/>
      <c r="T29" s="457"/>
      <c r="U29" s="654" t="str">
        <f>"Ø "&amp;ROUNDUP(AC11*0.985,0)</f>
        <v>Ø 537</v>
      </c>
      <c r="V29" s="674"/>
      <c r="W29" s="678"/>
      <c r="X29" s="457"/>
      <c r="Y29" s="668"/>
      <c r="Z29" s="666"/>
      <c r="AB29" s="832"/>
      <c r="AC29" s="655"/>
      <c r="AE29" s="640"/>
      <c r="AF29" s="457"/>
      <c r="AG29" s="457"/>
      <c r="AH29" s="673"/>
      <c r="AI29" s="674"/>
      <c r="AJ29" s="457"/>
      <c r="AK29" s="457"/>
      <c r="AL29" s="674" t="str">
        <f>"("&amp;AQ16&amp;")"</f>
        <v>(400)</v>
      </c>
      <c r="AM29" s="674" t="str">
        <f>"("&amp;AQ15&amp;")"</f>
        <v>(440)</v>
      </c>
      <c r="AN29" s="666"/>
      <c r="AQ29" s="642">
        <f>AQ28/9.3*9.1</f>
        <v>1429.5806451612902</v>
      </c>
    </row>
    <row r="30" spans="2:43" x14ac:dyDescent="0.3">
      <c r="B30" s="640"/>
      <c r="C30" s="457"/>
      <c r="D30" s="457"/>
      <c r="E30" s="457"/>
      <c r="F30" s="457"/>
      <c r="G30" s="457"/>
      <c r="H30" s="457"/>
      <c r="I30" s="457"/>
      <c r="J30" s="668"/>
      <c r="K30" s="666"/>
      <c r="M30" s="1291"/>
      <c r="N30" s="655"/>
      <c r="R30" s="640"/>
      <c r="S30" s="842" t="s">
        <v>359</v>
      </c>
      <c r="T30" s="843">
        <v>10</v>
      </c>
      <c r="U30" s="669" t="s">
        <v>975</v>
      </c>
      <c r="V30" s="457"/>
      <c r="W30" s="654"/>
      <c r="X30" s="457"/>
      <c r="Y30" s="668"/>
      <c r="Z30" s="666"/>
      <c r="AB30" s="861"/>
      <c r="AC30" s="862"/>
      <c r="AE30" s="640"/>
      <c r="AF30" s="457"/>
      <c r="AG30" s="457"/>
      <c r="AH30" s="457"/>
      <c r="AI30" s="457"/>
      <c r="AJ30" s="457"/>
      <c r="AK30" s="457"/>
      <c r="AL30" s="457"/>
      <c r="AM30" s="668"/>
      <c r="AN30" s="666"/>
      <c r="AQ30" s="1152"/>
    </row>
    <row r="31" spans="2:43" ht="16.2" thickBot="1" x14ac:dyDescent="0.35">
      <c r="B31" s="640"/>
      <c r="C31" s="457"/>
      <c r="D31" s="457"/>
      <c r="E31" s="457"/>
      <c r="F31" s="457"/>
      <c r="G31" s="457"/>
      <c r="H31" s="457"/>
      <c r="I31" s="457"/>
      <c r="J31" s="668"/>
      <c r="K31" s="666"/>
      <c r="R31" s="658"/>
      <c r="S31" s="659"/>
      <c r="T31" s="659"/>
      <c r="U31" s="659"/>
      <c r="V31" s="659"/>
      <c r="W31" s="844" t="str">
        <f>IF(Данные!U34=TRUE,"Протянуть модель до  размера","")</f>
        <v/>
      </c>
      <c r="X31" s="659"/>
      <c r="Y31" s="845"/>
      <c r="Z31" s="846"/>
      <c r="AB31" s="864"/>
      <c r="AC31" s="862"/>
      <c r="AE31" s="640"/>
      <c r="AF31" s="457"/>
      <c r="AG31" s="457"/>
      <c r="AH31" s="457"/>
      <c r="AI31" s="457"/>
      <c r="AJ31" s="457"/>
      <c r="AK31" s="457"/>
      <c r="AL31" s="457"/>
      <c r="AM31" s="668"/>
      <c r="AN31" s="666"/>
    </row>
    <row r="32" spans="2:43" x14ac:dyDescent="0.3">
      <c r="B32" s="640"/>
      <c r="C32" s="676"/>
      <c r="D32" s="676"/>
      <c r="E32" s="457"/>
      <c r="F32" s="677"/>
      <c r="G32" s="673"/>
      <c r="H32" s="457"/>
      <c r="I32" s="457"/>
      <c r="J32" s="668"/>
      <c r="K32" s="666"/>
      <c r="R32" s="647" t="s">
        <v>48</v>
      </c>
      <c r="S32" s="641"/>
      <c r="T32" s="641"/>
      <c r="U32" s="835"/>
      <c r="V32" s="641"/>
      <c r="W32" s="641" t="s">
        <v>49</v>
      </c>
      <c r="X32" s="641"/>
      <c r="Y32" s="873"/>
      <c r="Z32" s="874"/>
      <c r="AE32" s="640"/>
      <c r="AF32" s="676"/>
      <c r="AG32" s="676"/>
      <c r="AH32" s="457"/>
      <c r="AI32" s="677"/>
      <c r="AJ32" s="673"/>
      <c r="AK32" s="457"/>
      <c r="AL32" s="457"/>
      <c r="AM32" s="668"/>
      <c r="AN32" s="666"/>
    </row>
    <row r="33" spans="2:40" ht="16.2" thickBot="1" x14ac:dyDescent="0.35">
      <c r="B33" s="640"/>
      <c r="C33" s="676"/>
      <c r="D33" s="676"/>
      <c r="E33" s="457" t="str">
        <f>IF(Данные!F33=TRUE,"ХХХХХХХХХХХХХХХХХХХХХХХХХХХХХХХХХХХ","")</f>
        <v/>
      </c>
      <c r="F33" s="677"/>
      <c r="G33" s="673"/>
      <c r="H33" s="457"/>
      <c r="I33" s="457"/>
      <c r="J33" s="668"/>
      <c r="K33" s="666"/>
      <c r="M33" s="872"/>
      <c r="R33" s="640" t="s">
        <v>50</v>
      </c>
      <c r="S33" s="457"/>
      <c r="T33" s="457"/>
      <c r="U33" s="457" t="str">
        <f>VLOOKUP(V8,Данные!A3:I27,6,FALSE())</f>
        <v>25010.00173</v>
      </c>
      <c r="V33" s="457"/>
      <c r="W33" s="457" t="s">
        <v>51</v>
      </c>
      <c r="X33" s="457"/>
      <c r="Y33" s="457">
        <v>441</v>
      </c>
      <c r="Z33" s="666"/>
      <c r="AE33" s="640"/>
      <c r="AF33" s="676"/>
      <c r="AG33" s="676"/>
      <c r="AH33" s="457" t="str">
        <f>IF(Данные!AI33=TRUE,"ХХХХХХХХХХХХХХХХХХХХХХХХХХХХХХХХХХХ","")</f>
        <v/>
      </c>
      <c r="AI33" s="677"/>
      <c r="AJ33" s="673"/>
      <c r="AK33" s="457"/>
      <c r="AL33" s="457"/>
      <c r="AM33" s="668"/>
      <c r="AN33" s="666"/>
    </row>
    <row r="34" spans="2:40" x14ac:dyDescent="0.3">
      <c r="B34" s="640"/>
      <c r="C34" s="457"/>
      <c r="D34" s="457"/>
      <c r="E34" s="457"/>
      <c r="F34" s="877" t="str">
        <f>IF(Данные!F34=TRUE,"Формовать в обратном порядке.   Протянуть модель до  размера  * ","")</f>
        <v/>
      </c>
      <c r="G34" s="674"/>
      <c r="I34" s="457"/>
      <c r="J34" s="668"/>
      <c r="K34" s="666"/>
      <c r="M34" s="647" t="s">
        <v>355</v>
      </c>
      <c r="N34" s="641"/>
      <c r="O34" s="641"/>
      <c r="P34" s="1023" t="s">
        <v>416</v>
      </c>
      <c r="R34" s="640" t="s">
        <v>52</v>
      </c>
      <c r="S34" s="457"/>
      <c r="T34" s="457"/>
      <c r="U34" s="878" t="str">
        <f>IF(AJ10&gt;1900,Данные!G4,Данные!G3)</f>
        <v>25011.00007</v>
      </c>
      <c r="V34" s="457"/>
      <c r="W34" s="457" t="s">
        <v>53</v>
      </c>
      <c r="X34" s="457" t="s">
        <v>54</v>
      </c>
      <c r="Y34" s="667"/>
      <c r="Z34" s="666"/>
      <c r="AB34" s="870" t="s">
        <v>379</v>
      </c>
      <c r="AC34" s="870"/>
      <c r="AE34" s="640"/>
      <c r="AF34" s="457"/>
      <c r="AG34" s="457"/>
      <c r="AI34" s="457"/>
      <c r="AJ34" s="674"/>
      <c r="AK34" s="678"/>
      <c r="AL34" s="457"/>
      <c r="AM34" s="668"/>
      <c r="AN34" s="666"/>
    </row>
    <row r="35" spans="2:40" ht="16.2" thickBot="1" x14ac:dyDescent="0.35">
      <c r="B35" s="640"/>
      <c r="C35" s="842" t="s">
        <v>359</v>
      </c>
      <c r="D35" s="843">
        <v>10</v>
      </c>
      <c r="E35" s="457"/>
      <c r="F35" s="636" t="str">
        <f>IF(Данные!C37=TRUE,"Модель нашить до размера Ø = "&amp;N3&amp;" мм.","")</f>
        <v/>
      </c>
      <c r="G35" s="636"/>
      <c r="H35" s="636"/>
      <c r="I35" s="636"/>
      <c r="J35" s="668"/>
      <c r="K35" s="666"/>
      <c r="M35" s="658" t="s">
        <v>1067</v>
      </c>
      <c r="N35" s="659"/>
      <c r="O35" s="659"/>
      <c r="P35" s="1024">
        <v>4</v>
      </c>
      <c r="R35" s="640" t="s">
        <v>947</v>
      </c>
      <c r="S35" s="457"/>
      <c r="T35" s="457"/>
      <c r="U35" s="841" t="s">
        <v>814</v>
      </c>
      <c r="V35" s="457"/>
      <c r="W35" s="457" t="s">
        <v>55</v>
      </c>
      <c r="X35" s="457" t="s">
        <v>56</v>
      </c>
      <c r="Y35" s="668"/>
      <c r="Z35" s="664"/>
      <c r="AB35" s="871" t="s">
        <v>817</v>
      </c>
      <c r="AC35" s="871" t="s">
        <v>816</v>
      </c>
      <c r="AE35" s="640"/>
      <c r="AF35" s="842" t="s">
        <v>359</v>
      </c>
      <c r="AG35" s="843">
        <v>10</v>
      </c>
      <c r="AH35" s="646"/>
      <c r="AI35" s="457"/>
      <c r="AJ35" s="457"/>
      <c r="AK35" s="654"/>
      <c r="AL35" s="457"/>
      <c r="AM35" s="668"/>
      <c r="AN35" s="666"/>
    </row>
    <row r="36" spans="2:40" ht="16.2" thickBot="1" x14ac:dyDescent="0.35">
      <c r="B36" s="658"/>
      <c r="C36" s="659"/>
      <c r="D36" s="659"/>
      <c r="E36" s="659"/>
      <c r="F36" s="659"/>
      <c r="G36" s="659"/>
      <c r="H36" s="659"/>
      <c r="I36" s="659"/>
      <c r="J36" s="845"/>
      <c r="K36" s="846"/>
      <c r="M36" s="642" t="s">
        <v>407</v>
      </c>
      <c r="P36" s="642">
        <v>2.0449999999999999</v>
      </c>
      <c r="R36" s="640" t="s">
        <v>57</v>
      </c>
      <c r="S36" s="457"/>
      <c r="T36" s="457"/>
      <c r="U36" s="654" t="s">
        <v>58</v>
      </c>
      <c r="V36" s="457"/>
      <c r="W36" s="457" t="s">
        <v>59</v>
      </c>
      <c r="X36" s="457"/>
      <c r="Y36" s="669"/>
      <c r="Z36" s="664"/>
      <c r="AB36" s="870" t="s">
        <v>973</v>
      </c>
      <c r="AC36" s="870"/>
      <c r="AE36" s="658"/>
      <c r="AF36" s="659"/>
      <c r="AG36" s="659"/>
      <c r="AH36" s="659"/>
      <c r="AI36" s="659"/>
      <c r="AJ36" s="659"/>
      <c r="AK36" s="844" t="str">
        <f>IF(Данные!AI34=TRUE,"Протянуть модель до  размера","")</f>
        <v/>
      </c>
      <c r="AL36" s="659"/>
      <c r="AM36" s="845"/>
      <c r="AN36" s="846"/>
    </row>
    <row r="37" spans="2:40" x14ac:dyDescent="0.3">
      <c r="B37" s="640" t="s">
        <v>48</v>
      </c>
      <c r="C37" s="457"/>
      <c r="D37" s="457"/>
      <c r="E37" s="457"/>
      <c r="F37" s="654"/>
      <c r="G37" s="457"/>
      <c r="I37" s="457" t="s">
        <v>49</v>
      </c>
      <c r="J37" s="668"/>
      <c r="K37" s="666"/>
      <c r="M37" s="642" t="s">
        <v>1110</v>
      </c>
      <c r="R37" s="640" t="s">
        <v>60</v>
      </c>
      <c r="S37" s="457"/>
      <c r="T37" s="457"/>
      <c r="U37" s="679">
        <v>1.4999999999999999E-2</v>
      </c>
      <c r="V37" s="457"/>
      <c r="W37" s="457" t="s">
        <v>61</v>
      </c>
      <c r="X37" s="457"/>
      <c r="Y37" s="663"/>
      <c r="Z37" s="664"/>
      <c r="AB37" s="642" t="s">
        <v>817</v>
      </c>
      <c r="AC37" s="642" t="s">
        <v>816</v>
      </c>
      <c r="AE37" s="640" t="s">
        <v>48</v>
      </c>
      <c r="AF37" s="457"/>
      <c r="AG37" s="457"/>
      <c r="AH37" s="457"/>
      <c r="AI37" s="654"/>
      <c r="AJ37" s="457"/>
      <c r="AL37" s="457" t="s">
        <v>49</v>
      </c>
      <c r="AM37" s="668"/>
      <c r="AN37" s="666"/>
    </row>
    <row r="38" spans="2:40" x14ac:dyDescent="0.3">
      <c r="B38" s="640" t="s">
        <v>50</v>
      </c>
      <c r="C38" s="457"/>
      <c r="D38" s="457"/>
      <c r="E38" s="457"/>
      <c r="F38" s="828" t="str">
        <f>VLOOKUP(G8,Данные!A3:I27,6,FALSE())</f>
        <v>25010.00176</v>
      </c>
      <c r="G38" s="457"/>
      <c r="I38" s="457" t="s">
        <v>51</v>
      </c>
      <c r="J38" s="642">
        <f>ROUNDUP(I28*I28*3.1415296*(H26+N5+N8)*2.045/4000000,0)</f>
        <v>942</v>
      </c>
      <c r="K38" s="847" t="s">
        <v>406</v>
      </c>
      <c r="M38" s="642" t="s">
        <v>1248</v>
      </c>
      <c r="N38" s="642" t="s">
        <v>1253</v>
      </c>
      <c r="R38" s="640" t="s">
        <v>55</v>
      </c>
      <c r="S38" s="457"/>
      <c r="T38" s="457"/>
      <c r="U38" s="654" t="s">
        <v>56</v>
      </c>
      <c r="V38" s="646"/>
      <c r="W38" s="457" t="s">
        <v>62</v>
      </c>
      <c r="X38" s="457"/>
      <c r="Y38" s="457"/>
      <c r="Z38" s="644"/>
      <c r="AE38" s="640" t="s">
        <v>50</v>
      </c>
      <c r="AF38" s="457"/>
      <c r="AG38" s="457"/>
      <c r="AH38" s="457"/>
      <c r="AI38" s="828" t="str">
        <f>VLOOKUP(V8,Данные!A3:I27,6,FALSE())</f>
        <v>25010.00173</v>
      </c>
      <c r="AJ38" s="457"/>
      <c r="AL38" s="457" t="s">
        <v>51</v>
      </c>
      <c r="AM38" s="642">
        <f>ROUNDUP(AQ4*0.994*AQ4*0.994*3.1415296*(AL26+AQ5+AQ7+5)*2.01/4000000,0)</f>
        <v>248</v>
      </c>
      <c r="AN38" s="847" t="s">
        <v>406</v>
      </c>
    </row>
    <row r="39" spans="2:40" x14ac:dyDescent="0.3">
      <c r="B39" s="640" t="s">
        <v>52</v>
      </c>
      <c r="C39" s="457"/>
      <c r="D39" s="457"/>
      <c r="E39" s="457"/>
      <c r="F39" s="848" t="str">
        <f>IF(G13&gt;1900,Данные!G4,Данные!G3)</f>
        <v>25011.00007</v>
      </c>
      <c r="G39" s="457"/>
      <c r="I39" s="457" t="s">
        <v>53</v>
      </c>
      <c r="J39" s="657" t="s">
        <v>54</v>
      </c>
      <c r="K39" s="666"/>
      <c r="M39" s="642" t="s">
        <v>1249</v>
      </c>
      <c r="N39" s="642" t="s">
        <v>1251</v>
      </c>
      <c r="R39" s="640" t="s">
        <v>812</v>
      </c>
      <c r="S39" s="457"/>
      <c r="T39" s="457"/>
      <c r="U39" s="457" t="s">
        <v>815</v>
      </c>
      <c r="V39" s="654"/>
      <c r="W39" s="457" t="s">
        <v>64</v>
      </c>
      <c r="X39" s="457"/>
      <c r="Y39" s="457"/>
      <c r="Z39" s="644"/>
      <c r="AC39" s="642">
        <v>4844205002</v>
      </c>
      <c r="AE39" s="640" t="s">
        <v>52</v>
      </c>
      <c r="AF39" s="457"/>
      <c r="AG39" s="457"/>
      <c r="AH39" s="457"/>
      <c r="AI39" s="848" t="str">
        <f>IF(AJ13&gt;1900,Данные!G4,Данные!G3)</f>
        <v>25011.00008</v>
      </c>
      <c r="AJ39" s="457"/>
      <c r="AL39" s="457" t="s">
        <v>53</v>
      </c>
      <c r="AM39" s="657" t="s">
        <v>54</v>
      </c>
      <c r="AN39" s="666"/>
    </row>
    <row r="40" spans="2:40" x14ac:dyDescent="0.3">
      <c r="B40" s="640" t="s">
        <v>947</v>
      </c>
      <c r="C40" s="457"/>
      <c r="D40" s="457"/>
      <c r="E40" s="457"/>
      <c r="F40" s="841" t="str">
        <f>Данные!H34</f>
        <v>1080-1100</v>
      </c>
      <c r="G40" s="457" t="s">
        <v>803</v>
      </c>
      <c r="I40" s="457" t="s">
        <v>55</v>
      </c>
      <c r="J40" s="657" t="s">
        <v>56</v>
      </c>
      <c r="K40" s="664"/>
      <c r="M40" s="642" t="s">
        <v>1250</v>
      </c>
      <c r="N40" s="642" t="s">
        <v>1252</v>
      </c>
      <c r="R40" s="640"/>
      <c r="S40" s="457"/>
      <c r="U40" s="654" t="s">
        <v>813</v>
      </c>
      <c r="V40" s="649"/>
      <c r="W40" s="457" t="s">
        <v>65</v>
      </c>
      <c r="X40" s="457"/>
      <c r="Y40" s="457"/>
      <c r="Z40" s="644"/>
      <c r="AB40" s="642" t="s">
        <v>668</v>
      </c>
      <c r="AC40" s="870" t="s">
        <v>660</v>
      </c>
      <c r="AE40" s="640" t="s">
        <v>947</v>
      </c>
      <c r="AF40" s="457"/>
      <c r="AG40" s="457"/>
      <c r="AH40" s="457"/>
      <c r="AI40" s="841" t="s">
        <v>117</v>
      </c>
      <c r="AJ40" s="457" t="s">
        <v>803</v>
      </c>
      <c r="AL40" s="457" t="s">
        <v>55</v>
      </c>
      <c r="AM40" s="657" t="s">
        <v>56</v>
      </c>
      <c r="AN40" s="664"/>
    </row>
    <row r="41" spans="2:40" x14ac:dyDescent="0.3">
      <c r="B41" s="640" t="s">
        <v>57</v>
      </c>
      <c r="C41" s="457"/>
      <c r="D41" s="457"/>
      <c r="E41" s="457"/>
      <c r="F41" s="654" t="s">
        <v>58</v>
      </c>
      <c r="G41" s="457"/>
      <c r="I41" s="457" t="s">
        <v>59</v>
      </c>
      <c r="J41" s="669"/>
      <c r="K41" s="664"/>
      <c r="M41" s="642" t="s">
        <v>1257</v>
      </c>
      <c r="R41" s="640"/>
      <c r="S41" s="457"/>
      <c r="U41" s="654"/>
      <c r="V41" s="649"/>
      <c r="W41" s="457"/>
      <c r="X41" s="457"/>
      <c r="Y41" s="457"/>
      <c r="Z41" s="644"/>
      <c r="AB41" s="828">
        <v>30</v>
      </c>
      <c r="AC41" s="870" t="s">
        <v>381</v>
      </c>
      <c r="AE41" s="640" t="s">
        <v>57</v>
      </c>
      <c r="AF41" s="457"/>
      <c r="AG41" s="457"/>
      <c r="AH41" s="457"/>
      <c r="AI41" s="654" t="s">
        <v>58</v>
      </c>
      <c r="AJ41" s="457"/>
      <c r="AL41" s="457" t="s">
        <v>59</v>
      </c>
      <c r="AM41" s="669"/>
      <c r="AN41" s="664"/>
    </row>
    <row r="42" spans="2:40" x14ac:dyDescent="0.3">
      <c r="B42" s="640" t="s">
        <v>53</v>
      </c>
      <c r="C42" s="457"/>
      <c r="D42" s="457"/>
      <c r="E42" s="457"/>
      <c r="F42" s="679" t="s">
        <v>54</v>
      </c>
      <c r="G42" s="457"/>
      <c r="I42" s="457" t="s">
        <v>61</v>
      </c>
      <c r="J42" s="663"/>
      <c r="K42" s="664"/>
      <c r="R42" s="640"/>
      <c r="S42" s="636"/>
      <c r="T42" s="636"/>
      <c r="U42" s="654"/>
      <c r="V42" s="671"/>
      <c r="W42" s="636"/>
      <c r="X42" s="457"/>
      <c r="Y42" s="457"/>
      <c r="Z42" s="644"/>
      <c r="AB42" s="875">
        <v>125</v>
      </c>
      <c r="AC42" s="870" t="s">
        <v>382</v>
      </c>
      <c r="AE42" s="640" t="s">
        <v>53</v>
      </c>
      <c r="AF42" s="457"/>
      <c r="AG42" s="457"/>
      <c r="AH42" s="457"/>
      <c r="AI42" s="679" t="s">
        <v>54</v>
      </c>
      <c r="AJ42" s="457"/>
      <c r="AL42" s="457" t="s">
        <v>61</v>
      </c>
      <c r="AM42" s="663"/>
      <c r="AN42" s="664"/>
    </row>
    <row r="43" spans="2:40" ht="16.2" thickBot="1" x14ac:dyDescent="0.35">
      <c r="B43" s="640" t="s">
        <v>55</v>
      </c>
      <c r="C43" s="457"/>
      <c r="D43" s="457"/>
      <c r="E43" s="457"/>
      <c r="F43" s="654" t="s">
        <v>56</v>
      </c>
      <c r="G43" s="646"/>
      <c r="I43" s="457" t="s">
        <v>62</v>
      </c>
      <c r="J43" s="457"/>
      <c r="K43" s="644"/>
      <c r="R43" s="658"/>
      <c r="S43" s="659" t="s">
        <v>66</v>
      </c>
      <c r="T43" s="659"/>
      <c r="U43" s="686"/>
      <c r="V43" s="686" t="s">
        <v>67</v>
      </c>
      <c r="W43" s="659"/>
      <c r="X43" s="659"/>
      <c r="Y43" s="659"/>
      <c r="Z43" s="687"/>
      <c r="AC43" s="876" t="s">
        <v>659</v>
      </c>
      <c r="AE43" s="640" t="s">
        <v>55</v>
      </c>
      <c r="AF43" s="457"/>
      <c r="AG43" s="457"/>
      <c r="AH43" s="457"/>
      <c r="AI43" s="654" t="s">
        <v>56</v>
      </c>
      <c r="AJ43" s="646"/>
      <c r="AL43" s="457" t="s">
        <v>62</v>
      </c>
      <c r="AM43" s="457"/>
      <c r="AN43" s="644"/>
    </row>
    <row r="44" spans="2:40" ht="16.2" thickBot="1" x14ac:dyDescent="0.35">
      <c r="B44" s="640" t="s">
        <v>63</v>
      </c>
      <c r="C44" s="457"/>
      <c r="D44" s="457"/>
      <c r="E44" s="457"/>
      <c r="F44" s="841" t="str">
        <f>Данные!B30</f>
        <v>242.04.464-1</v>
      </c>
      <c r="G44" s="654" t="str">
        <f>IF(OR(Данные!G37="242.04.462",Данные!D30="242.04.462"),IF(Втулка!J28&gt;=1000," (две щели)"," (одна щель)"),"")</f>
        <v/>
      </c>
      <c r="I44" s="457" t="s">
        <v>804</v>
      </c>
      <c r="J44" s="457"/>
      <c r="K44" s="644"/>
      <c r="R44" s="647"/>
      <c r="S44" s="641" t="s">
        <v>68</v>
      </c>
      <c r="T44" s="648"/>
      <c r="U44" s="680" t="s">
        <v>69</v>
      </c>
      <c r="V44" s="681" t="s">
        <v>68</v>
      </c>
      <c r="W44" s="648"/>
      <c r="X44" s="641" t="s">
        <v>70</v>
      </c>
      <c r="Y44" s="641"/>
      <c r="Z44" s="648"/>
      <c r="AE44" s="640" t="s">
        <v>63</v>
      </c>
      <c r="AF44" s="457"/>
      <c r="AG44" s="457"/>
      <c r="AH44" s="457"/>
      <c r="AI44" s="841" t="s">
        <v>815</v>
      </c>
      <c r="AJ44" s="654" t="s">
        <v>1183</v>
      </c>
      <c r="AL44" s="457" t="s">
        <v>804</v>
      </c>
      <c r="AM44" s="457"/>
      <c r="AN44" s="644"/>
    </row>
    <row r="45" spans="2:40" ht="16.2" thickBot="1" x14ac:dyDescent="0.35">
      <c r="B45" s="640" t="s">
        <v>60</v>
      </c>
      <c r="C45" s="457"/>
      <c r="D45" s="457"/>
      <c r="E45" s="457"/>
      <c r="F45" s="679">
        <v>1.4999999999999999E-2</v>
      </c>
      <c r="G45" s="649"/>
      <c r="I45" s="457" t="s">
        <v>65</v>
      </c>
      <c r="J45" s="457"/>
      <c r="K45" s="644"/>
      <c r="N45" s="642">
        <f>446/1000*3.5</f>
        <v>1.5609999999999999</v>
      </c>
      <c r="R45" s="1482">
        <f ca="1">TODAY()</f>
        <v>45414</v>
      </c>
      <c r="S45" s="1482"/>
      <c r="T45" s="684"/>
      <c r="U45" s="682" t="s">
        <v>265</v>
      </c>
      <c r="V45" s="683"/>
      <c r="W45" s="684"/>
      <c r="X45" s="685" t="s">
        <v>266</v>
      </c>
      <c r="Y45" s="685"/>
      <c r="Z45" s="684"/>
      <c r="AE45" s="640" t="s">
        <v>60</v>
      </c>
      <c r="AF45" s="457"/>
      <c r="AG45" s="457"/>
      <c r="AH45" s="457"/>
      <c r="AI45" s="679">
        <v>1.4999999999999999E-2</v>
      </c>
      <c r="AJ45" s="649"/>
      <c r="AL45" s="457" t="s">
        <v>65</v>
      </c>
      <c r="AM45" s="457"/>
      <c r="AN45" s="644"/>
    </row>
    <row r="46" spans="2:40" ht="16.2" thickBot="1" x14ac:dyDescent="0.35">
      <c r="B46" s="640"/>
      <c r="C46" s="636"/>
      <c r="D46" s="636"/>
      <c r="E46" s="636"/>
      <c r="F46" s="671"/>
      <c r="G46" s="671"/>
      <c r="H46" s="636"/>
      <c r="I46" s="457"/>
      <c r="J46" s="457"/>
      <c r="K46" s="644"/>
      <c r="R46" s="658"/>
      <c r="S46" s="659" t="s">
        <v>71</v>
      </c>
      <c r="T46" s="684"/>
      <c r="U46" s="849"/>
      <c r="V46" s="659"/>
      <c r="W46" s="659"/>
      <c r="X46" s="659"/>
      <c r="Y46" s="659"/>
      <c r="Z46" s="687"/>
      <c r="AE46" s="640"/>
      <c r="AF46" s="636"/>
      <c r="AG46" s="636"/>
      <c r="AH46" s="636"/>
      <c r="AI46" s="671"/>
      <c r="AJ46" s="671"/>
      <c r="AK46" s="636"/>
      <c r="AL46" s="457"/>
      <c r="AM46" s="457"/>
      <c r="AN46" s="644"/>
    </row>
    <row r="47" spans="2:40" ht="16.2" thickBot="1" x14ac:dyDescent="0.35">
      <c r="B47" s="640"/>
      <c r="C47" s="457" t="s">
        <v>66</v>
      </c>
      <c r="D47" s="457"/>
      <c r="E47" s="457"/>
      <c r="F47" s="654"/>
      <c r="G47" s="654" t="s">
        <v>67</v>
      </c>
      <c r="H47" s="457"/>
      <c r="I47" s="457"/>
      <c r="J47" s="457"/>
      <c r="K47" s="644"/>
      <c r="R47" s="640"/>
      <c r="S47" s="457"/>
      <c r="T47" s="457"/>
      <c r="U47" s="457"/>
      <c r="V47" s="457"/>
      <c r="W47" s="457"/>
      <c r="X47" s="457"/>
      <c r="Y47" s="457"/>
      <c r="Z47" s="644"/>
      <c r="AE47" s="640"/>
      <c r="AF47" s="457" t="s">
        <v>66</v>
      </c>
      <c r="AG47" s="457"/>
      <c r="AH47" s="457"/>
      <c r="AI47" s="654"/>
      <c r="AJ47" s="654" t="s">
        <v>67</v>
      </c>
      <c r="AK47" s="457"/>
      <c r="AL47" s="457"/>
      <c r="AM47" s="457"/>
      <c r="AN47" s="644"/>
    </row>
    <row r="48" spans="2:40" ht="16.2" thickBot="1" x14ac:dyDescent="0.35">
      <c r="B48" s="647"/>
      <c r="C48" s="641" t="s">
        <v>68</v>
      </c>
      <c r="D48" s="641"/>
      <c r="E48" s="648"/>
      <c r="F48" s="680" t="s">
        <v>69</v>
      </c>
      <c r="G48" s="681" t="s">
        <v>68</v>
      </c>
      <c r="H48" s="648"/>
      <c r="I48" s="641" t="s">
        <v>70</v>
      </c>
      <c r="J48" s="641"/>
      <c r="K48" s="648"/>
      <c r="R48" s="1483" t="s">
        <v>6</v>
      </c>
      <c r="S48" s="1484"/>
      <c r="T48" s="1485"/>
      <c r="U48" s="691" t="s">
        <v>297</v>
      </c>
      <c r="V48" s="692" t="s">
        <v>298</v>
      </c>
      <c r="W48" s="691" t="s">
        <v>298</v>
      </c>
      <c r="X48" s="691" t="s">
        <v>299</v>
      </c>
      <c r="Y48" s="688" t="s">
        <v>300</v>
      </c>
      <c r="Z48" s="690"/>
      <c r="AB48" s="642">
        <f>ROUND(Y33*3.5/1000,3)</f>
        <v>1.544</v>
      </c>
      <c r="AE48" s="647"/>
      <c r="AF48" s="641" t="s">
        <v>68</v>
      </c>
      <c r="AG48" s="641"/>
      <c r="AH48" s="648"/>
      <c r="AI48" s="680" t="s">
        <v>69</v>
      </c>
      <c r="AJ48" s="681" t="s">
        <v>68</v>
      </c>
      <c r="AK48" s="648"/>
      <c r="AL48" s="641" t="s">
        <v>70</v>
      </c>
      <c r="AM48" s="641"/>
      <c r="AN48" s="648"/>
    </row>
    <row r="49" spans="2:41" ht="16.2" thickBot="1" x14ac:dyDescent="0.35">
      <c r="B49" s="1482">
        <f ca="1">TODAY()</f>
        <v>45414</v>
      </c>
      <c r="C49" s="1482"/>
      <c r="D49" s="779"/>
      <c r="E49" s="684"/>
      <c r="F49" s="682" t="s">
        <v>265</v>
      </c>
      <c r="G49" s="683"/>
      <c r="H49" s="684"/>
      <c r="I49" s="685" t="s">
        <v>266</v>
      </c>
      <c r="J49" s="685"/>
      <c r="K49" s="684"/>
      <c r="R49" s="1486" t="s">
        <v>301</v>
      </c>
      <c r="S49" s="1487"/>
      <c r="T49" s="1488"/>
      <c r="U49" s="696" t="s">
        <v>302</v>
      </c>
      <c r="V49" s="696" t="s">
        <v>303</v>
      </c>
      <c r="W49" s="696" t="s">
        <v>304</v>
      </c>
      <c r="X49" s="696"/>
      <c r="Y49" s="697" t="s">
        <v>305</v>
      </c>
      <c r="Z49" s="695"/>
      <c r="AE49" s="1482">
        <f ca="1">TODAY()</f>
        <v>45414</v>
      </c>
      <c r="AF49" s="1482"/>
      <c r="AG49" s="779"/>
      <c r="AH49" s="684"/>
      <c r="AI49" s="682" t="s">
        <v>265</v>
      </c>
      <c r="AJ49" s="683"/>
      <c r="AK49" s="684"/>
      <c r="AL49" s="685" t="s">
        <v>266</v>
      </c>
      <c r="AM49" s="685"/>
      <c r="AN49" s="684"/>
    </row>
    <row r="50" spans="2:41" ht="16.2" thickBot="1" x14ac:dyDescent="0.35">
      <c r="B50" s="1491" t="s">
        <v>71</v>
      </c>
      <c r="C50" s="1492"/>
      <c r="D50" s="659"/>
      <c r="E50" s="684"/>
      <c r="F50" s="849"/>
      <c r="G50" s="659"/>
      <c r="H50" s="659"/>
      <c r="I50" s="659"/>
      <c r="J50" s="659"/>
      <c r="K50" s="687"/>
      <c r="R50" s="693"/>
      <c r="S50" s="694" t="s">
        <v>405</v>
      </c>
      <c r="T50" s="694"/>
      <c r="U50" s="698">
        <v>40</v>
      </c>
      <c r="V50" s="699">
        <v>1</v>
      </c>
      <c r="W50" s="698">
        <v>20</v>
      </c>
      <c r="X50" s="696">
        <v>3</v>
      </c>
      <c r="Y50" s="1480">
        <f>ROUND(V13/AB50,3)</f>
        <v>7.2640000000000002</v>
      </c>
      <c r="Z50" s="1481"/>
      <c r="AB50" s="879">
        <v>201</v>
      </c>
      <c r="AE50" s="658"/>
      <c r="AF50" s="659" t="s">
        <v>71</v>
      </c>
      <c r="AG50" s="659"/>
      <c r="AH50" s="684"/>
      <c r="AI50" s="849"/>
      <c r="AJ50" s="659"/>
      <c r="AK50" s="659"/>
      <c r="AL50" s="659"/>
      <c r="AM50" s="659"/>
      <c r="AN50" s="687"/>
    </row>
    <row r="51" spans="2:41" ht="16.2" thickBot="1" x14ac:dyDescent="0.35">
      <c r="B51" s="640"/>
      <c r="C51" s="457"/>
      <c r="D51" s="457"/>
      <c r="E51" s="457"/>
      <c r="F51" s="457"/>
      <c r="G51" s="457"/>
      <c r="H51" s="457"/>
      <c r="I51" s="457"/>
      <c r="J51" s="457"/>
      <c r="K51" s="644"/>
      <c r="R51" s="693"/>
      <c r="S51" s="694" t="s">
        <v>49</v>
      </c>
      <c r="T51" s="694"/>
      <c r="U51" s="700">
        <v>40</v>
      </c>
      <c r="V51" s="701">
        <v>1</v>
      </c>
      <c r="W51" s="700">
        <v>20</v>
      </c>
      <c r="X51" s="696">
        <v>4</v>
      </c>
      <c r="Y51" s="1480">
        <f>ROUND(V14/AB51,3)</f>
        <v>4.33</v>
      </c>
      <c r="Z51" s="1481"/>
      <c r="AB51" s="879">
        <v>351</v>
      </c>
      <c r="AE51" s="640"/>
      <c r="AF51" s="457"/>
      <c r="AG51" s="457"/>
      <c r="AH51" s="457"/>
      <c r="AI51" s="457"/>
      <c r="AJ51" s="457"/>
      <c r="AK51" s="457"/>
      <c r="AL51" s="457"/>
      <c r="AM51" s="457"/>
      <c r="AN51" s="644"/>
    </row>
    <row r="52" spans="2:41" ht="16.2" thickBot="1" x14ac:dyDescent="0.35">
      <c r="B52" s="1483" t="s">
        <v>6</v>
      </c>
      <c r="C52" s="1484"/>
      <c r="D52" s="1484"/>
      <c r="E52" s="1485"/>
      <c r="F52" s="691" t="s">
        <v>297</v>
      </c>
      <c r="G52" s="692" t="s">
        <v>298</v>
      </c>
      <c r="H52" s="691" t="s">
        <v>298</v>
      </c>
      <c r="I52" s="691" t="s">
        <v>299</v>
      </c>
      <c r="J52" s="1480" t="s">
        <v>300</v>
      </c>
      <c r="K52" s="1481"/>
      <c r="AE52" s="1483" t="s">
        <v>6</v>
      </c>
      <c r="AF52" s="1484"/>
      <c r="AG52" s="1484"/>
      <c r="AH52" s="1485"/>
      <c r="AI52" s="691" t="s">
        <v>297</v>
      </c>
      <c r="AJ52" s="692" t="s">
        <v>298</v>
      </c>
      <c r="AK52" s="691" t="s">
        <v>298</v>
      </c>
      <c r="AL52" s="691" t="s">
        <v>299</v>
      </c>
      <c r="AM52" s="1480" t="s">
        <v>300</v>
      </c>
      <c r="AN52" s="1481"/>
    </row>
    <row r="53" spans="2:41" ht="16.2" thickBot="1" x14ac:dyDescent="0.35">
      <c r="B53" s="1486" t="s">
        <v>301</v>
      </c>
      <c r="C53" s="1487"/>
      <c r="D53" s="1487"/>
      <c r="E53" s="1488"/>
      <c r="F53" s="696" t="s">
        <v>302</v>
      </c>
      <c r="G53" s="696" t="s">
        <v>303</v>
      </c>
      <c r="H53" s="696" t="s">
        <v>304</v>
      </c>
      <c r="I53" s="696"/>
      <c r="J53" s="1480" t="s">
        <v>305</v>
      </c>
      <c r="K53" s="1481"/>
      <c r="M53" s="858" t="s">
        <v>1111</v>
      </c>
      <c r="N53" s="1493" t="s">
        <v>1112</v>
      </c>
      <c r="O53" s="1493"/>
      <c r="P53" s="1493"/>
      <c r="AE53" s="1486" t="s">
        <v>301</v>
      </c>
      <c r="AF53" s="1487"/>
      <c r="AG53" s="1487"/>
      <c r="AH53" s="1488"/>
      <c r="AI53" s="696" t="s">
        <v>302</v>
      </c>
      <c r="AJ53" s="696" t="s">
        <v>303</v>
      </c>
      <c r="AK53" s="696" t="s">
        <v>304</v>
      </c>
      <c r="AL53" s="696"/>
      <c r="AM53" s="1480" t="s">
        <v>305</v>
      </c>
      <c r="AN53" s="1481"/>
    </row>
    <row r="54" spans="2:41" ht="16.2" thickBot="1" x14ac:dyDescent="0.35">
      <c r="B54" s="985"/>
      <c r="C54" s="701" t="s">
        <v>405</v>
      </c>
      <c r="D54" s="701"/>
      <c r="E54" s="984"/>
      <c r="F54" s="698">
        <v>40</v>
      </c>
      <c r="G54" s="699">
        <v>1</v>
      </c>
      <c r="H54" s="698">
        <v>20</v>
      </c>
      <c r="I54" s="696">
        <v>3</v>
      </c>
      <c r="J54" s="1480">
        <f>ROUND(G13/M55/G17,3)</f>
        <v>4.125</v>
      </c>
      <c r="K54" s="1481"/>
      <c r="M54" s="1167"/>
      <c r="N54" s="858" t="s">
        <v>798</v>
      </c>
      <c r="O54" s="858" t="s">
        <v>799</v>
      </c>
      <c r="P54" s="1169" t="s">
        <v>797</v>
      </c>
      <c r="S54" s="655"/>
      <c r="T54" s="655"/>
      <c r="U54" s="655"/>
      <c r="V54" s="655"/>
      <c r="W54" s="655"/>
      <c r="X54" s="655"/>
      <c r="Y54" s="655"/>
      <c r="Z54" s="655"/>
      <c r="AE54" s="693"/>
      <c r="AF54" s="694" t="s">
        <v>405</v>
      </c>
      <c r="AG54" s="694"/>
      <c r="AH54" s="694"/>
      <c r="AI54" s="698">
        <v>40</v>
      </c>
      <c r="AJ54" s="699">
        <v>1</v>
      </c>
      <c r="AK54" s="698">
        <v>20</v>
      </c>
      <c r="AL54" s="696">
        <v>3</v>
      </c>
      <c r="AM54" s="1480">
        <f>ROUND(AJ13/AO54/AJ17,3)</f>
        <v>8.8580000000000005</v>
      </c>
      <c r="AN54" s="1481"/>
      <c r="AO54" s="880">
        <v>226</v>
      </c>
    </row>
    <row r="55" spans="2:41" ht="16.2" thickBot="1" x14ac:dyDescent="0.35">
      <c r="B55" s="693"/>
      <c r="C55" s="694" t="s">
        <v>49</v>
      </c>
      <c r="D55" s="694"/>
      <c r="E55" s="694"/>
      <c r="F55" s="700">
        <v>40</v>
      </c>
      <c r="G55" s="701">
        <v>1</v>
      </c>
      <c r="H55" s="700">
        <v>20</v>
      </c>
      <c r="I55" s="696">
        <v>4</v>
      </c>
      <c r="J55" s="1480">
        <f>ROUND(G14/1000*3.5/G18,3)</f>
        <v>2.8879999999999999</v>
      </c>
      <c r="K55" s="1481"/>
      <c r="M55" s="1168">
        <v>200</v>
      </c>
      <c r="N55" s="1170">
        <v>200</v>
      </c>
      <c r="O55" s="1170">
        <v>200</v>
      </c>
      <c r="P55" s="858">
        <v>163</v>
      </c>
      <c r="S55" s="655"/>
      <c r="T55" s="184"/>
      <c r="U55" s="60"/>
      <c r="V55" s="60"/>
      <c r="W55" s="184"/>
      <c r="X55" s="184"/>
      <c r="Y55" s="60"/>
      <c r="Z55" s="655"/>
      <c r="AE55" s="693"/>
      <c r="AF55" s="694" t="s">
        <v>49</v>
      </c>
      <c r="AG55" s="694"/>
      <c r="AH55" s="694"/>
      <c r="AI55" s="700">
        <v>40</v>
      </c>
      <c r="AJ55" s="701">
        <v>1</v>
      </c>
      <c r="AK55" s="700">
        <v>20</v>
      </c>
      <c r="AL55" s="696">
        <v>4</v>
      </c>
      <c r="AM55" s="1480">
        <f>ROUND(AJ13/AO55/AJ17,3)</f>
        <v>6.9029999999999996</v>
      </c>
      <c r="AN55" s="1481"/>
      <c r="AO55" s="880">
        <v>290</v>
      </c>
    </row>
    <row r="56" spans="2:41" x14ac:dyDescent="0.3">
      <c r="I56" s="642" t="s">
        <v>1256</v>
      </c>
      <c r="J56" s="642">
        <v>825</v>
      </c>
      <c r="K56" s="457">
        <f>2.3+6.1*(SQRT(J56))/60</f>
        <v>5.2201526786568309</v>
      </c>
      <c r="M56" s="881">
        <v>400</v>
      </c>
      <c r="N56" s="882"/>
      <c r="O56" s="882"/>
      <c r="S56" s="655"/>
      <c r="T56" s="184"/>
      <c r="U56" s="184"/>
      <c r="V56" s="184"/>
      <c r="W56" s="184"/>
      <c r="X56" s="184"/>
      <c r="Y56" s="60"/>
      <c r="Z56" s="655"/>
    </row>
    <row r="57" spans="2:41" x14ac:dyDescent="0.3">
      <c r="I57" s="642" t="s">
        <v>1254</v>
      </c>
      <c r="J57" s="642">
        <v>733</v>
      </c>
      <c r="K57" s="457">
        <f>3.9+7.9*(SQRT(J57))/60</f>
        <v>7.4647397442792993</v>
      </c>
      <c r="N57" s="882"/>
      <c r="O57" s="882"/>
      <c r="S57" s="655"/>
      <c r="T57" s="184"/>
      <c r="U57" s="184"/>
      <c r="V57" s="184"/>
      <c r="W57" s="184"/>
      <c r="X57" s="184"/>
      <c r="Y57" s="774"/>
      <c r="Z57" s="655"/>
    </row>
    <row r="58" spans="2:41" x14ac:dyDescent="0.3">
      <c r="I58" s="642" t="s">
        <v>1255</v>
      </c>
      <c r="J58" s="642">
        <v>733</v>
      </c>
      <c r="K58" s="457">
        <f>6.1+9.9*(SQRT(J58))/60</f>
        <v>10.567205502324692</v>
      </c>
      <c r="N58" s="882"/>
      <c r="O58" s="882"/>
      <c r="S58" s="655"/>
      <c r="T58" s="184"/>
      <c r="U58" s="184"/>
      <c r="V58" s="184"/>
      <c r="W58" s="184"/>
      <c r="X58" s="184"/>
      <c r="Y58" s="774"/>
      <c r="Z58" s="655"/>
    </row>
    <row r="59" spans="2:41" x14ac:dyDescent="0.3">
      <c r="N59" s="882"/>
      <c r="O59" s="882"/>
      <c r="S59" s="655"/>
      <c r="T59" s="184"/>
      <c r="U59" s="184"/>
      <c r="V59" s="184"/>
      <c r="W59" s="184"/>
      <c r="X59" s="184"/>
      <c r="Y59" s="774"/>
      <c r="Z59" s="655"/>
    </row>
    <row r="60" spans="2:41" x14ac:dyDescent="0.3">
      <c r="N60" s="882"/>
      <c r="O60" s="882"/>
      <c r="S60" s="655"/>
      <c r="T60" s="184"/>
      <c r="U60" s="184"/>
      <c r="V60" s="184"/>
      <c r="W60" s="184"/>
      <c r="X60" s="184"/>
      <c r="Y60" s="774"/>
      <c r="Z60" s="655"/>
    </row>
    <row r="61" spans="2:41" x14ac:dyDescent="0.3">
      <c r="N61" s="882"/>
      <c r="O61" s="882"/>
      <c r="S61" s="655"/>
      <c r="T61" s="184"/>
      <c r="U61" s="184"/>
      <c r="V61" s="184"/>
      <c r="W61" s="184"/>
      <c r="X61" s="184"/>
      <c r="Y61" s="774"/>
      <c r="Z61" s="655"/>
    </row>
    <row r="62" spans="2:41" x14ac:dyDescent="0.3">
      <c r="S62" s="655"/>
      <c r="T62" s="184"/>
      <c r="U62" s="184"/>
      <c r="V62" s="184"/>
      <c r="W62" s="184"/>
      <c r="X62" s="1207"/>
      <c r="Y62" s="774"/>
      <c r="Z62" s="655"/>
    </row>
    <row r="63" spans="2:41" x14ac:dyDescent="0.3">
      <c r="S63" s="655"/>
      <c r="T63" s="184"/>
      <c r="U63" s="184"/>
      <c r="V63" s="184"/>
      <c r="W63" s="184"/>
      <c r="X63" s="184"/>
      <c r="Y63" s="1208"/>
      <c r="Z63" s="655"/>
    </row>
    <row r="64" spans="2:41" x14ac:dyDescent="0.3">
      <c r="S64" s="655"/>
      <c r="T64" s="184"/>
      <c r="U64" s="184"/>
      <c r="V64" s="184"/>
      <c r="W64" s="184"/>
      <c r="X64" s="184"/>
      <c r="Y64" s="60"/>
      <c r="Z64" s="655"/>
    </row>
    <row r="65" spans="19:26" x14ac:dyDescent="0.3">
      <c r="S65" s="655"/>
      <c r="T65" s="184"/>
      <c r="U65" s="184"/>
      <c r="V65" s="184"/>
      <c r="W65" s="184"/>
      <c r="X65" s="184"/>
      <c r="Y65" s="60"/>
      <c r="Z65" s="655"/>
    </row>
    <row r="66" spans="19:26" x14ac:dyDescent="0.3">
      <c r="S66" s="655"/>
      <c r="T66" s="655"/>
      <c r="U66" s="655"/>
      <c r="V66" s="655"/>
      <c r="W66" s="655"/>
      <c r="X66" s="655"/>
      <c r="Y66" s="655"/>
      <c r="Z66" s="655"/>
    </row>
    <row r="67" spans="19:26" x14ac:dyDescent="0.3">
      <c r="S67" s="655"/>
      <c r="T67" s="655"/>
      <c r="U67" s="655"/>
      <c r="V67" s="655"/>
      <c r="W67" s="655"/>
      <c r="X67" s="655"/>
      <c r="Y67" s="655"/>
      <c r="Z67" s="655"/>
    </row>
    <row r="68" spans="19:26" x14ac:dyDescent="0.3">
      <c r="S68" s="655"/>
      <c r="T68" s="655"/>
      <c r="U68" s="655"/>
      <c r="V68" s="655"/>
      <c r="W68" s="655"/>
      <c r="X68" s="655"/>
      <c r="Y68" s="655"/>
      <c r="Z68" s="655"/>
    </row>
    <row r="69" spans="19:26" x14ac:dyDescent="0.3">
      <c r="S69" s="655"/>
      <c r="T69" s="655"/>
      <c r="U69" s="655"/>
      <c r="V69" s="655"/>
      <c r="W69" s="655"/>
      <c r="X69" s="655"/>
      <c r="Y69" s="655"/>
      <c r="Z69" s="655"/>
    </row>
  </sheetData>
  <mergeCells count="25">
    <mergeCell ref="J55:K55"/>
    <mergeCell ref="J54:K54"/>
    <mergeCell ref="Y51:Z51"/>
    <mergeCell ref="J52:K52"/>
    <mergeCell ref="B49:C49"/>
    <mergeCell ref="J53:K53"/>
    <mergeCell ref="B52:E52"/>
    <mergeCell ref="B53:E53"/>
    <mergeCell ref="B50:C50"/>
    <mergeCell ref="R49:T49"/>
    <mergeCell ref="N53:P53"/>
    <mergeCell ref="M21:N21"/>
    <mergeCell ref="AM54:AN54"/>
    <mergeCell ref="AM55:AN55"/>
    <mergeCell ref="AE49:AF49"/>
    <mergeCell ref="AE52:AH52"/>
    <mergeCell ref="AM52:AN52"/>
    <mergeCell ref="AE53:AH53"/>
    <mergeCell ref="AM53:AN53"/>
    <mergeCell ref="Y50:Z50"/>
    <mergeCell ref="R45:S45"/>
    <mergeCell ref="R48:T48"/>
    <mergeCell ref="M27:N27"/>
    <mergeCell ref="M28:N28"/>
    <mergeCell ref="M29:N29"/>
  </mergeCells>
  <hyperlinks>
    <hyperlink ref="AC35" r:id="rId1" xr:uid="{AA880864-9326-46F4-9350-B0912E58540F}"/>
    <hyperlink ref="AB35" r:id="rId2" xr:uid="{0188173B-5989-44F6-A4D2-75608BEE3BFA}"/>
  </hyperlinks>
  <pageMargins left="0.7" right="0.7" top="0.75" bottom="0.75" header="0.511811023622047" footer="0.511811023622047"/>
  <pageSetup paperSize="9" scale="17" orientation="portrait" r:id="rId3"/>
  <drawing r:id="rId4"/>
  <legacyDrawing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6" name="Check Box 1">
              <controlPr defaultSize="0" autoFill="0" autoLine="0" autoPict="0">
                <anchor moveWithCells="1">
                  <from>
                    <xdr:col>14</xdr:col>
                    <xdr:colOff>7620</xdr:colOff>
                    <xdr:row>26</xdr:row>
                    <xdr:rowOff>7620</xdr:rowOff>
                  </from>
                  <to>
                    <xdr:col>14</xdr:col>
                    <xdr:colOff>259080</xdr:colOff>
                    <xdr:row>26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14</xdr:col>
                    <xdr:colOff>7620</xdr:colOff>
                    <xdr:row>26</xdr:row>
                    <xdr:rowOff>198120</xdr:rowOff>
                  </from>
                  <to>
                    <xdr:col>14</xdr:col>
                    <xdr:colOff>358140</xdr:colOff>
                    <xdr:row>27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8" name="Check Box 8">
              <controlPr defaultSize="0" autoFill="0" autoLine="0" autoPict="0">
                <anchor moveWithCells="1">
                  <from>
                    <xdr:col>14</xdr:col>
                    <xdr:colOff>7620</xdr:colOff>
                    <xdr:row>28</xdr:row>
                    <xdr:rowOff>0</xdr:rowOff>
                  </from>
                  <to>
                    <xdr:col>14</xdr:col>
                    <xdr:colOff>236220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9" name="Check Box 9">
              <controlPr defaultSize="0" autoFill="0" autoLine="0" autoPict="0">
                <anchor moveWithCells="1">
                  <from>
                    <xdr:col>14</xdr:col>
                    <xdr:colOff>22860</xdr:colOff>
                    <xdr:row>19</xdr:row>
                    <xdr:rowOff>182880</xdr:rowOff>
                  </from>
                  <to>
                    <xdr:col>14</xdr:col>
                    <xdr:colOff>693420</xdr:colOff>
                    <xdr:row>21</xdr:row>
                    <xdr:rowOff>68580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000-000004000000}">
          <x14:formula1>
            <xm:f>Данные!$G$3:$G$4</xm:f>
          </x14:formula1>
          <x14:formula2>
            <xm:f>0</xm:f>
          </x14:formula2>
          <xm:sqref>U34</xm:sqref>
        </x14:dataValidation>
        <x14:dataValidation type="list" allowBlank="1" showInputMessage="1" showErrorMessage="1" xr:uid="{160DBB63-AEE7-4A05-887A-45906C0275FA}">
          <x14:formula1>
            <xm:f>Данные!$J$90:$J$96</xm:f>
          </x14:formula1>
          <xm:sqref>AC29</xm:sqref>
        </x14:dataValidation>
        <x14:dataValidation type="list" allowBlank="1" showInputMessage="1" showErrorMessage="1" xr:uid="{E3A438AA-CAA9-41A1-A088-FEA675BBB240}">
          <x14:formula1>
            <xm:f>Данные!$I$120:$I$145</xm:f>
          </x14:formula1>
          <xm:sqref>N9</xm:sqref>
        </x14:dataValidation>
        <x14:dataValidation type="list" allowBlank="1" showInputMessage="1" showErrorMessage="1" xr:uid="{00000000-0002-0000-0000-000000000000}">
          <x14:formula1>
            <xm:f>Данные!$A$3:$A$27</xm:f>
          </x14:formula1>
          <xm:sqref>V8 AJ8 G8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7239-3527-4C98-A631-4FE5C18BE8E4}">
  <sheetPr codeName="Лист4">
    <pageSetUpPr fitToPage="1"/>
  </sheetPr>
  <dimension ref="B1:W64"/>
  <sheetViews>
    <sheetView topLeftCell="A19" zoomScale="70" zoomScaleNormal="70" workbookViewId="0">
      <selection activeCell="E20" sqref="E20"/>
    </sheetView>
  </sheetViews>
  <sheetFormatPr defaultRowHeight="14.4" x14ac:dyDescent="0.3"/>
  <cols>
    <col min="1" max="1" width="3.5546875" customWidth="1"/>
    <col min="2" max="2" width="10.5546875" customWidth="1"/>
    <col min="3" max="3" width="9.109375" customWidth="1"/>
    <col min="4" max="4" width="9.44140625" customWidth="1"/>
    <col min="5" max="5" width="13.33203125" customWidth="1"/>
    <col min="6" max="6" width="15.88671875" customWidth="1"/>
    <col min="7" max="7" width="11.88671875" customWidth="1"/>
    <col min="8" max="8" width="13" customWidth="1"/>
    <col min="9" max="9" width="12.33203125" customWidth="1"/>
    <col min="10" max="10" width="12.109375" customWidth="1"/>
    <col min="11" max="11" width="4.33203125" customWidth="1"/>
    <col min="12" max="12" width="25.44140625" customWidth="1"/>
    <col min="13" max="13" width="12.6640625" customWidth="1"/>
    <col min="14" max="14" width="5.44140625" customWidth="1"/>
    <col min="17" max="17" width="20.6640625" customWidth="1"/>
    <col min="18" max="18" width="14" customWidth="1"/>
    <col min="19" max="19" width="20.88671875" customWidth="1"/>
    <col min="20" max="20" width="12.5546875" customWidth="1"/>
    <col min="21" max="21" width="14.44140625" customWidth="1"/>
    <col min="22" max="22" width="14.5546875" customWidth="1"/>
    <col min="23" max="23" width="14.33203125" customWidth="1"/>
  </cols>
  <sheetData>
    <row r="1" spans="2:23" ht="15" thickBot="1" x14ac:dyDescent="0.35">
      <c r="J1" t="s">
        <v>1226</v>
      </c>
    </row>
    <row r="2" spans="2:23" ht="16.2" thickBot="1" x14ac:dyDescent="0.35">
      <c r="B2" s="637"/>
      <c r="C2" s="638"/>
      <c r="D2" s="638"/>
      <c r="E2" s="638" t="s">
        <v>0</v>
      </c>
      <c r="F2" s="638"/>
      <c r="G2" s="638"/>
      <c r="H2" s="638"/>
      <c r="I2" s="638"/>
      <c r="J2" s="639" t="s">
        <v>1132</v>
      </c>
      <c r="L2" s="149" t="s">
        <v>1</v>
      </c>
      <c r="M2" s="150"/>
      <c r="Q2" s="56" t="s">
        <v>214</v>
      </c>
      <c r="R2" s="246"/>
      <c r="S2" s="56"/>
      <c r="T2" s="56"/>
      <c r="U2" s="56"/>
      <c r="V2" s="56"/>
      <c r="W2" s="56"/>
    </row>
    <row r="3" spans="2:23" ht="16.2" thickBot="1" x14ac:dyDescent="0.35">
      <c r="B3" s="640"/>
      <c r="C3" s="641" t="s">
        <v>2</v>
      </c>
      <c r="D3" s="641"/>
      <c r="E3" s="641"/>
      <c r="F3" s="1201" t="s">
        <v>1175</v>
      </c>
      <c r="G3" s="641"/>
      <c r="H3" s="642"/>
      <c r="I3" s="1202" t="s">
        <v>434</v>
      </c>
      <c r="J3" s="643"/>
      <c r="L3" s="151" t="s">
        <v>258</v>
      </c>
      <c r="M3" s="10">
        <v>990</v>
      </c>
      <c r="Q3" s="1268" t="s">
        <v>215</v>
      </c>
      <c r="R3" s="1269"/>
      <c r="S3" s="264" t="s">
        <v>150</v>
      </c>
      <c r="T3" s="264"/>
      <c r="U3" s="264" t="s">
        <v>216</v>
      </c>
      <c r="V3" s="264"/>
      <c r="W3" s="295" t="s">
        <v>203</v>
      </c>
    </row>
    <row r="4" spans="2:23" ht="15.6" x14ac:dyDescent="0.3">
      <c r="B4" s="640"/>
      <c r="C4" s="457" t="s">
        <v>4</v>
      </c>
      <c r="D4" s="457"/>
      <c r="E4" s="457"/>
      <c r="F4" s="1200" t="s">
        <v>1176</v>
      </c>
      <c r="G4" s="457"/>
      <c r="H4" s="457"/>
      <c r="I4" s="662" t="s">
        <v>1177</v>
      </c>
      <c r="J4" s="644"/>
      <c r="L4" s="151" t="s">
        <v>259</v>
      </c>
      <c r="M4" s="10">
        <v>940</v>
      </c>
      <c r="Q4" s="1270" t="s">
        <v>217</v>
      </c>
      <c r="R4" s="1271"/>
      <c r="S4" s="1266" t="s">
        <v>179</v>
      </c>
      <c r="T4" s="298"/>
      <c r="U4" s="298" t="s">
        <v>151</v>
      </c>
      <c r="V4" s="298"/>
      <c r="W4" s="299"/>
    </row>
    <row r="5" spans="2:23" ht="15.6" x14ac:dyDescent="0.3">
      <c r="B5" s="640"/>
      <c r="C5" s="457" t="s">
        <v>6</v>
      </c>
      <c r="D5" s="457"/>
      <c r="E5" s="457"/>
      <c r="F5" s="678" t="s">
        <v>1071</v>
      </c>
      <c r="G5" s="457"/>
      <c r="H5" s="457"/>
      <c r="I5" s="457" t="s">
        <v>1178</v>
      </c>
      <c r="J5" s="644"/>
      <c r="L5" s="151" t="s">
        <v>260</v>
      </c>
      <c r="M5" s="10">
        <v>760</v>
      </c>
      <c r="Q5" s="300">
        <v>75</v>
      </c>
      <c r="R5" s="299">
        <f>Q5</f>
        <v>75</v>
      </c>
      <c r="S5" s="1267">
        <v>45</v>
      </c>
      <c r="T5" s="298"/>
      <c r="U5" s="301">
        <v>20</v>
      </c>
      <c r="V5" s="298"/>
      <c r="W5" s="299"/>
    </row>
    <row r="6" spans="2:23" ht="16.2" thickBot="1" x14ac:dyDescent="0.35">
      <c r="B6" s="640"/>
      <c r="C6" s="457" t="s">
        <v>10</v>
      </c>
      <c r="D6" s="457"/>
      <c r="E6" s="457"/>
      <c r="F6" s="1015" t="s">
        <v>824</v>
      </c>
      <c r="G6" s="457"/>
      <c r="H6" s="457"/>
      <c r="I6" s="1156" t="s">
        <v>1179</v>
      </c>
      <c r="J6" s="644"/>
      <c r="L6" s="151" t="s">
        <v>261</v>
      </c>
      <c r="M6" s="10">
        <v>165</v>
      </c>
      <c r="Q6" s="307"/>
      <c r="R6" s="310"/>
      <c r="S6" s="1266" t="s">
        <v>180</v>
      </c>
      <c r="T6" s="298"/>
      <c r="U6" s="298" t="s">
        <v>152</v>
      </c>
      <c r="V6" s="298"/>
      <c r="W6" s="299"/>
    </row>
    <row r="7" spans="2:23" ht="15.6" x14ac:dyDescent="0.3">
      <c r="B7" s="647"/>
      <c r="C7" s="641"/>
      <c r="D7" s="641"/>
      <c r="E7" s="641"/>
      <c r="F7" s="641"/>
      <c r="G7" s="641"/>
      <c r="H7" s="641"/>
      <c r="I7" s="641"/>
      <c r="J7" s="648"/>
      <c r="L7" s="151" t="s">
        <v>262</v>
      </c>
      <c r="M7" s="10">
        <v>1215</v>
      </c>
      <c r="Q7" s="1270" t="s">
        <v>218</v>
      </c>
      <c r="R7" s="1271"/>
      <c r="S7" s="1267">
        <v>60</v>
      </c>
      <c r="T7" s="298">
        <f>(S5+S7)/2</f>
        <v>52.5</v>
      </c>
      <c r="U7" s="301">
        <v>80</v>
      </c>
      <c r="V7" s="298"/>
      <c r="W7" s="299"/>
    </row>
    <row r="8" spans="2:23" ht="15.6" x14ac:dyDescent="0.3">
      <c r="B8" s="640"/>
      <c r="C8" s="457" t="s">
        <v>16</v>
      </c>
      <c r="D8" s="457"/>
      <c r="E8" s="457"/>
      <c r="F8" s="678" t="s">
        <v>9</v>
      </c>
      <c r="G8" s="457"/>
      <c r="H8" s="642"/>
      <c r="I8" s="457" t="s">
        <v>17</v>
      </c>
      <c r="J8" s="650">
        <f>F9/F14</f>
        <v>0.49005756148613294</v>
      </c>
      <c r="L8" s="152" t="s">
        <v>12</v>
      </c>
      <c r="M8" s="153">
        <f>VLOOKUP(F8,Марка_мет,9,FALSE())</f>
        <v>9.1</v>
      </c>
      <c r="Q8" s="300">
        <v>65</v>
      </c>
      <c r="R8" s="299">
        <f>Q8</f>
        <v>65</v>
      </c>
      <c r="S8" s="1266" t="s">
        <v>205</v>
      </c>
      <c r="T8" s="298"/>
      <c r="U8" s="298" t="s">
        <v>153</v>
      </c>
      <c r="V8" s="298"/>
      <c r="W8" s="299"/>
    </row>
    <row r="9" spans="2:23" ht="15.6" x14ac:dyDescent="0.3">
      <c r="B9" s="640"/>
      <c r="C9" s="457" t="s">
        <v>19</v>
      </c>
      <c r="D9" s="457"/>
      <c r="E9" s="457"/>
      <c r="F9" s="651">
        <f>IF(M23&lt;&gt;0,M23,IF(M22&lt;100,ROUNDUP(M22,1),ROUNDUP(M22,0)))</f>
        <v>1873</v>
      </c>
      <c r="G9" s="652"/>
      <c r="H9" s="642"/>
      <c r="I9" s="457"/>
      <c r="J9" s="650"/>
      <c r="L9" s="154" t="s">
        <v>263</v>
      </c>
      <c r="M9" s="10">
        <v>1080</v>
      </c>
      <c r="Q9" s="302"/>
      <c r="R9" s="299"/>
      <c r="S9" s="1267">
        <v>65</v>
      </c>
      <c r="T9" s="298">
        <f>S9</f>
        <v>65</v>
      </c>
      <c r="U9" s="301">
        <f>R11</f>
        <v>1585</v>
      </c>
      <c r="V9" s="298"/>
      <c r="W9" s="299"/>
    </row>
    <row r="10" spans="2:23" ht="15.6" x14ac:dyDescent="0.3">
      <c r="B10" s="640"/>
      <c r="C10" s="457" t="s">
        <v>22</v>
      </c>
      <c r="D10" s="457"/>
      <c r="E10" s="457"/>
      <c r="F10" s="653">
        <f>M12</f>
        <v>2600</v>
      </c>
      <c r="G10" s="654"/>
      <c r="H10" s="457"/>
      <c r="I10" s="457" t="s">
        <v>23</v>
      </c>
      <c r="J10" s="650">
        <f>F9/F16</f>
        <v>0.4711949685534591</v>
      </c>
      <c r="L10" s="154" t="s">
        <v>880</v>
      </c>
      <c r="M10" s="1264">
        <f>(M3-M5)/2</f>
        <v>115</v>
      </c>
      <c r="N10" s="58"/>
      <c r="Q10" s="303" t="s">
        <v>8</v>
      </c>
      <c r="R10" s="299"/>
      <c r="S10" s="1272" t="s">
        <v>1108</v>
      </c>
      <c r="T10" s="298"/>
      <c r="U10" s="298" t="s">
        <v>175</v>
      </c>
      <c r="V10" s="298"/>
      <c r="W10" s="299"/>
    </row>
    <row r="11" spans="2:23" ht="15.6" x14ac:dyDescent="0.3">
      <c r="B11" s="640"/>
      <c r="C11" s="457" t="s">
        <v>24</v>
      </c>
      <c r="D11" s="457"/>
      <c r="E11" s="457"/>
      <c r="F11" s="651">
        <f>M13</f>
        <v>1123</v>
      </c>
      <c r="G11" s="654"/>
      <c r="H11" s="457"/>
      <c r="I11" s="457"/>
      <c r="J11" s="650"/>
      <c r="L11" s="154" t="s">
        <v>14</v>
      </c>
      <c r="M11" s="10">
        <v>280</v>
      </c>
      <c r="Q11" s="304">
        <f>H25+M7+M11</f>
        <v>1585</v>
      </c>
      <c r="R11" s="299">
        <f>Q11</f>
        <v>1585</v>
      </c>
      <c r="S11" s="1267">
        <v>210</v>
      </c>
      <c r="T11" s="298">
        <f>2*3.1415926*S14/2</f>
        <v>659.73444600000005</v>
      </c>
      <c r="U11" s="456">
        <f>R13</f>
        <v>2</v>
      </c>
      <c r="V11" s="298">
        <f>U5*U7*U9*R12*U11/1000000</f>
        <v>45.039360000000009</v>
      </c>
      <c r="W11" s="299"/>
    </row>
    <row r="12" spans="2:23" ht="15.6" x14ac:dyDescent="0.3">
      <c r="B12" s="640"/>
      <c r="C12" s="655" t="s">
        <v>342</v>
      </c>
      <c r="D12" s="457"/>
      <c r="E12" s="457"/>
      <c r="F12" s="651">
        <f>ROUNDUP(M14,0)</f>
        <v>99</v>
      </c>
      <c r="G12" s="654"/>
      <c r="H12" s="457"/>
      <c r="I12" s="457"/>
      <c r="J12" s="650"/>
      <c r="L12" s="155" t="s">
        <v>20</v>
      </c>
      <c r="M12" s="156">
        <f>ROUNDUP(((M3*0.985*M3*0.985-M5*0.994*M5*0.994)*3.1415926*M6*M8+(M4*0.985*M4*0.985-M5*0.994*M5*0.994)*(M7-M6)*M8*3.1415926)/4000000,0)</f>
        <v>2600</v>
      </c>
      <c r="Q12" s="302"/>
      <c r="R12" s="1275">
        <v>8.8800000000000008</v>
      </c>
      <c r="S12" s="1272" t="s">
        <v>207</v>
      </c>
      <c r="T12" s="298">
        <v>150</v>
      </c>
      <c r="U12" s="298"/>
      <c r="V12" s="298"/>
      <c r="W12" s="299"/>
    </row>
    <row r="13" spans="2:23" ht="16.2" thickBot="1" x14ac:dyDescent="0.35">
      <c r="B13" s="640"/>
      <c r="C13" s="457" t="s">
        <v>27</v>
      </c>
      <c r="D13" s="457"/>
      <c r="E13" s="457"/>
      <c r="F13" s="651">
        <f>F10+F11+F12</f>
        <v>3822</v>
      </c>
      <c r="G13" s="654"/>
      <c r="H13" s="457"/>
      <c r="I13" s="457"/>
      <c r="J13" s="644"/>
      <c r="L13" s="157" t="s">
        <v>24</v>
      </c>
      <c r="M13" s="156">
        <f>ROUNDUP(((M9*0.985*M9*0.985-M5*0.994*M5*0.994)*3.1415926*M11*M8)/4000000,0)</f>
        <v>1123</v>
      </c>
      <c r="Q13" s="307"/>
      <c r="R13" s="1276">
        <v>2</v>
      </c>
      <c r="S13" s="1272" t="s">
        <v>209</v>
      </c>
      <c r="T13" s="298">
        <f>IF(R13=1,T12,T11)</f>
        <v>659.73444600000005</v>
      </c>
      <c r="U13" s="298"/>
      <c r="V13" s="298"/>
      <c r="W13" s="299"/>
    </row>
    <row r="14" spans="2:23" ht="16.2" thickBot="1" x14ac:dyDescent="0.35">
      <c r="B14" s="640"/>
      <c r="C14" s="457" t="s">
        <v>29</v>
      </c>
      <c r="D14" s="457"/>
      <c r="E14" s="457"/>
      <c r="F14" s="651">
        <f>ROUNDUP(F13/F17,0)</f>
        <v>3822</v>
      </c>
      <c r="G14" s="654"/>
      <c r="H14" s="457"/>
      <c r="I14" s="457"/>
      <c r="J14" s="644"/>
      <c r="L14" s="158" t="s">
        <v>26</v>
      </c>
      <c r="M14" s="159">
        <f>Данные!B258</f>
        <v>98.48</v>
      </c>
      <c r="Q14" s="1273"/>
      <c r="R14" s="1274">
        <f>R5*R5*3.1415926*R11*R12/4000000+(R8*R8*3.1415926*R11*R12*R13/4000000)</f>
        <v>155.58958048380151</v>
      </c>
      <c r="S14" s="309">
        <f>R8+T9+U7</f>
        <v>210</v>
      </c>
      <c r="T14" s="308">
        <f>T7*T9*T13*R12/1000000/360*180</f>
        <v>9.9959664585690007</v>
      </c>
      <c r="U14" s="308"/>
      <c r="V14" s="308"/>
      <c r="W14" s="310">
        <f>R14+T14+V11</f>
        <v>210.62490694237053</v>
      </c>
    </row>
    <row r="15" spans="2:23" ht="16.2" thickBot="1" x14ac:dyDescent="0.35">
      <c r="B15" s="640"/>
      <c r="C15" s="457" t="s">
        <v>32</v>
      </c>
      <c r="D15" s="457"/>
      <c r="E15" s="457"/>
      <c r="F15" s="651">
        <f>ROUND(F13*1.04,0)</f>
        <v>3975</v>
      </c>
      <c r="G15" s="654"/>
      <c r="H15" s="457"/>
      <c r="I15" s="457"/>
      <c r="J15" s="656"/>
      <c r="L15" s="43"/>
    </row>
    <row r="16" spans="2:23" ht="15.6" x14ac:dyDescent="0.3">
      <c r="B16" s="640"/>
      <c r="C16" s="457" t="s">
        <v>34</v>
      </c>
      <c r="D16" s="457"/>
      <c r="E16" s="457"/>
      <c r="F16" s="651">
        <f>ROUNDUP(F15/F17,0)</f>
        <v>3975</v>
      </c>
      <c r="G16" s="654"/>
      <c r="H16" s="457"/>
      <c r="I16" s="457"/>
      <c r="J16" s="656"/>
      <c r="L16" s="1494" t="s">
        <v>30</v>
      </c>
      <c r="M16" s="1495"/>
    </row>
    <row r="17" spans="2:13" ht="15.6" x14ac:dyDescent="0.3">
      <c r="B17" s="640"/>
      <c r="C17" s="457" t="s">
        <v>36</v>
      </c>
      <c r="D17" s="457"/>
      <c r="E17" s="457"/>
      <c r="F17" s="657">
        <v>1</v>
      </c>
      <c r="G17" s="457"/>
      <c r="H17" s="457"/>
      <c r="I17" s="457"/>
      <c r="J17" s="656"/>
      <c r="L17" s="147" t="s">
        <v>258</v>
      </c>
      <c r="M17" s="10">
        <v>960</v>
      </c>
    </row>
    <row r="18" spans="2:13" ht="15.6" x14ac:dyDescent="0.3">
      <c r="B18" s="640"/>
      <c r="C18" s="457" t="s">
        <v>38</v>
      </c>
      <c r="D18" s="457"/>
      <c r="E18" s="457"/>
      <c r="F18" s="657">
        <v>1</v>
      </c>
      <c r="G18" s="457"/>
      <c r="H18" s="457"/>
      <c r="I18" s="457"/>
      <c r="J18" s="656"/>
      <c r="L18" s="147" t="s">
        <v>259</v>
      </c>
      <c r="M18" s="10">
        <v>910</v>
      </c>
    </row>
    <row r="19" spans="2:13" ht="16.2" thickBot="1" x14ac:dyDescent="0.35">
      <c r="B19" s="658"/>
      <c r="C19" s="659" t="s">
        <v>40</v>
      </c>
      <c r="D19" s="659"/>
      <c r="E19" s="659"/>
      <c r="F19" s="660">
        <v>1</v>
      </c>
      <c r="G19" s="659"/>
      <c r="H19" s="659"/>
      <c r="I19" s="659"/>
      <c r="J19" s="661"/>
      <c r="L19" s="1204" t="s">
        <v>260</v>
      </c>
      <c r="M19" s="10">
        <v>780</v>
      </c>
    </row>
    <row r="20" spans="2:13" ht="15.6" x14ac:dyDescent="0.3">
      <c r="B20" s="640"/>
      <c r="C20" s="662" t="s">
        <v>221</v>
      </c>
      <c r="D20" s="457"/>
      <c r="E20" s="457" t="str">
        <f>"     Формовочный уклон "&amp;Данные!F32</f>
        <v xml:space="preserve">     Формовочный уклон 3</v>
      </c>
      <c r="F20" s="457"/>
      <c r="G20" s="457"/>
      <c r="H20" s="457" t="s">
        <v>41</v>
      </c>
      <c r="I20" s="663"/>
      <c r="J20" s="664"/>
      <c r="L20" s="147" t="s">
        <v>261</v>
      </c>
      <c r="M20" s="10">
        <v>100</v>
      </c>
    </row>
    <row r="21" spans="2:13" ht="15.6" x14ac:dyDescent="0.3">
      <c r="B21" s="640"/>
      <c r="C21" s="662">
        <f>ROUNDUP(M11*0.985,0)</f>
        <v>276</v>
      </c>
      <c r="D21" s="662"/>
      <c r="E21" s="636">
        <f>M7</f>
        <v>1215</v>
      </c>
      <c r="F21" s="457"/>
      <c r="G21" s="457"/>
      <c r="H21" s="457"/>
      <c r="I21" s="663"/>
      <c r="J21" s="664"/>
      <c r="L21" s="147" t="s">
        <v>353</v>
      </c>
      <c r="M21" s="10">
        <v>1150</v>
      </c>
    </row>
    <row r="22" spans="2:13" ht="16.2" thickBot="1" x14ac:dyDescent="0.35">
      <c r="B22" s="640"/>
      <c r="C22" s="457"/>
      <c r="D22" s="457"/>
      <c r="E22" s="665" t="str">
        <f>"("&amp;M21&amp;")"</f>
        <v>(1150)</v>
      </c>
      <c r="F22" s="457"/>
      <c r="G22" s="457"/>
      <c r="H22" s="457"/>
      <c r="I22" s="663"/>
      <c r="J22" s="664"/>
      <c r="L22" s="148" t="s">
        <v>19</v>
      </c>
      <c r="M22" s="156">
        <f>ROUNDUP(((M17*M17-M19*M19)*3.1415926*M20*M8+(M18*M18-M19*M19)*(M21-M20)*M8*3.1415926)/4000000,1)</f>
        <v>1872.6</v>
      </c>
    </row>
    <row r="23" spans="2:13" ht="16.2" thickBot="1" x14ac:dyDescent="0.35">
      <c r="B23" s="640"/>
      <c r="C23" s="457"/>
      <c r="D23" s="457">
        <v>40</v>
      </c>
      <c r="E23" s="457"/>
      <c r="F23" s="457"/>
      <c r="G23" s="457"/>
      <c r="H23" s="457"/>
      <c r="I23" s="642"/>
      <c r="J23" s="666"/>
      <c r="M23" s="1205"/>
    </row>
    <row r="24" spans="2:13" ht="15.6" x14ac:dyDescent="0.3">
      <c r="B24" s="640"/>
      <c r="C24" s="457"/>
      <c r="D24" s="457"/>
      <c r="E24" s="457"/>
      <c r="F24" s="457"/>
      <c r="G24" s="457"/>
      <c r="H24" s="457"/>
      <c r="I24" s="667"/>
      <c r="J24" s="666"/>
    </row>
    <row r="25" spans="2:13" ht="15.6" x14ac:dyDescent="0.3">
      <c r="B25" s="640"/>
      <c r="C25" s="457"/>
      <c r="D25" s="457"/>
      <c r="E25" s="457"/>
      <c r="F25" s="457"/>
      <c r="G25" s="457"/>
      <c r="H25" s="654">
        <v>90</v>
      </c>
      <c r="I25" s="668"/>
      <c r="J25" s="666"/>
    </row>
    <row r="26" spans="2:13" ht="15.6" x14ac:dyDescent="0.3">
      <c r="B26" s="640"/>
      <c r="C26" s="457"/>
      <c r="D26" s="457"/>
      <c r="E26" s="457"/>
      <c r="F26" s="457"/>
      <c r="G26" s="457"/>
      <c r="H26" s="457"/>
      <c r="I26" s="669"/>
      <c r="J26" s="666"/>
      <c r="M26" s="43"/>
    </row>
    <row r="27" spans="2:13" ht="15.6" x14ac:dyDescent="0.3">
      <c r="B27" s="640"/>
      <c r="C27" s="457"/>
      <c r="D27" s="457"/>
      <c r="E27" s="457"/>
      <c r="F27" s="457"/>
      <c r="G27" s="457"/>
      <c r="H27" s="671" t="str">
        <f>"Ø "&amp;ROUNDUP(M5*0.994,0)</f>
        <v>Ø 756</v>
      </c>
      <c r="I27" s="671" t="str">
        <f>"Ø "&amp;ROUNDUP(M4*0.985,0)</f>
        <v>Ø 926</v>
      </c>
      <c r="J27" s="672" t="str">
        <f>"Ø "&amp;ROUNDUP(M3*0.985,0)</f>
        <v>Ø 976</v>
      </c>
      <c r="M27" s="1280"/>
    </row>
    <row r="28" spans="2:13" ht="15.6" x14ac:dyDescent="0.3">
      <c r="B28" s="640"/>
      <c r="C28" s="457"/>
      <c r="D28" s="673"/>
      <c r="E28" s="674"/>
      <c r="F28" s="457"/>
      <c r="G28" s="457"/>
      <c r="H28" s="674" t="str">
        <f>"( "&amp;M19&amp;" )"</f>
        <v>( 780 )</v>
      </c>
      <c r="I28" s="674" t="str">
        <f>"( "&amp;M18&amp;" )"</f>
        <v>( 910 )</v>
      </c>
      <c r="J28" s="672" t="str">
        <f>"( "&amp;M17&amp;" )"</f>
        <v>( 960 )</v>
      </c>
    </row>
    <row r="29" spans="2:13" ht="15.6" x14ac:dyDescent="0.3">
      <c r="B29" s="640"/>
      <c r="C29" s="457"/>
      <c r="D29" s="642"/>
      <c r="E29" s="457"/>
      <c r="F29" s="457"/>
      <c r="G29" s="457"/>
      <c r="H29" s="457"/>
      <c r="I29" s="668"/>
      <c r="J29" s="666"/>
    </row>
    <row r="30" spans="2:13" ht="15.6" x14ac:dyDescent="0.3">
      <c r="B30" s="640"/>
      <c r="C30" s="457"/>
      <c r="D30" s="642"/>
      <c r="E30" s="642"/>
      <c r="F30" s="457"/>
      <c r="G30" s="457"/>
      <c r="H30" s="457"/>
      <c r="I30" s="668"/>
      <c r="J30" s="666"/>
    </row>
    <row r="31" spans="2:13" ht="15.6" x14ac:dyDescent="0.3">
      <c r="B31" s="640"/>
      <c r="C31" s="676"/>
      <c r="D31" s="457"/>
      <c r="E31" s="677"/>
      <c r="F31" s="673"/>
      <c r="G31" s="457"/>
      <c r="H31" s="457"/>
      <c r="I31" s="668"/>
      <c r="J31" s="666"/>
    </row>
    <row r="32" spans="2:13" ht="15.6" x14ac:dyDescent="0.3">
      <c r="B32" s="640"/>
      <c r="C32" s="457"/>
      <c r="D32" s="457"/>
      <c r="E32" s="668"/>
      <c r="F32" s="673"/>
      <c r="G32" s="678"/>
      <c r="H32" s="457"/>
      <c r="I32" s="668"/>
      <c r="J32" s="666"/>
    </row>
    <row r="33" spans="2:10" ht="15.6" x14ac:dyDescent="0.3">
      <c r="B33" s="640"/>
      <c r="C33" s="457"/>
      <c r="D33" s="662">
        <f>M6</f>
        <v>165</v>
      </c>
      <c r="E33" s="668"/>
      <c r="F33" s="673"/>
      <c r="G33" s="457"/>
      <c r="H33" s="457"/>
      <c r="I33" s="668"/>
      <c r="J33" s="666"/>
    </row>
    <row r="34" spans="2:10" ht="15.6" x14ac:dyDescent="0.3">
      <c r="B34" s="640"/>
      <c r="C34" s="457"/>
      <c r="D34" s="662" t="str">
        <f>"("&amp;M20&amp;")"</f>
        <v>(100)</v>
      </c>
      <c r="E34" s="668"/>
      <c r="F34" s="673"/>
      <c r="G34" s="457"/>
      <c r="H34" s="457"/>
      <c r="I34" s="668"/>
      <c r="J34" s="666"/>
    </row>
    <row r="35" spans="2:10" ht="15.6" x14ac:dyDescent="0.3">
      <c r="B35" s="640"/>
      <c r="C35" s="457"/>
      <c r="D35" s="457"/>
      <c r="E35" s="668"/>
      <c r="F35" s="673"/>
      <c r="G35" s="457"/>
      <c r="H35" s="457"/>
      <c r="I35" s="668"/>
      <c r="J35" s="666"/>
    </row>
    <row r="36" spans="2:10" ht="15.6" x14ac:dyDescent="0.3">
      <c r="B36" s="640"/>
      <c r="C36" s="457"/>
      <c r="D36" s="457"/>
      <c r="E36" s="457" t="s">
        <v>47</v>
      </c>
      <c r="F36" s="457"/>
      <c r="G36" s="457"/>
      <c r="H36" s="457"/>
      <c r="I36" s="668"/>
      <c r="J36" s="666"/>
    </row>
    <row r="37" spans="2:10" ht="15.6" x14ac:dyDescent="0.3">
      <c r="B37" s="640" t="s">
        <v>1134</v>
      </c>
      <c r="C37" s="457"/>
      <c r="D37" s="457"/>
      <c r="E37" s="654"/>
      <c r="F37" s="457"/>
      <c r="G37" s="457" t="s">
        <v>1135</v>
      </c>
      <c r="H37" s="457"/>
      <c r="I37" s="668"/>
      <c r="J37" s="666"/>
    </row>
    <row r="38" spans="2:10" ht="15.6" x14ac:dyDescent="0.3">
      <c r="B38" s="640" t="s">
        <v>50</v>
      </c>
      <c r="C38" s="457"/>
      <c r="D38" s="457"/>
      <c r="E38" s="642" t="str">
        <f>VLOOKUP(F8,Марка_мет,6,FALSE())</f>
        <v>25010.00173</v>
      </c>
      <c r="F38" s="457"/>
      <c r="G38" s="457" t="s">
        <v>51</v>
      </c>
      <c r="H38" s="457"/>
      <c r="I38" s="642">
        <f>ROUNDUP(M5*M5*3.1415296*(H25+M7+M11)*2.045/4000000,0)</f>
        <v>1471</v>
      </c>
      <c r="J38" s="666"/>
    </row>
    <row r="39" spans="2:10" ht="15.6" x14ac:dyDescent="0.3">
      <c r="B39" s="640" t="s">
        <v>52</v>
      </c>
      <c r="C39" s="457"/>
      <c r="D39" s="457"/>
      <c r="E39" s="642" t="str">
        <f>IF(F10&gt;1900,Данные!G4,Данные!G3)</f>
        <v>25011.00008</v>
      </c>
      <c r="F39" s="457"/>
      <c r="G39" s="457" t="s">
        <v>53</v>
      </c>
      <c r="H39" s="457" t="s">
        <v>54</v>
      </c>
      <c r="I39" s="667"/>
      <c r="J39" s="666"/>
    </row>
    <row r="40" spans="2:10" ht="15.6" x14ac:dyDescent="0.3">
      <c r="B40" s="640" t="s">
        <v>947</v>
      </c>
      <c r="C40" s="457"/>
      <c r="D40" s="457"/>
      <c r="E40" s="654" t="str">
        <f>VLOOKUP(F8,Марка_мет,2,0)&amp;"   °C"</f>
        <v>1050-1090   °C</v>
      </c>
      <c r="F40" s="457"/>
      <c r="G40" s="457" t="s">
        <v>55</v>
      </c>
      <c r="H40" s="457" t="s">
        <v>56</v>
      </c>
      <c r="I40" s="668"/>
      <c r="J40" s="664"/>
    </row>
    <row r="41" spans="2:10" ht="15.6" x14ac:dyDescent="0.3">
      <c r="B41" s="640" t="s">
        <v>57</v>
      </c>
      <c r="C41" s="457"/>
      <c r="D41" s="457"/>
      <c r="E41" s="654" t="s">
        <v>58</v>
      </c>
      <c r="F41" s="457"/>
      <c r="G41" s="457" t="s">
        <v>59</v>
      </c>
      <c r="H41" s="457"/>
      <c r="I41" s="669"/>
      <c r="J41" s="664"/>
    </row>
    <row r="42" spans="2:10" ht="15.6" x14ac:dyDescent="0.3">
      <c r="B42" s="640" t="s">
        <v>60</v>
      </c>
      <c r="C42" s="457"/>
      <c r="D42" s="457"/>
      <c r="E42" s="679">
        <v>1.4999999999999999E-2</v>
      </c>
      <c r="F42" s="457"/>
      <c r="G42" s="457" t="s">
        <v>61</v>
      </c>
      <c r="H42" s="457"/>
      <c r="I42" s="663"/>
      <c r="J42" s="664"/>
    </row>
    <row r="43" spans="2:10" ht="15.6" x14ac:dyDescent="0.3">
      <c r="B43" s="640" t="s">
        <v>55</v>
      </c>
      <c r="C43" s="457"/>
      <c r="D43" s="457"/>
      <c r="E43" s="654" t="s">
        <v>56</v>
      </c>
      <c r="F43" s="646"/>
      <c r="G43" s="457" t="s">
        <v>62</v>
      </c>
      <c r="H43" s="457"/>
      <c r="I43" s="457"/>
      <c r="J43" s="644"/>
    </row>
    <row r="44" spans="2:10" ht="15.6" x14ac:dyDescent="0.3">
      <c r="B44" s="640" t="s">
        <v>63</v>
      </c>
      <c r="C44" s="457"/>
      <c r="D44" s="457"/>
      <c r="E44" s="841" t="str">
        <f>Данные!B257</f>
        <v>242.04.462-1</v>
      </c>
      <c r="F44" s="654"/>
      <c r="G44" s="457" t="s">
        <v>64</v>
      </c>
      <c r="H44" s="457"/>
      <c r="I44" s="457"/>
      <c r="J44" s="644"/>
    </row>
    <row r="45" spans="2:10" ht="15.6" x14ac:dyDescent="0.3">
      <c r="B45" s="640"/>
      <c r="C45" s="457"/>
      <c r="D45" s="457"/>
      <c r="E45" s="654" t="str">
        <f>IF(F13&gt;=1000," (две щели)"," (одна щель)")</f>
        <v xml:space="preserve"> (две щели)</v>
      </c>
      <c r="F45" s="649"/>
      <c r="G45" s="457" t="s">
        <v>65</v>
      </c>
      <c r="H45" s="457"/>
      <c r="I45" s="457"/>
      <c r="J45" s="644"/>
    </row>
    <row r="46" spans="2:10" ht="15.6" x14ac:dyDescent="0.3">
      <c r="B46" s="640"/>
      <c r="C46" s="457"/>
      <c r="D46" s="457"/>
      <c r="E46" s="654"/>
      <c r="F46" s="654"/>
      <c r="G46" s="636"/>
      <c r="H46" s="457"/>
      <c r="I46" s="457"/>
      <c r="J46" s="644"/>
    </row>
    <row r="47" spans="2:10" ht="15.6" x14ac:dyDescent="0.3">
      <c r="B47" s="640"/>
      <c r="C47" s="457"/>
      <c r="D47" s="457"/>
      <c r="E47" s="654"/>
      <c r="F47" s="654"/>
      <c r="G47" s="457"/>
      <c r="H47" s="457"/>
      <c r="I47" s="457"/>
      <c r="J47" s="644"/>
    </row>
    <row r="48" spans="2:10" ht="16.2" thickBot="1" x14ac:dyDescent="0.35">
      <c r="B48" s="640"/>
      <c r="C48" s="457" t="s">
        <v>66</v>
      </c>
      <c r="D48" s="457"/>
      <c r="E48" s="654"/>
      <c r="F48" s="654" t="s">
        <v>67</v>
      </c>
      <c r="G48" s="457"/>
      <c r="H48" s="457"/>
      <c r="I48" s="457"/>
      <c r="J48" s="644"/>
    </row>
    <row r="49" spans="2:13" ht="16.2" thickBot="1" x14ac:dyDescent="0.35">
      <c r="B49" s="647"/>
      <c r="C49" s="641" t="s">
        <v>68</v>
      </c>
      <c r="D49" s="648"/>
      <c r="E49" s="680" t="s">
        <v>69</v>
      </c>
      <c r="F49" s="681" t="s">
        <v>68</v>
      </c>
      <c r="G49" s="648"/>
      <c r="H49" s="641" t="s">
        <v>70</v>
      </c>
      <c r="I49" s="641"/>
      <c r="J49" s="648"/>
    </row>
    <row r="50" spans="2:13" ht="16.2" thickBot="1" x14ac:dyDescent="0.35">
      <c r="B50" s="1482">
        <f ca="1">TODAY()</f>
        <v>45414</v>
      </c>
      <c r="C50" s="1496"/>
      <c r="D50" s="1497"/>
      <c r="E50" s="682"/>
      <c r="F50" s="683"/>
      <c r="G50" s="684"/>
      <c r="H50" s="685"/>
      <c r="I50" s="685"/>
      <c r="J50" s="684"/>
    </row>
    <row r="51" spans="2:13" ht="16.2" thickBot="1" x14ac:dyDescent="0.35">
      <c r="B51" s="658"/>
      <c r="C51" s="659" t="s">
        <v>71</v>
      </c>
      <c r="D51" s="684"/>
      <c r="E51" s="686"/>
      <c r="F51" s="659"/>
      <c r="G51" s="659"/>
      <c r="H51" s="659"/>
      <c r="I51" s="659"/>
      <c r="J51" s="687"/>
    </row>
    <row r="52" spans="2:13" s="43" customFormat="1" ht="16.2" thickBot="1" x14ac:dyDescent="0.35">
      <c r="B52" s="640"/>
      <c r="C52" s="457"/>
      <c r="D52" s="457"/>
      <c r="E52" s="457"/>
      <c r="F52" s="457"/>
      <c r="G52" s="457"/>
      <c r="H52" s="457"/>
      <c r="I52" s="457"/>
      <c r="J52" s="644"/>
      <c r="L52"/>
      <c r="M52"/>
    </row>
    <row r="53" spans="2:13" ht="15.6" x14ac:dyDescent="0.3">
      <c r="B53" s="688" t="s">
        <v>6</v>
      </c>
      <c r="C53" s="689"/>
      <c r="D53" s="690"/>
      <c r="E53" s="691" t="s">
        <v>297</v>
      </c>
      <c r="F53" s="692" t="s">
        <v>298</v>
      </c>
      <c r="G53" s="691" t="s">
        <v>298</v>
      </c>
      <c r="H53" s="691" t="s">
        <v>299</v>
      </c>
      <c r="I53" s="688" t="s">
        <v>300</v>
      </c>
      <c r="J53" s="690"/>
      <c r="L53" s="63">
        <v>300</v>
      </c>
      <c r="M53" s="43"/>
    </row>
    <row r="54" spans="2:13" ht="16.2" thickBot="1" x14ac:dyDescent="0.35">
      <c r="B54" s="693"/>
      <c r="C54" s="694" t="s">
        <v>301</v>
      </c>
      <c r="D54" s="695"/>
      <c r="E54" s="696" t="s">
        <v>302</v>
      </c>
      <c r="F54" s="696" t="s">
        <v>303</v>
      </c>
      <c r="G54" s="696" t="s">
        <v>304</v>
      </c>
      <c r="H54" s="696"/>
      <c r="I54" s="697" t="s">
        <v>305</v>
      </c>
      <c r="J54" s="695"/>
      <c r="L54" s="63">
        <v>600</v>
      </c>
    </row>
    <row r="55" spans="2:13" ht="16.2" thickBot="1" x14ac:dyDescent="0.35">
      <c r="B55" s="693"/>
      <c r="C55" s="694" t="s">
        <v>405</v>
      </c>
      <c r="D55" s="694"/>
      <c r="E55" s="698">
        <v>40</v>
      </c>
      <c r="F55" s="699">
        <v>1</v>
      </c>
      <c r="G55" s="698">
        <v>20</v>
      </c>
      <c r="H55" s="696">
        <v>3</v>
      </c>
      <c r="I55" s="1480">
        <f>ROUND(F14/L53,3)</f>
        <v>12.74</v>
      </c>
      <c r="J55" s="1481"/>
      <c r="K55" s="63">
        <v>200</v>
      </c>
    </row>
    <row r="56" spans="2:13" ht="16.2" thickBot="1" x14ac:dyDescent="0.35">
      <c r="B56" s="693"/>
      <c r="C56" s="694" t="s">
        <v>49</v>
      </c>
      <c r="D56" s="694"/>
      <c r="E56" s="700">
        <v>40</v>
      </c>
      <c r="F56" s="701">
        <v>1</v>
      </c>
      <c r="G56" s="700">
        <v>20</v>
      </c>
      <c r="H56" s="696">
        <v>4</v>
      </c>
      <c r="I56" s="1480">
        <f>ROUND(F14/L54,3)</f>
        <v>6.37</v>
      </c>
      <c r="J56" s="1481"/>
      <c r="K56" s="63">
        <v>300</v>
      </c>
    </row>
    <row r="62" spans="2:13" x14ac:dyDescent="0.3">
      <c r="D62" s="43"/>
      <c r="E62" s="43"/>
      <c r="F62" s="43"/>
      <c r="G62" s="43"/>
      <c r="H62" s="43"/>
      <c r="I62" s="43"/>
      <c r="J62" s="43"/>
      <c r="K62" s="43"/>
    </row>
    <row r="63" spans="2:13" x14ac:dyDescent="0.3">
      <c r="D63" s="43"/>
      <c r="E63" s="43"/>
      <c r="F63" s="43"/>
      <c r="G63" s="43"/>
      <c r="H63" s="43"/>
      <c r="I63" s="43"/>
      <c r="J63" s="43"/>
      <c r="K63" s="43"/>
    </row>
    <row r="64" spans="2:13" x14ac:dyDescent="0.3">
      <c r="C64" s="43"/>
      <c r="D64" s="43"/>
      <c r="E64" s="43"/>
      <c r="F64" s="43"/>
      <c r="G64" s="43"/>
      <c r="H64" s="43"/>
      <c r="I64" s="43"/>
      <c r="J64" s="43"/>
      <c r="K64" s="43"/>
    </row>
  </sheetData>
  <mergeCells count="4">
    <mergeCell ref="I56:J56"/>
    <mergeCell ref="L16:M16"/>
    <mergeCell ref="I55:J55"/>
    <mergeCell ref="B50:D50"/>
  </mergeCells>
  <pageMargins left="0.7" right="0.7" top="0.75" bottom="0.75" header="0.3" footer="0.3"/>
  <pageSetup paperSize="9" scale="3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A43B5754-FB41-44D7-B073-D26D04783229}">
          <x14:formula1>
            <xm:f>Данные!$G$3:$G$4</xm:f>
          </x14:formula1>
          <x14:formula2>
            <xm:f>0</xm:f>
          </x14:formula2>
          <xm:sqref>E39</xm:sqref>
        </x14:dataValidation>
        <x14:dataValidation type="list" allowBlank="1" showInputMessage="1" showErrorMessage="1" xr:uid="{DBBCB556-8D08-4EB0-B9C4-E6027C30D2E1}">
          <x14:formula1>
            <xm:f>Данные!$A$3:$A$27</xm:f>
          </x14:formula1>
          <xm:sqref>F8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04F39-B7E5-4974-9A5B-88A3ED951272}">
  <sheetPr codeName="Лист11">
    <pageSetUpPr fitToPage="1"/>
  </sheetPr>
  <dimension ref="B1:Y152"/>
  <sheetViews>
    <sheetView showGridLines="0" zoomScale="85" zoomScaleNormal="85" workbookViewId="0">
      <selection activeCell="AA10" sqref="AA10"/>
    </sheetView>
  </sheetViews>
  <sheetFormatPr defaultRowHeight="14.4" x14ac:dyDescent="0.3"/>
  <cols>
    <col min="1" max="1" width="1.33203125" customWidth="1"/>
    <col min="2" max="2" width="2.21875" customWidth="1"/>
    <col min="3" max="3" width="8.109375" customWidth="1"/>
    <col min="4" max="4" width="6.6640625" customWidth="1"/>
    <col min="5" max="5" width="17.21875" customWidth="1"/>
    <col min="6" max="6" width="12.77734375" customWidth="1"/>
    <col min="7" max="7" width="2.6640625" style="43" customWidth="1"/>
    <col min="8" max="8" width="8.88671875" customWidth="1"/>
    <col min="9" max="9" width="6.21875" customWidth="1"/>
    <col min="10" max="10" width="6.88671875" customWidth="1"/>
    <col min="11" max="11" width="11.21875" customWidth="1"/>
    <col min="12" max="12" width="2.88671875" style="43" customWidth="1"/>
    <col min="13" max="13" width="21" customWidth="1"/>
    <col min="14" max="14" width="14.21875" customWidth="1"/>
    <col min="15" max="15" width="8.21875" customWidth="1"/>
    <col min="16" max="16" width="2.77734375" customWidth="1"/>
    <col min="17" max="17" width="9.88671875" customWidth="1"/>
    <col min="18" max="18" width="11.6640625" customWidth="1"/>
    <col min="20" max="20" width="14.88671875" customWidth="1"/>
    <col min="21" max="21" width="9.77734375" customWidth="1"/>
    <col min="23" max="23" width="10" customWidth="1"/>
  </cols>
  <sheetData>
    <row r="1" spans="2:25" ht="16.2" thickBot="1" x14ac:dyDescent="0.35">
      <c r="K1" t="s">
        <v>408</v>
      </c>
      <c r="M1" s="1506" t="s">
        <v>281</v>
      </c>
      <c r="N1" s="1507"/>
      <c r="O1" s="43"/>
    </row>
    <row r="2" spans="2:25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4" t="s">
        <v>1132</v>
      </c>
      <c r="L2" s="4"/>
    </row>
    <row r="3" spans="2:25" ht="15" thickBot="1" x14ac:dyDescent="0.35">
      <c r="B3" s="4"/>
      <c r="C3" s="71" t="s">
        <v>2</v>
      </c>
      <c r="D3" s="71"/>
      <c r="E3" s="71"/>
      <c r="F3" s="613" t="s">
        <v>1298</v>
      </c>
      <c r="G3" s="6"/>
      <c r="H3" s="71"/>
      <c r="I3" s="85"/>
      <c r="J3" s="85"/>
      <c r="K3" s="86"/>
      <c r="L3" s="341"/>
      <c r="M3" s="1513" t="s">
        <v>30</v>
      </c>
      <c r="N3" s="1514"/>
      <c r="O3" s="1377"/>
      <c r="P3" s="341"/>
      <c r="Q3" s="1066"/>
      <c r="R3" s="1512" t="s">
        <v>945</v>
      </c>
      <c r="S3" s="1512"/>
      <c r="T3" s="1512"/>
      <c r="U3" s="1512"/>
      <c r="V3" s="1512"/>
      <c r="W3" s="1067"/>
    </row>
    <row r="4" spans="2:25" ht="15" thickBot="1" x14ac:dyDescent="0.35">
      <c r="B4" s="4"/>
      <c r="C4" s="59" t="s">
        <v>4</v>
      </c>
      <c r="D4" s="59"/>
      <c r="E4" s="59"/>
      <c r="F4" s="630" t="s">
        <v>1300</v>
      </c>
      <c r="G4" s="143"/>
      <c r="H4" s="60"/>
      <c r="I4" s="59"/>
      <c r="J4" s="59"/>
      <c r="K4" s="10"/>
      <c r="L4" s="59"/>
      <c r="M4" s="1357" t="s">
        <v>188</v>
      </c>
      <c r="N4" s="1376">
        <v>602</v>
      </c>
      <c r="O4" s="70">
        <v>600</v>
      </c>
      <c r="P4" s="59"/>
      <c r="Q4" s="1117" t="s">
        <v>1048</v>
      </c>
      <c r="R4" s="1295">
        <v>1</v>
      </c>
      <c r="S4" s="1295">
        <v>2</v>
      </c>
      <c r="T4" s="1295">
        <v>3</v>
      </c>
      <c r="U4" s="1296">
        <v>4</v>
      </c>
      <c r="V4" s="1065" t="s">
        <v>879</v>
      </c>
      <c r="W4" s="1064"/>
    </row>
    <row r="5" spans="2:25" ht="15" thickBot="1" x14ac:dyDescent="0.35">
      <c r="B5" s="4"/>
      <c r="C5" s="59" t="s">
        <v>6</v>
      </c>
      <c r="D5" s="59"/>
      <c r="E5" s="59"/>
      <c r="F5" s="630" t="s">
        <v>7</v>
      </c>
      <c r="G5" s="1086"/>
      <c r="H5" s="60"/>
      <c r="I5" s="59"/>
      <c r="J5" s="59"/>
      <c r="K5" s="10"/>
      <c r="L5" s="59"/>
      <c r="M5" s="1357" t="s">
        <v>255</v>
      </c>
      <c r="N5" s="61">
        <v>500</v>
      </c>
      <c r="P5" s="59"/>
      <c r="Q5" s="1062"/>
      <c r="R5" s="59"/>
      <c r="S5" s="59">
        <v>46.5</v>
      </c>
      <c r="T5" s="59">
        <v>38</v>
      </c>
      <c r="U5" s="10">
        <v>38</v>
      </c>
      <c r="V5" s="628">
        <f>SUM(R5:U5)</f>
        <v>122.5</v>
      </c>
      <c r="W5" s="1064"/>
      <c r="X5">
        <v>3</v>
      </c>
    </row>
    <row r="6" spans="2:25" ht="15" thickBot="1" x14ac:dyDescent="0.35">
      <c r="B6" s="4"/>
      <c r="C6" s="59" t="s">
        <v>10</v>
      </c>
      <c r="D6" s="59"/>
      <c r="E6" s="59"/>
      <c r="F6" s="780">
        <v>3</v>
      </c>
      <c r="G6" s="171"/>
      <c r="H6" s="17"/>
      <c r="I6" s="59"/>
      <c r="J6" s="59"/>
      <c r="K6" s="10"/>
      <c r="L6" s="59"/>
      <c r="M6" s="1357" t="s">
        <v>319</v>
      </c>
      <c r="N6" s="61">
        <v>250</v>
      </c>
      <c r="P6" s="59"/>
      <c r="Q6" s="1062"/>
      <c r="R6" s="1069"/>
      <c r="S6" s="1069">
        <f t="shared" ref="S6:U8" si="0">S5/$V5*$V6</f>
        <v>347.32653061224488</v>
      </c>
      <c r="T6" s="1069">
        <f t="shared" si="0"/>
        <v>283.83673469387753</v>
      </c>
      <c r="U6" s="1118">
        <f t="shared" si="0"/>
        <v>283.83673469387753</v>
      </c>
      <c r="V6" s="1476">
        <v>915</v>
      </c>
      <c r="W6" s="629" t="s">
        <v>1076</v>
      </c>
      <c r="X6" s="1250">
        <f>T6/$X$5</f>
        <v>94.612244897959172</v>
      </c>
      <c r="Y6" s="1250">
        <f t="shared" ref="X6:Y8" si="1">U6/$X$5</f>
        <v>94.612244897959172</v>
      </c>
    </row>
    <row r="7" spans="2:25" ht="15" thickBot="1" x14ac:dyDescent="0.35">
      <c r="B7" s="19"/>
      <c r="C7" s="65"/>
      <c r="D7" s="65"/>
      <c r="E7" s="65"/>
      <c r="F7" s="361"/>
      <c r="G7" s="65"/>
      <c r="H7" s="65"/>
      <c r="I7" s="65"/>
      <c r="J7" s="65"/>
      <c r="K7" s="40"/>
      <c r="L7" s="59"/>
      <c r="M7" s="1358" t="s">
        <v>1297</v>
      </c>
      <c r="N7" s="70">
        <v>1</v>
      </c>
      <c r="O7" s="59"/>
      <c r="P7" s="59"/>
      <c r="Q7" s="1062"/>
      <c r="R7" s="1069"/>
      <c r="S7" s="1069">
        <f t="shared" ref="S7" si="2">S6/$V6*$V7</f>
        <v>521.17959183673474</v>
      </c>
      <c r="T7" s="1069">
        <f t="shared" si="0"/>
        <v>425.91020408163263</v>
      </c>
      <c r="U7" s="1118">
        <f t="shared" si="0"/>
        <v>425.91020408163263</v>
      </c>
      <c r="V7" s="1476">
        <v>1373</v>
      </c>
      <c r="W7" s="629" t="s">
        <v>1075</v>
      </c>
      <c r="X7" s="1250">
        <f t="shared" si="1"/>
        <v>141.97006802721089</v>
      </c>
      <c r="Y7" s="1250">
        <f t="shared" si="1"/>
        <v>141.97006802721089</v>
      </c>
    </row>
    <row r="8" spans="2:25" ht="15" thickBot="1" x14ac:dyDescent="0.35">
      <c r="B8" s="12"/>
      <c r="C8" s="71" t="s">
        <v>16</v>
      </c>
      <c r="D8" s="71"/>
      <c r="E8" s="71"/>
      <c r="F8" s="360" t="s">
        <v>15</v>
      </c>
      <c r="G8" s="103"/>
      <c r="H8" s="71"/>
      <c r="I8" s="71"/>
      <c r="J8" s="71" t="s">
        <v>17</v>
      </c>
      <c r="K8" s="190">
        <f ca="1">F9/F11</f>
        <v>0.45605700712589076</v>
      </c>
      <c r="L8" s="1356"/>
      <c r="M8" s="1359" t="s">
        <v>12</v>
      </c>
      <c r="N8" s="170">
        <f>VLOOKUP(F8,Данные!A3:I27,9,FALSE)</f>
        <v>8.8800000000000008</v>
      </c>
      <c r="O8" s="59"/>
      <c r="Q8" s="1063"/>
      <c r="R8" s="1070"/>
      <c r="S8" s="1070">
        <f t="shared" ref="S8" si="3">S7/$V7*$V8</f>
        <v>542.05714285714294</v>
      </c>
      <c r="T8" s="1070">
        <f t="shared" si="0"/>
        <v>442.97142857142859</v>
      </c>
      <c r="U8" s="1119">
        <f t="shared" si="0"/>
        <v>442.97142857142859</v>
      </c>
      <c r="V8" s="1476">
        <v>1428</v>
      </c>
      <c r="W8" s="629" t="s">
        <v>1045</v>
      </c>
      <c r="X8" s="1250">
        <f t="shared" si="1"/>
        <v>147.65714285714287</v>
      </c>
      <c r="Y8" s="1250">
        <f t="shared" si="1"/>
        <v>147.65714285714287</v>
      </c>
    </row>
    <row r="9" spans="2:25" x14ac:dyDescent="0.3">
      <c r="B9" s="4"/>
      <c r="C9" s="59" t="s">
        <v>19</v>
      </c>
      <c r="D9" s="59"/>
      <c r="E9" s="59"/>
      <c r="F9" s="621">
        <f>IF(N10&lt;&gt;0,N10,IF(N9&lt;100,ROUNDUP(N9,1),ROUNDUP(N9,0)))</f>
        <v>192</v>
      </c>
      <c r="G9" s="362"/>
      <c r="H9" s="17"/>
      <c r="I9" s="59"/>
      <c r="J9" s="59" t="s">
        <v>23</v>
      </c>
      <c r="K9" s="15">
        <f ca="1">F9/F13</f>
        <v>0.43835616438356162</v>
      </c>
      <c r="L9" s="183"/>
      <c r="M9" s="1360" t="s">
        <v>335</v>
      </c>
      <c r="N9" s="1319">
        <f>IF(O4=0,(N4*N4-N5*N5)*N6*3.1415926*N8/4000000,(O4*O4-N5*N5)*N6*3.1415926*N8/4000000)</f>
        <v>191.79422823000002</v>
      </c>
      <c r="O9" s="140"/>
    </row>
    <row r="10" spans="2:25" ht="15" thickBot="1" x14ac:dyDescent="0.35">
      <c r="B10" s="4"/>
      <c r="C10" s="59" t="s">
        <v>22</v>
      </c>
      <c r="D10" s="59"/>
      <c r="E10" s="59"/>
      <c r="F10" s="144">
        <f ca="1">IF(N29&gt;=100,ROUNDUP(N29,0),ROUNDUP(N29,1))</f>
        <v>421</v>
      </c>
      <c r="G10" s="16"/>
      <c r="H10" s="17"/>
      <c r="I10" s="59"/>
      <c r="J10" s="59"/>
      <c r="K10" s="18"/>
      <c r="L10" s="524"/>
      <c r="M10" s="401" t="s">
        <v>336</v>
      </c>
      <c r="N10" s="132"/>
    </row>
    <row r="11" spans="2:25" ht="15" thickBot="1" x14ac:dyDescent="0.35">
      <c r="B11" s="4"/>
      <c r="C11" s="60" t="s">
        <v>317</v>
      </c>
      <c r="D11" s="59"/>
      <c r="E11" s="59"/>
      <c r="F11" s="144">
        <f ca="1">ROUNDUP(F10/F14,1)</f>
        <v>421</v>
      </c>
      <c r="G11" s="16"/>
      <c r="H11" s="17"/>
      <c r="I11" s="59"/>
      <c r="J11" s="59"/>
      <c r="K11" s="18"/>
      <c r="L11" s="524"/>
      <c r="M11" s="1515" t="s">
        <v>320</v>
      </c>
      <c r="N11" s="1516"/>
      <c r="P11" s="43"/>
      <c r="Q11" s="1508" t="s">
        <v>962</v>
      </c>
      <c r="R11" s="1509"/>
      <c r="S11" s="1185">
        <v>245</v>
      </c>
      <c r="T11" s="757" t="s">
        <v>963</v>
      </c>
      <c r="U11" s="758">
        <f>S12/60+S11</f>
        <v>255.66666666666666</v>
      </c>
      <c r="V11" s="43"/>
    </row>
    <row r="12" spans="2:25" ht="15" thickBot="1" x14ac:dyDescent="0.35">
      <c r="B12" s="4"/>
      <c r="C12" s="59" t="s">
        <v>32</v>
      </c>
      <c r="D12" s="59"/>
      <c r="E12" s="59"/>
      <c r="F12" s="144">
        <f ca="1">IF(F10&lt;96,ROUNDUP(F10*1.04,1),ROUNDUP(F10*1.04,0))</f>
        <v>438</v>
      </c>
      <c r="G12" s="16"/>
      <c r="H12" s="17"/>
      <c r="I12" s="59"/>
      <c r="J12" s="59"/>
      <c r="K12" s="18"/>
      <c r="L12" s="524"/>
      <c r="M12" s="400" t="s">
        <v>388</v>
      </c>
      <c r="N12" s="191">
        <f>Данные!L166</f>
        <v>10</v>
      </c>
      <c r="P12" s="43"/>
      <c r="Q12" s="1510" t="s">
        <v>952</v>
      </c>
      <c r="R12" s="1511"/>
      <c r="S12" s="759">
        <v>640</v>
      </c>
      <c r="T12" s="777" t="s">
        <v>12</v>
      </c>
      <c r="U12" s="778">
        <v>7.5</v>
      </c>
    </row>
    <row r="13" spans="2:25" ht="15" thickBot="1" x14ac:dyDescent="0.35">
      <c r="B13" s="4"/>
      <c r="C13" s="60" t="s">
        <v>318</v>
      </c>
      <c r="D13" s="59"/>
      <c r="E13" s="59"/>
      <c r="F13" s="144">
        <f ca="1">ROUNDUP(F12/F14,1)</f>
        <v>438</v>
      </c>
      <c r="G13" s="79"/>
      <c r="H13" s="17"/>
      <c r="I13" s="59"/>
      <c r="J13" s="59"/>
      <c r="K13" s="18"/>
      <c r="L13" s="524"/>
      <c r="M13" s="400" t="s">
        <v>389</v>
      </c>
      <c r="N13" s="191">
        <f ca="1">Данные!M167</f>
        <v>26.650000000000002</v>
      </c>
      <c r="P13" s="43"/>
      <c r="Q13" s="1510" t="s">
        <v>331</v>
      </c>
      <c r="R13" s="1511"/>
      <c r="S13" s="759">
        <v>110</v>
      </c>
      <c r="T13" s="760"/>
      <c r="U13" s="1457">
        <f>((U16*U16-U18*U18)*3.1415926*U19*U12+(U17*U17-U18*U18)*(U20-U19)*U12*3.1415926)/4000000</f>
        <v>318.96982366875</v>
      </c>
    </row>
    <row r="14" spans="2:25" ht="15" thickBot="1" x14ac:dyDescent="0.35">
      <c r="B14" s="19"/>
      <c r="C14" s="65" t="s">
        <v>36</v>
      </c>
      <c r="D14" s="65"/>
      <c r="E14" s="65"/>
      <c r="F14" s="361">
        <f>N7</f>
        <v>1</v>
      </c>
      <c r="G14" s="21"/>
      <c r="H14" s="65"/>
      <c r="I14" s="65"/>
      <c r="J14" s="65"/>
      <c r="K14" s="22"/>
      <c r="L14" s="524"/>
      <c r="M14" s="401" t="s">
        <v>390</v>
      </c>
      <c r="N14" s="192">
        <f ca="1">Данные!L160</f>
        <v>1.3</v>
      </c>
      <c r="Q14" s="1510" t="s">
        <v>332</v>
      </c>
      <c r="R14" s="1511"/>
      <c r="S14" s="759">
        <v>640</v>
      </c>
      <c r="T14" s="760"/>
      <c r="U14" s="761"/>
    </row>
    <row r="15" spans="2:25" ht="15" thickBot="1" x14ac:dyDescent="0.35">
      <c r="B15" s="12"/>
      <c r="C15" s="6" t="s">
        <v>221</v>
      </c>
      <c r="D15" s="71"/>
      <c r="E15" s="71"/>
      <c r="F15" s="71"/>
      <c r="G15" s="71"/>
      <c r="H15" s="71"/>
      <c r="I15" s="71"/>
      <c r="J15" s="71"/>
      <c r="K15" s="13"/>
      <c r="L15" s="59"/>
      <c r="M15" s="400" t="s">
        <v>387</v>
      </c>
      <c r="N15" s="191">
        <f ca="1">Данные!K169</f>
        <v>40</v>
      </c>
      <c r="Q15" s="1517" t="s">
        <v>175</v>
      </c>
      <c r="R15" s="1518"/>
      <c r="S15" s="762">
        <v>1</v>
      </c>
      <c r="T15" s="1046"/>
      <c r="U15" s="761"/>
    </row>
    <row r="16" spans="2:25" x14ac:dyDescent="0.3">
      <c r="B16" s="4"/>
      <c r="C16" s="59"/>
      <c r="D16" s="59"/>
      <c r="E16" s="59"/>
      <c r="F16" s="17"/>
      <c r="G16" s="17"/>
      <c r="H16" s="59"/>
      <c r="I16" s="59"/>
      <c r="J16" s="59"/>
      <c r="K16" s="18"/>
      <c r="L16" s="524"/>
      <c r="M16" s="401" t="s">
        <v>47</v>
      </c>
      <c r="N16" s="192">
        <f>Данные!M179</f>
        <v>17</v>
      </c>
      <c r="Q16" s="1519" t="s">
        <v>22</v>
      </c>
      <c r="R16" s="1520"/>
      <c r="S16" s="763">
        <f>((U11*U11-S13*S13)*3.1415926*S14*U12)/4000000</f>
        <v>200.80599132285329</v>
      </c>
      <c r="T16" s="497" t="s">
        <v>1064</v>
      </c>
      <c r="U16" s="1048"/>
    </row>
    <row r="17" spans="2:23" x14ac:dyDescent="0.3">
      <c r="B17" s="4"/>
      <c r="C17" s="59"/>
      <c r="D17" s="59"/>
      <c r="E17" s="59"/>
      <c r="F17" s="17"/>
      <c r="G17" s="17"/>
      <c r="H17" s="59"/>
      <c r="I17" s="59"/>
      <c r="J17" s="59"/>
      <c r="K17" s="18"/>
      <c r="L17" s="524"/>
      <c r="M17" s="1459" t="s">
        <v>1156</v>
      </c>
      <c r="N17" s="1460">
        <f ca="1">(N25*0.99-N19)/2</f>
        <v>89.350000000000023</v>
      </c>
      <c r="Q17" s="1521" t="s">
        <v>953</v>
      </c>
      <c r="R17" s="1522"/>
      <c r="S17" s="764">
        <f>S16/S15</f>
        <v>200.80599132285329</v>
      </c>
      <c r="T17" s="1047" t="s">
        <v>1065</v>
      </c>
      <c r="U17" s="886">
        <v>620</v>
      </c>
    </row>
    <row r="18" spans="2:23" x14ac:dyDescent="0.3">
      <c r="B18" s="4"/>
      <c r="C18" s="59"/>
      <c r="D18" s="59"/>
      <c r="E18" s="59"/>
      <c r="F18" s="17"/>
      <c r="G18" s="17"/>
      <c r="H18" s="59"/>
      <c r="I18" s="59"/>
      <c r="J18" s="59"/>
      <c r="K18" s="10"/>
      <c r="L18" s="59"/>
      <c r="M18" s="1361" t="s">
        <v>385</v>
      </c>
      <c r="N18" s="1087">
        <f ca="1">IF(F32&lt;60,N4+(N12*2),(F32+F31)/60+N25)</f>
        <v>632.08333333333337</v>
      </c>
      <c r="Q18" s="1521" t="s">
        <v>32</v>
      </c>
      <c r="R18" s="1522"/>
      <c r="S18" s="764">
        <f>S16*1.04</f>
        <v>208.83823097576743</v>
      </c>
      <c r="T18" s="1017" t="s">
        <v>1063</v>
      </c>
      <c r="U18" s="886">
        <v>520</v>
      </c>
    </row>
    <row r="19" spans="2:23" x14ac:dyDescent="0.3">
      <c r="B19" s="124"/>
      <c r="C19" s="125" t="str">
        <f>"Ø "&amp;ROUND(N25*0.99,0)</f>
        <v>Ø 624</v>
      </c>
      <c r="D19" s="59"/>
      <c r="E19" s="59"/>
      <c r="F19" s="17"/>
      <c r="G19" s="17"/>
      <c r="H19" s="131" t="str">
        <f ca="1">"Ø "&amp;N19</f>
        <v>Ø 445</v>
      </c>
      <c r="I19" s="59"/>
      <c r="J19" s="59"/>
      <c r="K19" s="10"/>
      <c r="L19" s="59"/>
      <c r="M19" s="1361" t="s">
        <v>386</v>
      </c>
      <c r="N19" s="193">
        <f ca="1">_xlfn.FLOOR.MATH(N5-(Данные!M167*2),2.5)</f>
        <v>445</v>
      </c>
      <c r="Q19" s="1521" t="s">
        <v>954</v>
      </c>
      <c r="R19" s="1522"/>
      <c r="S19" s="764">
        <f>S17*1.04</f>
        <v>208.83823097576743</v>
      </c>
      <c r="T19" s="1017" t="s">
        <v>261</v>
      </c>
      <c r="U19" s="886"/>
      <c r="W19" s="1113"/>
    </row>
    <row r="20" spans="2:23" ht="15" thickBot="1" x14ac:dyDescent="0.35">
      <c r="B20" s="4"/>
      <c r="C20" s="133" t="str">
        <f>IF(O4=0,"( "&amp;N4&amp;" )","( "&amp;O4&amp;" )")</f>
        <v>( 600 )</v>
      </c>
      <c r="D20" s="59"/>
      <c r="E20" s="59"/>
      <c r="F20" s="17"/>
      <c r="G20" s="17"/>
      <c r="H20" s="130" t="str">
        <f>"( "&amp;N5&amp;" )"</f>
        <v>( 500 )</v>
      </c>
      <c r="I20" s="402"/>
      <c r="J20" s="59"/>
      <c r="K20" s="120"/>
      <c r="L20" s="1352"/>
      <c r="M20" s="1361" t="s">
        <v>332</v>
      </c>
      <c r="N20" s="193">
        <f ca="1">IF(N7=1,MROUND((N6+N15),1),MROUND(((N6+N16)*N7+N15),1))</f>
        <v>290</v>
      </c>
      <c r="Q20" s="1521" t="s">
        <v>955</v>
      </c>
      <c r="R20" s="1522"/>
      <c r="S20" s="764">
        <f>U21/S17</f>
        <v>1.588598018906298</v>
      </c>
      <c r="T20" s="1018" t="s">
        <v>262</v>
      </c>
      <c r="U20" s="887">
        <v>475</v>
      </c>
    </row>
    <row r="21" spans="2:23" ht="15" thickBot="1" x14ac:dyDescent="0.35">
      <c r="B21" s="4"/>
      <c r="C21" s="59"/>
      <c r="D21" s="59"/>
      <c r="E21" s="59"/>
      <c r="F21" s="17"/>
      <c r="G21" s="17"/>
      <c r="H21" s="359"/>
      <c r="I21" s="59"/>
      <c r="J21" s="59"/>
      <c r="K21" s="18"/>
      <c r="L21" s="524"/>
      <c r="M21" s="1362" t="s">
        <v>762</v>
      </c>
      <c r="N21" s="40"/>
      <c r="Q21" s="1523" t="s">
        <v>956</v>
      </c>
      <c r="R21" s="1524"/>
      <c r="S21" s="890">
        <f>U21/S19</f>
        <v>1.5274980951022095</v>
      </c>
      <c r="T21" s="888" t="s">
        <v>19</v>
      </c>
      <c r="U21" s="1282">
        <f>IF(U13&gt;=100,ROUNDUP(U13,0),ROUNDUP(U13,1))</f>
        <v>319</v>
      </c>
    </row>
    <row r="22" spans="2:23" ht="16.2" thickBot="1" x14ac:dyDescent="0.35">
      <c r="B22" s="4"/>
      <c r="C22" s="59"/>
      <c r="D22" s="59"/>
      <c r="E22" s="59"/>
      <c r="F22" s="17"/>
      <c r="G22" s="17"/>
      <c r="H22" s="59"/>
      <c r="I22" s="59"/>
      <c r="J22" s="59"/>
      <c r="K22" s="18"/>
      <c r="L22" s="524"/>
      <c r="M22" s="1363" t="s">
        <v>329</v>
      </c>
      <c r="N22" s="189"/>
    </row>
    <row r="23" spans="2:23" ht="15" thickBot="1" x14ac:dyDescent="0.35">
      <c r="B23" s="4"/>
      <c r="C23" s="59"/>
      <c r="D23" s="59"/>
      <c r="E23" s="59"/>
      <c r="F23" s="17"/>
      <c r="G23" s="17"/>
      <c r="H23" s="59"/>
      <c r="I23" s="59"/>
      <c r="J23" s="59"/>
      <c r="K23" s="18"/>
      <c r="L23" s="524"/>
      <c r="M23" s="1364" t="s">
        <v>397</v>
      </c>
      <c r="N23" s="203">
        <f>ROUNDUP((N4+(N12*2))/0.99/2.5,0)*2.5</f>
        <v>630</v>
      </c>
      <c r="Q23" s="1233" t="s">
        <v>1167</v>
      </c>
      <c r="R23" s="1234"/>
      <c r="S23" s="1235"/>
      <c r="U23" t="s">
        <v>1279</v>
      </c>
    </row>
    <row r="24" spans="2:23" x14ac:dyDescent="0.3">
      <c r="B24" s="4"/>
      <c r="C24" s="59"/>
      <c r="D24" s="59"/>
      <c r="E24" s="119">
        <f ca="1">N20+N21</f>
        <v>290</v>
      </c>
      <c r="F24" s="59"/>
      <c r="G24" s="59"/>
      <c r="H24" s="59"/>
      <c r="I24" s="59"/>
      <c r="J24" s="59"/>
      <c r="K24" s="18"/>
      <c r="L24" s="524"/>
      <c r="M24" s="1364" t="s">
        <v>398</v>
      </c>
      <c r="N24" s="204">
        <f ca="1">F33+F31</f>
        <v>335</v>
      </c>
      <c r="Q24" s="1247" t="s">
        <v>1168</v>
      </c>
      <c r="R24" s="1248"/>
      <c r="S24" s="1249">
        <v>161</v>
      </c>
      <c r="U24" t="s">
        <v>1243</v>
      </c>
    </row>
    <row r="25" spans="2:23" ht="15" thickBot="1" x14ac:dyDescent="0.35">
      <c r="B25" s="4"/>
      <c r="C25" s="59"/>
      <c r="D25" s="59"/>
      <c r="E25" s="130" t="str">
        <f>"( "&amp;N6&amp;" )"</f>
        <v>( 250 )</v>
      </c>
      <c r="F25" s="1085"/>
      <c r="G25" s="23"/>
      <c r="H25" s="59"/>
      <c r="I25" s="59"/>
      <c r="J25" s="59"/>
      <c r="K25" s="18"/>
      <c r="L25" s="524"/>
      <c r="M25" s="1365" t="s">
        <v>204</v>
      </c>
      <c r="N25" s="1366">
        <v>630</v>
      </c>
      <c r="Q25" s="19" t="s">
        <v>1169</v>
      </c>
      <c r="R25" s="65"/>
      <c r="S25" s="1205">
        <v>2</v>
      </c>
      <c r="U25" t="s">
        <v>1244</v>
      </c>
    </row>
    <row r="26" spans="2:23" ht="15" thickBot="1" x14ac:dyDescent="0.35">
      <c r="B26" s="19"/>
      <c r="C26" s="65"/>
      <c r="D26" s="65"/>
      <c r="E26" s="129"/>
      <c r="F26" s="1219"/>
      <c r="G26" s="172"/>
      <c r="H26" s="65"/>
      <c r="I26" s="65"/>
      <c r="J26" s="65"/>
      <c r="K26" s="1203"/>
      <c r="L26" s="524"/>
      <c r="M26" s="1357" t="s">
        <v>89</v>
      </c>
      <c r="N26" s="1366">
        <v>420</v>
      </c>
      <c r="Q26" s="1236" t="s">
        <v>1170</v>
      </c>
      <c r="R26" s="1237"/>
      <c r="S26" s="1238">
        <v>8</v>
      </c>
      <c r="T26" t="s">
        <v>1205</v>
      </c>
      <c r="U26" t="s">
        <v>1245</v>
      </c>
    </row>
    <row r="27" spans="2:23" ht="15" thickBot="1" x14ac:dyDescent="0.35">
      <c r="B27" s="1"/>
      <c r="C27" s="2"/>
      <c r="D27" s="2"/>
      <c r="E27" s="91" t="s">
        <v>280</v>
      </c>
      <c r="F27" s="71"/>
      <c r="G27" s="71"/>
      <c r="H27" s="2"/>
      <c r="I27" s="2"/>
      <c r="J27" s="2"/>
      <c r="K27" s="398"/>
      <c r="L27" s="524"/>
      <c r="M27" s="400" t="s">
        <v>663</v>
      </c>
      <c r="N27" s="1367">
        <f>N26/60+N25</f>
        <v>637</v>
      </c>
      <c r="Q27" s="1241" t="s">
        <v>1172</v>
      </c>
      <c r="R27" s="1242"/>
      <c r="S27" s="1243">
        <v>1</v>
      </c>
      <c r="U27" t="s">
        <v>1246</v>
      </c>
    </row>
    <row r="28" spans="2:23" ht="15" thickBot="1" x14ac:dyDescent="0.35">
      <c r="B28" s="93" t="s">
        <v>281</v>
      </c>
      <c r="C28" s="2"/>
      <c r="D28" s="2"/>
      <c r="E28" s="93" t="s">
        <v>204</v>
      </c>
      <c r="F28" s="1502" t="s">
        <v>89</v>
      </c>
      <c r="G28" s="1503"/>
      <c r="H28" s="1504" t="s">
        <v>1077</v>
      </c>
      <c r="I28" s="1544"/>
      <c r="J28" s="1505"/>
      <c r="K28" s="97" t="s">
        <v>282</v>
      </c>
      <c r="L28" s="1288"/>
      <c r="M28" s="400" t="s">
        <v>662</v>
      </c>
      <c r="N28" s="1367">
        <f>N26/30+N25</f>
        <v>644</v>
      </c>
      <c r="Q28" s="1244" t="s">
        <v>1050</v>
      </c>
      <c r="R28" s="1245"/>
      <c r="S28" s="1246">
        <v>40</v>
      </c>
    </row>
    <row r="29" spans="2:23" ht="15" thickBot="1" x14ac:dyDescent="0.35">
      <c r="B29" s="98" t="s">
        <v>283</v>
      </c>
      <c r="C29" s="59"/>
      <c r="D29" s="59"/>
      <c r="E29" s="123">
        <f>N25</f>
        <v>630</v>
      </c>
      <c r="F29" s="16">
        <f>N26</f>
        <v>420</v>
      </c>
      <c r="G29" s="16"/>
      <c r="H29" s="1545" t="str">
        <f>VLOOKUP(N25,Данные!AD79:AH1155,5,FALSE)</f>
        <v>72.49192 - 1</v>
      </c>
      <c r="I29" s="1546"/>
      <c r="J29" s="1547"/>
      <c r="K29" s="363"/>
      <c r="L29" s="344"/>
      <c r="M29" s="1368" t="s">
        <v>256</v>
      </c>
      <c r="N29" s="1369">
        <f ca="1">ROUNDUP((N27*N27-N19*N19)*3.1415926*(N20+N21)*N8/4000000,1)</f>
        <v>420.20000000000005</v>
      </c>
      <c r="O29" s="140"/>
      <c r="S29" s="1283">
        <f>S24*S25+S26*S27+S28</f>
        <v>370</v>
      </c>
    </row>
    <row r="30" spans="2:23" ht="15" thickBot="1" x14ac:dyDescent="0.35">
      <c r="B30" s="98" t="s">
        <v>284</v>
      </c>
      <c r="C30" s="59"/>
      <c r="D30" s="59"/>
      <c r="E30" s="99">
        <f ca="1">N19</f>
        <v>445</v>
      </c>
      <c r="F30" s="16"/>
      <c r="G30" s="16"/>
      <c r="H30" s="1548" t="str">
        <f ca="1">VLOOKUP(Данные!AO27,Данные!AO4:AP23,2)&amp;" - "&amp;RANDBETWEEN(1,15)</f>
        <v>72.47452 - 5</v>
      </c>
      <c r="I30" s="1549"/>
      <c r="J30" s="1550"/>
      <c r="K30" s="364"/>
      <c r="L30" s="1353"/>
      <c r="M30" s="399" t="s">
        <v>90</v>
      </c>
      <c r="N30" s="140"/>
      <c r="O30" s="140"/>
      <c r="Q30" s="1542" t="s">
        <v>1242</v>
      </c>
      <c r="R30" s="1543"/>
      <c r="S30" s="1382">
        <f>ROUNDUP(S29/0.985+F31,0)</f>
        <v>416</v>
      </c>
    </row>
    <row r="31" spans="2:23" ht="15" thickBot="1" x14ac:dyDescent="0.35">
      <c r="B31" s="98" t="s">
        <v>285</v>
      </c>
      <c r="C31" s="59"/>
      <c r="D31" s="59"/>
      <c r="E31" s="99">
        <f>E29</f>
        <v>630</v>
      </c>
      <c r="F31" s="16">
        <v>40</v>
      </c>
      <c r="G31" s="16"/>
      <c r="H31" s="1548" t="str">
        <f>VLOOKUP(E31,Данные!AD79:AL1156,9)</f>
        <v>102.53.745 - 131</v>
      </c>
      <c r="I31" s="1549"/>
      <c r="J31" s="1550"/>
      <c r="K31" s="100"/>
      <c r="L31" s="344"/>
      <c r="M31" s="754">
        <f>VLOOKUP(N25,Данные!AD79:AJ1157,7,FALSE)</f>
        <v>0</v>
      </c>
      <c r="N31" s="755"/>
      <c r="O31" s="140"/>
    </row>
    <row r="32" spans="2:23" ht="15" thickBot="1" x14ac:dyDescent="0.35">
      <c r="B32" s="98" t="s">
        <v>286</v>
      </c>
      <c r="C32" s="59"/>
      <c r="D32" s="59"/>
      <c r="E32" s="101"/>
      <c r="F32" s="16">
        <f ca="1">F29+F30-F31-F33</f>
        <v>85</v>
      </c>
      <c r="G32" s="16"/>
      <c r="H32" s="142"/>
      <c r="I32" s="172"/>
      <c r="J32" s="76"/>
      <c r="K32" s="365"/>
      <c r="L32" s="344"/>
      <c r="M32" s="1077"/>
      <c r="N32" s="1077"/>
      <c r="O32" s="140"/>
    </row>
    <row r="33" spans="2:15" x14ac:dyDescent="0.3">
      <c r="B33" s="12"/>
      <c r="C33" s="6" t="s">
        <v>287</v>
      </c>
      <c r="D33" s="71"/>
      <c r="E33" s="59"/>
      <c r="F33" s="102">
        <f ca="1">ROUNDUP(E24/0.985,0)</f>
        <v>295</v>
      </c>
      <c r="G33" s="102"/>
      <c r="H33" s="59"/>
      <c r="I33" s="59"/>
      <c r="J33" s="59"/>
      <c r="K33" s="13"/>
      <c r="L33" s="59"/>
      <c r="M33" s="389" t="s">
        <v>475</v>
      </c>
      <c r="N33" s="389"/>
      <c r="O33" s="140"/>
    </row>
    <row r="34" spans="2:15" ht="15" thickBot="1" x14ac:dyDescent="0.35">
      <c r="B34" s="19"/>
      <c r="C34" s="65"/>
      <c r="D34" s="65"/>
      <c r="E34" s="65"/>
      <c r="F34" s="65"/>
      <c r="G34" s="65"/>
      <c r="H34" s="65"/>
      <c r="I34" s="65"/>
      <c r="J34" s="65"/>
      <c r="K34" s="40"/>
      <c r="L34" s="59"/>
      <c r="M34" s="397" t="s">
        <v>665</v>
      </c>
      <c r="N34" s="43"/>
      <c r="O34" s="140"/>
    </row>
    <row r="35" spans="2:15" x14ac:dyDescent="0.3">
      <c r="B35" s="12"/>
      <c r="C35" s="6" t="str">
        <f>"Плавка по инструкции "&amp;VLOOKUP(F8,Данные!A3:I27,6,FALSE())</f>
        <v>Плавка по инструкции 25010.00174</v>
      </c>
      <c r="D35" s="71"/>
      <c r="E35" s="71"/>
      <c r="F35" s="103"/>
      <c r="G35" s="103"/>
      <c r="H35" s="71"/>
      <c r="I35" s="71"/>
      <c r="J35" s="71"/>
      <c r="K35" s="104"/>
      <c r="L35" s="524"/>
      <c r="M35" s="397" t="s">
        <v>666</v>
      </c>
      <c r="N35" s="43"/>
      <c r="O35" s="140"/>
    </row>
    <row r="36" spans="2:15" ht="15" thickBot="1" x14ac:dyDescent="0.35">
      <c r="B36" s="4"/>
      <c r="C36" s="11" t="s">
        <v>288</v>
      </c>
      <c r="D36" s="59"/>
      <c r="E36" s="59"/>
      <c r="F36" s="17"/>
      <c r="G36" s="17"/>
      <c r="H36" s="59"/>
      <c r="I36" s="59"/>
      <c r="J36" s="59"/>
      <c r="K36" s="18"/>
      <c r="L36" s="524"/>
      <c r="O36" s="140"/>
    </row>
    <row r="37" spans="2:15" x14ac:dyDescent="0.3">
      <c r="B37" s="12"/>
      <c r="C37" s="6" t="s">
        <v>289</v>
      </c>
      <c r="D37" s="71"/>
      <c r="E37" s="71"/>
      <c r="F37" s="105"/>
      <c r="G37" s="105"/>
      <c r="H37" s="71"/>
      <c r="I37" s="71"/>
      <c r="J37" s="71"/>
      <c r="K37" s="13"/>
      <c r="L37" s="59"/>
      <c r="M37" t="s">
        <v>1171</v>
      </c>
      <c r="O37" s="140"/>
    </row>
    <row r="38" spans="2:15" x14ac:dyDescent="0.3">
      <c r="B38" s="4"/>
      <c r="C38" s="11" t="s">
        <v>290</v>
      </c>
      <c r="D38" s="59"/>
      <c r="E38" s="59"/>
      <c r="F38" s="17"/>
      <c r="G38" s="17"/>
      <c r="H38" s="59"/>
      <c r="I38" s="59"/>
      <c r="J38" s="59"/>
      <c r="K38" s="10"/>
      <c r="L38" s="59"/>
      <c r="O38" s="140"/>
    </row>
    <row r="39" spans="2:15" x14ac:dyDescent="0.3">
      <c r="B39" s="4"/>
      <c r="C39" s="11" t="s">
        <v>291</v>
      </c>
      <c r="D39" s="59"/>
      <c r="E39" s="59"/>
      <c r="F39" s="17"/>
      <c r="G39" s="17"/>
      <c r="H39" s="59"/>
      <c r="I39" s="59"/>
      <c r="J39" s="59"/>
      <c r="K39" s="10"/>
      <c r="L39" s="59"/>
      <c r="O39" s="140"/>
    </row>
    <row r="40" spans="2:15" ht="15" thickBot="1" x14ac:dyDescent="0.35">
      <c r="B40" s="19"/>
      <c r="C40" s="65"/>
      <c r="D40" s="65"/>
      <c r="E40" s="65"/>
      <c r="F40" s="65"/>
      <c r="G40" s="65"/>
      <c r="H40" s="65"/>
      <c r="I40" s="65"/>
      <c r="J40" s="65"/>
      <c r="K40" s="40"/>
      <c r="L40" s="59"/>
      <c r="M40" s="43"/>
      <c r="N40" s="43"/>
      <c r="O40" s="140"/>
    </row>
    <row r="41" spans="2:15" ht="15" thickBot="1" x14ac:dyDescent="0.35">
      <c r="B41" s="1"/>
      <c r="C41" s="91" t="s">
        <v>292</v>
      </c>
      <c r="D41" s="84"/>
      <c r="E41" s="94" t="s">
        <v>293</v>
      </c>
      <c r="F41" s="1504" t="s">
        <v>294</v>
      </c>
      <c r="G41" s="1505"/>
      <c r="H41" s="94" t="s">
        <v>295</v>
      </c>
      <c r="I41" s="1504" t="s">
        <v>296</v>
      </c>
      <c r="J41" s="1505"/>
      <c r="K41" s="94" t="s">
        <v>295</v>
      </c>
      <c r="L41" s="11"/>
    </row>
    <row r="42" spans="2:15" ht="15" thickBot="1" x14ac:dyDescent="0.35">
      <c r="B42" s="1"/>
      <c r="C42" s="1498">
        <f ca="1">TODAY()</f>
        <v>45414</v>
      </c>
      <c r="D42" s="1499"/>
      <c r="E42" s="78" t="s">
        <v>265</v>
      </c>
      <c r="F42" s="1500" t="s">
        <v>266</v>
      </c>
      <c r="G42" s="1501"/>
      <c r="H42" s="107"/>
      <c r="I42" s="1500"/>
      <c r="J42" s="1501"/>
      <c r="K42" s="107"/>
      <c r="L42" s="59"/>
      <c r="N42" s="43"/>
    </row>
    <row r="43" spans="2:15" ht="15" thickBot="1" x14ac:dyDescent="0.35">
      <c r="B43" s="1"/>
      <c r="C43" s="96" t="s">
        <v>71</v>
      </c>
      <c r="D43" s="84"/>
      <c r="E43" s="78"/>
      <c r="F43" s="1500"/>
      <c r="G43" s="1501"/>
      <c r="H43" s="107"/>
      <c r="I43" s="1500"/>
      <c r="J43" s="1501"/>
      <c r="K43" s="107"/>
      <c r="L43" s="59"/>
      <c r="N43" s="43"/>
    </row>
    <row r="45" spans="2:15" x14ac:dyDescent="0.3">
      <c r="N45" s="440"/>
    </row>
    <row r="46" spans="2:15" hidden="1" x14ac:dyDescent="0.3"/>
    <row r="47" spans="2:15" ht="15.6" hidden="1" x14ac:dyDescent="0.3">
      <c r="C47" s="781" t="s">
        <v>404</v>
      </c>
      <c r="D47" s="782"/>
      <c r="H47" s="43"/>
    </row>
    <row r="48" spans="2:15" hidden="1" x14ac:dyDescent="0.3">
      <c r="B48" s="43"/>
      <c r="C48" s="195"/>
      <c r="D48" s="196"/>
      <c r="E48" s="43"/>
      <c r="F48" s="43"/>
      <c r="H48" s="43"/>
      <c r="I48" s="43"/>
      <c r="J48" s="43"/>
      <c r="K48" s="43"/>
      <c r="M48" s="59"/>
      <c r="N48" s="59"/>
    </row>
    <row r="49" spans="2:14" hidden="1" x14ac:dyDescent="0.3">
      <c r="B49" s="43">
        <f>IF(MAX(C49:C92)&lt;ROW(1:1),"",VLOOKUP(ROW(1:1),C49:D92,2))</f>
        <v>420</v>
      </c>
      <c r="C49" s="197">
        <f>IF(COUNTIF(D$48:D49,D49)=1,MAX(C$48:C48)+1,"")</f>
        <v>1</v>
      </c>
      <c r="D49" s="198">
        <f t="array" ref="D49:D59">IFERROR(INDEX(Данные!$AE$4:$AE$1156,SMALL(IF(Данные!$AD$4:$AD$1156=$N$25,ROW(Данные!$AD$4:$AD$1156)-ROW(Данные!$AD$4)+1),ROW()-ROW($D$49)+1)),"")</f>
        <v>420</v>
      </c>
      <c r="E49" s="43"/>
      <c r="F49" s="43"/>
      <c r="H49" s="43"/>
      <c r="I49" s="43"/>
      <c r="J49" s="43"/>
      <c r="K49" s="43"/>
    </row>
    <row r="50" spans="2:14" hidden="1" x14ac:dyDescent="0.3">
      <c r="B50" s="43" t="str">
        <f t="shared" ref="B50:B65" si="4">IF(MAX(C50:C94)&lt;ROW(2:2),"",VLOOKUP(ROW(2:2),C50:D94,2))</f>
        <v/>
      </c>
      <c r="C50" s="197" t="str">
        <f t="array" ref="C50">IF(COUNTIF(D$48:D50,D50)=1,MAX(C$48:C49)+1,"")</f>
        <v/>
      </c>
      <c r="D50" s="198" t="str">
        <v/>
      </c>
      <c r="E50" s="43"/>
      <c r="F50" s="43"/>
      <c r="H50" s="43"/>
      <c r="I50" s="43"/>
      <c r="J50" s="43"/>
      <c r="K50" s="43"/>
    </row>
    <row r="51" spans="2:14" hidden="1" x14ac:dyDescent="0.3">
      <c r="B51" s="43" t="str">
        <f t="shared" si="4"/>
        <v/>
      </c>
      <c r="C51" s="197" t="str">
        <f t="array" ref="C51">IF(COUNTIF(D$48:D51,D51)=1,MAX(C$48:C50)+1,"")</f>
        <v/>
      </c>
      <c r="D51" s="198" t="str">
        <v/>
      </c>
      <c r="E51" s="43"/>
      <c r="F51" s="43"/>
      <c r="H51" s="43"/>
      <c r="I51" s="43"/>
      <c r="J51" s="43"/>
      <c r="K51" s="43"/>
    </row>
    <row r="52" spans="2:14" hidden="1" x14ac:dyDescent="0.3">
      <c r="B52" s="43" t="str">
        <f t="shared" si="4"/>
        <v/>
      </c>
      <c r="C52" s="197" t="str">
        <f t="array" ref="C52">IF(COUNTIF(D$48:D52,D52)=1,MAX(C$48:C51)+1,"")</f>
        <v/>
      </c>
      <c r="D52" s="198" t="str">
        <v/>
      </c>
      <c r="E52" s="43"/>
      <c r="F52" s="43"/>
      <c r="H52" s="43"/>
      <c r="I52" s="43"/>
      <c r="J52" s="43"/>
      <c r="K52" s="43"/>
      <c r="M52" s="43"/>
      <c r="N52" s="43"/>
    </row>
    <row r="53" spans="2:14" hidden="1" x14ac:dyDescent="0.3">
      <c r="B53" s="43" t="str">
        <f t="shared" si="4"/>
        <v/>
      </c>
      <c r="C53" s="197" t="str">
        <f t="array" ref="C53">IF(COUNTIF(D$48:D53,D53)=1,MAX(C$48:C52)+1,"")</f>
        <v/>
      </c>
      <c r="D53" s="198" t="str">
        <v/>
      </c>
      <c r="E53" s="43"/>
      <c r="F53" s="43"/>
      <c r="H53" s="43"/>
      <c r="I53" s="43"/>
      <c r="J53" s="43"/>
      <c r="K53" s="43"/>
      <c r="M53" s="43"/>
      <c r="N53" s="43"/>
    </row>
    <row r="54" spans="2:14" hidden="1" x14ac:dyDescent="0.3">
      <c r="B54" s="43" t="str">
        <f t="shared" si="4"/>
        <v/>
      </c>
      <c r="C54" s="197" t="str">
        <f t="array" ref="C54">IF(COUNTIF(D$48:D54,D54)=1,MAX(C$48:C53)+1,"")</f>
        <v/>
      </c>
      <c r="D54" s="198" t="str">
        <v/>
      </c>
      <c r="E54" s="43"/>
      <c r="F54" s="43"/>
      <c r="H54" s="43"/>
      <c r="I54" s="43"/>
      <c r="J54" s="43"/>
      <c r="K54" s="43"/>
      <c r="M54" s="43"/>
      <c r="N54" s="43"/>
    </row>
    <row r="55" spans="2:14" hidden="1" x14ac:dyDescent="0.3">
      <c r="B55" s="43" t="str">
        <f t="shared" si="4"/>
        <v/>
      </c>
      <c r="C55" s="197" t="str">
        <f t="array" ref="C55">IF(COUNTIF(D$48:D55,D55)=1,MAX(C$48:C54)+1,"")</f>
        <v/>
      </c>
      <c r="D55" s="198" t="str">
        <v/>
      </c>
      <c r="E55" s="43"/>
      <c r="F55" s="43"/>
      <c r="H55" s="43"/>
      <c r="I55" s="43"/>
      <c r="J55" s="43"/>
      <c r="K55" s="43"/>
      <c r="M55" s="43"/>
      <c r="N55" s="43"/>
    </row>
    <row r="56" spans="2:14" hidden="1" x14ac:dyDescent="0.3">
      <c r="B56" s="43" t="str">
        <f t="shared" si="4"/>
        <v/>
      </c>
      <c r="C56" s="197" t="str">
        <f t="array" ref="C56">IF(COUNTIF(D$48:D56,D56)=1,MAX(C$48:C55)+1,"")</f>
        <v/>
      </c>
      <c r="D56" s="198" t="str">
        <v/>
      </c>
      <c r="E56" s="43"/>
      <c r="F56" s="43"/>
      <c r="H56" s="43"/>
      <c r="I56" s="43"/>
      <c r="J56" s="43"/>
      <c r="K56" s="43"/>
      <c r="M56" s="43"/>
      <c r="N56" s="43"/>
    </row>
    <row r="57" spans="2:14" hidden="1" x14ac:dyDescent="0.3">
      <c r="B57" s="43" t="str">
        <f t="shared" si="4"/>
        <v/>
      </c>
      <c r="C57" s="197" t="str">
        <f t="array" ref="C57">IF(COUNTIF(D$48:D57,D57)=1,MAX(C$48:C56)+1,"")</f>
        <v/>
      </c>
      <c r="D57" s="198" t="str">
        <v/>
      </c>
      <c r="E57" s="43"/>
      <c r="F57" s="43"/>
      <c r="H57" s="43"/>
      <c r="I57" s="43"/>
      <c r="J57" s="43"/>
      <c r="K57" s="43"/>
      <c r="M57" s="43"/>
      <c r="N57" s="43"/>
    </row>
    <row r="58" spans="2:14" hidden="1" x14ac:dyDescent="0.3">
      <c r="B58" s="43" t="str">
        <f t="shared" si="4"/>
        <v/>
      </c>
      <c r="C58" s="197" t="str">
        <f t="array" ref="C58">IF(COUNTIF(D$48:D58,D58)=1,MAX(C$48:C57)+1,"")</f>
        <v/>
      </c>
      <c r="D58" s="194" t="str">
        <v/>
      </c>
      <c r="E58" s="43"/>
      <c r="F58" s="43"/>
      <c r="H58" s="43"/>
      <c r="I58" s="43"/>
      <c r="J58" s="43"/>
      <c r="K58" s="43"/>
      <c r="M58" s="43"/>
      <c r="N58" s="43"/>
    </row>
    <row r="59" spans="2:14" hidden="1" x14ac:dyDescent="0.3">
      <c r="B59" s="43" t="str">
        <f t="shared" si="4"/>
        <v/>
      </c>
      <c r="C59" s="197" t="str">
        <f t="array" ref="C59">IF(COUNTIF(D$48:D59,D59)=1,MAX(C$48:C58)+1,"")</f>
        <v/>
      </c>
      <c r="D59" s="194" t="str">
        <v/>
      </c>
      <c r="E59" s="43"/>
      <c r="F59" s="43"/>
      <c r="H59" s="43"/>
      <c r="I59" s="43"/>
      <c r="J59" s="43"/>
      <c r="K59" s="43"/>
      <c r="M59" s="43"/>
      <c r="N59" s="43"/>
    </row>
    <row r="60" spans="2:14" hidden="1" x14ac:dyDescent="0.3">
      <c r="B60" s="43" t="str">
        <f t="shared" si="4"/>
        <v/>
      </c>
      <c r="C60" s="197" t="str">
        <f t="array" ref="C60">IF(COUNTIF(D$48:D60,D60)=1,MAX(C$48:C59)+1,"")</f>
        <v/>
      </c>
      <c r="D60" s="194" t="str">
        <f t="array" ref="D60">IFERROR(INDEX(Данные!$AE$4:$AE$1156,SMALL(IF(Данные!$AD$4:$AD$1156=$N$25,ROW(Данные!$AD$4:$AD$1156)-ROW(Данные!$AD$4)+1),ROW()-ROW($D$49)+1)),"")</f>
        <v/>
      </c>
      <c r="E60" s="43"/>
      <c r="F60" s="43"/>
      <c r="H60" s="43"/>
      <c r="I60" s="43"/>
      <c r="J60" s="43"/>
      <c r="K60" s="43"/>
      <c r="M60" s="43"/>
      <c r="N60" s="43"/>
    </row>
    <row r="61" spans="2:14" hidden="1" x14ac:dyDescent="0.3">
      <c r="B61" s="43" t="str">
        <f t="shared" si="4"/>
        <v/>
      </c>
      <c r="C61" s="197" t="str">
        <f t="array" ref="C61">IF(COUNTIF(D$48:D61,D61)=1,MAX(C$48:C60)+1,"")</f>
        <v/>
      </c>
      <c r="D61" s="194" t="str">
        <f t="array" ref="D61">IFERROR(INDEX(Данные!$AE$4:$AE$1156,SMALL(IF(Данные!$AD$4:$AD$1156=$N$25,ROW(Данные!$AD$4:$AD$1156)-ROW(Данные!$AD$4)+1),ROW()-ROW($D$49)+1)),"")</f>
        <v/>
      </c>
      <c r="E61" s="43"/>
      <c r="F61" s="43"/>
      <c r="H61" s="43"/>
      <c r="I61" s="43"/>
      <c r="J61" s="43"/>
      <c r="K61" s="43"/>
      <c r="M61" s="43"/>
      <c r="N61" s="43"/>
    </row>
    <row r="62" spans="2:14" hidden="1" x14ac:dyDescent="0.3">
      <c r="B62" s="43" t="str">
        <f t="shared" si="4"/>
        <v/>
      </c>
      <c r="C62" s="197" t="str">
        <f t="array" ref="C62">IF(COUNTIF(D$48:D62,D62)=1,MAX(C$48:C61)+1,"")</f>
        <v/>
      </c>
      <c r="D62" s="194" t="str">
        <f t="array" ref="D62">IFERROR(INDEX(Данные!$AE$4:$AE$1156,SMALL(IF(Данные!$AD$4:$AD$1156=$N$25,ROW(Данные!$AD$4:$AD$1156)-ROW(Данные!$AD$4)+1),ROW()-ROW($D$49)+1)),"")</f>
        <v/>
      </c>
      <c r="E62" s="43"/>
      <c r="F62" s="43"/>
      <c r="H62" s="43"/>
      <c r="I62" s="43"/>
      <c r="J62" s="43"/>
      <c r="K62" s="43"/>
      <c r="M62" s="43"/>
      <c r="N62" s="43"/>
    </row>
    <row r="63" spans="2:14" hidden="1" x14ac:dyDescent="0.3">
      <c r="B63" s="43" t="str">
        <f t="shared" si="4"/>
        <v/>
      </c>
      <c r="C63" s="197" t="str">
        <f t="array" ref="C63">IF(COUNTIF(D$48:D63,D63)=1,MAX(C$48:C62)+1,"")</f>
        <v/>
      </c>
      <c r="D63" s="194" t="str">
        <f t="array" ref="D63">IFERROR(INDEX(Данные!$AE$4:$AE$1156,SMALL(IF(Данные!$AD$4:$AD$1156=$N$25,ROW(Данные!$AD$4:$AD$1156)-ROW(Данные!$AD$4)+1),ROW()-ROW($D$49)+1)),"")</f>
        <v/>
      </c>
      <c r="E63" s="43"/>
      <c r="F63" s="43"/>
      <c r="H63" s="43"/>
      <c r="I63" s="43"/>
      <c r="J63" s="43"/>
      <c r="K63" s="43"/>
      <c r="M63" s="43"/>
      <c r="N63" s="43"/>
    </row>
    <row r="64" spans="2:14" hidden="1" x14ac:dyDescent="0.3">
      <c r="B64" s="43" t="str">
        <f t="shared" si="4"/>
        <v/>
      </c>
      <c r="C64" s="197" t="str">
        <f t="array" ref="C64">IF(COUNTIF(D$48:D64,D64)=1,MAX(C$48:C63)+1,"")</f>
        <v/>
      </c>
      <c r="D64" s="194" t="str">
        <f t="array" ref="D64">IFERROR(INDEX(Данные!$AE$4:$AE$1156,SMALL(IF(Данные!$AD$4:$AD$1156=$N$25,ROW(Данные!$AD$4:$AD$1156)-ROW(Данные!$AD$4)+1),ROW()-ROW($D$49)+1)),"")</f>
        <v/>
      </c>
      <c r="E64" s="43"/>
      <c r="F64" s="43"/>
      <c r="H64" s="43"/>
      <c r="I64" s="43"/>
      <c r="J64" s="43"/>
      <c r="K64" s="43"/>
      <c r="M64" s="43"/>
      <c r="N64" s="43"/>
    </row>
    <row r="65" spans="2:14" hidden="1" x14ac:dyDescent="0.3">
      <c r="B65" s="43" t="str">
        <f t="shared" si="4"/>
        <v/>
      </c>
      <c r="C65" s="197" t="str">
        <f t="array" ref="C65">IF(COUNTIF(D$48:D65,D65)=1,MAX(C$48:C64)+1,"")</f>
        <v/>
      </c>
      <c r="D65" s="194" t="str">
        <f t="array" ref="D65">IFERROR(INDEX(Данные!$AE$4:$AE$1156,SMALL(IF(Данные!$AD$4:$AD$1156=$N$25,ROW(Данные!$AD$4:$AD$1156)-ROW(Данные!$AD$4)+1),ROW()-ROW($D$49)+1)),"")</f>
        <v/>
      </c>
      <c r="E65" s="43"/>
      <c r="F65" s="43"/>
      <c r="H65" s="43"/>
      <c r="I65" s="43"/>
      <c r="J65" s="43"/>
      <c r="K65" s="43"/>
      <c r="M65" s="43"/>
      <c r="N65" s="43"/>
    </row>
    <row r="66" spans="2:14" hidden="1" x14ac:dyDescent="0.3">
      <c r="B66" s="43" t="str">
        <f>IF(MAX(C66:C109)&lt;ROW(18:18),"",VLOOKUP(ROW(18:18),C66:D109,2))</f>
        <v/>
      </c>
      <c r="C66" s="197" t="str">
        <f t="array" ref="C66">IF(COUNTIF(D$48:D66,D66)=1,MAX(C$48:C65)+1,"")</f>
        <v/>
      </c>
      <c r="D66" s="194" t="str">
        <f t="array" ref="D66">IFERROR(INDEX(Данные!$AE$4:$AE$1156,SMALL(IF(Данные!$AD$4:$AD$1156=$N$25,ROW(Данные!$AD$4:$AD$1156)-ROW(Данные!$AD$4)+1),ROW()-ROW($D$49)+1)),"")</f>
        <v/>
      </c>
      <c r="E66" s="43"/>
      <c r="F66" s="43"/>
      <c r="H66" s="43"/>
      <c r="I66" s="43"/>
      <c r="J66" s="43"/>
      <c r="K66" s="43"/>
      <c r="M66" s="43"/>
      <c r="N66" s="43"/>
    </row>
    <row r="67" spans="2:14" hidden="1" x14ac:dyDescent="0.3">
      <c r="B67" s="43" t="str">
        <f>IF(MAX(C67:C109)&lt;ROW(19:19),"",VLOOKUP(ROW(19:19),C67:D109,2))</f>
        <v/>
      </c>
      <c r="C67" s="197" t="str">
        <f t="array" ref="C67">IF(COUNTIF(D$48:D67,D67)=1,MAX(C$48:C66)+1,"")</f>
        <v/>
      </c>
      <c r="D67" s="194" t="str">
        <f t="array" ref="D67">IFERROR(INDEX(Данные!$AE$4:$AE$1156,SMALL(IF(Данные!$AD$4:$AD$1156=$N$25,ROW(Данные!$AD$4:$AD$1156)-ROW(Данные!$AD$4)+1),ROW()-ROW($D$49)+1)),"")</f>
        <v/>
      </c>
      <c r="E67" s="43"/>
      <c r="F67" s="43"/>
      <c r="H67" s="43"/>
      <c r="I67" s="43"/>
      <c r="J67" s="43"/>
      <c r="K67" s="43"/>
      <c r="M67" s="43"/>
      <c r="N67" s="43"/>
    </row>
    <row r="68" spans="2:14" hidden="1" x14ac:dyDescent="0.3">
      <c r="B68" s="43" t="str">
        <f>IF(MAX(C68:C109)&lt;ROW(20:20),"",VLOOKUP(ROW(20:20),C68:D109,2))</f>
        <v/>
      </c>
      <c r="C68" s="197" t="str">
        <f t="array" ref="C68">IF(COUNTIF(D$48:D68,D68)=1,MAX(C$48:C67)+1,"")</f>
        <v/>
      </c>
      <c r="D68" s="194" t="str">
        <f t="array" ref="D68">IFERROR(INDEX(Данные!$AE$4:$AE$1156,SMALL(IF(Данные!$AD$4:$AD$1156=$N$25,ROW(Данные!$AD$4:$AD$1156)-ROW(Данные!$AD$4)+1),ROW()-ROW($D$49)+1)),"")</f>
        <v/>
      </c>
      <c r="E68" s="43"/>
      <c r="F68" s="43"/>
      <c r="H68" s="43"/>
      <c r="I68" s="43"/>
      <c r="J68" s="43"/>
      <c r="K68" s="43"/>
      <c r="M68" s="43"/>
      <c r="N68" s="43"/>
    </row>
    <row r="69" spans="2:14" hidden="1" x14ac:dyDescent="0.3">
      <c r="B69" s="43" t="str">
        <f>IF(MAX(C69:C109)&lt;ROW(21:21),"",VLOOKUP(ROW(21:21),C69:D109,2))</f>
        <v/>
      </c>
      <c r="C69" s="197" t="str">
        <f t="array" ref="C69">IF(COUNTIF(D$48:D69,D69)=1,MAX(C$48:C68)+1,"")</f>
        <v/>
      </c>
      <c r="D69" s="194" t="str">
        <f t="array" ref="D69">IFERROR(INDEX(Данные!$AE$4:$AE$1156,SMALL(IF(Данные!$AD$4:$AD$1156=$N$25,ROW(Данные!$AD$4:$AD$1156)-ROW(Данные!$AD$4)+1),ROW()-ROW($D$49)+1)),"")</f>
        <v/>
      </c>
      <c r="E69" s="43"/>
      <c r="F69" s="43"/>
      <c r="H69" s="43"/>
      <c r="I69" s="43"/>
      <c r="J69" s="43"/>
      <c r="K69" s="43"/>
      <c r="M69" s="43"/>
      <c r="N69" s="43"/>
    </row>
    <row r="70" spans="2:14" hidden="1" x14ac:dyDescent="0.3">
      <c r="B70" s="43" t="str">
        <f>IF(MAX(C70:C109)&lt;ROW(22:22),"",VLOOKUP(ROW(22:22),C70:D109,2))</f>
        <v/>
      </c>
      <c r="C70" s="197" t="str">
        <f t="array" ref="C70">IF(COUNTIF(D$48:D70,D70)=1,MAX(C$48:C69)+1,"")</f>
        <v/>
      </c>
      <c r="D70" s="194" t="str">
        <f t="array" ref="D70">IFERROR(INDEX(Данные!$AE$4:$AE$1156,SMALL(IF(Данные!$AD$4:$AD$1156=$N$25,ROW(Данные!$AD$4:$AD$1156)-ROW(Данные!$AD$4)+1),ROW()-ROW($D$49)+1)),"")</f>
        <v/>
      </c>
      <c r="E70" s="43"/>
      <c r="F70" s="43"/>
      <c r="H70" s="43"/>
      <c r="I70" s="43"/>
      <c r="J70" s="43"/>
      <c r="K70" s="43"/>
      <c r="M70" s="43"/>
      <c r="N70" s="43"/>
    </row>
    <row r="71" spans="2:14" hidden="1" x14ac:dyDescent="0.3">
      <c r="B71" s="43" t="str">
        <f>IF(MAX(C71:C109)&lt;ROW(23:23),"",VLOOKUP(ROW(23:23),C71:D109,2))</f>
        <v/>
      </c>
      <c r="C71" s="197" t="str">
        <f t="array" ref="C71">IF(COUNTIF(D$48:D71,D71)=1,MAX(C$48:C70)+1,"")</f>
        <v/>
      </c>
      <c r="D71" s="194" t="str">
        <f t="array" ref="D71">IFERROR(INDEX(Данные!$AE$4:$AE$1156,SMALL(IF(Данные!$AD$4:$AD$1156=$N$25,ROW(Данные!$AD$4:$AD$1156)-ROW(Данные!$AD$4)+1),ROW()-ROW($D$49)+1)),"")</f>
        <v/>
      </c>
      <c r="E71" s="43"/>
      <c r="F71" s="43"/>
      <c r="H71" s="43"/>
      <c r="I71" s="43"/>
      <c r="J71" s="43"/>
      <c r="K71" s="43"/>
      <c r="M71" s="43"/>
      <c r="N71" s="43"/>
    </row>
    <row r="72" spans="2:14" hidden="1" x14ac:dyDescent="0.3">
      <c r="B72" s="43" t="str">
        <f>IF(MAX(C72:C109)&lt;ROW(24:24),"",VLOOKUP(ROW(24:24),C72:D109,2))</f>
        <v/>
      </c>
      <c r="C72" s="197" t="str">
        <f t="array" ref="C72">IF(COUNTIF(D$48:D72,D72)=1,MAX(C$48:C71)+1,"")</f>
        <v/>
      </c>
      <c r="D72" s="194" t="str">
        <f t="array" ref="D72">IFERROR(INDEX(Данные!$AE$4:$AE$1156,SMALL(IF(Данные!$AD$4:$AD$1156=$N$25,ROW(Данные!$AD$4:$AD$1156)-ROW(Данные!$AD$4)+1),ROW()-ROW($D$49)+1)),"")</f>
        <v/>
      </c>
      <c r="E72" s="43"/>
      <c r="F72" s="43"/>
      <c r="H72" s="43"/>
      <c r="I72" s="43"/>
      <c r="J72" s="43"/>
      <c r="K72" s="43"/>
      <c r="M72" s="43"/>
      <c r="N72" s="43"/>
    </row>
    <row r="73" spans="2:14" hidden="1" x14ac:dyDescent="0.3">
      <c r="B73" s="43" t="str">
        <f>IF(MAX(C73:C109)&lt;ROW(25:25),"",VLOOKUP(ROW(25:25),C73:D109,2))</f>
        <v/>
      </c>
      <c r="C73" s="197" t="str">
        <f t="array" ref="C73">IF(COUNTIF(D$48:D73,D73)=1,MAX(C$48:C72)+1,"")</f>
        <v/>
      </c>
      <c r="D73" s="194" t="str">
        <f t="array" ref="D73">IFERROR(INDEX(Данные!$AE$4:$AE$1156,SMALL(IF(Данные!$AD$4:$AD$1156=$N$25,ROW(Данные!$AD$4:$AD$1156)-ROW(Данные!$AD$4)+1),ROW()-ROW($D$49)+1)),"")</f>
        <v/>
      </c>
      <c r="E73" s="43"/>
      <c r="F73" s="43"/>
      <c r="H73" s="43"/>
      <c r="I73" s="43"/>
      <c r="J73" s="43"/>
      <c r="K73" s="43"/>
      <c r="M73" s="43"/>
      <c r="N73" s="43"/>
    </row>
    <row r="74" spans="2:14" hidden="1" x14ac:dyDescent="0.3">
      <c r="B74" s="43" t="str">
        <f>IF(MAX(C74:C109)&lt;ROW(26:26),"",VLOOKUP(ROW(26:26),C74:D109,2))</f>
        <v/>
      </c>
      <c r="C74" s="197" t="str">
        <f t="array" ref="C74">IF(COUNTIF(D$48:D74,D74)=1,MAX(C$48:C73)+1,"")</f>
        <v/>
      </c>
      <c r="D74" s="194" t="str">
        <f t="array" ref="D74">IFERROR(INDEX(Данные!$AE$4:$AE$1156,SMALL(IF(Данные!$AD$4:$AD$1156=$N$25,ROW(Данные!$AD$4:$AD$1156)-ROW(Данные!$AD$4)+1),ROW()-ROW($D$49)+1)),"")</f>
        <v/>
      </c>
      <c r="E74" s="43"/>
      <c r="F74" s="43"/>
      <c r="H74" s="43"/>
      <c r="I74" s="43"/>
      <c r="J74" s="43"/>
      <c r="K74" s="43"/>
      <c r="M74" s="43"/>
      <c r="N74" s="43"/>
    </row>
    <row r="75" spans="2:14" hidden="1" x14ac:dyDescent="0.3">
      <c r="B75" s="43" t="str">
        <f>IF(MAX(C75:C109)&lt;ROW(27:27),"",VLOOKUP(ROW(27:27),C75:D109,2))</f>
        <v/>
      </c>
      <c r="C75" s="197" t="str">
        <f t="array" ref="C75">IF(COUNTIF(D$48:D75,D75)=1,MAX(C$48:C74)+1,"")</f>
        <v/>
      </c>
      <c r="D75" s="194" t="str">
        <f t="array" ref="D75">IFERROR(INDEX(Данные!$AE$4:$AE$1156,SMALL(IF(Данные!$AD$4:$AD$1156=$N$25,ROW(Данные!$AD$4:$AD$1156)-ROW(Данные!$AD$4)+1),ROW()-ROW($D$49)+1)),"")</f>
        <v/>
      </c>
      <c r="E75" s="43"/>
      <c r="F75" s="43"/>
      <c r="H75" s="43"/>
      <c r="I75" s="43"/>
      <c r="J75" s="43"/>
      <c r="K75" s="43"/>
      <c r="M75" s="43"/>
      <c r="N75" s="43"/>
    </row>
    <row r="76" spans="2:14" hidden="1" x14ac:dyDescent="0.3">
      <c r="B76" s="43" t="str">
        <f>IF(MAX(C76:C109)&lt;ROW(28:28),"",VLOOKUP(ROW(28:28),C76:D109,2))</f>
        <v/>
      </c>
      <c r="C76" s="197" t="str">
        <f t="array" ref="C76">IF(COUNTIF(D$48:D76,D76)=1,MAX(C$48:C75)+1,"")</f>
        <v/>
      </c>
      <c r="D76" s="194" t="str">
        <f t="array" ref="D76">IFERROR(INDEX(Данные!$AE$4:$AE$1156,SMALL(IF(Данные!$AD$4:$AD$1156=$N$25,ROW(Данные!$AD$4:$AD$1156)-ROW(Данные!$AD$4)+1),ROW()-ROW($D$49)+1)),"")</f>
        <v/>
      </c>
      <c r="E76" s="43"/>
      <c r="F76" s="43"/>
      <c r="H76" s="43"/>
      <c r="I76" s="43"/>
      <c r="J76" s="43"/>
      <c r="K76" s="43"/>
      <c r="M76" s="43"/>
      <c r="N76" s="43"/>
    </row>
    <row r="77" spans="2:14" hidden="1" x14ac:dyDescent="0.3">
      <c r="B77" s="43" t="str">
        <f>IF(MAX(C77:C109)&lt;ROW(29:29),"",VLOOKUP(ROW(29:29),C77:D109,2))</f>
        <v/>
      </c>
      <c r="C77" s="197" t="str">
        <f t="array" ref="C77">IF(COUNTIF(D$48:D77,D77)=1,MAX(C$48:C76)+1,"")</f>
        <v/>
      </c>
      <c r="D77" s="194" t="str">
        <f t="array" ref="D77">IFERROR(INDEX(Данные!$AE$4:$AE$1156,SMALL(IF(Данные!$AD$4:$AD$1156=$N$25,ROW(Данные!$AD$4:$AD$1156)-ROW(Данные!$AD$4)+1),ROW()-ROW($D$49)+1)),"")</f>
        <v/>
      </c>
      <c r="E77" s="43"/>
      <c r="F77" s="43"/>
      <c r="H77" s="43"/>
      <c r="I77" s="43"/>
      <c r="J77" s="43"/>
      <c r="K77" s="43"/>
      <c r="M77" s="43"/>
      <c r="N77" s="43"/>
    </row>
    <row r="78" spans="2:14" hidden="1" x14ac:dyDescent="0.3">
      <c r="B78" s="43" t="str">
        <f>IF(MAX(C78:C109)&lt;ROW(30:30),"",VLOOKUP(ROW(30:30),C78:D109,2))</f>
        <v/>
      </c>
      <c r="C78" s="197" t="str">
        <f t="array" ref="C78">IF(COUNTIF(D$48:D78,D78)=1,MAX(C$48:C77)+1,"")</f>
        <v/>
      </c>
      <c r="D78" s="194" t="str">
        <f t="array" ref="D78">IFERROR(INDEX(Данные!$AE$4:$AE$1156,SMALL(IF(Данные!$AD$4:$AD$1156=$N$25,ROW(Данные!$AD$4:$AD$1156)-ROW(Данные!$AD$4)+1),ROW()-ROW($D$49)+1)),"")</f>
        <v/>
      </c>
      <c r="E78" s="43"/>
      <c r="F78" s="43"/>
      <c r="H78" s="43"/>
      <c r="I78" s="43"/>
      <c r="J78" s="43"/>
      <c r="K78" s="43"/>
      <c r="M78" s="43"/>
      <c r="N78" s="43"/>
    </row>
    <row r="79" spans="2:14" hidden="1" x14ac:dyDescent="0.3">
      <c r="B79" s="43" t="str">
        <f>IF(MAX(C79:C109)&lt;ROW(31:31),"",VLOOKUP(ROW(31:31),C79:D109,2))</f>
        <v/>
      </c>
      <c r="C79" s="197" t="str">
        <f t="array" ref="C79">IF(COUNTIF(D$48:D79,D79)=1,MAX(C$48:C78)+1,"")</f>
        <v/>
      </c>
      <c r="D79" s="194" t="str">
        <f t="array" ref="D79">IFERROR(INDEX(Данные!$AE$4:$AE$1156,SMALL(IF(Данные!$AD$4:$AD$1156=$N$25,ROW(Данные!$AD$4:$AD$1156)-ROW(Данные!$AD$4)+1),ROW()-ROW($D$49)+1)),"")</f>
        <v/>
      </c>
      <c r="E79" s="43"/>
      <c r="F79" s="43"/>
      <c r="H79" s="43"/>
      <c r="I79" s="43"/>
      <c r="J79" s="43"/>
      <c r="K79" s="43"/>
      <c r="M79" s="43"/>
      <c r="N79" s="43"/>
    </row>
    <row r="80" spans="2:14" hidden="1" x14ac:dyDescent="0.3">
      <c r="B80" s="43" t="str">
        <f>IF(MAX(C80:C109)&lt;ROW(32:32),"",VLOOKUP(ROW(32:32),C80:D109,2))</f>
        <v/>
      </c>
      <c r="C80" s="197" t="str">
        <f t="array" ref="C80">IF(COUNTIF(D$48:D80,D80)=1,MAX(C$48:C79)+1,"")</f>
        <v/>
      </c>
      <c r="D80" s="194" t="str">
        <f t="array" ref="D80">IFERROR(INDEX(Данные!$AE$4:$AE$1156,SMALL(IF(Данные!$AD$4:$AD$1156=$N$25,ROW(Данные!$AD$4:$AD$1156)-ROW(Данные!$AD$4)+1),ROW()-ROW($D$49)+1)),"")</f>
        <v/>
      </c>
      <c r="E80" s="43"/>
      <c r="F80" s="43"/>
      <c r="H80" s="43"/>
      <c r="I80" s="43"/>
      <c r="J80" s="43"/>
      <c r="K80" s="43"/>
      <c r="M80" s="43"/>
      <c r="N80" s="43"/>
    </row>
    <row r="81" spans="2:19" hidden="1" x14ac:dyDescent="0.3">
      <c r="B81" s="43" t="str">
        <f>IF(MAX(C81:C109)&lt;ROW(33:33),"",VLOOKUP(ROW(33:33),C81:D109,2))</f>
        <v/>
      </c>
      <c r="C81" s="197" t="str">
        <f t="array" ref="C81">IF(COUNTIF(D$48:D81,D81)=1,MAX(C$48:C80)+1,"")</f>
        <v/>
      </c>
      <c r="D81" s="194" t="str">
        <f t="array" ref="D81">IFERROR(INDEX(Данные!$AE$4:$AE$1156,SMALL(IF(Данные!$AD$4:$AD$1156=$N$25,ROW(Данные!$AD$4:$AD$1156)-ROW(Данные!$AD$4)+1),ROW()-ROW($D$49)+1)),"")</f>
        <v/>
      </c>
      <c r="E81" s="43"/>
      <c r="F81" s="43"/>
      <c r="H81" s="43"/>
      <c r="I81" s="43"/>
      <c r="J81" s="43"/>
      <c r="K81" s="43"/>
      <c r="M81" s="43"/>
      <c r="N81" s="43"/>
    </row>
    <row r="82" spans="2:19" hidden="1" x14ac:dyDescent="0.3">
      <c r="B82" s="43" t="str">
        <f>IF(MAX(C82:C109)&lt;ROW(34:34),"",VLOOKUP(ROW(34:34),C82:D109,2))</f>
        <v/>
      </c>
      <c r="C82" s="197" t="str">
        <f t="array" ref="C82">IF(COUNTIF(D$48:D82,D82)=1,MAX(C$48:C81)+1,"")</f>
        <v/>
      </c>
      <c r="D82" s="194" t="str">
        <f t="array" ref="D82">IFERROR(INDEX(Данные!$AE$4:$AE$1156,SMALL(IF(Данные!$AD$4:$AD$1156=$N$25,ROW(Данные!$AD$4:$AD$1156)-ROW(Данные!$AD$4)+1),ROW()-ROW($D$49)+1)),"")</f>
        <v/>
      </c>
      <c r="E82" s="43"/>
      <c r="F82" s="43"/>
      <c r="H82" s="43"/>
      <c r="I82" s="43"/>
      <c r="J82" s="43"/>
      <c r="K82" s="43"/>
      <c r="M82" s="43"/>
      <c r="N82" s="43"/>
    </row>
    <row r="83" spans="2:19" hidden="1" x14ac:dyDescent="0.3">
      <c r="B83" s="43" t="str">
        <f>IF(MAX(C83:C109)&lt;ROW(35:35),"",VLOOKUP(ROW(35:35),C83:D109,2))</f>
        <v/>
      </c>
      <c r="C83" s="197" t="str">
        <f t="array" ref="C83">IF(COUNTIF(D$48:D83,D83)=1,MAX(C$48:C82)+1,"")</f>
        <v/>
      </c>
      <c r="D83" s="194" t="str">
        <f t="array" ref="D83">IFERROR(INDEX(Данные!$AE$4:$AE$1156,SMALL(IF(Данные!$AD$4:$AD$1156=$N$25,ROW(Данные!$AD$4:$AD$1156)-ROW(Данные!$AD$4)+1),ROW()-ROW($D$49)+1)),"")</f>
        <v/>
      </c>
      <c r="E83" s="43"/>
      <c r="F83" s="43"/>
      <c r="H83" s="43"/>
      <c r="I83" s="43"/>
      <c r="J83" s="43"/>
      <c r="K83" s="43"/>
      <c r="M83" s="43"/>
      <c r="N83" s="43"/>
    </row>
    <row r="84" spans="2:19" hidden="1" x14ac:dyDescent="0.3">
      <c r="B84" s="43" t="str">
        <f>IF(MAX(C84:C109)&lt;ROW(36:36),"",VLOOKUP(ROW(36:36),C84:D109,2))</f>
        <v/>
      </c>
      <c r="C84" s="197" t="str">
        <f t="array" ref="C84">IF(COUNTIF(D$48:D84,D84)=1,MAX(C$48:C83)+1,"")</f>
        <v/>
      </c>
      <c r="D84" s="194" t="str">
        <f t="array" ref="D84">IFERROR(INDEX(Данные!$AE$4:$AE$1156,SMALL(IF(Данные!$AD$4:$AD$1156=$N$25,ROW(Данные!$AD$4:$AD$1156)-ROW(Данные!$AD$4)+1),ROW()-ROW($D$49)+1)),"")</f>
        <v/>
      </c>
      <c r="E84" s="43"/>
      <c r="F84" s="43"/>
      <c r="H84" s="43"/>
      <c r="I84" s="43"/>
      <c r="J84" s="43"/>
      <c r="K84" s="43"/>
      <c r="M84" s="43"/>
      <c r="N84" s="43"/>
    </row>
    <row r="85" spans="2:19" hidden="1" x14ac:dyDescent="0.3">
      <c r="B85" s="43" t="str">
        <f>IF(MAX(C85:C109)&lt;ROW(37:37),"",VLOOKUP(ROW(37:37),C85:D109,2))</f>
        <v/>
      </c>
      <c r="C85" s="197" t="str">
        <f t="array" ref="C85">IF(COUNTIF(D$48:D85,D85)=1,MAX(C$48:C84)+1,"")</f>
        <v/>
      </c>
      <c r="D85" s="194" t="str">
        <f t="array" ref="D85">IFERROR(INDEX(Данные!$AE$4:$AE$1156,SMALL(IF(Данные!$AD$4:$AD$1156=$N$25,ROW(Данные!$AD$4:$AD$1156)-ROW(Данные!$AD$4)+1),ROW()-ROW($D$49)+1)),"")</f>
        <v/>
      </c>
      <c r="E85" s="43"/>
      <c r="F85" s="43"/>
      <c r="H85" s="43"/>
      <c r="I85" s="43"/>
      <c r="J85" s="43"/>
      <c r="K85" s="43"/>
      <c r="M85" s="43"/>
      <c r="N85" s="43"/>
    </row>
    <row r="86" spans="2:19" hidden="1" x14ac:dyDescent="0.3">
      <c r="B86" s="43" t="str">
        <f>IF(MAX(C86:C109)&lt;ROW(38:38),"",VLOOKUP(ROW(38:38),C86:D109,2))</f>
        <v/>
      </c>
      <c r="C86" s="197" t="str">
        <f t="array" ref="C86">IF(COUNTIF(D$48:D86,D86)=1,MAX(C$48:C85)+1,"")</f>
        <v/>
      </c>
      <c r="D86" s="194" t="str">
        <f t="array" ref="D86">IFERROR(INDEX(Данные!$AE$4:$AE$1156,SMALL(IF(Данные!$AD$4:$AD$1156=$N$25,ROW(Данные!$AD$4:$AD$1156)-ROW(Данные!$AD$4)+1),ROW()-ROW($D$49)+1)),"")</f>
        <v/>
      </c>
      <c r="E86" s="43"/>
      <c r="F86" s="43"/>
      <c r="H86" s="43"/>
      <c r="I86" s="43"/>
      <c r="J86" s="43"/>
      <c r="K86" s="43"/>
      <c r="M86" s="43"/>
      <c r="N86" s="43"/>
    </row>
    <row r="87" spans="2:19" hidden="1" x14ac:dyDescent="0.3">
      <c r="B87" s="43" t="str">
        <f>IF(MAX(C87:C109)&lt;ROW(39:39),"",VLOOKUP(ROW(39:39),C87:D109,2))</f>
        <v/>
      </c>
      <c r="C87" s="197" t="str">
        <f t="array" ref="C87">IF(COUNTIF(D$48:D87,D87)=1,MAX(C$48:C86)+1,"")</f>
        <v/>
      </c>
      <c r="D87" s="194" t="str">
        <f t="array" ref="D87">IFERROR(INDEX(Данные!$AE$4:$AE$1156,SMALL(IF(Данные!$AD$4:$AD$1156=$N$25,ROW(Данные!$AD$4:$AD$1156)-ROW(Данные!$AD$4)+1),ROW()-ROW($D$49)+1)),"")</f>
        <v/>
      </c>
      <c r="E87" s="43"/>
      <c r="F87" s="43"/>
      <c r="H87" s="43"/>
      <c r="I87" s="43"/>
      <c r="J87" s="43"/>
      <c r="K87" s="43"/>
      <c r="M87" s="43"/>
      <c r="N87" s="43"/>
    </row>
    <row r="88" spans="2:19" hidden="1" x14ac:dyDescent="0.3">
      <c r="B88" s="43" t="str">
        <f>IF(MAX(C88:C109)&lt;ROW(40:40),"",VLOOKUP(ROW(40:40),C88:D109,2))</f>
        <v/>
      </c>
      <c r="C88" s="197" t="str">
        <f t="array" ref="C88">IF(COUNTIF(D$48:D88,D88)=1,MAX(C$48:C87)+1,"")</f>
        <v/>
      </c>
      <c r="D88" s="194" t="str">
        <f t="array" ref="D88">IFERROR(INDEX(Данные!$AE$4:$AE$1156,SMALL(IF(Данные!$AD$4:$AD$1156=$N$25,ROW(Данные!$AD$4:$AD$1156)-ROW(Данные!$AD$4)+1),ROW()-ROW($D$49)+1)),"")</f>
        <v/>
      </c>
      <c r="E88" s="43"/>
      <c r="F88" s="43"/>
      <c r="H88" s="43"/>
      <c r="I88" s="43"/>
      <c r="J88" s="43"/>
      <c r="K88" s="43"/>
      <c r="M88" s="43"/>
      <c r="N88" s="43"/>
    </row>
    <row r="89" spans="2:19" hidden="1" x14ac:dyDescent="0.3">
      <c r="B89" s="43" t="str">
        <f>IF(MAX(C89:C109)&lt;ROW(41:41),"",VLOOKUP(ROW(41:41),C89:D109,2))</f>
        <v/>
      </c>
      <c r="C89" s="197" t="str">
        <f t="array" ref="C89">IF(COUNTIF(D$48:D89,D89)=1,MAX(C$48:C88)+1,"")</f>
        <v/>
      </c>
      <c r="D89" s="194" t="str">
        <f t="array" ref="D89">IFERROR(INDEX(Данные!$AE$4:$AE$1156,SMALL(IF(Данные!$AD$4:$AD$1156=$N$25,ROW(Данные!$AD$4:$AD$1156)-ROW(Данные!$AD$4)+1),ROW()-ROW($D$49)+1)),"")</f>
        <v/>
      </c>
      <c r="E89" s="43"/>
      <c r="F89" s="43"/>
      <c r="H89" s="43"/>
      <c r="I89" s="43"/>
      <c r="J89" s="43"/>
      <c r="K89" s="43"/>
      <c r="M89" s="43"/>
      <c r="N89" s="43"/>
    </row>
    <row r="90" spans="2:19" hidden="1" x14ac:dyDescent="0.3">
      <c r="B90" s="43" t="str">
        <f>IF(MAX(C90:C109)&lt;ROW(42:42),"",VLOOKUP(ROW(42:42),C90:D109,2))</f>
        <v/>
      </c>
      <c r="C90" s="197" t="str">
        <f t="array" ref="C90">IF(COUNTIF(D$48:D90,D90)=1,MAX(C$48:C89)+1,"")</f>
        <v/>
      </c>
      <c r="D90" s="194" t="str">
        <f t="array" ref="D90">IFERROR(INDEX(Данные!$AE$4:$AE$1156,SMALL(IF(Данные!$AD$4:$AD$1156=$N$25,ROW(Данные!$AD$4:$AD$1156)-ROW(Данные!$AD$4)+1),ROW()-ROW($D$49)+1)),"")</f>
        <v/>
      </c>
      <c r="E90" s="43"/>
      <c r="F90" s="43"/>
      <c r="H90" s="43"/>
      <c r="I90" s="43"/>
      <c r="J90" s="43"/>
      <c r="K90" s="43"/>
      <c r="M90" s="43"/>
      <c r="N90" s="43"/>
    </row>
    <row r="91" spans="2:19" hidden="1" x14ac:dyDescent="0.3">
      <c r="B91" s="43" t="str">
        <f>IF(MAX(C91:C109)&lt;ROW(43:43),"",VLOOKUP(ROW(43:43),C91:D109,2))</f>
        <v/>
      </c>
      <c r="C91" s="197" t="str">
        <f t="array" ref="C91">IF(COUNTIF(D$48:D91,D91)=1,MAX(C$48:C90)+1,"")</f>
        <v/>
      </c>
      <c r="D91" s="194" t="str">
        <f t="array" ref="D91">IFERROR(INDEX(Данные!$AE$4:$AE$1156,SMALL(IF(Данные!$AD$4:$AD$1156=$N$25,ROW(Данные!$AD$4:$AD$1156)-ROW(Данные!$AD$4)+1),ROW()-ROW($D$49)+1)),"")</f>
        <v/>
      </c>
      <c r="E91" s="43"/>
      <c r="F91" s="43"/>
      <c r="H91" s="43"/>
      <c r="I91" s="43"/>
      <c r="J91" s="43"/>
      <c r="K91" s="43"/>
      <c r="M91" s="43"/>
      <c r="N91" s="43"/>
    </row>
    <row r="92" spans="2:19" s="43" customFormat="1" hidden="1" x14ac:dyDescent="0.3">
      <c r="B92" s="43" t="str">
        <f>IF(MAX(C92:C109)&lt;ROW(44:44),"",VLOOKUP(ROW(44:44),C92:D109,2))</f>
        <v/>
      </c>
      <c r="C92" s="197" t="str">
        <f t="array" ref="C92">IF(COUNTIF(D$48:D92,D92)=1,MAX(C$48:C91)+1,"")</f>
        <v/>
      </c>
      <c r="D92" s="194" t="str">
        <f t="array" ref="D92">IFERROR(INDEX(Данные!$AE$4:$AE$1156,SMALL(IF(Данные!$AD$4:$AD$1156=$N$25,ROW(Данные!$AD$4:$AD$1156)-ROW(Данные!$AD$4)+1),ROW()-ROW($D$49)+1)),"")</f>
        <v/>
      </c>
      <c r="O92"/>
      <c r="Q92"/>
      <c r="R92"/>
      <c r="S92"/>
    </row>
    <row r="93" spans="2:19" ht="15" thickBot="1" x14ac:dyDescent="0.35">
      <c r="B93" s="140"/>
      <c r="C93" s="1072"/>
      <c r="D93" s="60"/>
      <c r="E93" s="140"/>
      <c r="F93" s="140"/>
      <c r="G93" s="140"/>
      <c r="H93" s="140"/>
      <c r="I93" s="140"/>
      <c r="J93" s="140"/>
      <c r="K93" s="140"/>
      <c r="L93" s="140"/>
      <c r="M93" s="43"/>
      <c r="N93" s="43"/>
      <c r="Q93" s="43"/>
      <c r="R93" s="43"/>
      <c r="S93" s="43"/>
    </row>
    <row r="94" spans="2:19" x14ac:dyDescent="0.3">
      <c r="B94" s="108" t="s">
        <v>6</v>
      </c>
      <c r="C94" s="1051"/>
      <c r="D94" s="1052"/>
      <c r="E94" s="111" t="s">
        <v>297</v>
      </c>
      <c r="F94" s="1536" t="s">
        <v>298</v>
      </c>
      <c r="G94" s="1537"/>
      <c r="H94" s="111" t="s">
        <v>298</v>
      </c>
      <c r="I94" s="111" t="s">
        <v>299</v>
      </c>
      <c r="J94" s="108" t="s">
        <v>300</v>
      </c>
      <c r="K94" s="1052"/>
      <c r="L94" s="1312"/>
      <c r="M94" s="1462" t="s">
        <v>409</v>
      </c>
      <c r="N94" s="1463"/>
    </row>
    <row r="95" spans="2:19" ht="15" thickBot="1" x14ac:dyDescent="0.35">
      <c r="B95" s="113"/>
      <c r="C95" s="1053" t="s">
        <v>301</v>
      </c>
      <c r="D95" s="1050"/>
      <c r="E95" s="115" t="s">
        <v>302</v>
      </c>
      <c r="F95" s="1538" t="s">
        <v>303</v>
      </c>
      <c r="G95" s="1539"/>
      <c r="H95" s="115" t="s">
        <v>304</v>
      </c>
      <c r="I95" s="115"/>
      <c r="J95" s="116" t="s">
        <v>305</v>
      </c>
      <c r="K95" s="1050"/>
      <c r="L95" s="1312"/>
      <c r="M95" s="1464" t="s">
        <v>412</v>
      </c>
      <c r="N95" s="1465" t="s">
        <v>800</v>
      </c>
    </row>
    <row r="96" spans="2:19" ht="15" thickBot="1" x14ac:dyDescent="0.35">
      <c r="B96" s="117"/>
      <c r="C96" s="118" t="s">
        <v>306</v>
      </c>
      <c r="D96" s="118"/>
      <c r="E96" s="111">
        <v>86</v>
      </c>
      <c r="F96" s="1525">
        <v>2</v>
      </c>
      <c r="G96" s="1526"/>
      <c r="H96" s="1073">
        <v>10</v>
      </c>
      <c r="I96" s="1074">
        <v>5</v>
      </c>
      <c r="J96" s="1540">
        <f ca="1">ROUND(M96/1000*F11,3)</f>
        <v>4.1260000000000003</v>
      </c>
      <c r="K96" s="1541"/>
      <c r="L96" s="1354"/>
      <c r="M96" s="1370">
        <v>9.8000000000000007</v>
      </c>
      <c r="N96" s="1371">
        <v>10.5</v>
      </c>
    </row>
    <row r="97" spans="2:15" ht="15" thickBot="1" x14ac:dyDescent="0.35">
      <c r="B97" s="117"/>
      <c r="C97" s="118" t="s">
        <v>307</v>
      </c>
      <c r="D97" s="118"/>
      <c r="E97" s="1527">
        <v>86</v>
      </c>
      <c r="F97" s="1530">
        <v>2</v>
      </c>
      <c r="G97" s="1531"/>
      <c r="H97" s="1527">
        <v>20</v>
      </c>
      <c r="I97" s="1527">
        <v>3</v>
      </c>
      <c r="J97" s="1530">
        <f ca="1">ROUND(M97/1000*F11,3)</f>
        <v>2.7370000000000001</v>
      </c>
      <c r="K97" s="1531"/>
      <c r="L97" s="1355"/>
      <c r="M97" s="1232">
        <v>6.5</v>
      </c>
      <c r="N97" s="1372">
        <v>7</v>
      </c>
      <c r="O97" s="140"/>
    </row>
    <row r="98" spans="2:15" ht="15" thickBot="1" x14ac:dyDescent="0.35">
      <c r="B98" s="117"/>
      <c r="C98" s="118" t="s">
        <v>308</v>
      </c>
      <c r="D98" s="118"/>
      <c r="E98" s="1528"/>
      <c r="F98" s="1532"/>
      <c r="G98" s="1533"/>
      <c r="H98" s="1528"/>
      <c r="I98" s="1528"/>
      <c r="J98" s="1532"/>
      <c r="K98" s="1533"/>
      <c r="L98" s="1355"/>
      <c r="M98" s="1071"/>
      <c r="N98" s="1373"/>
    </row>
    <row r="99" spans="2:15" ht="15" thickBot="1" x14ac:dyDescent="0.35">
      <c r="B99" s="117"/>
      <c r="C99" s="118" t="s">
        <v>309</v>
      </c>
      <c r="D99" s="118"/>
      <c r="E99" s="1529"/>
      <c r="F99" s="1534"/>
      <c r="G99" s="1535"/>
      <c r="H99" s="1529"/>
      <c r="I99" s="1529"/>
      <c r="J99" s="1534"/>
      <c r="K99" s="1535"/>
      <c r="L99" s="1355"/>
      <c r="M99" s="1071"/>
      <c r="N99" s="1373"/>
    </row>
    <row r="100" spans="2:15" ht="15" thickBot="1" x14ac:dyDescent="0.35">
      <c r="B100" s="117"/>
      <c r="C100" s="118" t="s">
        <v>310</v>
      </c>
      <c r="D100" s="118"/>
      <c r="E100" s="115">
        <v>39</v>
      </c>
      <c r="F100" s="1525">
        <v>2</v>
      </c>
      <c r="G100" s="1526"/>
      <c r="H100" s="1075">
        <v>20</v>
      </c>
      <c r="I100" s="1076">
        <v>4</v>
      </c>
      <c r="J100" s="1525">
        <f ca="1">ROUND(M100/1000*F11,3)</f>
        <v>1.768</v>
      </c>
      <c r="K100" s="1526"/>
      <c r="L100" s="1312"/>
      <c r="M100" s="1374">
        <v>4.2</v>
      </c>
      <c r="N100" s="1375">
        <v>4.5</v>
      </c>
    </row>
    <row r="102" spans="2:15" x14ac:dyDescent="0.3">
      <c r="C102" s="211" t="s">
        <v>417</v>
      </c>
      <c r="D102" s="146"/>
      <c r="E102" s="146"/>
      <c r="F102" s="146"/>
    </row>
    <row r="103" spans="2:15" x14ac:dyDescent="0.3">
      <c r="C103" s="212" t="s">
        <v>413</v>
      </c>
      <c r="D103" s="146"/>
      <c r="E103" s="146"/>
      <c r="F103" s="146"/>
    </row>
    <row r="110" spans="2:15" ht="15" thickBot="1" x14ac:dyDescent="0.35">
      <c r="K110" s="43" t="s">
        <v>408</v>
      </c>
    </row>
    <row r="111" spans="2:15" ht="15" thickBot="1" x14ac:dyDescent="0.35">
      <c r="B111" s="1"/>
      <c r="C111" s="2"/>
      <c r="D111" s="2"/>
      <c r="E111" s="41" t="s">
        <v>0</v>
      </c>
      <c r="F111" s="2"/>
      <c r="G111" s="2"/>
      <c r="H111" s="2"/>
      <c r="I111" s="2"/>
      <c r="J111" s="2"/>
      <c r="K111" s="84" t="s">
        <v>1132</v>
      </c>
      <c r="L111" s="59"/>
    </row>
    <row r="112" spans="2:15" x14ac:dyDescent="0.3">
      <c r="B112" s="12"/>
      <c r="C112" s="71" t="s">
        <v>2</v>
      </c>
      <c r="D112" s="71"/>
      <c r="E112" s="71"/>
      <c r="F112" s="613" t="s">
        <v>1209</v>
      </c>
      <c r="G112" s="6"/>
      <c r="H112" s="71"/>
      <c r="I112" s="85"/>
      <c r="J112" s="85"/>
      <c r="K112" s="86"/>
      <c r="L112" s="341"/>
    </row>
    <row r="113" spans="2:12" x14ac:dyDescent="0.3">
      <c r="B113" s="4"/>
      <c r="C113" s="59" t="s">
        <v>4</v>
      </c>
      <c r="D113" s="59"/>
      <c r="E113" s="59"/>
      <c r="F113" s="630">
        <v>201</v>
      </c>
      <c r="G113" s="143" t="s">
        <v>1200</v>
      </c>
      <c r="H113" s="60">
        <v>5152</v>
      </c>
      <c r="I113" s="59"/>
      <c r="J113" s="59"/>
      <c r="K113" s="10"/>
      <c r="L113" s="59"/>
    </row>
    <row r="114" spans="2:12" x14ac:dyDescent="0.3">
      <c r="B114" s="4"/>
      <c r="C114" s="59" t="s">
        <v>6</v>
      </c>
      <c r="D114" s="59"/>
      <c r="E114" s="59"/>
      <c r="F114" s="630" t="s">
        <v>1142</v>
      </c>
      <c r="G114" s="1086" t="s">
        <v>1200</v>
      </c>
      <c r="H114" s="60" t="s">
        <v>1142</v>
      </c>
      <c r="I114" s="59"/>
      <c r="J114" s="59"/>
      <c r="K114" s="10"/>
      <c r="L114" s="59"/>
    </row>
    <row r="115" spans="2:12" x14ac:dyDescent="0.3">
      <c r="B115" s="4"/>
      <c r="C115" s="59" t="s">
        <v>10</v>
      </c>
      <c r="D115" s="59"/>
      <c r="E115" s="59"/>
      <c r="F115" s="780">
        <v>1</v>
      </c>
      <c r="G115" s="171" t="s">
        <v>1200</v>
      </c>
      <c r="H115" s="17">
        <v>1</v>
      </c>
      <c r="I115" s="59"/>
      <c r="J115" s="59"/>
      <c r="K115" s="10"/>
      <c r="L115" s="59"/>
    </row>
    <row r="116" spans="2:12" ht="15" thickBot="1" x14ac:dyDescent="0.35">
      <c r="B116" s="19"/>
      <c r="C116" s="65"/>
      <c r="D116" s="65"/>
      <c r="E116" s="65"/>
      <c r="F116" s="361"/>
      <c r="G116" s="65"/>
      <c r="H116" s="65"/>
      <c r="I116" s="65"/>
      <c r="J116" s="65"/>
      <c r="K116" s="40"/>
      <c r="L116" s="59"/>
    </row>
    <row r="117" spans="2:12" x14ac:dyDescent="0.3">
      <c r="B117" s="4"/>
      <c r="C117" s="59" t="s">
        <v>16</v>
      </c>
      <c r="D117" s="59"/>
      <c r="E117" s="59"/>
      <c r="F117" s="360" t="s">
        <v>15</v>
      </c>
      <c r="G117" s="103"/>
      <c r="H117" s="71"/>
      <c r="I117" s="59"/>
      <c r="J117" s="59" t="s">
        <v>17</v>
      </c>
      <c r="K117" s="190">
        <f>F118/F120</f>
        <v>0.31447368421052629</v>
      </c>
      <c r="L117" s="183"/>
    </row>
    <row r="118" spans="2:12" x14ac:dyDescent="0.3">
      <c r="B118" s="4"/>
      <c r="C118" s="59" t="s">
        <v>19</v>
      </c>
      <c r="D118" s="59"/>
      <c r="E118" s="59"/>
      <c r="F118" s="621">
        <v>95.6</v>
      </c>
      <c r="G118" s="362" t="s">
        <v>1200</v>
      </c>
      <c r="H118" s="17">
        <v>43.6</v>
      </c>
      <c r="I118" s="59"/>
      <c r="J118" s="59" t="s">
        <v>23</v>
      </c>
      <c r="K118" s="15">
        <f>F118/F122</f>
        <v>0.29931120851596743</v>
      </c>
      <c r="L118" s="183"/>
    </row>
    <row r="119" spans="2:12" x14ac:dyDescent="0.3">
      <c r="B119" s="4"/>
      <c r="C119" s="59" t="s">
        <v>22</v>
      </c>
      <c r="D119" s="59"/>
      <c r="E119" s="59"/>
      <c r="F119" s="431">
        <v>447</v>
      </c>
      <c r="G119" s="16"/>
      <c r="H119" s="17"/>
      <c r="I119" s="59"/>
      <c r="J119" s="59"/>
      <c r="K119" s="18"/>
      <c r="L119" s="524"/>
    </row>
    <row r="120" spans="2:12" x14ac:dyDescent="0.3">
      <c r="B120" s="4"/>
      <c r="C120" s="60" t="s">
        <v>317</v>
      </c>
      <c r="D120" s="59"/>
      <c r="E120" s="59"/>
      <c r="F120" s="431">
        <v>304</v>
      </c>
      <c r="G120" s="16" t="s">
        <v>1200</v>
      </c>
      <c r="H120" s="17">
        <v>140</v>
      </c>
      <c r="I120" s="59"/>
      <c r="J120" s="59"/>
      <c r="K120" s="18"/>
      <c r="L120" s="524"/>
    </row>
    <row r="121" spans="2:12" x14ac:dyDescent="0.3">
      <c r="B121" s="4"/>
      <c r="C121" s="59" t="s">
        <v>32</v>
      </c>
      <c r="D121" s="59"/>
      <c r="E121" s="59"/>
      <c r="F121" s="431">
        <v>465</v>
      </c>
      <c r="G121" s="16"/>
      <c r="H121" s="17"/>
      <c r="I121" s="59"/>
      <c r="J121" s="59"/>
      <c r="K121" s="18"/>
      <c r="L121" s="524"/>
    </row>
    <row r="122" spans="2:12" x14ac:dyDescent="0.3">
      <c r="B122" s="4"/>
      <c r="C122" s="60" t="s">
        <v>318</v>
      </c>
      <c r="F122" s="431">
        <v>319.39999999999998</v>
      </c>
      <c r="G122" s="79" t="s">
        <v>1200</v>
      </c>
      <c r="H122" s="17">
        <v>145.6</v>
      </c>
      <c r="I122" s="59"/>
      <c r="J122" s="59"/>
      <c r="K122" s="18"/>
      <c r="L122" s="524"/>
    </row>
    <row r="123" spans="2:12" ht="15" thickBot="1" x14ac:dyDescent="0.35">
      <c r="B123" s="19"/>
      <c r="C123" s="59" t="s">
        <v>36</v>
      </c>
      <c r="D123" s="59"/>
      <c r="E123" s="59"/>
      <c r="F123" s="361">
        <v>2</v>
      </c>
      <c r="G123" s="21"/>
      <c r="H123" s="65"/>
      <c r="I123" s="65"/>
      <c r="J123" s="65"/>
      <c r="K123" s="22"/>
      <c r="L123" s="524"/>
    </row>
    <row r="124" spans="2:12" x14ac:dyDescent="0.3">
      <c r="B124" s="12"/>
      <c r="C124" s="6" t="s">
        <v>221</v>
      </c>
      <c r="D124" s="71"/>
      <c r="E124" s="71"/>
      <c r="F124" s="71"/>
      <c r="G124" s="71"/>
      <c r="H124" s="71"/>
      <c r="I124" s="71"/>
      <c r="J124" s="71"/>
      <c r="K124" s="13"/>
      <c r="L124" s="59"/>
    </row>
    <row r="125" spans="2:12" x14ac:dyDescent="0.3">
      <c r="B125" s="4"/>
      <c r="C125" s="59"/>
      <c r="D125" s="59"/>
      <c r="E125" s="59"/>
      <c r="F125" s="17"/>
      <c r="G125" s="17"/>
      <c r="H125" s="59"/>
      <c r="I125" s="59"/>
      <c r="J125" s="59"/>
      <c r="K125" s="18"/>
      <c r="L125" s="524"/>
    </row>
    <row r="126" spans="2:12" x14ac:dyDescent="0.3">
      <c r="B126" s="4"/>
      <c r="C126" s="59"/>
      <c r="D126" s="59"/>
      <c r="E126" s="59"/>
      <c r="F126" s="17"/>
      <c r="G126" s="17"/>
      <c r="H126" s="59"/>
      <c r="I126" s="59"/>
      <c r="J126" s="59"/>
      <c r="K126" s="18"/>
      <c r="L126" s="524"/>
    </row>
    <row r="127" spans="2:12" x14ac:dyDescent="0.3">
      <c r="B127" s="4"/>
      <c r="C127" s="59"/>
      <c r="D127" s="59"/>
      <c r="E127" s="59"/>
      <c r="F127" s="17"/>
      <c r="G127" s="17"/>
      <c r="H127" s="59"/>
      <c r="I127" s="59"/>
      <c r="J127" s="59"/>
      <c r="K127" s="10"/>
      <c r="L127" s="59"/>
    </row>
    <row r="128" spans="2:12" x14ac:dyDescent="0.3">
      <c r="B128" s="124"/>
      <c r="C128" s="125" t="s">
        <v>1210</v>
      </c>
      <c r="D128" s="59"/>
      <c r="E128" s="59"/>
      <c r="F128" s="17"/>
      <c r="G128" s="17"/>
      <c r="H128" s="131" t="s">
        <v>1212</v>
      </c>
      <c r="I128" s="59"/>
      <c r="J128" s="59"/>
      <c r="K128" s="10"/>
      <c r="L128" s="59"/>
    </row>
    <row r="129" spans="2:12" x14ac:dyDescent="0.3">
      <c r="B129" s="4"/>
      <c r="C129" s="1239" t="s">
        <v>1211</v>
      </c>
      <c r="D129" s="59"/>
      <c r="E129" s="59"/>
      <c r="F129" s="17"/>
      <c r="G129" s="17"/>
      <c r="H129" s="1240" t="s">
        <v>1213</v>
      </c>
      <c r="I129" s="402"/>
      <c r="J129" s="59"/>
      <c r="K129" s="120"/>
      <c r="L129" s="1352"/>
    </row>
    <row r="130" spans="2:12" x14ac:dyDescent="0.3">
      <c r="B130" s="4"/>
      <c r="C130" s="1251"/>
      <c r="D130" s="59"/>
      <c r="E130" s="59"/>
      <c r="F130" s="17"/>
      <c r="G130" s="17"/>
      <c r="H130" s="1252"/>
      <c r="I130" s="59"/>
      <c r="J130" s="59"/>
      <c r="K130" s="18"/>
      <c r="L130" s="524"/>
    </row>
    <row r="131" spans="2:12" x14ac:dyDescent="0.3">
      <c r="B131" s="4"/>
      <c r="C131" s="59"/>
      <c r="D131" s="59"/>
      <c r="E131" s="59"/>
      <c r="F131" s="17"/>
      <c r="G131" s="17"/>
      <c r="H131" s="59"/>
      <c r="I131" s="59"/>
      <c r="J131" s="59"/>
      <c r="K131" s="18"/>
      <c r="L131" s="524"/>
    </row>
    <row r="132" spans="2:12" x14ac:dyDescent="0.3">
      <c r="B132" s="4"/>
      <c r="C132" s="59"/>
      <c r="D132" s="59"/>
      <c r="E132" s="59"/>
      <c r="F132" s="17"/>
      <c r="G132" s="17"/>
      <c r="H132" s="59"/>
      <c r="I132" s="59"/>
      <c r="J132" s="59"/>
      <c r="K132" s="18"/>
      <c r="L132" s="524"/>
    </row>
    <row r="133" spans="2:12" x14ac:dyDescent="0.3">
      <c r="B133" s="4"/>
      <c r="C133" s="59"/>
      <c r="D133" s="59"/>
      <c r="E133" s="119">
        <v>539</v>
      </c>
      <c r="F133" s="59"/>
      <c r="G133" s="59"/>
      <c r="H133" s="59"/>
      <c r="I133" s="59"/>
      <c r="J133" s="59"/>
      <c r="K133" s="18"/>
      <c r="L133" s="524"/>
    </row>
    <row r="134" spans="2:12" x14ac:dyDescent="0.3">
      <c r="B134" s="4"/>
      <c r="C134" s="59"/>
      <c r="D134" s="59"/>
      <c r="E134" s="1240" t="s">
        <v>1214</v>
      </c>
      <c r="F134" s="1085"/>
      <c r="G134" s="23"/>
      <c r="H134" s="59"/>
      <c r="I134" s="59"/>
      <c r="J134" s="59"/>
      <c r="K134" s="18"/>
      <c r="L134" s="524"/>
    </row>
    <row r="135" spans="2:12" ht="15" thickBot="1" x14ac:dyDescent="0.35">
      <c r="B135" s="19"/>
      <c r="C135" s="65"/>
      <c r="D135" s="65"/>
      <c r="E135" s="129"/>
      <c r="F135" s="1085"/>
      <c r="G135" s="172"/>
      <c r="H135" s="65"/>
      <c r="I135" s="65"/>
      <c r="J135" s="65"/>
      <c r="K135" s="22"/>
      <c r="L135" s="524"/>
    </row>
    <row r="136" spans="2:12" ht="15" thickBot="1" x14ac:dyDescent="0.35">
      <c r="B136" s="1"/>
      <c r="C136" s="2"/>
      <c r="D136" s="2"/>
      <c r="E136" s="91" t="s">
        <v>280</v>
      </c>
      <c r="F136" s="71"/>
      <c r="G136" s="71"/>
      <c r="H136" s="2"/>
      <c r="I136" s="2"/>
      <c r="J136" s="2"/>
      <c r="K136" s="92"/>
      <c r="L136" s="524"/>
    </row>
    <row r="137" spans="2:12" ht="15" thickBot="1" x14ac:dyDescent="0.35">
      <c r="B137" s="93" t="s">
        <v>281</v>
      </c>
      <c r="C137" s="2"/>
      <c r="D137" s="2"/>
      <c r="E137" s="93" t="s">
        <v>204</v>
      </c>
      <c r="F137" s="390" t="s">
        <v>89</v>
      </c>
      <c r="G137" s="756"/>
      <c r="H137" s="96" t="s">
        <v>476</v>
      </c>
      <c r="I137" s="405"/>
      <c r="J137" s="406"/>
      <c r="K137" s="97" t="s">
        <v>282</v>
      </c>
      <c r="L137" s="1288"/>
    </row>
    <row r="138" spans="2:12" x14ac:dyDescent="0.3">
      <c r="B138" s="98" t="s">
        <v>837</v>
      </c>
      <c r="C138" s="59"/>
      <c r="D138" s="59"/>
      <c r="E138" s="123">
        <v>565</v>
      </c>
      <c r="F138" s="16">
        <v>588</v>
      </c>
      <c r="G138" s="16"/>
      <c r="H138" s="753" t="str">
        <f>H29</f>
        <v>72.49192 - 1</v>
      </c>
      <c r="I138" s="166"/>
      <c r="J138" s="403"/>
      <c r="K138" s="100"/>
      <c r="L138" s="344"/>
    </row>
    <row r="139" spans="2:12" x14ac:dyDescent="0.3">
      <c r="B139" s="98" t="s">
        <v>284</v>
      </c>
      <c r="C139" s="59"/>
      <c r="D139" s="59"/>
      <c r="E139" s="99">
        <v>460</v>
      </c>
      <c r="F139" s="16"/>
      <c r="G139" s="16"/>
      <c r="H139" s="392" t="str">
        <f ca="1">H30</f>
        <v>72.47452 - 5</v>
      </c>
      <c r="I139" s="23"/>
      <c r="J139" s="404"/>
      <c r="K139" s="100"/>
      <c r="L139" s="344"/>
    </row>
    <row r="140" spans="2:12" x14ac:dyDescent="0.3">
      <c r="B140" s="98" t="s">
        <v>285</v>
      </c>
      <c r="C140" s="59"/>
      <c r="D140" s="59"/>
      <c r="E140" s="99">
        <f>E138</f>
        <v>565</v>
      </c>
      <c r="F140" s="16">
        <v>40</v>
      </c>
      <c r="G140" s="16"/>
      <c r="H140" s="354" t="str">
        <f>H31</f>
        <v>102.53.745 - 131</v>
      </c>
      <c r="I140" s="23"/>
      <c r="J140" s="404"/>
      <c r="K140" s="100"/>
      <c r="L140" s="344"/>
    </row>
    <row r="141" spans="2:12" ht="15" thickBot="1" x14ac:dyDescent="0.35">
      <c r="B141" s="98" t="s">
        <v>286</v>
      </c>
      <c r="C141" s="59"/>
      <c r="D141" s="59"/>
      <c r="E141" s="101"/>
      <c r="F141" s="16">
        <v>0</v>
      </c>
      <c r="G141" s="16"/>
      <c r="H141" s="355"/>
      <c r="I141" s="172"/>
      <c r="J141" s="76"/>
      <c r="K141" s="100"/>
      <c r="L141" s="344"/>
    </row>
    <row r="142" spans="2:12" x14ac:dyDescent="0.3">
      <c r="B142" s="12"/>
      <c r="C142" s="6" t="s">
        <v>287</v>
      </c>
      <c r="D142" s="71"/>
      <c r="E142" s="71"/>
      <c r="F142" s="102">
        <v>548</v>
      </c>
      <c r="G142" s="102"/>
      <c r="H142" s="71"/>
      <c r="I142" s="71"/>
      <c r="J142" s="71"/>
      <c r="K142" s="13"/>
      <c r="L142" s="59"/>
    </row>
    <row r="143" spans="2:12" ht="16.2" thickBot="1" x14ac:dyDescent="0.35">
      <c r="B143" s="439"/>
      <c r="C143" s="1019"/>
      <c r="D143" s="65"/>
      <c r="E143" s="65"/>
      <c r="F143" s="65"/>
      <c r="G143" s="65"/>
      <c r="H143" s="65"/>
      <c r="I143" s="65"/>
      <c r="J143" s="65"/>
      <c r="K143" s="40"/>
      <c r="L143" s="59"/>
    </row>
    <row r="144" spans="2:12" x14ac:dyDescent="0.3">
      <c r="B144" s="12"/>
      <c r="C144" s="11" t="str">
        <f>"Плавка по инструкции "&amp;VLOOKUP(F117,Данные!A3:I27,6,FALSE())</f>
        <v>Плавка по инструкции 25010.00174</v>
      </c>
      <c r="D144" s="71"/>
      <c r="E144" s="71"/>
      <c r="F144" s="103"/>
      <c r="G144" s="103"/>
      <c r="H144" s="71"/>
      <c r="I144" s="71"/>
      <c r="J144" s="71"/>
      <c r="K144" s="104"/>
      <c r="L144" s="524"/>
    </row>
    <row r="145" spans="2:12" ht="15" thickBot="1" x14ac:dyDescent="0.35">
      <c r="B145" s="4"/>
      <c r="C145" s="11" t="s">
        <v>288</v>
      </c>
      <c r="D145" s="59"/>
      <c r="E145" s="59"/>
      <c r="F145" s="17"/>
      <c r="G145" s="17"/>
      <c r="H145" s="59"/>
      <c r="I145" s="59"/>
      <c r="J145" s="59"/>
      <c r="K145" s="18"/>
      <c r="L145" s="524"/>
    </row>
    <row r="146" spans="2:12" x14ac:dyDescent="0.3">
      <c r="B146" s="12"/>
      <c r="C146" s="6" t="s">
        <v>289</v>
      </c>
      <c r="D146" s="71"/>
      <c r="E146" s="71"/>
      <c r="F146" s="105"/>
      <c r="G146" s="105"/>
      <c r="H146" s="71"/>
      <c r="I146" s="71"/>
      <c r="J146" s="71"/>
      <c r="K146" s="13"/>
      <c r="L146" s="59"/>
    </row>
    <row r="147" spans="2:12" x14ac:dyDescent="0.3">
      <c r="B147" s="4"/>
      <c r="C147" s="11" t="s">
        <v>290</v>
      </c>
      <c r="D147" s="59"/>
      <c r="E147" s="59"/>
      <c r="F147" s="17"/>
      <c r="G147" s="17"/>
      <c r="H147" s="59"/>
      <c r="I147" s="59"/>
      <c r="J147" s="59"/>
      <c r="K147" s="10"/>
      <c r="L147" s="59"/>
    </row>
    <row r="148" spans="2:12" x14ac:dyDescent="0.3">
      <c r="B148" s="4"/>
      <c r="C148" s="11" t="s">
        <v>291</v>
      </c>
      <c r="D148" s="59"/>
      <c r="E148" s="59"/>
      <c r="F148" s="17"/>
      <c r="G148" s="17"/>
      <c r="H148" s="59"/>
      <c r="I148" s="59"/>
      <c r="J148" s="59"/>
      <c r="K148" s="10"/>
      <c r="L148" s="59"/>
    </row>
    <row r="149" spans="2:12" ht="15" thickBot="1" x14ac:dyDescent="0.35">
      <c r="B149" s="19"/>
      <c r="C149" s="65"/>
      <c r="D149" s="65"/>
      <c r="E149" s="65"/>
      <c r="F149" s="65"/>
      <c r="G149" s="65"/>
      <c r="H149" s="65"/>
      <c r="I149" s="65"/>
      <c r="J149" s="65"/>
      <c r="K149" s="40"/>
      <c r="L149" s="59"/>
    </row>
    <row r="150" spans="2:12" ht="15" thickBot="1" x14ac:dyDescent="0.35">
      <c r="B150" s="1"/>
      <c r="C150" s="91" t="s">
        <v>667</v>
      </c>
      <c r="D150" s="84"/>
      <c r="E150" s="94" t="s">
        <v>293</v>
      </c>
      <c r="F150" s="91" t="s">
        <v>294</v>
      </c>
      <c r="G150" s="91"/>
      <c r="H150" s="94" t="s">
        <v>295</v>
      </c>
      <c r="I150" s="96" t="s">
        <v>296</v>
      </c>
      <c r="J150" s="96"/>
      <c r="K150" s="94" t="s">
        <v>295</v>
      </c>
      <c r="L150" s="11"/>
    </row>
    <row r="151" spans="2:12" ht="15" thickBot="1" x14ac:dyDescent="0.35">
      <c r="B151" s="1"/>
      <c r="C151" s="1498">
        <f ca="1">TODAY()</f>
        <v>45414</v>
      </c>
      <c r="D151" s="1499"/>
      <c r="E151" s="78"/>
      <c r="F151" s="106"/>
      <c r="G151" s="106"/>
      <c r="H151" s="107"/>
      <c r="I151" s="2"/>
      <c r="J151" s="2"/>
      <c r="K151" s="107"/>
      <c r="L151" s="59"/>
    </row>
    <row r="152" spans="2:12" ht="15" thickBot="1" x14ac:dyDescent="0.35">
      <c r="B152" s="1"/>
      <c r="C152" s="96" t="s">
        <v>71</v>
      </c>
      <c r="D152" s="84"/>
      <c r="E152" s="78"/>
      <c r="F152" s="2"/>
      <c r="G152" s="2"/>
      <c r="H152" s="107"/>
      <c r="I152" s="2"/>
      <c r="J152" s="2"/>
      <c r="K152" s="107"/>
      <c r="L152" s="59"/>
    </row>
  </sheetData>
  <mergeCells count="40">
    <mergeCell ref="Q30:R30"/>
    <mergeCell ref="F43:G43"/>
    <mergeCell ref="I43:J43"/>
    <mergeCell ref="I41:J41"/>
    <mergeCell ref="H28:J28"/>
    <mergeCell ref="H29:J29"/>
    <mergeCell ref="H30:J30"/>
    <mergeCell ref="H31:J31"/>
    <mergeCell ref="H97:H99"/>
    <mergeCell ref="I97:I99"/>
    <mergeCell ref="J97:K99"/>
    <mergeCell ref="J96:K96"/>
    <mergeCell ref="J100:K100"/>
    <mergeCell ref="C151:D151"/>
    <mergeCell ref="M3:N3"/>
    <mergeCell ref="M11:N11"/>
    <mergeCell ref="Q15:R15"/>
    <mergeCell ref="Q16:R16"/>
    <mergeCell ref="Q17:R17"/>
    <mergeCell ref="Q18:R18"/>
    <mergeCell ref="Q19:R19"/>
    <mergeCell ref="Q20:R20"/>
    <mergeCell ref="Q21:R21"/>
    <mergeCell ref="F100:G100"/>
    <mergeCell ref="E97:E99"/>
    <mergeCell ref="F97:G99"/>
    <mergeCell ref="F94:G94"/>
    <mergeCell ref="F95:G95"/>
    <mergeCell ref="F96:G96"/>
    <mergeCell ref="M1:N1"/>
    <mergeCell ref="Q11:R11"/>
    <mergeCell ref="Q12:R12"/>
    <mergeCell ref="Q13:R13"/>
    <mergeCell ref="Q14:R14"/>
    <mergeCell ref="R3:V3"/>
    <mergeCell ref="C42:D42"/>
    <mergeCell ref="I42:J42"/>
    <mergeCell ref="F28:G28"/>
    <mergeCell ref="F41:G41"/>
    <mergeCell ref="F42:G42"/>
  </mergeCells>
  <conditionalFormatting sqref="N19">
    <cfRule type="cellIs" dxfId="4" priority="2" operator="lessThan">
      <formula>0</formula>
    </cfRule>
  </conditionalFormatting>
  <conditionalFormatting sqref="S27">
    <cfRule type="cellIs" dxfId="3" priority="1" operator="lessThan">
      <formula>$S$25</formula>
    </cfRule>
  </conditionalFormatting>
  <dataValidations count="1">
    <dataValidation type="list" allowBlank="1" showInputMessage="1" showErrorMessage="1" sqref="N26" xr:uid="{4539B91B-B4CF-41CE-9AE5-00B79406B667}">
      <formula1>$B$49:$B$63</formula1>
    </dataValidation>
  </dataValidations>
  <hyperlinks>
    <hyperlink ref="M1" r:id="rId1" xr:uid="{D54A4CD7-C299-40B5-AE66-389F9548172B}"/>
  </hyperlinks>
  <pageMargins left="0.7" right="0.7" top="0.75" bottom="0.75" header="0.3" footer="0.3"/>
  <pageSetup paperSize="9" scale="38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3" r:id="rId5" name="Check Box 7">
              <controlPr defaultSize="0" autoFill="0" autoLine="0" autoPict="0">
                <anchor moveWithCells="1">
                  <from>
                    <xdr:col>14</xdr:col>
                    <xdr:colOff>22860</xdr:colOff>
                    <xdr:row>11</xdr:row>
                    <xdr:rowOff>0</xdr:rowOff>
                  </from>
                  <to>
                    <xdr:col>14</xdr:col>
                    <xdr:colOff>548640</xdr:colOff>
                    <xdr:row>12</xdr:row>
                    <xdr:rowOff>30480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2AC625D-17AE-4772-8D0C-555406FC2252}">
          <x14:formula1>
            <xm:f>Данные!$AB$79:$AB$264</xm:f>
          </x14:formula1>
          <xm:sqref>D48 N25</xm:sqref>
        </x14:dataValidation>
        <x14:dataValidation type="list" allowBlank="1" showInputMessage="1" showErrorMessage="1" xr:uid="{253BBCE7-5663-4D95-9168-FB6BD7688B5A}">
          <x14:formula1>
            <xm:f>Данные!$A$3:$A$27</xm:f>
          </x14:formula1>
          <xm:sqref>F8 F117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0631-A26E-43EC-9D15-B0E731D0D7A4}">
  <sheetPr codeName="Лист3">
    <pageSetUpPr fitToPage="1"/>
  </sheetPr>
  <dimension ref="B1:AK55"/>
  <sheetViews>
    <sheetView zoomScale="85" zoomScaleNormal="85" workbookViewId="0">
      <selection activeCell="O21" sqref="O21"/>
    </sheetView>
  </sheetViews>
  <sheetFormatPr defaultRowHeight="14.4" x14ac:dyDescent="0.3"/>
  <cols>
    <col min="1" max="1" width="2.6640625" customWidth="1"/>
    <col min="2" max="2" width="3.109375" customWidth="1"/>
    <col min="4" max="4" width="6.5546875" customWidth="1"/>
    <col min="5" max="5" width="17.6640625" customWidth="1"/>
    <col min="6" max="6" width="11.21875" customWidth="1"/>
    <col min="7" max="7" width="2.44140625" style="43" customWidth="1"/>
    <col min="8" max="8" width="7.5546875" customWidth="1"/>
    <col min="9" max="9" width="7.6640625" customWidth="1"/>
    <col min="10" max="10" width="6.88671875" customWidth="1"/>
    <col min="12" max="12" width="2.88671875" style="43" customWidth="1"/>
    <col min="13" max="13" width="15.21875" customWidth="1"/>
    <col min="14" max="14" width="10.6640625" customWidth="1"/>
    <col min="15" max="15" width="24.33203125" customWidth="1"/>
    <col min="16" max="16" width="8.6640625" customWidth="1"/>
    <col min="17" max="17" width="3.21875" customWidth="1"/>
    <col min="18" max="18" width="4.44140625" customWidth="1"/>
    <col min="20" max="20" width="6.6640625" customWidth="1"/>
    <col min="21" max="21" width="16.21875" customWidth="1"/>
    <col min="22" max="22" width="10.88671875" customWidth="1"/>
    <col min="23" max="23" width="3.33203125" style="43" customWidth="1"/>
    <col min="24" max="24" width="9.5546875" customWidth="1"/>
    <col min="25" max="25" width="8.6640625" customWidth="1"/>
    <col min="26" max="26" width="7.21875" customWidth="1"/>
    <col min="28" max="28" width="17.33203125" customWidth="1"/>
    <col min="37" max="37" width="10.33203125" customWidth="1"/>
  </cols>
  <sheetData>
    <row r="1" spans="2:37" ht="15" thickBot="1" x14ac:dyDescent="0.35">
      <c r="K1" s="44" t="s">
        <v>1206</v>
      </c>
      <c r="AA1" s="44" t="s">
        <v>1206</v>
      </c>
    </row>
    <row r="2" spans="2:37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4" t="s">
        <v>1132</v>
      </c>
      <c r="L2" s="1098"/>
      <c r="M2" s="1187" t="s">
        <v>1124</v>
      </c>
      <c r="N2" s="939" t="s">
        <v>327</v>
      </c>
      <c r="O2" s="770" t="s">
        <v>328</v>
      </c>
      <c r="P2" s="1290"/>
      <c r="R2" s="1"/>
      <c r="S2" s="2"/>
      <c r="T2" s="2"/>
      <c r="U2" s="41" t="s">
        <v>0</v>
      </c>
      <c r="V2" s="2"/>
      <c r="W2" s="2"/>
      <c r="X2" s="2"/>
      <c r="Y2" s="2"/>
      <c r="Z2" s="2"/>
      <c r="AA2" s="84" t="s">
        <v>1132</v>
      </c>
      <c r="AB2" t="s">
        <v>1124</v>
      </c>
      <c r="AE2" s="1066"/>
      <c r="AF2" s="1512" t="s">
        <v>945</v>
      </c>
      <c r="AG2" s="1512"/>
      <c r="AH2" s="1512"/>
      <c r="AI2" s="1512"/>
      <c r="AJ2" s="1512"/>
      <c r="AK2" s="1067"/>
    </row>
    <row r="3" spans="2:37" ht="15.6" x14ac:dyDescent="0.3">
      <c r="B3" s="4"/>
      <c r="C3" s="71" t="s">
        <v>2</v>
      </c>
      <c r="D3" s="71"/>
      <c r="E3" s="71"/>
      <c r="F3" s="613" t="s">
        <v>1286</v>
      </c>
      <c r="G3" s="6"/>
      <c r="H3" s="1385"/>
      <c r="I3" s="85"/>
      <c r="J3" s="85"/>
      <c r="K3" s="86"/>
      <c r="L3" s="341"/>
      <c r="M3" s="766"/>
      <c r="N3" s="936"/>
      <c r="O3" s="941" t="s">
        <v>375</v>
      </c>
      <c r="P3" s="61">
        <v>319</v>
      </c>
      <c r="R3" s="4"/>
      <c r="S3" s="71" t="s">
        <v>2</v>
      </c>
      <c r="T3" s="71"/>
      <c r="U3" s="71"/>
      <c r="V3" s="613" t="s">
        <v>1207</v>
      </c>
      <c r="W3" s="6"/>
      <c r="X3" s="71"/>
      <c r="Y3" s="85"/>
      <c r="Z3" s="85"/>
      <c r="AA3" s="86"/>
      <c r="AB3" s="767" t="s">
        <v>1126</v>
      </c>
      <c r="AC3" s="58">
        <v>310</v>
      </c>
      <c r="AE3" s="1117" t="s">
        <v>1048</v>
      </c>
      <c r="AF3" s="1295">
        <v>1</v>
      </c>
      <c r="AG3" s="1295">
        <v>2</v>
      </c>
      <c r="AH3" s="1295">
        <v>3</v>
      </c>
      <c r="AI3" s="1296">
        <v>4</v>
      </c>
      <c r="AJ3" s="1065" t="s">
        <v>879</v>
      </c>
      <c r="AK3" s="1064"/>
    </row>
    <row r="4" spans="2:37" ht="16.2" thickBot="1" x14ac:dyDescent="0.35">
      <c r="B4" s="4"/>
      <c r="C4" s="59" t="s">
        <v>4</v>
      </c>
      <c r="D4" s="59"/>
      <c r="E4" s="59"/>
      <c r="F4" s="630" t="s">
        <v>1287</v>
      </c>
      <c r="G4" s="645" t="s">
        <v>1200</v>
      </c>
      <c r="H4" s="1386" t="s">
        <v>1208</v>
      </c>
      <c r="I4" s="59"/>
      <c r="J4" s="59"/>
      <c r="K4" s="10"/>
      <c r="L4" s="59"/>
      <c r="M4" s="767" t="s">
        <v>368</v>
      </c>
      <c r="N4" s="937">
        <v>310</v>
      </c>
      <c r="O4" s="941" t="s">
        <v>373</v>
      </c>
      <c r="P4" s="743">
        <v>230</v>
      </c>
      <c r="R4" s="4"/>
      <c r="S4" s="59" t="s">
        <v>4</v>
      </c>
      <c r="T4" s="59"/>
      <c r="U4" s="59"/>
      <c r="V4" s="630" t="s">
        <v>1208</v>
      </c>
      <c r="W4" s="1297"/>
      <c r="X4" s="774"/>
      <c r="Y4" s="59"/>
      <c r="Z4" s="59"/>
      <c r="AA4" s="10"/>
      <c r="AB4" s="767" t="s">
        <v>1127</v>
      </c>
      <c r="AC4" s="58">
        <v>200</v>
      </c>
      <c r="AE4" s="1062"/>
      <c r="AF4" s="59">
        <v>0</v>
      </c>
      <c r="AG4" s="59">
        <v>0</v>
      </c>
      <c r="AH4" s="59">
        <v>25.2</v>
      </c>
      <c r="AI4" s="10">
        <v>27.5</v>
      </c>
      <c r="AJ4" s="628">
        <f>SUM(AF4:AI4)</f>
        <v>52.7</v>
      </c>
      <c r="AK4" s="1064"/>
    </row>
    <row r="5" spans="2:37" ht="16.2" thickBot="1" x14ac:dyDescent="0.35">
      <c r="B5" s="4"/>
      <c r="C5" s="59" t="s">
        <v>6</v>
      </c>
      <c r="D5" s="59"/>
      <c r="E5" s="59"/>
      <c r="F5" s="630" t="s">
        <v>1288</v>
      </c>
      <c r="G5" s="645" t="s">
        <v>1289</v>
      </c>
      <c r="H5" s="1387" t="s">
        <v>1290</v>
      </c>
      <c r="I5" s="59"/>
      <c r="J5" s="59"/>
      <c r="K5" s="10"/>
      <c r="L5" s="59"/>
      <c r="M5" s="767" t="s">
        <v>369</v>
      </c>
      <c r="N5" s="937">
        <v>200</v>
      </c>
      <c r="O5" s="941" t="s">
        <v>374</v>
      </c>
      <c r="P5" s="61">
        <v>380</v>
      </c>
      <c r="R5" s="4"/>
      <c r="S5" s="59" t="s">
        <v>6</v>
      </c>
      <c r="T5" s="59"/>
      <c r="U5" s="59"/>
      <c r="V5" s="630" t="s">
        <v>7</v>
      </c>
      <c r="W5" s="1297"/>
      <c r="X5" s="1294"/>
      <c r="Y5" s="59"/>
      <c r="Z5" s="59"/>
      <c r="AA5" s="10"/>
      <c r="AB5" s="767" t="s">
        <v>367</v>
      </c>
      <c r="AC5" s="58">
        <v>160</v>
      </c>
      <c r="AE5" s="1062"/>
      <c r="AF5" s="1069">
        <f t="shared" ref="AF5:AG7" si="0">AF4/$AJ4*$AJ5</f>
        <v>0</v>
      </c>
      <c r="AG5" s="1069">
        <f t="shared" si="0"/>
        <v>0</v>
      </c>
      <c r="AH5" s="1069">
        <f>AH4/$AJ4*$AJ5</f>
        <v>71.822390891840598</v>
      </c>
      <c r="AI5" s="1118">
        <f>AI4/$AJ4*$AJ5</f>
        <v>78.37760910815939</v>
      </c>
      <c r="AJ5" s="1068">
        <v>150.19999999999999</v>
      </c>
      <c r="AK5" s="629" t="s">
        <v>1076</v>
      </c>
    </row>
    <row r="6" spans="2:37" ht="16.2" thickBot="1" x14ac:dyDescent="0.35">
      <c r="B6" s="4"/>
      <c r="C6" s="59" t="s">
        <v>10</v>
      </c>
      <c r="D6" s="59"/>
      <c r="E6" s="59"/>
      <c r="F6" s="780">
        <v>1</v>
      </c>
      <c r="G6" s="1200" t="s">
        <v>1289</v>
      </c>
      <c r="H6" s="1388">
        <v>2</v>
      </c>
      <c r="I6" s="59"/>
      <c r="J6" s="59"/>
      <c r="K6" s="10"/>
      <c r="L6" s="59"/>
      <c r="M6" s="767" t="s">
        <v>367</v>
      </c>
      <c r="N6" s="937">
        <v>160</v>
      </c>
      <c r="O6" s="948" t="s">
        <v>376</v>
      </c>
      <c r="P6" s="484">
        <v>65</v>
      </c>
      <c r="R6" s="4"/>
      <c r="S6" s="59" t="s">
        <v>10</v>
      </c>
      <c r="T6" s="59"/>
      <c r="U6" s="59"/>
      <c r="V6" s="780">
        <v>2</v>
      </c>
      <c r="W6" s="1298"/>
      <c r="X6" s="17"/>
      <c r="Y6" s="59"/>
      <c r="Z6" s="59"/>
      <c r="AA6" s="10"/>
      <c r="AB6" s="767" t="s">
        <v>370</v>
      </c>
      <c r="AC6" s="58">
        <v>20</v>
      </c>
      <c r="AE6" s="1062"/>
      <c r="AF6" s="1069">
        <f t="shared" si="0"/>
        <v>0</v>
      </c>
      <c r="AG6" s="1069">
        <f t="shared" si="0"/>
        <v>0</v>
      </c>
      <c r="AH6" s="1069">
        <f t="shared" ref="AH6:AH7" si="1">AH5/$AJ5*$AJ6</f>
        <v>71.822390891840598</v>
      </c>
      <c r="AI6" s="1118">
        <f t="shared" ref="AI6:AI7" si="2">AI5/$AJ5*$AJ6</f>
        <v>78.37760910815939</v>
      </c>
      <c r="AJ6" s="1068">
        <v>150.19999999999999</v>
      </c>
      <c r="AK6" s="629" t="s">
        <v>1075</v>
      </c>
    </row>
    <row r="7" spans="2:37" ht="16.2" thickBot="1" x14ac:dyDescent="0.35">
      <c r="B7" s="19"/>
      <c r="C7" s="65"/>
      <c r="D7" s="65"/>
      <c r="E7" s="65"/>
      <c r="F7" s="361"/>
      <c r="G7" s="659"/>
      <c r="H7" s="65"/>
      <c r="I7" s="65"/>
      <c r="J7" s="65"/>
      <c r="K7" s="40"/>
      <c r="L7" s="59"/>
      <c r="M7" s="767" t="s">
        <v>370</v>
      </c>
      <c r="N7" s="937">
        <v>20</v>
      </c>
      <c r="O7" s="941" t="s">
        <v>378</v>
      </c>
      <c r="P7" s="61">
        <v>285</v>
      </c>
      <c r="Q7" s="10"/>
      <c r="R7" s="19"/>
      <c r="S7" s="65"/>
      <c r="T7" s="65"/>
      <c r="U7" s="65"/>
      <c r="V7" s="361"/>
      <c r="W7" s="1299"/>
      <c r="X7" s="65"/>
      <c r="Y7" s="65"/>
      <c r="Z7" s="65"/>
      <c r="AA7" s="40"/>
      <c r="AB7" s="767" t="s">
        <v>371</v>
      </c>
      <c r="AC7" s="58">
        <v>250</v>
      </c>
      <c r="AE7" s="1063"/>
      <c r="AF7" s="1070">
        <f t="shared" si="0"/>
        <v>0</v>
      </c>
      <c r="AG7" s="1070">
        <f t="shared" si="0"/>
        <v>0</v>
      </c>
      <c r="AH7" s="1070">
        <f t="shared" si="1"/>
        <v>74.691461100569256</v>
      </c>
      <c r="AI7" s="1119">
        <f t="shared" si="2"/>
        <v>81.508538899430732</v>
      </c>
      <c r="AJ7" s="1068">
        <v>156.19999999999999</v>
      </c>
      <c r="AK7" s="629" t="s">
        <v>1045</v>
      </c>
    </row>
    <row r="8" spans="2:37" ht="16.2" thickBot="1" x14ac:dyDescent="0.35">
      <c r="B8" s="4"/>
      <c r="C8" s="59" t="s">
        <v>16</v>
      </c>
      <c r="D8" s="59"/>
      <c r="E8" s="59"/>
      <c r="F8" s="173" t="s">
        <v>9</v>
      </c>
      <c r="G8" s="657"/>
      <c r="H8" s="59"/>
      <c r="I8" s="59"/>
      <c r="J8" s="173" t="s">
        <v>17</v>
      </c>
      <c r="K8" s="15">
        <f>F9/F10</f>
        <v>0.36546610169491522</v>
      </c>
      <c r="L8" s="183"/>
      <c r="M8" s="767" t="s">
        <v>371</v>
      </c>
      <c r="N8" s="937">
        <v>250</v>
      </c>
      <c r="O8" s="946" t="s">
        <v>330</v>
      </c>
      <c r="P8" s="947">
        <f>(P5-P6)/60+P4</f>
        <v>235.25</v>
      </c>
      <c r="Q8" s="10"/>
      <c r="R8" s="4"/>
      <c r="S8" s="59" t="s">
        <v>16</v>
      </c>
      <c r="T8" s="59"/>
      <c r="U8" s="59"/>
      <c r="V8" s="173" t="s">
        <v>9</v>
      </c>
      <c r="W8" s="1300"/>
      <c r="X8" s="17"/>
      <c r="Y8" s="59"/>
      <c r="Z8" s="59" t="s">
        <v>17</v>
      </c>
      <c r="AA8" s="15">
        <f>V9/V11</f>
        <v>0.35097493036211702</v>
      </c>
      <c r="AB8" s="941" t="s">
        <v>1128</v>
      </c>
      <c r="AC8" s="1188">
        <v>285</v>
      </c>
    </row>
    <row r="9" spans="2:37" ht="16.2" thickBot="1" x14ac:dyDescent="0.35">
      <c r="B9" s="4"/>
      <c r="C9" s="59" t="s">
        <v>19</v>
      </c>
      <c r="D9" s="59"/>
      <c r="E9" s="59"/>
      <c r="F9" s="431">
        <f>IF(N11=0,ROUNDUP(N10,1),N11)</f>
        <v>34.5</v>
      </c>
      <c r="G9" s="1389"/>
      <c r="H9" s="59"/>
      <c r="I9" s="59"/>
      <c r="J9" s="173" t="s">
        <v>23</v>
      </c>
      <c r="K9" s="15">
        <f>F9/F12</f>
        <v>0.35132382892057029</v>
      </c>
      <c r="L9" s="183"/>
      <c r="M9" s="768" t="s">
        <v>12</v>
      </c>
      <c r="N9" s="936">
        <f>VLOOKUP(F8,Данные!A3:I27,9,FALSE())</f>
        <v>9.1</v>
      </c>
      <c r="O9" s="949" t="s">
        <v>331</v>
      </c>
      <c r="P9" s="1381">
        <v>140</v>
      </c>
      <c r="R9" s="4"/>
      <c r="S9" s="59" t="s">
        <v>19</v>
      </c>
      <c r="T9" s="59"/>
      <c r="U9" s="59"/>
      <c r="V9" s="431">
        <v>25.2</v>
      </c>
      <c r="W9" s="1301"/>
      <c r="X9" s="17"/>
      <c r="Y9" s="59"/>
      <c r="Z9" s="59" t="s">
        <v>23</v>
      </c>
      <c r="AA9" s="15">
        <f>V9/V13</f>
        <v>0.33734939759036142</v>
      </c>
    </row>
    <row r="10" spans="2:37" ht="15.6" x14ac:dyDescent="0.3">
      <c r="B10" s="4"/>
      <c r="C10" s="59" t="s">
        <v>22</v>
      </c>
      <c r="D10" s="59"/>
      <c r="E10" s="59"/>
      <c r="F10" s="144">
        <f>IF(P13=0,IF(P12&lt;100,ROUNDUP(P12,1),ROUNDUP(P12,0)),P13)</f>
        <v>94.4</v>
      </c>
      <c r="G10" s="144"/>
      <c r="H10" s="59"/>
      <c r="I10" s="59"/>
      <c r="J10" s="59"/>
      <c r="K10" s="18"/>
      <c r="L10" s="524"/>
      <c r="M10" s="768" t="s">
        <v>372</v>
      </c>
      <c r="N10" s="938">
        <f>((N5*N5-N6*N6)*3.1415926*N8*N9+(N4*N4-N5*N5)*N7*N9*3.14)/4000000</f>
        <v>33.744650393999997</v>
      </c>
      <c r="P10" s="1380">
        <f>IF(P6&gt;=60,Данные!Y143,Данные!Y142)</f>
        <v>122.5</v>
      </c>
      <c r="Q10" s="59"/>
      <c r="R10" s="4"/>
      <c r="S10" s="59" t="s">
        <v>22</v>
      </c>
      <c r="T10" s="59"/>
      <c r="U10" s="59"/>
      <c r="V10" s="144">
        <v>150.19999999999999</v>
      </c>
      <c r="W10" s="1302"/>
      <c r="X10" s="17"/>
      <c r="Y10" s="59"/>
      <c r="Z10" s="59"/>
      <c r="AA10" s="18"/>
    </row>
    <row r="11" spans="2:37" ht="15" thickBot="1" x14ac:dyDescent="0.35">
      <c r="B11" s="4"/>
      <c r="C11" s="59" t="s">
        <v>317</v>
      </c>
      <c r="D11" s="59"/>
      <c r="E11" s="59"/>
      <c r="F11" s="438">
        <f>ROUND(F10/F14,1)</f>
        <v>94.4</v>
      </c>
      <c r="G11" s="438"/>
      <c r="H11" s="59"/>
      <c r="I11" s="59"/>
      <c r="J11" s="59"/>
      <c r="K11" s="18"/>
      <c r="L11" s="524"/>
      <c r="M11" s="769" t="s">
        <v>311</v>
      </c>
      <c r="N11" s="940">
        <v>34.5</v>
      </c>
      <c r="O11" s="943" t="s">
        <v>377</v>
      </c>
      <c r="P11" s="944">
        <v>65</v>
      </c>
      <c r="Q11" s="59"/>
      <c r="R11" s="4"/>
      <c r="S11" s="59" t="s">
        <v>317</v>
      </c>
      <c r="T11" s="59"/>
      <c r="U11" s="59"/>
      <c r="V11" s="438">
        <v>71.8</v>
      </c>
      <c r="W11" s="1303"/>
      <c r="X11" s="17"/>
      <c r="Y11" s="59"/>
      <c r="Z11" s="59"/>
      <c r="AA11" s="18"/>
    </row>
    <row r="12" spans="2:37" ht="15.6" x14ac:dyDescent="0.3">
      <c r="B12" s="4"/>
      <c r="C12" s="59" t="s">
        <v>32</v>
      </c>
      <c r="D12" s="59"/>
      <c r="E12" s="59"/>
      <c r="F12" s="144">
        <f>IF(F10&lt;100,ROUNDUP(F10*1.04,1),ROUNDUP(F10*1.04,0))</f>
        <v>98.199999999999989</v>
      </c>
      <c r="G12" s="144"/>
      <c r="H12" s="59"/>
      <c r="I12" s="59"/>
      <c r="J12" s="59"/>
      <c r="K12" s="353"/>
      <c r="L12" s="17"/>
      <c r="O12" s="945" t="s">
        <v>22</v>
      </c>
      <c r="P12" s="1186">
        <f>ROUNDUP(((P8*P8-P9*P9)*3.1415926*P7*N9+(P3*P3-P8*P8)*P11*N9*3.1415926)/4000000,1)</f>
        <v>94.399999999999991</v>
      </c>
      <c r="Q12" s="59"/>
      <c r="R12" s="4"/>
      <c r="S12" s="59" t="s">
        <v>32</v>
      </c>
      <c r="T12" s="59"/>
      <c r="U12" s="59"/>
      <c r="V12" s="144">
        <v>156.19999999999999</v>
      </c>
      <c r="W12" s="1302"/>
      <c r="X12" s="17"/>
      <c r="Y12" s="59"/>
      <c r="Z12" s="59"/>
      <c r="AA12" s="353"/>
    </row>
    <row r="13" spans="2:37" ht="16.2" thickBot="1" x14ac:dyDescent="0.35">
      <c r="B13" s="4"/>
      <c r="C13" s="59" t="s">
        <v>318</v>
      </c>
      <c r="D13" s="59"/>
      <c r="E13" s="59"/>
      <c r="F13" s="44">
        <f>ROUND(F12/F14,1)</f>
        <v>98.2</v>
      </c>
      <c r="G13" s="44"/>
      <c r="H13" s="59"/>
      <c r="I13" s="59"/>
      <c r="J13" s="59"/>
      <c r="K13" s="18"/>
      <c r="L13" s="524"/>
      <c r="O13" s="942" t="s">
        <v>325</v>
      </c>
      <c r="P13" s="765"/>
      <c r="Q13" s="59"/>
      <c r="R13" s="4"/>
      <c r="S13" s="59" t="s">
        <v>318</v>
      </c>
      <c r="T13" s="59"/>
      <c r="U13" s="59"/>
      <c r="V13" s="44">
        <v>74.7</v>
      </c>
      <c r="W13" s="1304"/>
      <c r="X13" s="17"/>
      <c r="Y13" s="59"/>
      <c r="Z13" s="59"/>
      <c r="AA13" s="18"/>
    </row>
    <row r="14" spans="2:37" ht="16.2" thickBot="1" x14ac:dyDescent="0.35">
      <c r="B14" s="19"/>
      <c r="C14" s="59" t="s">
        <v>36</v>
      </c>
      <c r="D14" s="59"/>
      <c r="E14" s="59"/>
      <c r="F14" s="173">
        <v>1</v>
      </c>
      <c r="G14" s="17"/>
      <c r="H14" s="59"/>
      <c r="I14" s="65"/>
      <c r="J14" s="65"/>
      <c r="K14" s="22"/>
      <c r="L14" s="524"/>
      <c r="M14" s="43" t="s">
        <v>1201</v>
      </c>
      <c r="N14" s="1284"/>
      <c r="O14" s="184"/>
      <c r="P14" s="185"/>
      <c r="Q14" s="59"/>
      <c r="R14" s="19"/>
      <c r="S14" s="59" t="s">
        <v>36</v>
      </c>
      <c r="T14" s="59"/>
      <c r="U14" s="59"/>
      <c r="V14" s="173">
        <v>2</v>
      </c>
      <c r="W14" s="1305"/>
      <c r="X14" s="17"/>
      <c r="Y14" s="65"/>
      <c r="Z14" s="65"/>
      <c r="AA14" s="22"/>
    </row>
    <row r="15" spans="2:37" ht="15" thickBot="1" x14ac:dyDescent="0.35">
      <c r="B15" s="12"/>
      <c r="C15" s="6" t="s">
        <v>221</v>
      </c>
      <c r="D15" s="71"/>
      <c r="E15" s="71"/>
      <c r="F15" s="71"/>
      <c r="G15" s="71"/>
      <c r="H15" s="71"/>
      <c r="I15" s="71"/>
      <c r="J15" s="71"/>
      <c r="K15" s="13"/>
      <c r="L15" s="59"/>
      <c r="M15" s="1378" t="s">
        <v>1241</v>
      </c>
      <c r="N15" s="1379"/>
      <c r="O15" s="43"/>
      <c r="Q15" s="59"/>
      <c r="R15" s="12"/>
      <c r="S15" s="6" t="s">
        <v>221</v>
      </c>
      <c r="T15" s="71"/>
      <c r="U15" s="71"/>
      <c r="V15" s="71"/>
      <c r="W15" s="71"/>
      <c r="X15" s="71"/>
      <c r="Y15" s="71"/>
      <c r="Z15" s="71"/>
      <c r="AA15" s="13"/>
    </row>
    <row r="16" spans="2:37" x14ac:dyDescent="0.3">
      <c r="B16" s="4"/>
      <c r="C16" s="59"/>
      <c r="D16" s="59"/>
      <c r="E16" s="121">
        <f>F31*0.99</f>
        <v>64.349999999999994</v>
      </c>
      <c r="F16" s="59"/>
      <c r="G16" s="59"/>
      <c r="H16" s="59"/>
      <c r="I16" s="59"/>
      <c r="J16" s="59"/>
      <c r="K16" s="18"/>
      <c r="L16" s="524"/>
      <c r="M16" s="1287" t="s">
        <v>1064</v>
      </c>
      <c r="N16" s="1048">
        <v>422</v>
      </c>
      <c r="Q16" s="59"/>
      <c r="R16" s="4"/>
      <c r="S16" s="59"/>
      <c r="T16" s="59"/>
      <c r="U16" s="121">
        <v>60</v>
      </c>
      <c r="V16" s="59"/>
      <c r="W16" s="59"/>
      <c r="X16" s="59"/>
      <c r="Y16" s="59"/>
      <c r="Z16" s="59"/>
      <c r="AA16" s="18"/>
      <c r="AC16" s="60"/>
    </row>
    <row r="17" spans="2:29" x14ac:dyDescent="0.3">
      <c r="B17" s="4"/>
      <c r="C17" s="59"/>
      <c r="D17" s="59"/>
      <c r="E17" s="130" t="str">
        <f>"( "&amp;N7&amp;" )"</f>
        <v>( 20 )</v>
      </c>
      <c r="F17" s="59"/>
      <c r="G17" s="59"/>
      <c r="H17" s="59"/>
      <c r="I17" s="59"/>
      <c r="J17" s="59"/>
      <c r="K17" s="18"/>
      <c r="L17" s="524"/>
      <c r="M17" s="1047" t="s">
        <v>1065</v>
      </c>
      <c r="N17" s="886">
        <v>277</v>
      </c>
      <c r="Q17" s="59"/>
      <c r="R17" s="4"/>
      <c r="S17" s="59"/>
      <c r="T17" s="59"/>
      <c r="U17" s="130" t="str">
        <f>"( "&amp;AC6&amp;" )"</f>
        <v>( 20 )</v>
      </c>
      <c r="V17" s="59"/>
      <c r="W17" s="59"/>
      <c r="X17" s="59"/>
      <c r="Y17" s="59"/>
      <c r="Z17" s="59"/>
      <c r="AA17" s="18"/>
      <c r="AC17" s="60"/>
    </row>
    <row r="18" spans="2:29" x14ac:dyDescent="0.3">
      <c r="B18" s="4"/>
      <c r="C18" s="59"/>
      <c r="D18" s="59"/>
      <c r="E18" s="173"/>
      <c r="F18" s="17"/>
      <c r="G18" s="17"/>
      <c r="H18" s="59"/>
      <c r="I18" s="59"/>
      <c r="J18" s="59"/>
      <c r="K18" s="18"/>
      <c r="L18" s="524"/>
      <c r="M18" s="1017" t="s">
        <v>1063</v>
      </c>
      <c r="N18" s="886">
        <v>188</v>
      </c>
      <c r="R18" s="4"/>
      <c r="S18" s="59"/>
      <c r="T18" s="59"/>
      <c r="U18" s="173"/>
      <c r="V18" s="17"/>
      <c r="W18" s="17"/>
      <c r="X18" s="59"/>
      <c r="Y18" s="59"/>
      <c r="Z18" s="59"/>
      <c r="AA18" s="18"/>
      <c r="AC18" s="1136"/>
    </row>
    <row r="19" spans="2:29" ht="15.6" x14ac:dyDescent="0.3">
      <c r="B19" s="4"/>
      <c r="C19" s="59"/>
      <c r="D19" s="59"/>
      <c r="E19" s="59"/>
      <c r="F19" s="17"/>
      <c r="G19" s="17"/>
      <c r="H19" s="59"/>
      <c r="I19" s="59"/>
      <c r="J19" s="59"/>
      <c r="K19" s="18"/>
      <c r="L19" s="524"/>
      <c r="M19" s="1017" t="s">
        <v>261</v>
      </c>
      <c r="N19" s="886">
        <v>52</v>
      </c>
      <c r="O19" s="43"/>
      <c r="R19" s="4"/>
      <c r="S19" s="59"/>
      <c r="T19" s="59"/>
      <c r="U19" s="59"/>
      <c r="V19" s="17"/>
      <c r="W19" s="17"/>
      <c r="X19" s="59"/>
      <c r="Y19" s="59"/>
      <c r="Z19" s="59"/>
      <c r="AA19" s="18"/>
      <c r="AC19" s="184"/>
    </row>
    <row r="20" spans="2:29" ht="15.6" x14ac:dyDescent="0.3">
      <c r="B20" s="4"/>
      <c r="C20" s="59"/>
      <c r="D20" s="59"/>
      <c r="E20" s="59"/>
      <c r="F20" s="17"/>
      <c r="G20" s="17"/>
      <c r="H20" s="59"/>
      <c r="I20" s="59"/>
      <c r="J20" s="59"/>
      <c r="K20" s="10"/>
      <c r="L20" s="59"/>
      <c r="M20" s="1017" t="s">
        <v>262</v>
      </c>
      <c r="N20" s="886">
        <v>362</v>
      </c>
      <c r="O20" s="43"/>
      <c r="P20" s="43"/>
      <c r="R20" s="4"/>
      <c r="S20" s="59"/>
      <c r="T20" s="59"/>
      <c r="U20" s="59"/>
      <c r="V20" s="17"/>
      <c r="W20" s="17"/>
      <c r="X20" s="59"/>
      <c r="Y20" s="59"/>
      <c r="Z20" s="59"/>
      <c r="AA20" s="10"/>
      <c r="AC20" s="184"/>
    </row>
    <row r="21" spans="2:29" ht="16.2" thickBot="1" x14ac:dyDescent="0.35">
      <c r="B21" s="87"/>
      <c r="C21" s="121" t="str">
        <f>"Ø "&amp;ROUNDUP(E31*0.99,0)</f>
        <v>Ø 316</v>
      </c>
      <c r="D21" s="89" t="s">
        <v>279</v>
      </c>
      <c r="E21" s="356">
        <f>E32</f>
        <v>140</v>
      </c>
      <c r="F21" s="17"/>
      <c r="G21" s="17"/>
      <c r="H21" s="59"/>
      <c r="I21" s="59"/>
      <c r="J21" s="88" t="str">
        <f>"Ø "&amp;ROUNDUP(E30*0.99,0)</f>
        <v>Ø 228</v>
      </c>
      <c r="K21" s="10"/>
      <c r="L21" s="59"/>
      <c r="M21" s="1286" t="s">
        <v>12</v>
      </c>
      <c r="N21" s="1285">
        <v>9.1</v>
      </c>
      <c r="O21" s="43"/>
      <c r="R21" s="87"/>
      <c r="S21" s="121" t="str">
        <f>"Ø "&amp;ROUNDUP(U31*0.99,0)</f>
        <v>Ø 355</v>
      </c>
      <c r="T21" s="89" t="s">
        <v>279</v>
      </c>
      <c r="U21" s="356">
        <f>U32</f>
        <v>150</v>
      </c>
      <c r="V21" s="17"/>
      <c r="W21" s="17"/>
      <c r="X21" s="59"/>
      <c r="Y21" s="59"/>
      <c r="Z21" s="88" t="str">
        <f>"Ø"&amp;ROUNDUP(U30*0.99,0)</f>
        <v>Ø208</v>
      </c>
      <c r="AA21" s="10"/>
      <c r="AC21" s="184"/>
    </row>
    <row r="22" spans="2:29" ht="16.2" thickBot="1" x14ac:dyDescent="0.35">
      <c r="B22" s="4"/>
      <c r="C22" s="130" t="str">
        <f>"( "&amp;N4&amp;" )"</f>
        <v>( 310 )</v>
      </c>
      <c r="D22" s="59"/>
      <c r="E22" s="174" t="str">
        <f>"( "&amp;N6&amp;" )"</f>
        <v>( 160 )</v>
      </c>
      <c r="F22" s="17"/>
      <c r="G22" s="17"/>
      <c r="H22" s="59"/>
      <c r="I22" s="59"/>
      <c r="J22" s="175" t="str">
        <f>"( "&amp;N5&amp;" )"</f>
        <v>( 200 )</v>
      </c>
      <c r="K22" s="10"/>
      <c r="L22" s="59"/>
      <c r="M22" s="1289"/>
      <c r="N22" s="889">
        <f>((N16*N16-N18*N18)*3.1415926*N19*N21+(N17*N17-N18*N18)*(N20-N19)*N21*3.1415926)/4000000</f>
        <v>144.74232332664195</v>
      </c>
      <c r="O22" s="43"/>
      <c r="R22" s="4"/>
      <c r="S22" s="130" t="str">
        <f>"( "&amp;AC3&amp;" )"</f>
        <v>( 310 )</v>
      </c>
      <c r="T22" s="59"/>
      <c r="U22" s="174" t="str">
        <f>"( "&amp;AC5&amp;" )"</f>
        <v>( 160 )</v>
      </c>
      <c r="V22" s="17"/>
      <c r="W22" s="17"/>
      <c r="X22" s="59"/>
      <c r="Y22" s="59"/>
      <c r="Z22" s="175" t="str">
        <f>"( "&amp;AC4&amp;" )"</f>
        <v>( 200 )</v>
      </c>
      <c r="AA22" s="10"/>
      <c r="AC22" s="184"/>
    </row>
    <row r="23" spans="2:29" ht="15" thickBot="1" x14ac:dyDescent="0.35">
      <c r="B23" s="4"/>
      <c r="C23" s="59"/>
      <c r="D23" s="59"/>
      <c r="E23" s="59"/>
      <c r="F23" s="17"/>
      <c r="G23" s="17"/>
      <c r="H23" s="59"/>
      <c r="I23" s="59"/>
      <c r="J23" s="59"/>
      <c r="K23" s="18"/>
      <c r="L23" s="524"/>
      <c r="M23" s="888" t="s">
        <v>19</v>
      </c>
      <c r="N23" s="1282">
        <f>IF(N22&gt;=100,ROUNDUP(N22,0),ROUNDUP(N22,1))</f>
        <v>145</v>
      </c>
      <c r="O23" s="43"/>
      <c r="R23" s="4"/>
      <c r="S23" s="59"/>
      <c r="T23" s="59"/>
      <c r="U23" s="59"/>
      <c r="V23" s="17"/>
      <c r="W23" s="17"/>
      <c r="X23" s="59"/>
      <c r="Y23" s="59"/>
      <c r="Z23" s="59"/>
      <c r="AA23" s="18"/>
      <c r="AC23" s="60"/>
    </row>
    <row r="24" spans="2:29" x14ac:dyDescent="0.3">
      <c r="B24" s="4"/>
      <c r="C24" s="59"/>
      <c r="D24" s="59"/>
      <c r="E24" s="59"/>
      <c r="F24" s="17"/>
      <c r="G24" s="17"/>
      <c r="H24" s="59"/>
      <c r="I24" s="59"/>
      <c r="J24" s="59"/>
      <c r="K24" s="18"/>
      <c r="L24" s="524"/>
      <c r="M24" s="25"/>
      <c r="N24" s="43"/>
      <c r="O24" s="43"/>
      <c r="R24" s="4"/>
      <c r="S24" s="59"/>
      <c r="T24" s="59"/>
      <c r="U24" s="59"/>
      <c r="V24" s="17"/>
      <c r="W24" s="17"/>
      <c r="X24" s="59"/>
      <c r="Y24" s="59"/>
      <c r="Z24" s="59"/>
      <c r="AA24" s="18"/>
      <c r="AC24" s="60"/>
    </row>
    <row r="25" spans="2:29" x14ac:dyDescent="0.3">
      <c r="B25" s="4"/>
      <c r="C25" s="59"/>
      <c r="D25" s="59"/>
      <c r="E25" s="59"/>
      <c r="F25" s="17"/>
      <c r="G25" s="17"/>
      <c r="H25" s="59"/>
      <c r="I25" s="59"/>
      <c r="J25" s="59"/>
      <c r="K25" s="18"/>
      <c r="L25" s="524"/>
      <c r="M25" s="25"/>
      <c r="N25" s="43"/>
      <c r="O25" s="43"/>
      <c r="R25" s="4"/>
      <c r="S25" s="59"/>
      <c r="T25" s="59"/>
      <c r="U25" s="59"/>
      <c r="V25" s="17"/>
      <c r="W25" s="17"/>
      <c r="X25" s="59"/>
      <c r="Y25" s="59"/>
      <c r="Z25" s="59"/>
      <c r="AA25" s="18"/>
      <c r="AC25" s="60"/>
    </row>
    <row r="26" spans="2:29" x14ac:dyDescent="0.3">
      <c r="B26" s="4"/>
      <c r="C26" s="59"/>
      <c r="D26" s="59"/>
      <c r="E26" s="59"/>
      <c r="F26" s="90">
        <f>P7</f>
        <v>285</v>
      </c>
      <c r="G26" s="90"/>
      <c r="H26" s="59"/>
      <c r="I26" s="59"/>
      <c r="J26" s="59"/>
      <c r="K26" s="18"/>
      <c r="L26" s="524"/>
      <c r="M26" s="25"/>
      <c r="N26" s="43"/>
      <c r="O26" s="43"/>
      <c r="R26" s="4"/>
      <c r="S26" s="59"/>
      <c r="T26" s="59"/>
      <c r="U26" s="59"/>
      <c r="V26" s="119">
        <f>AC8</f>
        <v>285</v>
      </c>
      <c r="W26" s="90"/>
      <c r="X26" s="59"/>
      <c r="Y26" s="59"/>
      <c r="Z26" s="59"/>
      <c r="AA26" s="18"/>
    </row>
    <row r="27" spans="2:29" ht="15" thickBot="1" x14ac:dyDescent="0.35">
      <c r="B27" s="19"/>
      <c r="C27" s="65"/>
      <c r="D27" s="65"/>
      <c r="E27" s="65"/>
      <c r="F27" s="176" t="str">
        <f>"( "&amp;N8&amp;" )"</f>
        <v>( 250 )</v>
      </c>
      <c r="G27" s="176"/>
      <c r="H27" s="65"/>
      <c r="I27" s="65"/>
      <c r="J27" s="65"/>
      <c r="K27" s="1256"/>
      <c r="L27" s="524"/>
      <c r="M27" s="25"/>
      <c r="N27" s="43"/>
      <c r="O27" s="43"/>
      <c r="R27" s="19"/>
      <c r="S27" s="65"/>
      <c r="T27" s="65"/>
      <c r="U27" s="65"/>
      <c r="V27" s="129" t="str">
        <f>"( "&amp;AC7&amp;" )"</f>
        <v>( 250 )</v>
      </c>
      <c r="W27" s="176"/>
      <c r="X27" s="65"/>
      <c r="Y27" s="65"/>
      <c r="Z27" s="65"/>
      <c r="AA27" s="22"/>
    </row>
    <row r="28" spans="2:29" ht="15" thickBot="1" x14ac:dyDescent="0.35">
      <c r="B28" s="1"/>
      <c r="C28" s="2"/>
      <c r="D28" s="2"/>
      <c r="E28" s="91" t="s">
        <v>280</v>
      </c>
      <c r="F28" s="2"/>
      <c r="G28" s="71"/>
      <c r="H28" s="71"/>
      <c r="I28" s="71"/>
      <c r="J28" s="71"/>
      <c r="K28" s="209"/>
      <c r="L28" s="524"/>
      <c r="M28" s="25"/>
      <c r="N28" s="43"/>
      <c r="O28" s="43"/>
      <c r="R28" s="1"/>
      <c r="S28" s="2"/>
      <c r="T28" s="2"/>
      <c r="U28" s="91" t="s">
        <v>280</v>
      </c>
      <c r="V28" s="2"/>
      <c r="W28" s="71"/>
      <c r="X28" s="71"/>
      <c r="Y28" s="71"/>
      <c r="Z28" s="71"/>
      <c r="AA28" s="352"/>
    </row>
    <row r="29" spans="2:29" ht="15" thickBot="1" x14ac:dyDescent="0.35">
      <c r="B29" s="93" t="s">
        <v>281</v>
      </c>
      <c r="C29" s="2"/>
      <c r="D29" s="2"/>
      <c r="E29" s="94" t="s">
        <v>204</v>
      </c>
      <c r="F29" s="1554" t="s">
        <v>89</v>
      </c>
      <c r="G29" s="1555"/>
      <c r="H29" s="93" t="s">
        <v>476</v>
      </c>
      <c r="I29" s="2"/>
      <c r="J29" s="391"/>
      <c r="K29" s="97" t="s">
        <v>282</v>
      </c>
      <c r="L29" s="1288"/>
      <c r="M29" s="25"/>
      <c r="N29" s="43"/>
      <c r="O29" s="43"/>
      <c r="R29" s="93" t="s">
        <v>281</v>
      </c>
      <c r="S29" s="2"/>
      <c r="T29" s="2"/>
      <c r="U29" s="94" t="s">
        <v>204</v>
      </c>
      <c r="V29" s="390" t="s">
        <v>89</v>
      </c>
      <c r="W29" s="390"/>
      <c r="X29" s="93" t="s">
        <v>476</v>
      </c>
      <c r="Y29" s="2"/>
      <c r="Z29" s="391"/>
      <c r="AA29" s="97" t="s">
        <v>282</v>
      </c>
    </row>
    <row r="30" spans="2:29" x14ac:dyDescent="0.3">
      <c r="B30" s="98" t="s">
        <v>433</v>
      </c>
      <c r="C30" s="59"/>
      <c r="D30" s="59"/>
      <c r="E30" s="354">
        <f>P4</f>
        <v>230</v>
      </c>
      <c r="F30" s="771">
        <f>P5</f>
        <v>380</v>
      </c>
      <c r="G30" s="772"/>
      <c r="H30" s="1556">
        <v>10255800</v>
      </c>
      <c r="I30" s="1557"/>
      <c r="J30" s="1558"/>
      <c r="K30" s="18"/>
      <c r="L30" s="524"/>
      <c r="M30" s="25"/>
      <c r="N30" s="43"/>
      <c r="O30" s="43"/>
      <c r="R30" s="98" t="s">
        <v>433</v>
      </c>
      <c r="S30" s="59"/>
      <c r="T30" s="59"/>
      <c r="U30" s="99">
        <v>210</v>
      </c>
      <c r="V30" s="354">
        <v>320</v>
      </c>
      <c r="W30" s="354"/>
      <c r="X30" s="392" t="str">
        <f>VLOOKUP(U31,кок_с_буртом,7)</f>
        <v>7249282 - 3</v>
      </c>
      <c r="Y30" s="59"/>
      <c r="Z30" s="10"/>
      <c r="AA30" s="18"/>
    </row>
    <row r="31" spans="2:29" x14ac:dyDescent="0.3">
      <c r="B31" s="4"/>
      <c r="C31" s="59"/>
      <c r="D31" s="59"/>
      <c r="E31" s="354">
        <f>P3</f>
        <v>319</v>
      </c>
      <c r="F31" s="354">
        <f>P6</f>
        <v>65</v>
      </c>
      <c r="G31" s="122"/>
      <c r="H31" s="59"/>
      <c r="I31" s="59"/>
      <c r="J31" s="10"/>
      <c r="K31" s="18"/>
      <c r="L31" s="524"/>
      <c r="M31" s="25"/>
      <c r="N31" s="43"/>
      <c r="O31" s="43"/>
      <c r="R31" s="4"/>
      <c r="S31" s="59"/>
      <c r="T31" s="59"/>
      <c r="U31" s="99">
        <v>358</v>
      </c>
      <c r="V31" s="354">
        <v>38</v>
      </c>
      <c r="W31" s="354"/>
      <c r="X31" s="4"/>
      <c r="Y31" s="59"/>
      <c r="Z31" s="10"/>
      <c r="AA31" s="18"/>
    </row>
    <row r="32" spans="2:29" x14ac:dyDescent="0.3">
      <c r="B32" s="98" t="s">
        <v>284</v>
      </c>
      <c r="C32" s="59"/>
      <c r="D32" s="59"/>
      <c r="E32" s="354">
        <f>P9</f>
        <v>140</v>
      </c>
      <c r="F32" s="354"/>
      <c r="G32" s="122"/>
      <c r="H32" s="59" t="str">
        <f ca="1">VLOOKUP(Данные!AP27,Данные!AO4:AP23,2)&amp;" - "&amp;RANDBETWEEN(1,15)</f>
        <v>72.11879 - 1</v>
      </c>
      <c r="I32" s="59"/>
      <c r="J32" s="10"/>
      <c r="K32" s="18"/>
      <c r="L32" s="524"/>
      <c r="M32" s="25"/>
      <c r="N32" s="43"/>
      <c r="O32" s="43"/>
      <c r="R32" s="98" t="s">
        <v>284</v>
      </c>
      <c r="S32" s="59"/>
      <c r="T32" s="59"/>
      <c r="U32" s="99">
        <v>150</v>
      </c>
      <c r="V32" s="354"/>
      <c r="W32" s="354"/>
      <c r="X32" s="4" t="str">
        <f ca="1">H32</f>
        <v>72.11879 - 1</v>
      </c>
      <c r="Y32" s="59"/>
      <c r="Z32" s="10"/>
      <c r="AA32" s="18"/>
    </row>
    <row r="33" spans="2:27" x14ac:dyDescent="0.3">
      <c r="B33" s="98" t="s">
        <v>285</v>
      </c>
      <c r="C33" s="59"/>
      <c r="D33" s="59"/>
      <c r="E33" s="354">
        <f>E30</f>
        <v>230</v>
      </c>
      <c r="F33" s="354">
        <v>40</v>
      </c>
      <c r="G33" s="122"/>
      <c r="H33" s="59" t="str">
        <f>VLOOKUP(E33,Данные!AD79:AL1156,9)</f>
        <v>72.47214 - 52</v>
      </c>
      <c r="I33" s="59"/>
      <c r="J33" s="10"/>
      <c r="K33" s="18"/>
      <c r="L33" s="524"/>
      <c r="M33" s="25"/>
      <c r="N33" s="43"/>
      <c r="O33" s="43"/>
      <c r="R33" s="98" t="s">
        <v>285</v>
      </c>
      <c r="S33" s="59"/>
      <c r="T33" s="59"/>
      <c r="U33" s="99">
        <f>U30</f>
        <v>210</v>
      </c>
      <c r="V33" s="354">
        <v>30</v>
      </c>
      <c r="W33" s="354"/>
      <c r="X33" s="4" t="str">
        <f>H33</f>
        <v>72.47214 - 52</v>
      </c>
      <c r="Y33" s="59"/>
      <c r="Z33" s="10"/>
      <c r="AA33" s="18"/>
    </row>
    <row r="34" spans="2:27" x14ac:dyDescent="0.3">
      <c r="B34" s="98" t="s">
        <v>286</v>
      </c>
      <c r="C34" s="59"/>
      <c r="D34" s="59"/>
      <c r="E34" s="354"/>
      <c r="F34" s="354">
        <f>F30-F36-F33</f>
        <v>50</v>
      </c>
      <c r="G34" s="122"/>
      <c r="H34" s="59"/>
      <c r="I34" s="59"/>
      <c r="J34" s="10"/>
      <c r="K34" s="18"/>
      <c r="L34" s="524"/>
      <c r="M34" s="25"/>
      <c r="N34" s="43"/>
      <c r="O34" s="43"/>
      <c r="R34" s="98" t="s">
        <v>286</v>
      </c>
      <c r="S34" s="59"/>
      <c r="T34" s="59"/>
      <c r="U34" s="99"/>
      <c r="V34" s="354">
        <f>V30-V36-V33</f>
        <v>0</v>
      </c>
      <c r="W34" s="354"/>
      <c r="X34" s="4"/>
      <c r="Y34" s="59"/>
      <c r="Z34" s="10"/>
      <c r="AA34" s="18"/>
    </row>
    <row r="35" spans="2:27" ht="15" thickBot="1" x14ac:dyDescent="0.35">
      <c r="B35" s="4"/>
      <c r="C35" s="59"/>
      <c r="D35" s="59"/>
      <c r="E35" s="355"/>
      <c r="F35" s="355"/>
      <c r="G35" s="773"/>
      <c r="H35" s="65"/>
      <c r="I35" s="65"/>
      <c r="J35" s="40"/>
      <c r="K35" s="18"/>
      <c r="L35" s="524"/>
      <c r="M35" s="25"/>
      <c r="N35" s="43"/>
      <c r="O35" s="43"/>
      <c r="R35" s="4"/>
      <c r="S35" s="59"/>
      <c r="T35" s="59"/>
      <c r="U35" s="101"/>
      <c r="V35" s="355"/>
      <c r="W35" s="355"/>
      <c r="X35" s="19"/>
      <c r="Y35" s="65"/>
      <c r="Z35" s="40"/>
      <c r="AA35" s="18"/>
    </row>
    <row r="36" spans="2:27" x14ac:dyDescent="0.3">
      <c r="B36" s="12"/>
      <c r="C36" s="6" t="s">
        <v>287</v>
      </c>
      <c r="D36" s="71"/>
      <c r="E36" s="59"/>
      <c r="F36" s="16">
        <f>CEILING(F26/0.985,1)</f>
        <v>290</v>
      </c>
      <c r="G36" s="16"/>
      <c r="H36" s="59"/>
      <c r="I36" s="59"/>
      <c r="J36" s="59"/>
      <c r="K36" s="13"/>
      <c r="L36" s="59"/>
      <c r="M36" s="25"/>
      <c r="N36" s="43"/>
      <c r="O36" s="43"/>
      <c r="R36" s="12"/>
      <c r="S36" s="6" t="s">
        <v>287</v>
      </c>
      <c r="T36" s="71"/>
      <c r="U36" s="59"/>
      <c r="V36" s="16">
        <f>CEILING(V26/0.985,1)</f>
        <v>290</v>
      </c>
      <c r="W36" s="16"/>
      <c r="X36" s="59"/>
      <c r="Y36" s="59"/>
      <c r="Z36" s="59"/>
      <c r="AA36" s="13"/>
    </row>
    <row r="37" spans="2:27" ht="15" thickBot="1" x14ac:dyDescent="0.35">
      <c r="B37" s="19"/>
      <c r="C37" s="65"/>
      <c r="D37" s="65"/>
      <c r="E37" s="65"/>
      <c r="F37" s="65"/>
      <c r="G37" s="65"/>
      <c r="H37" s="65"/>
      <c r="I37" s="65"/>
      <c r="J37" s="65"/>
      <c r="K37" s="40"/>
      <c r="L37" s="59"/>
      <c r="M37" s="25"/>
      <c r="N37" s="43"/>
      <c r="O37" s="43"/>
      <c r="R37" s="19"/>
      <c r="S37" s="65"/>
      <c r="T37" s="65"/>
      <c r="U37" s="65"/>
      <c r="V37" s="65"/>
      <c r="W37" s="65"/>
      <c r="X37" s="65"/>
      <c r="Y37" s="65"/>
      <c r="Z37" s="65"/>
      <c r="AA37" s="40"/>
    </row>
    <row r="38" spans="2:27" x14ac:dyDescent="0.3">
      <c r="B38" s="12"/>
      <c r="C38" s="6" t="str">
        <f>"Плавка по инструкции "&amp;VLOOKUP(F8,Данные!A3:I27,6,FALSE)</f>
        <v>Плавка по инструкции 25010.00173</v>
      </c>
      <c r="D38" s="71"/>
      <c r="E38" s="71"/>
      <c r="F38" s="103"/>
      <c r="G38" s="103"/>
      <c r="H38" s="71"/>
      <c r="I38" s="71"/>
      <c r="J38" s="71"/>
      <c r="K38" s="104"/>
      <c r="L38" s="524"/>
      <c r="M38" s="25"/>
      <c r="N38" s="43"/>
      <c r="O38" s="43"/>
      <c r="R38" s="12"/>
      <c r="S38" s="6" t="str">
        <f>"Плавка по инструкции "&amp;VLOOKUP(V8,Данные!A3:I27,6,FALSE)</f>
        <v>Плавка по инструкции 25010.00173</v>
      </c>
      <c r="T38" s="71"/>
      <c r="U38" s="71"/>
      <c r="V38" s="103"/>
      <c r="W38" s="103"/>
      <c r="X38" s="71"/>
      <c r="Y38" s="71"/>
      <c r="Z38" s="71"/>
      <c r="AA38" s="104"/>
    </row>
    <row r="39" spans="2:27" ht="15" thickBot="1" x14ac:dyDescent="0.35">
      <c r="B39" s="4"/>
      <c r="C39" s="11" t="s">
        <v>288</v>
      </c>
      <c r="D39" s="59"/>
      <c r="E39" s="59"/>
      <c r="F39" s="17"/>
      <c r="G39" s="17"/>
      <c r="H39" s="59"/>
      <c r="I39" s="59"/>
      <c r="J39" s="59"/>
      <c r="K39" s="18"/>
      <c r="L39" s="524"/>
      <c r="M39" s="59"/>
      <c r="N39" s="43"/>
      <c r="O39" s="43"/>
      <c r="R39" s="4"/>
      <c r="S39" s="11" t="s">
        <v>288</v>
      </c>
      <c r="T39" s="59"/>
      <c r="U39" s="59"/>
      <c r="V39" s="17"/>
      <c r="W39" s="17"/>
      <c r="X39" s="59"/>
      <c r="Y39" s="59"/>
      <c r="Z39" s="59"/>
      <c r="AA39" s="18"/>
    </row>
    <row r="40" spans="2:27" x14ac:dyDescent="0.3">
      <c r="B40" s="12"/>
      <c r="C40" s="6" t="s">
        <v>289</v>
      </c>
      <c r="D40" s="71"/>
      <c r="E40" s="71"/>
      <c r="F40" s="105"/>
      <c r="G40" s="105"/>
      <c r="H40" s="71"/>
      <c r="I40" s="71"/>
      <c r="J40" s="71"/>
      <c r="K40" s="13"/>
      <c r="L40" s="59"/>
      <c r="M40" s="59"/>
      <c r="N40" s="43"/>
      <c r="O40" s="43"/>
      <c r="R40" s="12"/>
      <c r="S40" s="6" t="s">
        <v>289</v>
      </c>
      <c r="T40" s="71"/>
      <c r="U40" s="71"/>
      <c r="V40" s="105"/>
      <c r="W40" s="105"/>
      <c r="X40" s="71"/>
      <c r="Y40" s="71"/>
      <c r="Z40" s="71"/>
      <c r="AA40" s="13"/>
    </row>
    <row r="41" spans="2:27" x14ac:dyDescent="0.3">
      <c r="B41" s="4"/>
      <c r="C41" s="11" t="s">
        <v>290</v>
      </c>
      <c r="D41" s="59"/>
      <c r="E41" s="59"/>
      <c r="F41" s="17"/>
      <c r="G41" s="17"/>
      <c r="H41" s="59"/>
      <c r="I41" s="59"/>
      <c r="J41" s="59"/>
      <c r="K41" s="10"/>
      <c r="L41" s="59"/>
      <c r="M41" s="59"/>
      <c r="N41" s="43"/>
      <c r="O41" s="43"/>
      <c r="R41" s="4"/>
      <c r="S41" s="11" t="s">
        <v>290</v>
      </c>
      <c r="T41" s="59"/>
      <c r="U41" s="59"/>
      <c r="V41" s="17"/>
      <c r="W41" s="17"/>
      <c r="X41" s="59"/>
      <c r="Y41" s="59"/>
      <c r="Z41" s="59"/>
      <c r="AA41" s="10"/>
    </row>
    <row r="42" spans="2:27" x14ac:dyDescent="0.3">
      <c r="B42" s="4"/>
      <c r="C42" s="11" t="s">
        <v>291</v>
      </c>
      <c r="D42" s="59"/>
      <c r="E42" s="59"/>
      <c r="F42" s="17"/>
      <c r="G42" s="17"/>
      <c r="H42" s="59"/>
      <c r="I42" s="59"/>
      <c r="J42" s="59"/>
      <c r="K42" s="10"/>
      <c r="L42" s="59"/>
      <c r="M42" s="59"/>
      <c r="N42" s="43"/>
      <c r="O42" s="43"/>
      <c r="R42" s="4"/>
      <c r="S42" s="11" t="s">
        <v>291</v>
      </c>
      <c r="T42" s="59"/>
      <c r="U42" s="59"/>
      <c r="V42" s="17"/>
      <c r="W42" s="17"/>
      <c r="X42" s="59"/>
      <c r="Y42" s="59"/>
      <c r="Z42" s="59"/>
      <c r="AA42" s="10"/>
    </row>
    <row r="43" spans="2:27" ht="15" thickBot="1" x14ac:dyDescent="0.35">
      <c r="B43" s="19"/>
      <c r="C43" s="65"/>
      <c r="D43" s="65"/>
      <c r="E43" s="65"/>
      <c r="F43" s="65"/>
      <c r="G43" s="65"/>
      <c r="H43" s="65"/>
      <c r="I43" s="65"/>
      <c r="J43" s="65"/>
      <c r="K43" s="40"/>
      <c r="L43" s="59"/>
      <c r="M43" s="59"/>
      <c r="N43" s="43"/>
      <c r="O43" s="43"/>
      <c r="R43" s="19"/>
      <c r="S43" s="65"/>
      <c r="T43" s="65"/>
      <c r="U43" s="65"/>
      <c r="V43" s="65"/>
      <c r="W43" s="65"/>
      <c r="X43" s="65"/>
      <c r="Y43" s="65"/>
      <c r="Z43" s="65"/>
      <c r="AA43" s="40"/>
    </row>
    <row r="44" spans="2:27" ht="15" thickBot="1" x14ac:dyDescent="0.35">
      <c r="B44" s="1"/>
      <c r="C44" s="91" t="s">
        <v>292</v>
      </c>
      <c r="D44" s="84"/>
      <c r="E44" s="94" t="s">
        <v>293</v>
      </c>
      <c r="F44" s="91" t="s">
        <v>294</v>
      </c>
      <c r="G44" s="91"/>
      <c r="H44" s="94" t="s">
        <v>295</v>
      </c>
      <c r="I44" s="96" t="s">
        <v>296</v>
      </c>
      <c r="J44" s="96"/>
      <c r="K44" s="94" t="s">
        <v>295</v>
      </c>
      <c r="L44" s="11"/>
      <c r="M44" s="59"/>
      <c r="N44" s="43"/>
      <c r="O44" s="43"/>
      <c r="R44" s="1"/>
      <c r="S44" s="91" t="s">
        <v>292</v>
      </c>
      <c r="T44" s="84"/>
      <c r="U44" s="94" t="s">
        <v>293</v>
      </c>
      <c r="V44" s="91" t="s">
        <v>294</v>
      </c>
      <c r="W44" s="91"/>
      <c r="X44" s="94" t="s">
        <v>295</v>
      </c>
      <c r="Y44" s="96" t="s">
        <v>296</v>
      </c>
      <c r="Z44" s="96"/>
      <c r="AA44" s="94" t="s">
        <v>295</v>
      </c>
    </row>
    <row r="45" spans="2:27" ht="15" thickBot="1" x14ac:dyDescent="0.35">
      <c r="B45" s="1551">
        <f ca="1">TODAY()</f>
        <v>45414</v>
      </c>
      <c r="C45" s="1552"/>
      <c r="D45" s="1553"/>
      <c r="E45" s="95" t="s">
        <v>265</v>
      </c>
      <c r="F45" s="91" t="s">
        <v>266</v>
      </c>
      <c r="G45" s="91"/>
      <c r="H45" s="107"/>
      <c r="I45" s="2"/>
      <c r="J45" s="2"/>
      <c r="K45" s="107"/>
      <c r="L45" s="59"/>
      <c r="M45" s="59"/>
      <c r="N45" s="43"/>
      <c r="O45" s="43"/>
      <c r="R45" s="1551">
        <f ca="1">TODAY()</f>
        <v>45414</v>
      </c>
      <c r="S45" s="1552"/>
      <c r="T45" s="1553"/>
      <c r="U45" s="95" t="s">
        <v>265</v>
      </c>
      <c r="V45" s="91" t="s">
        <v>266</v>
      </c>
      <c r="W45" s="91"/>
      <c r="X45" s="107"/>
      <c r="Y45" s="2"/>
      <c r="Z45" s="2"/>
      <c r="AA45" s="107"/>
    </row>
    <row r="46" spans="2:27" ht="15" thickBot="1" x14ac:dyDescent="0.35">
      <c r="B46" s="1"/>
      <c r="C46" s="96" t="s">
        <v>71</v>
      </c>
      <c r="D46" s="84"/>
      <c r="E46" s="78"/>
      <c r="F46" s="2"/>
      <c r="G46" s="2"/>
      <c r="H46" s="107"/>
      <c r="I46" s="2"/>
      <c r="J46" s="2"/>
      <c r="K46" s="107"/>
      <c r="L46" s="59"/>
      <c r="M46" s="59"/>
      <c r="N46" s="43"/>
      <c r="O46" s="43"/>
      <c r="R46" s="1"/>
      <c r="S46" s="96" t="s">
        <v>71</v>
      </c>
      <c r="T46" s="84"/>
      <c r="U46" s="78"/>
      <c r="V46" s="2"/>
      <c r="W46" s="2"/>
      <c r="X46" s="107"/>
      <c r="Y46" s="2"/>
      <c r="Z46" s="2"/>
      <c r="AA46" s="107"/>
    </row>
    <row r="47" spans="2:27" x14ac:dyDescent="0.3">
      <c r="M47" s="59"/>
      <c r="N47" s="43"/>
      <c r="O47" s="43"/>
    </row>
    <row r="48" spans="2:27" x14ac:dyDescent="0.3">
      <c r="M48" s="59"/>
      <c r="N48" s="43"/>
      <c r="O48" s="43"/>
    </row>
    <row r="49" spans="13:15" x14ac:dyDescent="0.3">
      <c r="M49" s="59"/>
      <c r="N49" s="43"/>
      <c r="O49" s="43"/>
    </row>
    <row r="50" spans="13:15" x14ac:dyDescent="0.3">
      <c r="M50" s="43"/>
      <c r="N50" s="43"/>
      <c r="O50" s="43"/>
    </row>
    <row r="51" spans="13:15" x14ac:dyDescent="0.3">
      <c r="M51" s="43"/>
      <c r="N51" s="43"/>
      <c r="O51" s="43"/>
    </row>
    <row r="52" spans="13:15" x14ac:dyDescent="0.3">
      <c r="M52" s="43"/>
      <c r="N52" s="43"/>
      <c r="O52" s="43"/>
    </row>
    <row r="53" spans="13:15" x14ac:dyDescent="0.3">
      <c r="M53" s="43"/>
      <c r="N53" s="43"/>
      <c r="O53" s="43"/>
    </row>
    <row r="54" spans="13:15" x14ac:dyDescent="0.3">
      <c r="M54" s="43"/>
      <c r="N54" s="43"/>
      <c r="O54" s="43"/>
    </row>
    <row r="55" spans="13:15" x14ac:dyDescent="0.3">
      <c r="O55" s="43"/>
    </row>
  </sheetData>
  <mergeCells count="5">
    <mergeCell ref="B45:D45"/>
    <mergeCell ref="R45:T45"/>
    <mergeCell ref="F29:G29"/>
    <mergeCell ref="H30:J30"/>
    <mergeCell ref="AF2:AJ2"/>
  </mergeCells>
  <pageMargins left="0.7" right="0.7" top="0.75" bottom="0.75" header="0.3" footer="0.3"/>
  <pageSetup paperSize="9" scale="26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679F299-D77B-47A4-8290-870005DB2B8C}">
          <x14:formula1>
            <xm:f>Данные!$A$3:$A$27</xm:f>
          </x14:formula1>
          <xm:sqref>F8:G8 V8:W8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5">
    <pageSetUpPr fitToPage="1"/>
  </sheetPr>
  <dimension ref="B1:Y77"/>
  <sheetViews>
    <sheetView zoomScale="70" zoomScaleNormal="70" workbookViewId="0">
      <selection activeCell="I58" sqref="B2:J58"/>
    </sheetView>
  </sheetViews>
  <sheetFormatPr defaultColWidth="8.5546875" defaultRowHeight="14.4" x14ac:dyDescent="0.3"/>
  <cols>
    <col min="1" max="1" width="2.109375" customWidth="1"/>
    <col min="2" max="2" width="6.88671875" customWidth="1"/>
    <col min="4" max="4" width="3.109375" customWidth="1"/>
    <col min="5" max="5" width="19.77734375" customWidth="1"/>
    <col min="6" max="6" width="13.6640625" customWidth="1"/>
    <col min="7" max="7" width="8.6640625" customWidth="1"/>
    <col min="8" max="8" width="7.5546875" customWidth="1"/>
    <col min="9" max="9" width="10.5546875" customWidth="1"/>
    <col min="10" max="10" width="13" customWidth="1"/>
    <col min="11" max="11" width="3.88671875" customWidth="1"/>
    <col min="12" max="12" width="21.33203125" customWidth="1"/>
    <col min="13" max="13" width="17" customWidth="1"/>
    <col min="14" max="14" width="8.88671875" customWidth="1"/>
    <col min="15" max="15" width="10.5546875" customWidth="1"/>
    <col min="17" max="17" width="8.44140625" customWidth="1"/>
    <col min="18" max="18" width="6.109375" customWidth="1"/>
    <col min="19" max="19" width="2.44140625" customWidth="1"/>
    <col min="20" max="20" width="17.44140625" customWidth="1"/>
    <col min="21" max="21" width="12.77734375" customWidth="1"/>
    <col min="22" max="22" width="7.44140625" customWidth="1"/>
    <col min="23" max="23" width="6.33203125" customWidth="1"/>
    <col min="24" max="24" width="9.21875" customWidth="1"/>
    <col min="25" max="25" width="12.5546875" customWidth="1"/>
  </cols>
  <sheetData>
    <row r="1" spans="2:25" ht="6.6" customHeight="1" x14ac:dyDescent="0.3"/>
    <row r="2" spans="2:25" s="43" customFormat="1" ht="15" customHeight="1" thickBot="1" x14ac:dyDescent="0.35">
      <c r="J2" s="43" t="s">
        <v>1227</v>
      </c>
    </row>
    <row r="3" spans="2:25" ht="16.2" thickBot="1" x14ac:dyDescent="0.35">
      <c r="B3" s="1"/>
      <c r="C3" s="2"/>
      <c r="D3" s="2"/>
      <c r="E3" s="41" t="s">
        <v>0</v>
      </c>
      <c r="F3" s="2"/>
      <c r="G3" s="2"/>
      <c r="H3" s="2"/>
      <c r="I3" s="2"/>
      <c r="J3" s="3" t="s">
        <v>1132</v>
      </c>
      <c r="L3" s="179" t="s">
        <v>72</v>
      </c>
      <c r="M3" s="179" t="s">
        <v>73</v>
      </c>
      <c r="N3" s="180" t="s">
        <v>325</v>
      </c>
      <c r="O3" s="44"/>
      <c r="Q3" s="1"/>
      <c r="R3" s="2"/>
      <c r="S3" s="2"/>
      <c r="T3" s="41" t="s">
        <v>0</v>
      </c>
      <c r="U3" s="2"/>
      <c r="V3" s="2"/>
      <c r="W3" s="2"/>
      <c r="X3" s="2"/>
      <c r="Y3" s="3" t="s">
        <v>1132</v>
      </c>
    </row>
    <row r="4" spans="2:25" ht="15.6" x14ac:dyDescent="0.3">
      <c r="B4" s="12" t="s">
        <v>2</v>
      </c>
      <c r="C4" s="59"/>
      <c r="D4" s="5"/>
      <c r="E4" s="5"/>
      <c r="F4" s="45" t="s">
        <v>1291</v>
      </c>
      <c r="G4" s="5"/>
      <c r="H4" s="59"/>
      <c r="I4" s="7" t="s">
        <v>74</v>
      </c>
      <c r="J4" s="135">
        <v>78</v>
      </c>
      <c r="L4" s="42" t="s">
        <v>75</v>
      </c>
      <c r="M4" s="177">
        <f>VLOOKUP(J4,Данные!L3:U131,8,FALSE())</f>
        <v>27</v>
      </c>
      <c r="N4" s="58">
        <v>27</v>
      </c>
      <c r="Q4" s="12" t="s">
        <v>2</v>
      </c>
      <c r="R4" s="59"/>
      <c r="S4" s="5"/>
      <c r="T4" s="5"/>
      <c r="U4" s="45" t="s">
        <v>1069</v>
      </c>
      <c r="V4" s="5"/>
      <c r="W4" s="59"/>
      <c r="X4" s="7" t="s">
        <v>74</v>
      </c>
      <c r="Y4" s="135">
        <v>49</v>
      </c>
    </row>
    <row r="5" spans="2:25" ht="15.6" x14ac:dyDescent="0.3">
      <c r="B5" s="4" t="s">
        <v>4</v>
      </c>
      <c r="C5" s="59"/>
      <c r="D5" s="55"/>
      <c r="E5" s="55"/>
      <c r="F5" s="814" t="s">
        <v>1293</v>
      </c>
      <c r="G5" s="813"/>
      <c r="H5" s="55"/>
      <c r="I5" s="55" t="str">
        <f>"("&amp;M4&amp;"x"&amp;M6&amp;"x"&amp;M8&amp;")"</f>
        <v>(27x240x640)</v>
      </c>
      <c r="J5" s="10"/>
      <c r="L5" s="47" t="s">
        <v>76</v>
      </c>
      <c r="M5" s="177">
        <f>VLOOKUP(J4,Данные!L3:U131,9,FALSE())</f>
        <v>35</v>
      </c>
      <c r="N5" s="58">
        <v>35</v>
      </c>
      <c r="Q5" s="4" t="s">
        <v>4</v>
      </c>
      <c r="R5" s="59"/>
      <c r="S5" s="55"/>
      <c r="T5" s="55"/>
      <c r="U5" s="814" t="s">
        <v>1070</v>
      </c>
      <c r="V5" s="813"/>
      <c r="W5" s="55"/>
      <c r="X5" s="55" t="str">
        <f>I5</f>
        <v>(27x240x640)</v>
      </c>
      <c r="Y5" s="10"/>
    </row>
    <row r="6" spans="2:25" ht="15.6" x14ac:dyDescent="0.3">
      <c r="B6" s="4" t="s">
        <v>6</v>
      </c>
      <c r="C6" s="59"/>
      <c r="D6" s="55"/>
      <c r="E6" s="55"/>
      <c r="F6" s="813" t="s">
        <v>1294</v>
      </c>
      <c r="G6" s="55"/>
      <c r="H6" s="55"/>
      <c r="I6" s="55"/>
      <c r="J6" s="10"/>
      <c r="L6" s="42" t="s">
        <v>77</v>
      </c>
      <c r="M6" s="177">
        <f>VLOOKUP(J4,Данные!L3:U133,5,FALSE())</f>
        <v>240</v>
      </c>
      <c r="N6" s="58">
        <v>240</v>
      </c>
      <c r="Q6" s="4" t="s">
        <v>6</v>
      </c>
      <c r="R6" s="59"/>
      <c r="S6" s="55"/>
      <c r="T6" s="55"/>
      <c r="U6" s="813" t="s">
        <v>1071</v>
      </c>
      <c r="V6" s="55"/>
      <c r="W6" s="55"/>
      <c r="X6" s="55"/>
      <c r="Y6" s="10"/>
    </row>
    <row r="7" spans="2:25" ht="16.2" thickBot="1" x14ac:dyDescent="0.35">
      <c r="B7" s="19" t="s">
        <v>10</v>
      </c>
      <c r="C7" s="65"/>
      <c r="D7" s="20"/>
      <c r="E7" s="20"/>
      <c r="F7" s="1036">
        <v>9</v>
      </c>
      <c r="G7" s="20"/>
      <c r="H7" s="20"/>
      <c r="I7" s="20"/>
      <c r="J7" s="40"/>
      <c r="L7" s="47" t="s">
        <v>78</v>
      </c>
      <c r="M7" s="177">
        <f>VLOOKUP(J4,Данные!L3:U134,6,FALSE())</f>
        <v>247</v>
      </c>
      <c r="N7" s="58">
        <v>247</v>
      </c>
      <c r="Q7" s="19" t="s">
        <v>10</v>
      </c>
      <c r="R7" s="65"/>
      <c r="S7" s="20"/>
      <c r="T7" s="20"/>
      <c r="U7" s="1036">
        <v>4</v>
      </c>
      <c r="V7" s="20"/>
      <c r="W7" s="20"/>
      <c r="X7" s="20"/>
      <c r="Y7" s="40"/>
    </row>
    <row r="8" spans="2:25" ht="15.6" x14ac:dyDescent="0.3">
      <c r="B8" s="4" t="s">
        <v>16</v>
      </c>
      <c r="C8" s="55"/>
      <c r="D8" s="55"/>
      <c r="E8" s="55"/>
      <c r="F8" s="585" t="s">
        <v>664</v>
      </c>
      <c r="G8" s="55"/>
      <c r="H8" s="59"/>
      <c r="I8" s="55" t="s">
        <v>17</v>
      </c>
      <c r="J8" s="15">
        <f>F9/F11</f>
        <v>0.13986013986013987</v>
      </c>
      <c r="L8" s="42" t="s">
        <v>79</v>
      </c>
      <c r="M8" s="177">
        <f>VLOOKUP(J4,Данные!L3:U135,4,FALSE())</f>
        <v>640</v>
      </c>
      <c r="N8" s="58">
        <v>640</v>
      </c>
      <c r="Q8" s="4" t="s">
        <v>16</v>
      </c>
      <c r="R8" s="55"/>
      <c r="S8" s="55"/>
      <c r="T8" s="55"/>
      <c r="U8" s="585" t="s">
        <v>15</v>
      </c>
      <c r="V8" s="55"/>
      <c r="W8" s="59"/>
      <c r="X8" s="55" t="s">
        <v>17</v>
      </c>
      <c r="Y8" s="15">
        <f>U9/U11</f>
        <v>0.38696109358569925</v>
      </c>
    </row>
    <row r="9" spans="2:25" ht="15.6" x14ac:dyDescent="0.3">
      <c r="B9" s="4" t="s">
        <v>19</v>
      </c>
      <c r="C9" s="55"/>
      <c r="D9" s="55"/>
      <c r="E9" s="55"/>
      <c r="F9" s="144">
        <f>IF(M27&lt;&gt;0,M27,IF(M26&gt;=100,ROUNDUP(M26,0),ROUNDUP(M26,1)))</f>
        <v>2</v>
      </c>
      <c r="G9" s="55"/>
      <c r="H9" s="59"/>
      <c r="I9" s="55" t="s">
        <v>23</v>
      </c>
      <c r="J9" s="15">
        <f>F9/F15</f>
        <v>0.10101010101010101</v>
      </c>
      <c r="L9" s="1559"/>
      <c r="M9" s="1559"/>
      <c r="N9" s="1559"/>
      <c r="Q9" s="4" t="s">
        <v>19</v>
      </c>
      <c r="R9" s="55"/>
      <c r="S9" s="55"/>
      <c r="T9" s="55"/>
      <c r="U9" s="144">
        <v>9.1999999999999993</v>
      </c>
      <c r="V9" s="55"/>
      <c r="W9" s="59"/>
      <c r="X9" s="55" t="s">
        <v>23</v>
      </c>
      <c r="Y9" s="15">
        <f>U9/U15</f>
        <v>0.25734265734265732</v>
      </c>
    </row>
    <row r="10" spans="2:25" ht="15.6" x14ac:dyDescent="0.3">
      <c r="B10" s="4" t="s">
        <v>22</v>
      </c>
      <c r="C10" s="55"/>
      <c r="D10" s="55"/>
      <c r="E10" s="55"/>
      <c r="F10" s="431">
        <f>IF(M19&lt;100,ROUNDUP(M19,1),ROUNDUP(M19,0))</f>
        <v>42.9</v>
      </c>
      <c r="G10" s="55"/>
      <c r="H10" s="55"/>
      <c r="I10" s="55"/>
      <c r="J10" s="18"/>
      <c r="L10" s="1560" t="s">
        <v>80</v>
      </c>
      <c r="M10" s="1560"/>
      <c r="N10" s="1560"/>
      <c r="Q10" s="4" t="s">
        <v>22</v>
      </c>
      <c r="R10" s="55"/>
      <c r="S10" s="55"/>
      <c r="T10" s="55"/>
      <c r="U10" s="431">
        <v>95.1</v>
      </c>
      <c r="V10" s="55"/>
      <c r="W10" s="55"/>
      <c r="X10" s="55"/>
      <c r="Y10" s="18"/>
    </row>
    <row r="11" spans="2:25" ht="15.6" x14ac:dyDescent="0.3">
      <c r="B11" s="4" t="s">
        <v>81</v>
      </c>
      <c r="C11" s="55"/>
      <c r="D11" s="55"/>
      <c r="E11" s="55"/>
      <c r="F11" s="431">
        <f>F10/F16</f>
        <v>14.299999999999999</v>
      </c>
      <c r="G11" s="55"/>
      <c r="H11" s="55"/>
      <c r="I11" s="55"/>
      <c r="J11" s="18"/>
      <c r="L11" s="42" t="s">
        <v>76</v>
      </c>
      <c r="M11" s="177">
        <f>M5</f>
        <v>35</v>
      </c>
      <c r="N11" s="58">
        <v>35</v>
      </c>
      <c r="Q11" s="4" t="s">
        <v>81</v>
      </c>
      <c r="R11" s="55"/>
      <c r="S11" s="55"/>
      <c r="T11" s="55"/>
      <c r="U11" s="431">
        <f>U10/U16</f>
        <v>23.774999999999999</v>
      </c>
      <c r="V11" s="55"/>
      <c r="W11" s="55"/>
      <c r="X11" s="55"/>
      <c r="Y11" s="18"/>
    </row>
    <row r="12" spans="2:25" ht="15.6" x14ac:dyDescent="0.3">
      <c r="B12" s="4" t="s">
        <v>27</v>
      </c>
      <c r="C12" s="55"/>
      <c r="D12" s="55"/>
      <c r="E12" s="55"/>
      <c r="F12" s="144">
        <f>IF(M20&lt;100,ROUNDUP(M20,1),ROUNDUP(M20,0))</f>
        <v>57.1</v>
      </c>
      <c r="G12" s="55"/>
      <c r="H12" s="55"/>
      <c r="I12" s="55"/>
      <c r="J12" s="18"/>
      <c r="L12" s="42" t="s">
        <v>82</v>
      </c>
      <c r="M12" s="177">
        <f>VLOOKUP(J4,Данные!L3:U134,10,FALSE())</f>
        <v>80</v>
      </c>
      <c r="N12" s="58">
        <v>80</v>
      </c>
      <c r="Q12" s="4" t="s">
        <v>27</v>
      </c>
      <c r="R12" s="55"/>
      <c r="S12" s="55"/>
      <c r="T12" s="55"/>
      <c r="U12" s="144">
        <v>137.4</v>
      </c>
      <c r="V12" s="55"/>
      <c r="W12" s="55"/>
      <c r="X12" s="55"/>
      <c r="Y12" s="18"/>
    </row>
    <row r="13" spans="2:25" ht="15.6" x14ac:dyDescent="0.3">
      <c r="B13" s="4" t="s">
        <v>29</v>
      </c>
      <c r="C13" s="55"/>
      <c r="D13" s="55"/>
      <c r="E13" s="55"/>
      <c r="F13" s="431">
        <f>F12/F16</f>
        <v>19.033333333333335</v>
      </c>
      <c r="G13" s="55"/>
      <c r="H13" s="55"/>
      <c r="I13" s="55"/>
      <c r="J13" s="18"/>
      <c r="L13" s="42" t="s">
        <v>78</v>
      </c>
      <c r="M13" s="177">
        <f>M7</f>
        <v>247</v>
      </c>
      <c r="N13" s="58">
        <v>247</v>
      </c>
      <c r="Q13" s="4" t="s">
        <v>29</v>
      </c>
      <c r="R13" s="55"/>
      <c r="S13" s="55"/>
      <c r="T13" s="55"/>
      <c r="U13" s="431">
        <f>U12/U16</f>
        <v>34.35</v>
      </c>
      <c r="V13" s="55"/>
      <c r="W13" s="55"/>
      <c r="X13" s="55"/>
      <c r="Y13" s="18"/>
    </row>
    <row r="14" spans="2:25" ht="15.6" x14ac:dyDescent="0.3">
      <c r="B14" s="4" t="s">
        <v>32</v>
      </c>
      <c r="C14" s="55"/>
      <c r="D14" s="55"/>
      <c r="E14" s="55"/>
      <c r="F14" s="144">
        <f>IF(F12&lt;97,ROUNDUP(F12*1.04,1),ROUNDUP(F12*1.04,0))</f>
        <v>59.4</v>
      </c>
      <c r="G14" s="55"/>
      <c r="H14" s="55"/>
      <c r="I14" s="55"/>
      <c r="J14" s="18"/>
      <c r="L14" s="42" t="s">
        <v>83</v>
      </c>
      <c r="M14" s="177">
        <f>VLOOKUP(J4,Данные!L3:U134,7,FALSE())</f>
        <v>280</v>
      </c>
      <c r="N14" s="58">
        <v>280</v>
      </c>
      <c r="Q14" s="4" t="s">
        <v>32</v>
      </c>
      <c r="R14" s="55"/>
      <c r="S14" s="55"/>
      <c r="T14" s="55"/>
      <c r="U14" s="144">
        <f>IF(U12&lt;97,ROUNDUP(U12*1.04,1),ROUNDUP(U12*1.04,0))</f>
        <v>143</v>
      </c>
      <c r="V14" s="55"/>
      <c r="W14" s="55"/>
      <c r="X14" s="55"/>
      <c r="Y14" s="18"/>
    </row>
    <row r="15" spans="2:25" ht="15.6" x14ac:dyDescent="0.3">
      <c r="B15" s="4" t="s">
        <v>34</v>
      </c>
      <c r="C15" s="55"/>
      <c r="D15" s="55"/>
      <c r="E15" s="55"/>
      <c r="F15" s="431">
        <f>F14/F16</f>
        <v>19.8</v>
      </c>
      <c r="G15" s="55"/>
      <c r="H15" s="55"/>
      <c r="I15" s="55"/>
      <c r="J15" s="18"/>
      <c r="L15" s="42" t="s">
        <v>843</v>
      </c>
      <c r="M15" s="443">
        <f>Данные!L135</f>
        <v>123</v>
      </c>
      <c r="N15" s="1345">
        <v>105</v>
      </c>
      <c r="O15" s="442">
        <f>VLOOKUP(J4,Данные!L3:U134,3,FALSE())</f>
        <v>105</v>
      </c>
      <c r="Q15" s="4" t="s">
        <v>34</v>
      </c>
      <c r="R15" s="55"/>
      <c r="S15" s="55"/>
      <c r="T15" s="55"/>
      <c r="U15" s="431">
        <f>U14/U16</f>
        <v>35.75</v>
      </c>
      <c r="V15" s="55"/>
      <c r="W15" s="55"/>
      <c r="X15" s="55"/>
      <c r="Y15" s="18"/>
    </row>
    <row r="16" spans="2:25" ht="18" x14ac:dyDescent="0.35">
      <c r="B16" s="4" t="s">
        <v>36</v>
      </c>
      <c r="C16" s="55"/>
      <c r="D16" s="55"/>
      <c r="E16" s="55"/>
      <c r="F16" s="173">
        <f>F18*F17</f>
        <v>3</v>
      </c>
      <c r="G16" s="55"/>
      <c r="H16" s="55"/>
      <c r="I16" s="55"/>
      <c r="J16" s="18"/>
      <c r="L16" s="1346" t="s">
        <v>802</v>
      </c>
      <c r="M16" s="1347"/>
      <c r="N16" s="1345"/>
      <c r="O16" s="442" t="s">
        <v>801</v>
      </c>
      <c r="Q16" s="4" t="s">
        <v>36</v>
      </c>
      <c r="R16" s="55"/>
      <c r="S16" s="55"/>
      <c r="T16" s="55"/>
      <c r="U16" s="173">
        <f>U18*U17</f>
        <v>4</v>
      </c>
      <c r="V16" s="55"/>
      <c r="W16" s="55"/>
      <c r="X16" s="55"/>
      <c r="Y16" s="18"/>
    </row>
    <row r="17" spans="2:25" ht="15.6" x14ac:dyDescent="0.3">
      <c r="B17" s="4" t="s">
        <v>38</v>
      </c>
      <c r="C17" s="55"/>
      <c r="D17" s="55"/>
      <c r="E17" s="55"/>
      <c r="F17" s="173">
        <v>1</v>
      </c>
      <c r="G17" s="55"/>
      <c r="H17" s="55"/>
      <c r="I17" s="55"/>
      <c r="J17" s="18"/>
      <c r="L17" s="49"/>
      <c r="M17" s="50"/>
      <c r="Q17" s="4" t="s">
        <v>38</v>
      </c>
      <c r="R17" s="55"/>
      <c r="S17" s="55"/>
      <c r="T17" s="55"/>
      <c r="U17" s="173">
        <v>2</v>
      </c>
      <c r="V17" s="55"/>
      <c r="W17" s="55"/>
      <c r="X17" s="55"/>
      <c r="Y17" s="18"/>
    </row>
    <row r="18" spans="2:25" ht="16.2" thickBot="1" x14ac:dyDescent="0.35">
      <c r="B18" s="19" t="s">
        <v>40</v>
      </c>
      <c r="C18" s="20"/>
      <c r="D18" s="20"/>
      <c r="E18" s="20"/>
      <c r="F18" s="361">
        <v>3</v>
      </c>
      <c r="G18" s="20"/>
      <c r="H18" s="20"/>
      <c r="I18" s="20"/>
      <c r="J18" s="22"/>
      <c r="L18" s="181" t="s">
        <v>12</v>
      </c>
      <c r="M18" s="182">
        <f>VLOOKUP(F8,Данные!A3:I27,9,FALSE())</f>
        <v>8.8800000000000008</v>
      </c>
      <c r="Q18" s="19" t="s">
        <v>40</v>
      </c>
      <c r="R18" s="20"/>
      <c r="S18" s="20"/>
      <c r="T18" s="20"/>
      <c r="U18" s="361">
        <v>2</v>
      </c>
      <c r="V18" s="20"/>
      <c r="W18" s="20"/>
      <c r="X18" s="20"/>
      <c r="Y18" s="22"/>
    </row>
    <row r="19" spans="2:25" ht="15.6" x14ac:dyDescent="0.3">
      <c r="B19" s="12"/>
      <c r="C19" s="5"/>
      <c r="D19" s="616" t="s">
        <v>436</v>
      </c>
      <c r="E19" s="45"/>
      <c r="F19" s="165" t="str">
        <f>"Формовочный уклон "&amp;ROUND(Данные!E38,0)</f>
        <v>Формовочный уклон 5</v>
      </c>
      <c r="G19" s="5"/>
      <c r="H19" s="5"/>
      <c r="I19" s="166"/>
      <c r="J19" s="167"/>
      <c r="L19" s="137" t="s">
        <v>22</v>
      </c>
      <c r="M19" s="137">
        <f>IF(Данные!B41=FALSE,(M4+M5)/2*(M6+M7)/2*M18*M8/1000000,(N4+N5)/2*(N6+N7)/2*M18*N8/1000000)</f>
        <v>42.899635200000006</v>
      </c>
      <c r="Q19" s="12"/>
      <c r="R19" s="5"/>
      <c r="S19" s="616" t="s">
        <v>436</v>
      </c>
      <c r="T19" s="45"/>
      <c r="U19" s="165" t="str">
        <f>"Формовочный уклон "&amp;ROUND(Данные!AD38,0)</f>
        <v>Формовочный уклон 70</v>
      </c>
      <c r="V19" s="5"/>
      <c r="W19" s="5"/>
      <c r="X19" s="166"/>
      <c r="Y19" s="167"/>
    </row>
    <row r="20" spans="2:25" ht="15.6" x14ac:dyDescent="0.3">
      <c r="B20" s="4"/>
      <c r="C20" s="55"/>
      <c r="D20" s="55"/>
      <c r="E20" s="55"/>
      <c r="F20" s="55"/>
      <c r="G20" s="55"/>
      <c r="H20" s="55"/>
      <c r="I20" s="23"/>
      <c r="J20" s="24"/>
      <c r="L20" s="137" t="s">
        <v>27</v>
      </c>
      <c r="M20" s="137">
        <f>IF(Данные!B41=FALSE,F10+((M11+M12)/2*((M13+M14)/2)*M15*M18)/1000000,F10+((N11+N12)/2*((N13+N14)/2)*N15*M18)/1000000)</f>
        <v>57.027025500000001</v>
      </c>
      <c r="N20" s="43"/>
      <c r="O20" s="43"/>
      <c r="Q20" s="4"/>
      <c r="R20" s="55"/>
      <c r="S20" s="55"/>
      <c r="T20" s="55"/>
      <c r="U20" s="55"/>
      <c r="V20" s="55"/>
      <c r="W20" s="55"/>
      <c r="X20" s="23"/>
      <c r="Y20" s="24"/>
    </row>
    <row r="21" spans="2:25" ht="15.6" x14ac:dyDescent="0.3">
      <c r="B21" s="4"/>
      <c r="C21" s="55"/>
      <c r="D21" s="55"/>
      <c r="E21" s="55"/>
      <c r="F21" s="55"/>
      <c r="G21" s="55"/>
      <c r="H21" s="46" t="str">
        <f>IF(Данные!B42=TRUE,"ХХ","")</f>
        <v/>
      </c>
      <c r="I21" s="23"/>
      <c r="J21" s="24"/>
      <c r="L21" s="179" t="s">
        <v>85</v>
      </c>
      <c r="M21" s="179" t="s">
        <v>86</v>
      </c>
      <c r="Q21" s="4"/>
      <c r="R21" s="55"/>
      <c r="S21" s="55"/>
      <c r="T21" s="55"/>
      <c r="U21" s="55"/>
      <c r="V21" s="55"/>
      <c r="W21" s="46" t="str">
        <f>IF(Данные!AA42=TRUE,"ХХ","")</f>
        <v/>
      </c>
      <c r="X21" s="23"/>
      <c r="Y21" s="24"/>
    </row>
    <row r="22" spans="2:25" ht="15.6" x14ac:dyDescent="0.3">
      <c r="B22" s="4"/>
      <c r="C22" s="55"/>
      <c r="D22" s="55"/>
      <c r="E22" s="55"/>
      <c r="F22" s="55"/>
      <c r="G22" s="55"/>
      <c r="H22" s="55" t="str">
        <f>IF(Данные!B42=TRUE,"ХХ","")</f>
        <v/>
      </c>
      <c r="I22" s="28">
        <f>IF(Данные!B41=TRUE,ROUNDUP(N6*0.985,0),ROUNDUP(M6*0.985,0))</f>
        <v>237</v>
      </c>
      <c r="J22" s="27"/>
      <c r="L22" s="42" t="s">
        <v>87</v>
      </c>
      <c r="M22" s="51">
        <v>6</v>
      </c>
      <c r="Q22" s="4"/>
      <c r="R22" s="55"/>
      <c r="S22" s="55"/>
      <c r="T22" s="55"/>
      <c r="U22" s="55"/>
      <c r="V22" s="55"/>
      <c r="W22" s="55" t="str">
        <f>IF(Данные!AA42=TRUE,"ХХ","")</f>
        <v/>
      </c>
      <c r="X22" s="28">
        <f>265*0.985</f>
        <v>261.02499999999998</v>
      </c>
      <c r="Y22" s="27"/>
    </row>
    <row r="23" spans="2:25" ht="15.6" x14ac:dyDescent="0.3">
      <c r="B23" s="4"/>
      <c r="C23" s="55"/>
      <c r="D23" s="55"/>
      <c r="E23" s="55"/>
      <c r="F23" s="55"/>
      <c r="G23" s="55"/>
      <c r="H23" s="55" t="str">
        <f>IF(Данные!B42=TRUE,"ХХ","")</f>
        <v/>
      </c>
      <c r="I23" s="26" t="str">
        <f>"( "&amp;M23&amp;" )"</f>
        <v>( 60 )</v>
      </c>
      <c r="J23" s="27"/>
      <c r="L23" s="42" t="s">
        <v>88</v>
      </c>
      <c r="M23" s="51">
        <v>60</v>
      </c>
      <c r="Q23" s="4"/>
      <c r="R23" s="55"/>
      <c r="S23" s="55"/>
      <c r="T23" s="55"/>
      <c r="U23" s="55"/>
      <c r="V23" s="55"/>
      <c r="W23" s="55" t="str">
        <f>IF(Данные!AA42=TRUE,"ХХ","")</f>
        <v/>
      </c>
      <c r="X23" s="26" t="str">
        <f>"( "&amp;110&amp;" )"</f>
        <v>( 110 )</v>
      </c>
      <c r="Y23" s="27"/>
    </row>
    <row r="24" spans="2:25" ht="15.6" x14ac:dyDescent="0.3">
      <c r="B24" s="4"/>
      <c r="C24" s="55"/>
      <c r="D24" s="55"/>
      <c r="E24" s="55"/>
      <c r="F24" s="55"/>
      <c r="G24" s="55"/>
      <c r="H24" s="126" t="str">
        <f>IF(Данные!B42=TRUE,"ХХ","")</f>
        <v/>
      </c>
      <c r="I24" s="29"/>
      <c r="J24" s="27"/>
      <c r="L24" s="42" t="s">
        <v>89</v>
      </c>
      <c r="M24" s="51">
        <v>600</v>
      </c>
      <c r="Q24" s="4"/>
      <c r="R24" s="55"/>
      <c r="S24" s="55"/>
      <c r="T24" s="55"/>
      <c r="U24" s="55"/>
      <c r="V24" s="55"/>
      <c r="W24" s="126" t="str">
        <f>IF(Данные!AA42=TRUE,"ХХ","")</f>
        <v/>
      </c>
      <c r="X24" s="29"/>
      <c r="Y24" s="27"/>
    </row>
    <row r="25" spans="2:25" ht="15.6" x14ac:dyDescent="0.3">
      <c r="B25" s="4"/>
      <c r="C25" s="55"/>
      <c r="D25" s="55"/>
      <c r="E25" s="55"/>
      <c r="F25" s="55"/>
      <c r="G25" s="55"/>
      <c r="H25" s="126" t="str">
        <f>IF(Данные!B42=TRUE,"ХХ","")</f>
        <v/>
      </c>
      <c r="I25" s="29"/>
      <c r="J25" s="27"/>
      <c r="L25" s="1565"/>
      <c r="M25" s="1566"/>
      <c r="Q25" s="4"/>
      <c r="R25" s="55"/>
      <c r="S25" s="55"/>
      <c r="T25" s="55"/>
      <c r="U25" s="55"/>
      <c r="V25" s="55"/>
      <c r="W25" s="126" t="str">
        <f>IF(Данные!AA42=TRUE,"ХХ","")</f>
        <v/>
      </c>
      <c r="X25" s="29"/>
      <c r="Y25" s="27"/>
    </row>
    <row r="26" spans="2:25" ht="15.6" x14ac:dyDescent="0.3">
      <c r="B26" s="4"/>
      <c r="C26" s="55"/>
      <c r="D26" s="55"/>
      <c r="E26" s="55"/>
      <c r="F26" s="55"/>
      <c r="G26" s="55"/>
      <c r="H26" s="126" t="str">
        <f>IF(Данные!B42=TRUE,"ХХ","")</f>
        <v/>
      </c>
      <c r="I26" s="29"/>
      <c r="J26" s="27"/>
      <c r="L26" s="42" t="s">
        <v>19</v>
      </c>
      <c r="M26" s="178">
        <f>M22*M24*M23*M18/1000000</f>
        <v>1.9180800000000002</v>
      </c>
      <c r="Q26" s="4"/>
      <c r="R26" s="55"/>
      <c r="S26" s="55"/>
      <c r="T26" s="55"/>
      <c r="U26" s="55"/>
      <c r="V26" s="55"/>
      <c r="W26" s="126" t="str">
        <f>IF(Данные!AA42=TRUE,"ХХ","")</f>
        <v/>
      </c>
      <c r="X26" s="29"/>
      <c r="Y26" s="27"/>
    </row>
    <row r="27" spans="2:25" ht="15.6" x14ac:dyDescent="0.3">
      <c r="B27" s="4"/>
      <c r="C27" s="55"/>
      <c r="D27" s="31"/>
      <c r="E27" s="32">
        <v>20</v>
      </c>
      <c r="F27" s="55"/>
      <c r="G27" s="55"/>
      <c r="H27" s="55"/>
      <c r="I27" s="29"/>
      <c r="J27" s="27"/>
      <c r="L27" s="137" t="s">
        <v>311</v>
      </c>
      <c r="M27" s="136"/>
      <c r="Q27" s="4"/>
      <c r="R27" s="55"/>
      <c r="S27" s="31"/>
      <c r="T27" s="32">
        <v>20</v>
      </c>
      <c r="U27" s="55"/>
      <c r="V27" s="55"/>
      <c r="W27" s="55"/>
      <c r="X27" s="29"/>
      <c r="Y27" s="27"/>
    </row>
    <row r="28" spans="2:25" x14ac:dyDescent="0.3">
      <c r="B28" s="4"/>
      <c r="C28" s="55"/>
      <c r="D28" s="59"/>
      <c r="E28" s="55"/>
      <c r="F28" s="55"/>
      <c r="G28" s="55"/>
      <c r="H28" s="55"/>
      <c r="I28" s="29"/>
      <c r="J28" s="27"/>
      <c r="L28" s="1561" t="s">
        <v>323</v>
      </c>
      <c r="M28" s="1562"/>
      <c r="Q28" s="4"/>
      <c r="R28" s="55"/>
      <c r="S28" s="59"/>
      <c r="T28" s="55"/>
      <c r="U28" s="55"/>
      <c r="V28" s="55"/>
      <c r="W28" s="55"/>
      <c r="X28" s="29"/>
      <c r="Y28" s="27"/>
    </row>
    <row r="29" spans="2:25" ht="15.6" x14ac:dyDescent="0.3">
      <c r="B29" s="4"/>
      <c r="C29" s="33">
        <f>IF(Данные!B41=TRUE,N15*0.985,ROUNDUP(M15*0.985,0))</f>
        <v>103.425</v>
      </c>
      <c r="D29" s="59"/>
      <c r="E29" s="34">
        <f>IF(Данные!B41=TRUE,N8*0.985,ROUNDUP(M8*0.985,0))</f>
        <v>630.4</v>
      </c>
      <c r="F29" s="55"/>
      <c r="G29" s="55"/>
      <c r="H29" s="55"/>
      <c r="I29" s="29"/>
      <c r="J29" s="27"/>
      <c r="L29" s="1563" t="s">
        <v>276</v>
      </c>
      <c r="M29" s="1564"/>
      <c r="Q29" s="4"/>
      <c r="R29" s="33">
        <f>180*0.985</f>
        <v>177.3</v>
      </c>
      <c r="S29" s="59"/>
      <c r="T29" s="34">
        <f>590*0.985</f>
        <v>581.15</v>
      </c>
      <c r="U29" s="55"/>
      <c r="V29" s="55"/>
      <c r="W29" s="55"/>
      <c r="X29" s="29"/>
      <c r="Y29" s="27"/>
    </row>
    <row r="30" spans="2:25" x14ac:dyDescent="0.3">
      <c r="B30" s="4"/>
      <c r="C30" s="59"/>
      <c r="D30" s="55"/>
      <c r="E30" s="26" t="str">
        <f>"( "&amp;M24&amp;" )"</f>
        <v>( 600 )</v>
      </c>
      <c r="F30" s="31"/>
      <c r="G30" s="55"/>
      <c r="H30" s="55"/>
      <c r="I30" s="29"/>
      <c r="J30" s="27"/>
      <c r="Q30" s="4"/>
      <c r="R30" s="59"/>
      <c r="S30" s="55"/>
      <c r="T30" s="26" t="str">
        <f>"( "&amp;265&amp;" )"</f>
        <v>( 265 )</v>
      </c>
      <c r="U30" s="31"/>
      <c r="V30" s="55"/>
      <c r="W30" s="55"/>
      <c r="X30" s="29"/>
      <c r="Y30" s="27"/>
    </row>
    <row r="31" spans="2:25" s="43" customFormat="1" ht="15.6" x14ac:dyDescent="0.3">
      <c r="B31" s="4"/>
      <c r="C31" s="59"/>
      <c r="D31" s="55"/>
      <c r="E31" s="26"/>
      <c r="F31" s="31"/>
      <c r="G31" s="55"/>
      <c r="H31" s="55"/>
      <c r="I31" s="29"/>
      <c r="J31" s="27"/>
      <c r="L31" s="1026" t="s">
        <v>344</v>
      </c>
      <c r="M31" s="1020"/>
      <c r="N31" s="1020"/>
      <c r="O31" s="1020"/>
      <c r="Q31" s="4"/>
      <c r="R31" s="59"/>
      <c r="S31" s="55"/>
      <c r="T31" s="26"/>
      <c r="U31" s="31"/>
      <c r="V31" s="55"/>
      <c r="W31" s="55"/>
      <c r="X31" s="29"/>
      <c r="Y31" s="27"/>
    </row>
    <row r="32" spans="2:25" x14ac:dyDescent="0.3">
      <c r="B32" s="4"/>
      <c r="C32" s="55"/>
      <c r="D32" s="55"/>
      <c r="E32" s="55"/>
      <c r="F32" s="55"/>
      <c r="G32" s="55"/>
      <c r="H32" s="55"/>
      <c r="I32" s="29"/>
      <c r="J32" s="27"/>
      <c r="L32" s="1027" t="s">
        <v>351</v>
      </c>
      <c r="M32" s="1021"/>
      <c r="N32" s="1021"/>
      <c r="O32" s="1021"/>
      <c r="Q32" s="4"/>
      <c r="R32" s="55"/>
      <c r="S32" s="55"/>
      <c r="T32" s="55"/>
      <c r="U32" s="55"/>
      <c r="V32" s="55"/>
      <c r="W32" s="55"/>
      <c r="X32" s="29"/>
      <c r="Y32" s="27"/>
    </row>
    <row r="33" spans="2:25" ht="15.6" x14ac:dyDescent="0.3">
      <c r="B33" s="4"/>
      <c r="C33" s="55"/>
      <c r="D33" s="55"/>
      <c r="E33" s="55"/>
      <c r="F33" s="55"/>
      <c r="G33" s="55"/>
      <c r="H33" s="55" t="str">
        <f>IF(Данные!B42=TRUE,"ХХ","")</f>
        <v/>
      </c>
      <c r="I33" s="28">
        <f>IF(Данные!B41=TRUE,N4*0.985,ROUNDUP(M4*0.985,0))</f>
        <v>26.594999999999999</v>
      </c>
      <c r="J33" s="580"/>
      <c r="L33" s="1027"/>
      <c r="M33" s="1021"/>
      <c r="N33" s="1021"/>
      <c r="O33" s="1021"/>
      <c r="Q33" s="4"/>
      <c r="R33" s="55"/>
      <c r="S33" s="55"/>
      <c r="T33" s="55"/>
      <c r="U33" s="55"/>
      <c r="V33" s="55"/>
      <c r="W33" s="55" t="str">
        <f>IF(Данные!AA42=TRUE,"ХХ","")</f>
        <v/>
      </c>
      <c r="X33" s="28">
        <f>87*0.985</f>
        <v>85.694999999999993</v>
      </c>
      <c r="Y33" s="580"/>
    </row>
    <row r="34" spans="2:25" x14ac:dyDescent="0.3">
      <c r="B34" s="4"/>
      <c r="C34" s="55"/>
      <c r="D34" s="55"/>
      <c r="E34" s="55"/>
      <c r="F34" s="55"/>
      <c r="G34" s="55"/>
      <c r="H34" s="55" t="str">
        <f>IF(Данные!B42=TRUE,"ХХ","")</f>
        <v/>
      </c>
      <c r="I34" s="26" t="str">
        <f>"( "&amp;M22&amp;" )"</f>
        <v>( 6 )</v>
      </c>
      <c r="J34" s="27"/>
      <c r="Q34" s="4"/>
      <c r="R34" s="55"/>
      <c r="S34" s="55"/>
      <c r="T34" s="55"/>
      <c r="U34" s="55"/>
      <c r="V34" s="55"/>
      <c r="W34" s="55" t="str">
        <f>IF(Данные!AA42=TRUE,"ХХ","")</f>
        <v/>
      </c>
      <c r="X34" s="26" t="str">
        <f>"( "&amp;70&amp;" )"</f>
        <v>( 70 )</v>
      </c>
      <c r="Y34" s="27"/>
    </row>
    <row r="35" spans="2:25" ht="15.6" x14ac:dyDescent="0.3">
      <c r="B35" s="4"/>
      <c r="C35" s="55"/>
      <c r="D35" s="55"/>
      <c r="E35" s="55"/>
      <c r="F35" s="55"/>
      <c r="G35" s="55"/>
      <c r="H35" s="55" t="str">
        <f>IF(Данные!B42=TRUE,"ХХ","")</f>
        <v/>
      </c>
      <c r="I35" s="23"/>
      <c r="J35" s="24"/>
      <c r="L35" s="42" t="s">
        <v>90</v>
      </c>
      <c r="M35" s="50">
        <f>VLOOKUP(J4,Данные!L3:V135,11,FALSE())</f>
        <v>0</v>
      </c>
      <c r="Q35" s="4"/>
      <c r="R35" s="55"/>
      <c r="S35" s="55"/>
      <c r="T35" s="55"/>
      <c r="U35" s="55"/>
      <c r="V35" s="55"/>
      <c r="W35" s="55" t="str">
        <f>IF(Данные!AA42=TRUE,"ХХ","")</f>
        <v/>
      </c>
      <c r="X35" s="23"/>
      <c r="Y35" s="24"/>
    </row>
    <row r="36" spans="2:25" x14ac:dyDescent="0.3">
      <c r="B36" s="4"/>
      <c r="C36" s="55"/>
      <c r="D36" s="55"/>
      <c r="E36" s="55"/>
      <c r="F36" s="55"/>
      <c r="G36" s="55"/>
      <c r="H36" s="126" t="str">
        <f>IF(Данные!B42=TRUE,"ХХ","")</f>
        <v/>
      </c>
      <c r="I36" s="23"/>
      <c r="J36" s="24"/>
      <c r="Q36" s="4"/>
      <c r="R36" s="55"/>
      <c r="S36" s="55"/>
      <c r="T36" s="55"/>
      <c r="U36" s="55"/>
      <c r="V36" s="55"/>
      <c r="W36" s="126" t="str">
        <f>IF(Данные!AA42=TRUE,"ХХ","")</f>
        <v/>
      </c>
      <c r="X36" s="23"/>
      <c r="Y36" s="24"/>
    </row>
    <row r="37" spans="2:25" x14ac:dyDescent="0.3">
      <c r="B37" s="4"/>
      <c r="C37" s="55"/>
      <c r="D37" s="55" t="str">
        <f>IF(Данные!B38=TRUE,"ХХХХХХХХХХХХХХХХХХХХХХХХХХХХХХХХХХХХХХХХ","")</f>
        <v/>
      </c>
      <c r="E37" s="59"/>
      <c r="F37" s="55"/>
      <c r="G37" s="55"/>
      <c r="H37" s="55"/>
      <c r="I37" s="23"/>
      <c r="J37" s="24"/>
      <c r="L37" t="s">
        <v>970</v>
      </c>
      <c r="M37" s="43" t="s">
        <v>968</v>
      </c>
      <c r="N37">
        <v>2.2999999999999998</v>
      </c>
      <c r="Q37" s="4"/>
      <c r="R37" s="55"/>
      <c r="S37" s="55" t="str">
        <f>IF(Данные!AA38=TRUE,"ХХХХХХХХХХХХХХХХХХХХХХХХХХХХХХХХХХХХХХХХ","")</f>
        <v/>
      </c>
      <c r="T37" s="59"/>
      <c r="U37" s="55"/>
      <c r="V37" s="55"/>
      <c r="W37" s="55"/>
      <c r="X37" s="23"/>
      <c r="Y37" s="24"/>
    </row>
    <row r="38" spans="2:25" x14ac:dyDescent="0.3">
      <c r="B38" s="4"/>
      <c r="C38" s="357" t="s">
        <v>435</v>
      </c>
      <c r="D38" s="55"/>
      <c r="E38" s="55"/>
      <c r="F38" s="55"/>
      <c r="G38" s="55"/>
      <c r="H38" s="55"/>
      <c r="I38" s="23"/>
      <c r="J38" s="24"/>
      <c r="M38" s="43" t="s">
        <v>969</v>
      </c>
      <c r="N38">
        <v>2.7</v>
      </c>
      <c r="O38" s="140"/>
      <c r="Q38" s="4"/>
      <c r="R38" s="357" t="s">
        <v>1281</v>
      </c>
      <c r="S38" s="55"/>
      <c r="T38" s="55"/>
      <c r="U38" s="55"/>
      <c r="V38" s="55"/>
      <c r="W38" s="55"/>
      <c r="X38" s="23"/>
      <c r="Y38" s="24"/>
    </row>
    <row r="39" spans="2:25" s="43" customFormat="1" x14ac:dyDescent="0.3">
      <c r="B39" s="4"/>
      <c r="C39" s="357"/>
      <c r="D39" s="81"/>
      <c r="E39" s="59"/>
      <c r="F39" s="55"/>
      <c r="G39" s="55"/>
      <c r="H39" s="55"/>
      <c r="I39" s="23"/>
      <c r="J39" s="24"/>
      <c r="L39"/>
      <c r="M39" t="s">
        <v>971</v>
      </c>
      <c r="N39" s="620">
        <v>3</v>
      </c>
      <c r="O39" s="620"/>
      <c r="Q39" s="4"/>
      <c r="R39" s="357"/>
      <c r="S39" s="81"/>
      <c r="T39" s="59"/>
      <c r="U39" s="55"/>
      <c r="V39" s="55"/>
      <c r="W39" s="55"/>
      <c r="X39" s="23"/>
      <c r="Y39" s="24"/>
    </row>
    <row r="40" spans="2:25" s="43" customFormat="1" x14ac:dyDescent="0.3">
      <c r="B40" s="4"/>
      <c r="C40" s="59"/>
      <c r="D40" s="81"/>
      <c r="E40" s="81"/>
      <c r="F40" s="55"/>
      <c r="G40" s="55"/>
      <c r="H40" s="55"/>
      <c r="I40" s="23"/>
      <c r="J40" s="24"/>
      <c r="L40"/>
      <c r="M40" s="43" t="s">
        <v>972</v>
      </c>
      <c r="N40" s="620">
        <v>3.5</v>
      </c>
      <c r="Q40" s="4"/>
      <c r="R40" s="59"/>
      <c r="S40" s="81"/>
      <c r="T40" s="81"/>
      <c r="U40" s="55"/>
      <c r="V40" s="55"/>
      <c r="W40" s="55"/>
      <c r="X40" s="23"/>
      <c r="Y40" s="24"/>
    </row>
    <row r="41" spans="2:25" s="43" customFormat="1" ht="15.6" x14ac:dyDescent="0.3">
      <c r="B41" s="4"/>
      <c r="D41" s="81"/>
      <c r="E41" s="1210"/>
      <c r="F41" s="81"/>
      <c r="G41" s="59"/>
      <c r="H41" s="81"/>
      <c r="I41" s="81"/>
      <c r="J41" s="454"/>
      <c r="Q41" s="4"/>
      <c r="R41" s="59"/>
      <c r="S41" s="81"/>
      <c r="T41" s="81"/>
      <c r="U41" s="81"/>
      <c r="V41" s="59"/>
      <c r="W41" s="81"/>
      <c r="X41" s="81"/>
      <c r="Y41" s="454"/>
    </row>
    <row r="42" spans="2:25" ht="16.2" thickBot="1" x14ac:dyDescent="0.35">
      <c r="B42" s="19"/>
      <c r="C42" s="127" t="str">
        <f>IF(OR(Данные!B38=TRUE,Данные!B42=TRUE),"Использовать холодильники","")</f>
        <v/>
      </c>
      <c r="D42" s="617"/>
      <c r="E42" s="358"/>
      <c r="F42" s="20"/>
      <c r="G42" s="65"/>
      <c r="H42" s="20"/>
      <c r="I42" s="20"/>
      <c r="J42" s="76"/>
      <c r="L42" s="43"/>
      <c r="M42" s="43"/>
      <c r="N42" s="43"/>
      <c r="O42" s="43"/>
      <c r="Q42" s="19"/>
      <c r="R42" s="127" t="str">
        <f>IF(OR(Данные!AA38=TRUE,Данные!AA42=TRUE),"Использовать холодильники","")</f>
        <v/>
      </c>
      <c r="S42" s="617"/>
      <c r="T42" s="358"/>
      <c r="U42" s="20"/>
      <c r="V42" s="65"/>
      <c r="W42" s="20"/>
      <c r="X42" s="20"/>
      <c r="Y42" s="76"/>
    </row>
    <row r="43" spans="2:25" x14ac:dyDescent="0.3">
      <c r="B43" s="4"/>
      <c r="C43" s="55" t="s">
        <v>264</v>
      </c>
      <c r="D43" s="55"/>
      <c r="E43" s="55"/>
      <c r="F43" s="53" t="s">
        <v>54</v>
      </c>
      <c r="G43" s="55"/>
      <c r="H43" s="55"/>
      <c r="I43" s="55"/>
      <c r="J43" s="10"/>
      <c r="L43" s="43"/>
      <c r="Q43" s="4"/>
      <c r="R43" s="55" t="s">
        <v>264</v>
      </c>
      <c r="S43" s="55"/>
      <c r="T43" s="55"/>
      <c r="U43" s="53" t="s">
        <v>54</v>
      </c>
      <c r="V43" s="55"/>
      <c r="W43" s="55"/>
      <c r="X43" s="55"/>
      <c r="Y43" s="10"/>
    </row>
    <row r="44" spans="2:25" x14ac:dyDescent="0.3">
      <c r="B44" s="4"/>
      <c r="C44" s="55" t="s">
        <v>60</v>
      </c>
      <c r="D44" s="55"/>
      <c r="E44" s="55"/>
      <c r="F44" s="52" t="s">
        <v>91</v>
      </c>
      <c r="G44" s="55"/>
      <c r="H44" s="55"/>
      <c r="I44" s="55"/>
      <c r="J44" s="10"/>
      <c r="M44" s="43"/>
      <c r="Q44" s="4"/>
      <c r="R44" s="55" t="s">
        <v>60</v>
      </c>
      <c r="S44" s="55"/>
      <c r="T44" s="55"/>
      <c r="U44" s="52" t="s">
        <v>91</v>
      </c>
      <c r="V44" s="55"/>
      <c r="W44" s="55"/>
      <c r="X44" s="55"/>
      <c r="Y44" s="10"/>
    </row>
    <row r="45" spans="2:25" x14ac:dyDescent="0.3">
      <c r="B45" s="4"/>
      <c r="C45" s="55" t="s">
        <v>55</v>
      </c>
      <c r="D45" s="55"/>
      <c r="E45" s="55"/>
      <c r="F45" s="53" t="s">
        <v>56</v>
      </c>
      <c r="G45" s="55"/>
      <c r="H45" s="55"/>
      <c r="I45" s="55"/>
      <c r="J45" s="10"/>
      <c r="Q45" s="4"/>
      <c r="R45" s="55" t="s">
        <v>55</v>
      </c>
      <c r="S45" s="55"/>
      <c r="T45" s="55"/>
      <c r="U45" s="53" t="s">
        <v>56</v>
      </c>
      <c r="V45" s="55"/>
      <c r="W45" s="55"/>
      <c r="X45" s="55"/>
      <c r="Y45" s="10"/>
    </row>
    <row r="46" spans="2:25" x14ac:dyDescent="0.3">
      <c r="B46" s="4"/>
      <c r="C46" s="55" t="s">
        <v>951</v>
      </c>
      <c r="D46" s="55"/>
      <c r="E46" s="55"/>
      <c r="F46" s="54" t="str">
        <f>Данные!C38</f>
        <v>1060-1080</v>
      </c>
      <c r="G46" s="17" t="s">
        <v>92</v>
      </c>
      <c r="H46" s="55"/>
      <c r="I46" s="55"/>
      <c r="J46" s="10"/>
      <c r="Q46" s="4"/>
      <c r="R46" s="55" t="s">
        <v>951</v>
      </c>
      <c r="S46" s="55"/>
      <c r="T46" s="55"/>
      <c r="U46" s="54" t="s">
        <v>120</v>
      </c>
      <c r="V46" s="17" t="s">
        <v>92</v>
      </c>
      <c r="W46" s="55"/>
      <c r="X46" s="55"/>
      <c r="Y46" s="10"/>
    </row>
    <row r="47" spans="2:25" x14ac:dyDescent="0.3">
      <c r="B47" s="4"/>
      <c r="C47" s="43" t="s">
        <v>437</v>
      </c>
      <c r="F47" s="44" t="s">
        <v>438</v>
      </c>
      <c r="G47" s="55"/>
      <c r="H47" s="55"/>
      <c r="J47" s="10"/>
      <c r="Q47" s="4"/>
      <c r="R47" s="43" t="s">
        <v>437</v>
      </c>
      <c r="S47" s="43"/>
      <c r="T47" s="43"/>
      <c r="U47" s="44" t="s">
        <v>438</v>
      </c>
      <c r="V47" s="55"/>
      <c r="W47" s="55"/>
      <c r="X47" s="43"/>
      <c r="Y47" s="10"/>
    </row>
    <row r="48" spans="2:25" x14ac:dyDescent="0.3">
      <c r="B48" s="4"/>
      <c r="C48" s="55" t="s">
        <v>50</v>
      </c>
      <c r="D48" s="55"/>
      <c r="E48" s="55"/>
      <c r="F48" s="53" t="str">
        <f>VLOOKUP(F8,Данные!A3:I27,6,FALSE())</f>
        <v>25010.00174</v>
      </c>
      <c r="G48" s="55"/>
      <c r="H48" s="55"/>
      <c r="I48" s="55"/>
      <c r="J48" s="10"/>
      <c r="Q48" s="4"/>
      <c r="R48" s="55" t="s">
        <v>50</v>
      </c>
      <c r="S48" s="55"/>
      <c r="T48" s="55"/>
      <c r="U48" s="53" t="s">
        <v>127</v>
      </c>
      <c r="V48" s="55"/>
      <c r="W48" s="55"/>
      <c r="X48" s="55"/>
      <c r="Y48" s="10"/>
    </row>
    <row r="49" spans="2:25" x14ac:dyDescent="0.3">
      <c r="B49" s="4"/>
      <c r="C49" s="55" t="s">
        <v>52</v>
      </c>
      <c r="D49" s="55"/>
      <c r="E49" s="55"/>
      <c r="F49" s="53" t="s">
        <v>93</v>
      </c>
      <c r="G49" s="55"/>
      <c r="H49" s="55"/>
      <c r="I49" s="55"/>
      <c r="J49" s="10"/>
      <c r="Q49" s="4"/>
      <c r="R49" s="55" t="s">
        <v>52</v>
      </c>
      <c r="S49" s="55"/>
      <c r="T49" s="55"/>
      <c r="U49" s="53" t="s">
        <v>93</v>
      </c>
      <c r="V49" s="55"/>
      <c r="W49" s="55"/>
      <c r="X49" s="55"/>
      <c r="Y49" s="10"/>
    </row>
    <row r="50" spans="2:25" x14ac:dyDescent="0.3">
      <c r="B50" s="4"/>
      <c r="C50" s="55" t="s">
        <v>94</v>
      </c>
      <c r="D50" s="55"/>
      <c r="E50" s="17"/>
      <c r="F50" s="44" t="s">
        <v>58</v>
      </c>
      <c r="G50" s="55"/>
      <c r="H50" s="55"/>
      <c r="I50" s="55"/>
      <c r="J50" s="10"/>
      <c r="Q50" s="4"/>
      <c r="R50" s="55" t="s">
        <v>94</v>
      </c>
      <c r="S50" s="55"/>
      <c r="T50" s="17"/>
      <c r="U50" s="44" t="s">
        <v>58</v>
      </c>
      <c r="V50" s="55"/>
      <c r="W50" s="55"/>
      <c r="X50" s="55"/>
      <c r="Y50" s="10"/>
    </row>
    <row r="51" spans="2:25" ht="15" thickBot="1" x14ac:dyDescent="0.35">
      <c r="B51" s="4"/>
      <c r="C51" s="55" t="s">
        <v>66</v>
      </c>
      <c r="D51" s="55"/>
      <c r="E51" s="17"/>
      <c r="F51" s="17" t="s">
        <v>67</v>
      </c>
      <c r="G51" s="55"/>
      <c r="H51" s="55"/>
      <c r="I51" s="55"/>
      <c r="J51" s="10"/>
      <c r="L51" s="140"/>
      <c r="Q51" s="4"/>
      <c r="R51" s="55" t="s">
        <v>66</v>
      </c>
      <c r="S51" s="55"/>
      <c r="T51" s="17"/>
      <c r="U51" s="17" t="s">
        <v>67</v>
      </c>
      <c r="V51" s="55"/>
      <c r="W51" s="55"/>
      <c r="X51" s="55"/>
      <c r="Y51" s="10"/>
    </row>
    <row r="52" spans="2:25" ht="15" thickBot="1" x14ac:dyDescent="0.35">
      <c r="B52" s="12"/>
      <c r="C52" s="5" t="s">
        <v>68</v>
      </c>
      <c r="D52" s="13"/>
      <c r="E52" s="37" t="s">
        <v>69</v>
      </c>
      <c r="F52" s="38" t="s">
        <v>68</v>
      </c>
      <c r="G52" s="13"/>
      <c r="H52" s="5" t="s">
        <v>70</v>
      </c>
      <c r="I52" s="5"/>
      <c r="J52" s="13"/>
      <c r="L52" s="140"/>
      <c r="Q52" s="12"/>
      <c r="R52" s="5" t="s">
        <v>68</v>
      </c>
      <c r="S52" s="13"/>
      <c r="T52" s="37" t="s">
        <v>69</v>
      </c>
      <c r="U52" s="38" t="s">
        <v>68</v>
      </c>
      <c r="V52" s="13"/>
      <c r="W52" s="5" t="s">
        <v>70</v>
      </c>
      <c r="X52" s="5"/>
      <c r="Y52" s="13"/>
    </row>
    <row r="53" spans="2:25" ht="15" thickBot="1" x14ac:dyDescent="0.35">
      <c r="B53" s="1567">
        <f ca="1">TODAY()</f>
        <v>45414</v>
      </c>
      <c r="C53" s="1567"/>
      <c r="D53" s="3"/>
      <c r="E53" s="39"/>
      <c r="F53" s="1"/>
      <c r="G53" s="3"/>
      <c r="H53" s="2"/>
      <c r="I53" s="2"/>
      <c r="J53" s="3"/>
      <c r="L53" s="140"/>
      <c r="Q53" s="1567">
        <f ca="1">TODAY()</f>
        <v>45414</v>
      </c>
      <c r="R53" s="1567"/>
      <c r="S53" s="3"/>
      <c r="T53" s="39"/>
      <c r="U53" s="1"/>
      <c r="V53" s="3"/>
      <c r="W53" s="2"/>
      <c r="X53" s="2"/>
      <c r="Y53" s="3"/>
    </row>
    <row r="54" spans="2:25" ht="15" thickBot="1" x14ac:dyDescent="0.35">
      <c r="B54" s="77"/>
      <c r="C54" s="20" t="s">
        <v>71</v>
      </c>
      <c r="D54" s="3"/>
      <c r="E54" s="21"/>
      <c r="F54" s="20"/>
      <c r="G54" s="20"/>
      <c r="H54" s="20"/>
      <c r="I54" s="20"/>
      <c r="J54" s="40"/>
      <c r="L54" s="60"/>
      <c r="M54" s="140"/>
      <c r="N54" s="140"/>
      <c r="Q54" s="77"/>
      <c r="R54" s="20" t="s">
        <v>71</v>
      </c>
      <c r="S54" s="3"/>
      <c r="T54" s="21"/>
      <c r="U54" s="20"/>
      <c r="V54" s="20"/>
      <c r="W54" s="20"/>
      <c r="X54" s="20"/>
      <c r="Y54" s="40"/>
    </row>
    <row r="55" spans="2:25" ht="15" thickBot="1" x14ac:dyDescent="0.35">
      <c r="B55" s="4"/>
      <c r="C55" s="59"/>
      <c r="D55" s="59"/>
      <c r="E55" s="59"/>
      <c r="F55" s="59"/>
      <c r="G55" s="59"/>
      <c r="H55" s="59"/>
      <c r="I55" s="59"/>
      <c r="J55" s="10"/>
      <c r="L55" s="205"/>
      <c r="M55" s="205"/>
      <c r="Q55" s="4"/>
      <c r="R55" s="59"/>
      <c r="S55" s="59"/>
      <c r="T55" s="59"/>
      <c r="U55" s="59"/>
      <c r="V55" s="59"/>
      <c r="W55" s="59"/>
      <c r="X55" s="59"/>
      <c r="Y55" s="10"/>
    </row>
    <row r="56" spans="2:25" x14ac:dyDescent="0.3">
      <c r="B56" s="1569" t="s">
        <v>6</v>
      </c>
      <c r="C56" s="1570"/>
      <c r="D56" s="1571"/>
      <c r="E56" s="111" t="s">
        <v>297</v>
      </c>
      <c r="F56" s="112" t="s">
        <v>298</v>
      </c>
      <c r="G56" s="111" t="s">
        <v>298</v>
      </c>
      <c r="H56" s="111" t="s">
        <v>299</v>
      </c>
      <c r="I56" s="1569" t="s">
        <v>300</v>
      </c>
      <c r="J56" s="1571"/>
      <c r="L56" s="205"/>
      <c r="M56" s="205"/>
      <c r="N56" s="205"/>
      <c r="O56" s="43"/>
      <c r="Q56" s="1569" t="s">
        <v>6</v>
      </c>
      <c r="R56" s="1570"/>
      <c r="S56" s="1571"/>
      <c r="T56" s="111" t="s">
        <v>297</v>
      </c>
      <c r="U56" s="112" t="s">
        <v>298</v>
      </c>
      <c r="V56" s="111" t="s">
        <v>298</v>
      </c>
      <c r="W56" s="111" t="s">
        <v>299</v>
      </c>
      <c r="X56" s="108" t="s">
        <v>300</v>
      </c>
      <c r="Y56" s="521"/>
    </row>
    <row r="57" spans="2:25" ht="15" thickBot="1" x14ac:dyDescent="0.35">
      <c r="B57" s="1538" t="s">
        <v>301</v>
      </c>
      <c r="C57" s="1572"/>
      <c r="D57" s="1539"/>
      <c r="E57" s="115" t="s">
        <v>302</v>
      </c>
      <c r="F57" s="115" t="s">
        <v>303</v>
      </c>
      <c r="G57" s="115" t="s">
        <v>304</v>
      </c>
      <c r="H57" s="115"/>
      <c r="I57" s="1538" t="s">
        <v>305</v>
      </c>
      <c r="J57" s="1539"/>
      <c r="K57" s="528"/>
      <c r="L57" s="60"/>
      <c r="M57" s="140"/>
      <c r="N57" s="140"/>
      <c r="Q57" s="1538" t="s">
        <v>301</v>
      </c>
      <c r="R57" s="1572"/>
      <c r="S57" s="1539"/>
      <c r="T57" s="115" t="s">
        <v>302</v>
      </c>
      <c r="U57" s="115" t="s">
        <v>303</v>
      </c>
      <c r="V57" s="115" t="s">
        <v>304</v>
      </c>
      <c r="W57" s="115"/>
      <c r="X57" s="116" t="s">
        <v>305</v>
      </c>
      <c r="Y57" s="1033"/>
    </row>
    <row r="58" spans="2:25" ht="15" thickBot="1" x14ac:dyDescent="0.35">
      <c r="B58" s="1525" t="s">
        <v>405</v>
      </c>
      <c r="C58" s="1568"/>
      <c r="D58" s="1526"/>
      <c r="E58" s="200">
        <v>40</v>
      </c>
      <c r="F58" s="201">
        <v>1</v>
      </c>
      <c r="G58" s="200">
        <v>20</v>
      </c>
      <c r="H58" s="200">
        <v>3</v>
      </c>
      <c r="I58" s="1525">
        <f>ROUND(700*700*(E29+C29)/1000000*2.045*2.3/1000/F16,3)</f>
        <v>0.56399999999999995</v>
      </c>
      <c r="J58" s="1526"/>
      <c r="K58" s="527"/>
      <c r="L58" s="60"/>
      <c r="M58" s="140"/>
      <c r="N58" s="140"/>
      <c r="Q58" s="1525" t="s">
        <v>405</v>
      </c>
      <c r="R58" s="1568"/>
      <c r="S58" s="1526"/>
      <c r="T58" s="200">
        <v>40</v>
      </c>
      <c r="U58" s="1034">
        <v>1</v>
      </c>
      <c r="V58" s="200">
        <v>20</v>
      </c>
      <c r="W58" s="200">
        <v>3</v>
      </c>
      <c r="X58" s="1525">
        <f>ROUND(700*700*(T29+R29)/1000000*2.045*2.3/1000/U16,3)</f>
        <v>0.437</v>
      </c>
      <c r="Y58" s="1526"/>
    </row>
    <row r="59" spans="2:25" x14ac:dyDescent="0.3">
      <c r="L59" s="60"/>
    </row>
    <row r="60" spans="2:25" x14ac:dyDescent="0.3">
      <c r="L60" s="60"/>
    </row>
    <row r="61" spans="2:25" x14ac:dyDescent="0.3">
      <c r="L61" s="59"/>
    </row>
    <row r="62" spans="2:25" ht="15" thickBot="1" x14ac:dyDescent="0.35"/>
    <row r="63" spans="2:25" x14ac:dyDescent="0.3">
      <c r="B63" s="12"/>
      <c r="C63" s="71"/>
      <c r="D63" s="71"/>
      <c r="E63" s="71"/>
      <c r="F63" s="71"/>
      <c r="G63" s="71"/>
      <c r="H63" s="71">
        <f>SUM(D65:N65)</f>
        <v>520</v>
      </c>
      <c r="I63" s="71"/>
      <c r="J63" s="71"/>
      <c r="K63" s="71"/>
      <c r="L63" s="71"/>
      <c r="M63" s="71"/>
      <c r="N63" s="71"/>
      <c r="O63" s="13"/>
    </row>
    <row r="64" spans="2:25" ht="15" thickBot="1" x14ac:dyDescent="0.35">
      <c r="B64" s="4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10"/>
    </row>
    <row r="65" spans="2:15" ht="15" thickBot="1" x14ac:dyDescent="0.35">
      <c r="B65" s="4"/>
      <c r="C65" s="59"/>
      <c r="D65" s="107">
        <v>10</v>
      </c>
      <c r="E65" s="2">
        <v>82</v>
      </c>
      <c r="F65" s="2">
        <v>20</v>
      </c>
      <c r="G65" s="2">
        <v>82</v>
      </c>
      <c r="H65" s="2">
        <v>20</v>
      </c>
      <c r="I65" s="2">
        <v>82</v>
      </c>
      <c r="J65" s="2">
        <v>20</v>
      </c>
      <c r="K65" s="2">
        <v>82</v>
      </c>
      <c r="L65" s="2">
        <v>20</v>
      </c>
      <c r="M65" s="2">
        <v>82</v>
      </c>
      <c r="N65" s="2">
        <v>20</v>
      </c>
      <c r="O65" s="84"/>
    </row>
    <row r="66" spans="2:15" x14ac:dyDescent="0.3">
      <c r="B66" s="4"/>
      <c r="C66" s="59"/>
      <c r="D66" s="1098">
        <v>65</v>
      </c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10"/>
    </row>
    <row r="67" spans="2:15" x14ac:dyDescent="0.3">
      <c r="B67" s="4"/>
      <c r="C67" s="59"/>
      <c r="D67" s="1098">
        <v>20</v>
      </c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10"/>
    </row>
    <row r="68" spans="2:15" x14ac:dyDescent="0.3">
      <c r="B68" s="4"/>
      <c r="C68" s="59"/>
      <c r="D68" s="1098">
        <v>65</v>
      </c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10"/>
    </row>
    <row r="69" spans="2:15" x14ac:dyDescent="0.3">
      <c r="B69" s="4">
        <f>SUM(D65:D73)</f>
        <v>340</v>
      </c>
      <c r="C69" s="59"/>
      <c r="D69" s="1098">
        <v>20</v>
      </c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10"/>
    </row>
    <row r="70" spans="2:15" x14ac:dyDescent="0.3">
      <c r="B70" s="4"/>
      <c r="C70" s="59"/>
      <c r="D70" s="1098">
        <v>65</v>
      </c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10"/>
    </row>
    <row r="71" spans="2:15" x14ac:dyDescent="0.3">
      <c r="B71" s="4"/>
      <c r="C71" s="59"/>
      <c r="D71" s="1098">
        <v>20</v>
      </c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10"/>
    </row>
    <row r="72" spans="2:15" ht="15" thickBot="1" x14ac:dyDescent="0.35">
      <c r="B72" s="19"/>
      <c r="C72" s="65"/>
      <c r="D72" s="1205">
        <v>65</v>
      </c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40"/>
    </row>
    <row r="73" spans="2:15" x14ac:dyDescent="0.3">
      <c r="D73" s="1456">
        <v>10</v>
      </c>
    </row>
    <row r="75" spans="2:15" x14ac:dyDescent="0.3">
      <c r="E75" t="s">
        <v>1275</v>
      </c>
      <c r="F75">
        <v>30</v>
      </c>
    </row>
    <row r="76" spans="2:15" x14ac:dyDescent="0.3">
      <c r="E76" t="s">
        <v>1276</v>
      </c>
      <c r="F76">
        <v>50</v>
      </c>
    </row>
    <row r="77" spans="2:15" x14ac:dyDescent="0.3">
      <c r="E77" t="s">
        <v>1277</v>
      </c>
      <c r="F77">
        <v>70</v>
      </c>
    </row>
  </sheetData>
  <mergeCells count="17">
    <mergeCell ref="Q53:R53"/>
    <mergeCell ref="Q58:S58"/>
    <mergeCell ref="X58:Y58"/>
    <mergeCell ref="Q56:S56"/>
    <mergeCell ref="Q57:S57"/>
    <mergeCell ref="B53:C53"/>
    <mergeCell ref="I58:J58"/>
    <mergeCell ref="B58:D58"/>
    <mergeCell ref="B56:D56"/>
    <mergeCell ref="B57:D57"/>
    <mergeCell ref="I56:J56"/>
    <mergeCell ref="I57:J57"/>
    <mergeCell ref="L9:N9"/>
    <mergeCell ref="L10:N10"/>
    <mergeCell ref="L28:M28"/>
    <mergeCell ref="L29:M29"/>
    <mergeCell ref="L25:M25"/>
  </mergeCells>
  <pageMargins left="0.7" right="0.7" top="0.75" bottom="0.75" header="0.511811023622047" footer="0.511811023622047"/>
  <pageSetup paperSize="9" scale="35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13</xdr:col>
                    <xdr:colOff>22860</xdr:colOff>
                    <xdr:row>28</xdr:row>
                    <xdr:rowOff>15240</xdr:rowOff>
                  </from>
                  <to>
                    <xdr:col>14</xdr:col>
                    <xdr:colOff>83820</xdr:colOff>
                    <xdr:row>29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13</xdr:col>
                    <xdr:colOff>38100</xdr:colOff>
                    <xdr:row>26</xdr:row>
                    <xdr:rowOff>175260</xdr:rowOff>
                  </from>
                  <to>
                    <xdr:col>13</xdr:col>
                    <xdr:colOff>266700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6" name="Check Box 8">
              <controlPr defaultSize="0" autoFill="0" autoLine="0" autoPict="0">
                <anchor moveWithCells="1">
                  <from>
                    <xdr:col>13</xdr:col>
                    <xdr:colOff>213360</xdr:colOff>
                    <xdr:row>28</xdr:row>
                    <xdr:rowOff>22860</xdr:rowOff>
                  </from>
                  <to>
                    <xdr:col>13</xdr:col>
                    <xdr:colOff>457200</xdr:colOff>
                    <xdr:row>29</xdr:row>
                    <xdr:rowOff>30480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1000000}">
          <x14:formula1>
            <xm:f>Данные!$L$3:$L$131</xm:f>
          </x14:formula1>
          <x14:formula2>
            <xm:f>0</xm:f>
          </x14:formula2>
          <xm:sqref>J4 Y4</xm:sqref>
        </x14:dataValidation>
        <x14:dataValidation type="list" allowBlank="1" showInputMessage="1" showErrorMessage="1" xr:uid="{00000000-0002-0000-0100-000000000000}">
          <x14:formula1>
            <xm:f>Данные!$A$3:$A$25</xm:f>
          </x14:formula1>
          <x14:formula2>
            <xm:f>0</xm:f>
          </x14:formula2>
          <xm:sqref>F8 U8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354-CBE0-4965-B623-D7ECC4BBFFF6}">
  <sheetPr codeName="Лист9">
    <pageSetUpPr fitToPage="1"/>
  </sheetPr>
  <dimension ref="B1:BE82"/>
  <sheetViews>
    <sheetView showGridLines="0" topLeftCell="T7" zoomScale="70" zoomScaleNormal="70" zoomScaleSheetLayoutView="40" zoomScalePageLayoutView="70" workbookViewId="0">
      <selection activeCell="O6" sqref="O6:W6"/>
    </sheetView>
  </sheetViews>
  <sheetFormatPr defaultRowHeight="14.4" x14ac:dyDescent="0.3"/>
  <cols>
    <col min="1" max="1" width="2.6640625" customWidth="1"/>
    <col min="2" max="2" width="3.44140625" customWidth="1"/>
    <col min="5" max="5" width="13.109375" customWidth="1"/>
    <col min="6" max="6" width="12.77734375" customWidth="1"/>
    <col min="7" max="7" width="5" customWidth="1"/>
    <col min="10" max="10" width="9.77734375" customWidth="1"/>
    <col min="11" max="11" width="4.21875" customWidth="1"/>
    <col min="12" max="12" width="10.33203125" customWidth="1"/>
    <col min="13" max="13" width="10.6640625" customWidth="1"/>
    <col min="14" max="14" width="4.21875" customWidth="1"/>
    <col min="20" max="20" width="8.88671875" style="43"/>
    <col min="22" max="22" width="10" customWidth="1"/>
    <col min="24" max="24" width="6.33203125" customWidth="1"/>
    <col min="25" max="25" width="4.6640625" customWidth="1"/>
    <col min="27" max="27" width="3.6640625" customWidth="1"/>
    <col min="28" max="28" width="9.5546875" customWidth="1"/>
    <col min="29" max="29" width="16" customWidth="1"/>
    <col min="30" max="30" width="10" customWidth="1"/>
    <col min="31" max="31" width="3.88671875" customWidth="1"/>
    <col min="32" max="32" width="11.5546875" customWidth="1"/>
    <col min="33" max="33" width="8.5546875" customWidth="1"/>
    <col min="34" max="34" width="11.21875" customWidth="1"/>
    <col min="38" max="38" width="3.88671875" customWidth="1"/>
    <col min="40" max="40" width="4.44140625" customWidth="1"/>
    <col min="42" max="42" width="3.6640625" customWidth="1"/>
    <col min="44" max="44" width="3.6640625" customWidth="1"/>
    <col min="46" max="46" width="3.88671875" customWidth="1"/>
    <col min="48" max="48" width="4.21875" customWidth="1"/>
    <col min="50" max="50" width="3.6640625" customWidth="1"/>
    <col min="52" max="52" width="3.44140625" customWidth="1"/>
    <col min="54" max="54" width="3.44140625" customWidth="1"/>
  </cols>
  <sheetData>
    <row r="1" spans="2:57" ht="17.399999999999999" customHeight="1" thickBot="1" x14ac:dyDescent="0.35">
      <c r="J1" t="s">
        <v>1229</v>
      </c>
    </row>
    <row r="2" spans="2:57" ht="16.2" thickBot="1" x14ac:dyDescent="0.35">
      <c r="B2" s="1"/>
      <c r="C2" s="2"/>
      <c r="D2" s="2"/>
      <c r="E2" s="2" t="s">
        <v>0</v>
      </c>
      <c r="F2" s="2"/>
      <c r="G2" s="2"/>
      <c r="H2" s="2"/>
      <c r="I2" s="2"/>
      <c r="J2" s="84" t="s">
        <v>1132</v>
      </c>
      <c r="K2" s="59"/>
      <c r="L2" s="1123" t="s">
        <v>823</v>
      </c>
      <c r="M2" s="1124"/>
      <c r="O2" s="12"/>
      <c r="P2" s="1576"/>
      <c r="Q2" s="1576"/>
      <c r="R2" s="1576"/>
      <c r="S2" s="1577"/>
      <c r="T2" s="1574" t="s">
        <v>822</v>
      </c>
      <c r="U2" s="1574"/>
      <c r="V2" s="1574"/>
      <c r="W2" s="1575"/>
      <c r="Z2" s="1"/>
      <c r="AA2" s="2"/>
      <c r="AB2" s="2"/>
      <c r="AC2" s="2" t="s">
        <v>0</v>
      </c>
      <c r="AD2" s="2"/>
      <c r="AE2" s="2"/>
      <c r="AF2" s="2"/>
      <c r="AG2" s="2"/>
      <c r="AH2" s="84" t="s">
        <v>1132</v>
      </c>
      <c r="AJ2" s="12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13"/>
    </row>
    <row r="3" spans="2:57" x14ac:dyDescent="0.3">
      <c r="B3" s="4"/>
      <c r="C3" s="71" t="s">
        <v>2</v>
      </c>
      <c r="D3" s="71"/>
      <c r="E3" s="71"/>
      <c r="F3" s="1189" t="s">
        <v>1220</v>
      </c>
      <c r="G3" s="71"/>
      <c r="H3" s="43"/>
      <c r="I3" s="427" t="s">
        <v>821</v>
      </c>
      <c r="J3" s="428" t="s">
        <v>820</v>
      </c>
      <c r="K3" s="429"/>
      <c r="L3" s="993" t="s">
        <v>788</v>
      </c>
      <c r="M3" s="994"/>
      <c r="O3" s="467" t="s">
        <v>819</v>
      </c>
      <c r="P3" s="458" t="s">
        <v>468</v>
      </c>
      <c r="Q3" s="458" t="s">
        <v>771</v>
      </c>
      <c r="R3" s="458" t="s">
        <v>770</v>
      </c>
      <c r="S3" s="461" t="s">
        <v>773</v>
      </c>
      <c r="T3" s="462" t="s">
        <v>468</v>
      </c>
      <c r="U3" s="462" t="s">
        <v>153</v>
      </c>
      <c r="V3" s="462" t="s">
        <v>774</v>
      </c>
      <c r="W3" s="468" t="s">
        <v>349</v>
      </c>
      <c r="Z3" s="4"/>
      <c r="AA3" s="71" t="s">
        <v>2</v>
      </c>
      <c r="AB3" s="71"/>
      <c r="AC3" s="71"/>
      <c r="AD3" s="631" t="s">
        <v>1116</v>
      </c>
      <c r="AE3" s="71"/>
      <c r="AF3" s="43"/>
      <c r="AG3" s="427" t="s">
        <v>821</v>
      </c>
      <c r="AH3" s="428">
        <v>27</v>
      </c>
      <c r="AJ3" s="1088"/>
      <c r="AK3" s="342"/>
      <c r="AL3" s="342"/>
      <c r="AM3" s="60"/>
      <c r="AN3" s="60"/>
      <c r="AO3" s="60"/>
      <c r="AP3" s="60"/>
      <c r="AQ3" s="59"/>
      <c r="AR3" s="59"/>
      <c r="AS3" s="59">
        <f>SUM(AL5:BD5)</f>
        <v>1245</v>
      </c>
      <c r="AT3" s="59"/>
      <c r="AU3" s="59"/>
      <c r="AV3" s="59"/>
      <c r="AW3" s="59"/>
      <c r="AX3" s="59"/>
      <c r="AY3" s="59"/>
      <c r="AZ3" s="59"/>
      <c r="BA3" s="59"/>
      <c r="BB3" s="59"/>
      <c r="BC3" s="1196"/>
      <c r="BD3" s="59"/>
      <c r="BE3" s="10"/>
    </row>
    <row r="4" spans="2:57" x14ac:dyDescent="0.3">
      <c r="B4" s="4"/>
      <c r="C4" s="59" t="s">
        <v>4</v>
      </c>
      <c r="D4" s="59"/>
      <c r="E4" s="59"/>
      <c r="F4" s="1190" t="s">
        <v>1221</v>
      </c>
      <c r="G4" s="426"/>
      <c r="H4" s="60"/>
      <c r="I4" s="59"/>
      <c r="J4" s="10"/>
      <c r="K4" s="4"/>
      <c r="L4" s="986">
        <f>VLOOKUP(J3,O4:W12,3,FALSE())</f>
        <v>1320</v>
      </c>
      <c r="M4" s="987" t="s">
        <v>771</v>
      </c>
      <c r="N4" s="43"/>
      <c r="O4" s="469">
        <v>11</v>
      </c>
      <c r="P4" s="459">
        <v>290</v>
      </c>
      <c r="Q4" s="459">
        <v>745</v>
      </c>
      <c r="R4" s="459">
        <v>60</v>
      </c>
      <c r="S4" s="463">
        <v>60</v>
      </c>
      <c r="T4" s="462">
        <v>290</v>
      </c>
      <c r="U4" s="462">
        <v>100</v>
      </c>
      <c r="V4" s="462">
        <v>60</v>
      </c>
      <c r="W4" s="468">
        <v>110</v>
      </c>
      <c r="X4" s="343"/>
      <c r="Z4" s="4"/>
      <c r="AA4" s="59" t="s">
        <v>4</v>
      </c>
      <c r="AB4" s="59"/>
      <c r="AC4" s="59"/>
      <c r="AD4" s="632" t="s">
        <v>1117</v>
      </c>
      <c r="AE4" s="524"/>
      <c r="AF4" s="60"/>
      <c r="AG4" s="59"/>
      <c r="AH4" s="10"/>
      <c r="AJ4" s="1088"/>
      <c r="AK4" s="466"/>
      <c r="AL4" s="342"/>
      <c r="AM4" s="60"/>
      <c r="AN4" s="60"/>
      <c r="AO4" s="60"/>
      <c r="AP4" s="60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10"/>
    </row>
    <row r="5" spans="2:57" ht="15" thickBot="1" x14ac:dyDescent="0.35">
      <c r="B5" s="4"/>
      <c r="C5" s="59" t="s">
        <v>6</v>
      </c>
      <c r="D5" s="59"/>
      <c r="E5" s="59"/>
      <c r="F5" s="1191" t="s">
        <v>1222</v>
      </c>
      <c r="G5" s="426"/>
      <c r="H5" s="60"/>
      <c r="I5" s="59"/>
      <c r="J5" s="10"/>
      <c r="K5" s="4"/>
      <c r="L5" s="986">
        <f>VLOOKUP(J3,O4:W12,2,FALSE())</f>
        <v>490</v>
      </c>
      <c r="M5" s="987" t="s">
        <v>468</v>
      </c>
      <c r="N5" s="43"/>
      <c r="O5" s="469">
        <v>3</v>
      </c>
      <c r="P5" s="459">
        <v>540</v>
      </c>
      <c r="Q5" s="459">
        <v>570</v>
      </c>
      <c r="R5" s="459">
        <v>40</v>
      </c>
      <c r="S5" s="463">
        <v>40</v>
      </c>
      <c r="T5" s="462">
        <v>550</v>
      </c>
      <c r="U5" s="462">
        <v>120</v>
      </c>
      <c r="V5" s="462">
        <v>40</v>
      </c>
      <c r="W5" s="468">
        <v>75</v>
      </c>
      <c r="X5" s="343"/>
      <c r="Z5" s="4"/>
      <c r="AA5" s="59" t="s">
        <v>6</v>
      </c>
      <c r="AB5" s="59"/>
      <c r="AC5" s="59"/>
      <c r="AD5" s="632" t="s">
        <v>1118</v>
      </c>
      <c r="AE5" s="524"/>
      <c r="AF5" s="60"/>
      <c r="AG5" s="59"/>
      <c r="AH5" s="10"/>
      <c r="AJ5" s="4"/>
      <c r="AK5" s="59"/>
      <c r="AL5" s="59">
        <v>10</v>
      </c>
      <c r="AM5" s="59">
        <v>1195</v>
      </c>
      <c r="AN5" s="59">
        <v>20</v>
      </c>
      <c r="AO5" s="59"/>
      <c r="AP5" s="59"/>
      <c r="AQ5" s="59"/>
      <c r="AR5" s="59"/>
      <c r="AS5" s="59"/>
      <c r="AT5" s="59"/>
      <c r="AU5" s="59"/>
      <c r="AV5" s="59"/>
      <c r="AW5" s="59"/>
      <c r="AX5" s="59"/>
      <c r="AY5" s="59"/>
      <c r="AZ5" s="59">
        <v>20</v>
      </c>
      <c r="BA5" s="59"/>
      <c r="BB5" s="59"/>
      <c r="BE5" s="10"/>
    </row>
    <row r="6" spans="2:57" ht="15" thickBot="1" x14ac:dyDescent="0.35">
      <c r="B6" s="4"/>
      <c r="C6" s="59" t="s">
        <v>10</v>
      </c>
      <c r="D6" s="59"/>
      <c r="E6" s="59"/>
      <c r="F6" s="614" t="s">
        <v>1223</v>
      </c>
      <c r="G6" s="344"/>
      <c r="H6" s="17"/>
      <c r="I6" s="59"/>
      <c r="J6" s="10"/>
      <c r="K6" s="4"/>
      <c r="L6" s="986">
        <f>VLOOKUP(J3,O4:W12,4,FALSE())</f>
        <v>50</v>
      </c>
      <c r="M6" s="987" t="s">
        <v>770</v>
      </c>
      <c r="N6" s="43"/>
      <c r="O6" s="469">
        <v>22</v>
      </c>
      <c r="P6" s="459">
        <v>240</v>
      </c>
      <c r="Q6" s="459">
        <v>735</v>
      </c>
      <c r="R6" s="459">
        <v>40</v>
      </c>
      <c r="S6" s="463">
        <v>40</v>
      </c>
      <c r="T6" s="462"/>
      <c r="U6" s="465"/>
      <c r="V6" s="465"/>
      <c r="W6" s="470"/>
      <c r="X6" s="343"/>
      <c r="Z6" s="4"/>
      <c r="AA6" s="59" t="s">
        <v>10</v>
      </c>
      <c r="AB6" s="59"/>
      <c r="AC6" s="59"/>
      <c r="AD6" s="1174" t="s">
        <v>1119</v>
      </c>
      <c r="AE6" s="344"/>
      <c r="AF6" s="17"/>
      <c r="AG6" s="59"/>
      <c r="AH6" s="10"/>
      <c r="AJ6" s="4"/>
      <c r="AK6" s="59">
        <v>10</v>
      </c>
      <c r="AL6" s="12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13"/>
      <c r="BA6" s="60"/>
      <c r="BB6" s="59"/>
      <c r="BC6" s="59"/>
      <c r="BD6" s="59"/>
      <c r="BE6" s="10"/>
    </row>
    <row r="7" spans="2:57" ht="15" thickBot="1" x14ac:dyDescent="0.35">
      <c r="B7" s="19"/>
      <c r="C7" s="65"/>
      <c r="D7" s="65"/>
      <c r="E7" s="65"/>
      <c r="F7" s="1192"/>
      <c r="G7" s="65"/>
      <c r="H7" s="65"/>
      <c r="I7" s="65"/>
      <c r="J7" s="40"/>
      <c r="K7" s="59"/>
      <c r="L7" s="986">
        <f>VLOOKUP(J3,O4:W12,5,FALSE())</f>
        <v>51</v>
      </c>
      <c r="M7" s="987" t="s">
        <v>773</v>
      </c>
      <c r="N7" s="43"/>
      <c r="O7" s="469">
        <v>27</v>
      </c>
      <c r="P7" s="459">
        <v>240</v>
      </c>
      <c r="Q7" s="459">
        <v>1050</v>
      </c>
      <c r="R7" s="459">
        <v>40</v>
      </c>
      <c r="S7" s="463">
        <v>40</v>
      </c>
      <c r="T7" s="462">
        <v>250</v>
      </c>
      <c r="U7" s="465">
        <v>80</v>
      </c>
      <c r="V7" s="465">
        <v>40</v>
      </c>
      <c r="W7" s="470">
        <v>40</v>
      </c>
      <c r="X7" s="343" t="s">
        <v>220</v>
      </c>
      <c r="Z7" s="19"/>
      <c r="AA7" s="65"/>
      <c r="AB7" s="65"/>
      <c r="AC7" s="65"/>
      <c r="AD7" s="633"/>
      <c r="AE7" s="65"/>
      <c r="AF7" s="65"/>
      <c r="AG7" s="65"/>
      <c r="AH7" s="40"/>
      <c r="AJ7" s="4"/>
      <c r="AK7" s="524">
        <v>60</v>
      </c>
      <c r="AL7" s="1098"/>
      <c r="AM7" s="972">
        <v>2</v>
      </c>
      <c r="AN7" s="1112"/>
      <c r="AO7" s="1112"/>
      <c r="AP7" s="1112"/>
      <c r="AQ7" s="1112"/>
      <c r="AR7" s="1112"/>
      <c r="AS7" s="1112"/>
      <c r="AT7" s="1112"/>
      <c r="AU7" s="1112"/>
      <c r="AV7" s="1112"/>
      <c r="AW7" s="1112"/>
      <c r="AX7" s="973"/>
      <c r="AY7" s="4"/>
      <c r="AZ7" s="10"/>
      <c r="BA7" s="60"/>
      <c r="BB7" s="59"/>
      <c r="BC7" s="59"/>
      <c r="BD7" s="59"/>
      <c r="BE7" s="10"/>
    </row>
    <row r="8" spans="2:57" ht="15" thickBot="1" x14ac:dyDescent="0.35">
      <c r="B8" s="12"/>
      <c r="C8" s="71" t="s">
        <v>16</v>
      </c>
      <c r="D8" s="71"/>
      <c r="E8" s="71"/>
      <c r="F8" s="1349" t="s">
        <v>28</v>
      </c>
      <c r="G8" s="71"/>
      <c r="H8" s="71"/>
      <c r="I8" s="71"/>
      <c r="J8" s="13"/>
      <c r="K8" s="59"/>
      <c r="L8" s="988">
        <f>(L6+L7)/2</f>
        <v>50.5</v>
      </c>
      <c r="M8" s="987" t="s">
        <v>789</v>
      </c>
      <c r="N8" s="43"/>
      <c r="O8" s="469">
        <v>28</v>
      </c>
      <c r="P8" s="459">
        <v>280</v>
      </c>
      <c r="Q8" s="459">
        <v>1000</v>
      </c>
      <c r="R8" s="459">
        <v>60</v>
      </c>
      <c r="S8" s="463">
        <v>60</v>
      </c>
      <c r="T8" s="462">
        <v>280</v>
      </c>
      <c r="U8" s="465">
        <v>100</v>
      </c>
      <c r="V8" s="465">
        <v>60</v>
      </c>
      <c r="W8" s="470">
        <v>80</v>
      </c>
      <c r="X8" s="343"/>
      <c r="Z8" s="4"/>
      <c r="AA8" s="59" t="s">
        <v>16</v>
      </c>
      <c r="AB8" s="59"/>
      <c r="AC8" s="59"/>
      <c r="AD8" s="17" t="s">
        <v>28</v>
      </c>
      <c r="AE8" s="59"/>
      <c r="AF8" s="43"/>
      <c r="AG8" s="59"/>
      <c r="AH8" s="15"/>
      <c r="AJ8" s="4"/>
      <c r="AK8" s="59">
        <v>20</v>
      </c>
      <c r="AL8" s="4"/>
      <c r="AM8" s="1089"/>
      <c r="AN8" s="59"/>
      <c r="AO8" s="1089"/>
      <c r="AP8" s="60"/>
      <c r="AQ8" s="1089"/>
      <c r="AR8" s="1089"/>
      <c r="AS8" s="1089"/>
      <c r="AT8" s="1089"/>
      <c r="AU8" s="1089"/>
      <c r="AV8" s="1089"/>
      <c r="AW8" s="59"/>
      <c r="AX8" s="2"/>
      <c r="AY8" s="59"/>
      <c r="AZ8" s="10"/>
      <c r="BA8" s="60"/>
      <c r="BB8" s="59"/>
      <c r="BC8" s="59"/>
      <c r="BD8" s="59"/>
      <c r="BE8" s="10"/>
    </row>
    <row r="9" spans="2:57" ht="15" thickBot="1" x14ac:dyDescent="0.35">
      <c r="B9" s="4"/>
      <c r="C9" s="59" t="s">
        <v>19</v>
      </c>
      <c r="D9" s="59"/>
      <c r="E9" s="59"/>
      <c r="F9" s="526">
        <f>IF(M23=0,IF(M24&lt;100,ROUNDUP(M24,1),ROUNDUP(M24,0)),M23)</f>
        <v>32</v>
      </c>
      <c r="G9" s="59"/>
      <c r="H9" s="17"/>
      <c r="I9" s="59" t="s">
        <v>17</v>
      </c>
      <c r="J9" s="15">
        <f>F9/F11</f>
        <v>0.26122448979591839</v>
      </c>
      <c r="K9" s="183"/>
      <c r="L9" s="608"/>
      <c r="M9" s="989"/>
      <c r="N9" s="43"/>
      <c r="O9" s="469">
        <v>23</v>
      </c>
      <c r="P9" s="459">
        <v>370</v>
      </c>
      <c r="Q9" s="459">
        <f>1440-150</f>
        <v>1290</v>
      </c>
      <c r="R9" s="459">
        <v>70</v>
      </c>
      <c r="S9" s="463">
        <v>80</v>
      </c>
      <c r="T9" s="462">
        <v>370</v>
      </c>
      <c r="U9" s="465">
        <v>130</v>
      </c>
      <c r="V9" s="465">
        <v>80</v>
      </c>
      <c r="W9" s="470">
        <v>150</v>
      </c>
      <c r="X9" s="342" t="s">
        <v>220</v>
      </c>
      <c r="Z9" s="4"/>
      <c r="AA9" s="59" t="s">
        <v>19</v>
      </c>
      <c r="AB9" s="59"/>
      <c r="AC9" s="59"/>
      <c r="AD9" s="526">
        <v>2.2000000000000002</v>
      </c>
      <c r="AE9" s="59"/>
      <c r="AF9" s="83"/>
      <c r="AG9" s="59"/>
      <c r="AH9" s="15"/>
      <c r="AJ9" s="4"/>
      <c r="AK9" s="186">
        <v>120</v>
      </c>
      <c r="AL9" s="1098"/>
      <c r="AM9" s="972">
        <v>2</v>
      </c>
      <c r="AN9" s="1112"/>
      <c r="AO9" s="1112"/>
      <c r="AP9" s="1112"/>
      <c r="AQ9" s="1112"/>
      <c r="AR9" s="1112"/>
      <c r="AS9" s="1112"/>
      <c r="AT9" s="1112"/>
      <c r="AU9" s="1112"/>
      <c r="AV9" s="1112"/>
      <c r="AW9" s="1112"/>
      <c r="AX9" s="973"/>
      <c r="AY9" s="4"/>
      <c r="AZ9" s="10"/>
      <c r="BA9" s="60"/>
      <c r="BB9" s="59"/>
      <c r="BC9" s="59"/>
      <c r="BD9" s="59"/>
      <c r="BE9" s="10"/>
    </row>
    <row r="10" spans="2:57" x14ac:dyDescent="0.3">
      <c r="B10" s="4"/>
      <c r="C10" s="59" t="s">
        <v>22</v>
      </c>
      <c r="D10" s="59"/>
      <c r="E10" s="59"/>
      <c r="F10" s="526">
        <f>IF(M17&lt;100,ROUNDUP(M17,1),ROUNDUP(M17,0))</f>
        <v>245</v>
      </c>
      <c r="G10" s="59"/>
      <c r="H10" s="16"/>
      <c r="I10" s="59" t="s">
        <v>17</v>
      </c>
      <c r="J10" s="15">
        <f>F9/F15</f>
        <v>0.22535211267605634</v>
      </c>
      <c r="K10" s="183"/>
      <c r="L10" s="995" t="s">
        <v>80</v>
      </c>
      <c r="M10" s="996"/>
      <c r="N10" s="43"/>
      <c r="O10" s="471">
        <v>21</v>
      </c>
      <c r="P10" s="460">
        <v>490</v>
      </c>
      <c r="Q10" s="460">
        <v>1320</v>
      </c>
      <c r="R10" s="460">
        <v>100</v>
      </c>
      <c r="S10" s="464">
        <v>103</v>
      </c>
      <c r="T10" s="462">
        <v>490</v>
      </c>
      <c r="U10" s="465">
        <v>120</v>
      </c>
      <c r="V10" s="465">
        <v>103</v>
      </c>
      <c r="W10" s="470">
        <v>150</v>
      </c>
      <c r="X10" s="342"/>
      <c r="Z10" s="4"/>
      <c r="AA10" s="59" t="s">
        <v>22</v>
      </c>
      <c r="AB10" s="59"/>
      <c r="AC10" s="59"/>
      <c r="AD10" s="526">
        <v>75.599999999999994</v>
      </c>
      <c r="AE10" s="59"/>
      <c r="AF10" s="16"/>
      <c r="AG10" s="59"/>
      <c r="AH10" s="15"/>
      <c r="AJ10" s="4"/>
      <c r="AK10" s="59">
        <v>40</v>
      </c>
      <c r="AL10" s="4"/>
      <c r="AM10" s="1095"/>
      <c r="AN10" s="71"/>
      <c r="AO10" s="747"/>
      <c r="AP10" s="71"/>
      <c r="AQ10" s="1095"/>
      <c r="AR10" s="71"/>
      <c r="AS10" s="1095"/>
      <c r="AT10" s="71"/>
      <c r="AU10" s="1095"/>
      <c r="AV10" s="71"/>
      <c r="AW10" s="1095"/>
      <c r="AX10" s="71"/>
      <c r="AY10" s="747"/>
      <c r="AZ10" s="10"/>
      <c r="BA10" s="60"/>
      <c r="BB10" s="59"/>
      <c r="BC10" s="59"/>
      <c r="BD10" s="59"/>
      <c r="BE10" s="10"/>
    </row>
    <row r="11" spans="2:57" x14ac:dyDescent="0.3">
      <c r="B11" s="4"/>
      <c r="C11" s="59" t="s">
        <v>81</v>
      </c>
      <c r="D11" s="59"/>
      <c r="E11" s="59"/>
      <c r="F11" s="526">
        <f>ROUNDUP(F10/F16,1)</f>
        <v>122.5</v>
      </c>
      <c r="G11" s="59"/>
      <c r="H11" s="16"/>
      <c r="I11" s="59"/>
      <c r="J11" s="10"/>
      <c r="K11" s="426"/>
      <c r="L11" s="986">
        <f>VLOOKUP(J3,O4:W12,7,FALSE())</f>
        <v>120</v>
      </c>
      <c r="M11" s="987" t="s">
        <v>771</v>
      </c>
      <c r="N11" s="43"/>
      <c r="O11" s="469" t="s">
        <v>820</v>
      </c>
      <c r="P11" s="459">
        <v>490</v>
      </c>
      <c r="Q11" s="459">
        <v>1320</v>
      </c>
      <c r="R11" s="459">
        <v>50</v>
      </c>
      <c r="S11" s="463">
        <v>51</v>
      </c>
      <c r="T11" s="462">
        <v>490</v>
      </c>
      <c r="U11" s="465">
        <v>120</v>
      </c>
      <c r="V11" s="465">
        <v>51</v>
      </c>
      <c r="W11" s="470">
        <v>75</v>
      </c>
      <c r="X11" s="342"/>
      <c r="Z11" s="4"/>
      <c r="AA11" s="59" t="s">
        <v>81</v>
      </c>
      <c r="AB11" s="59"/>
      <c r="AC11" s="59"/>
      <c r="AD11" s="526">
        <v>12.6</v>
      </c>
      <c r="AE11" s="59"/>
      <c r="AF11" s="16"/>
      <c r="AG11" s="59"/>
      <c r="AH11" s="15"/>
      <c r="AJ11" s="4">
        <f>SUM(AK6:AK14)</f>
        <v>480</v>
      </c>
      <c r="AK11" s="524">
        <v>120</v>
      </c>
      <c r="AL11" s="1096"/>
      <c r="AM11" s="1116">
        <v>1</v>
      </c>
      <c r="AN11" s="1090"/>
      <c r="AO11" s="1116">
        <v>1</v>
      </c>
      <c r="AP11" s="1090"/>
      <c r="AQ11" s="1116">
        <v>1</v>
      </c>
      <c r="AR11" s="1090"/>
      <c r="AS11" s="1116">
        <v>1</v>
      </c>
      <c r="AT11" s="706"/>
      <c r="AU11" s="1116">
        <v>1</v>
      </c>
      <c r="AV11" s="1090"/>
      <c r="AW11" s="1116">
        <v>1</v>
      </c>
      <c r="AX11" s="1090"/>
      <c r="AY11" s="1116">
        <v>1</v>
      </c>
      <c r="AZ11" s="1093"/>
      <c r="BA11" s="60"/>
      <c r="BB11" s="59"/>
      <c r="BC11" s="59"/>
      <c r="BD11" s="59"/>
      <c r="BE11" s="10"/>
    </row>
    <row r="12" spans="2:57" ht="15" thickBot="1" x14ac:dyDescent="0.35">
      <c r="B12" s="4"/>
      <c r="C12" s="59" t="s">
        <v>27</v>
      </c>
      <c r="D12" s="59"/>
      <c r="E12" s="59"/>
      <c r="F12" s="526">
        <f>IF(M18&lt;100,ROUNDUP(M18,1),ROUNDUP(M18,0))</f>
        <v>273</v>
      </c>
      <c r="G12" s="59"/>
      <c r="H12" s="16"/>
      <c r="I12" s="59"/>
      <c r="J12" s="18"/>
      <c r="K12" s="426"/>
      <c r="L12" s="986">
        <f>VLOOKUP(J3,O4:W12,6,FALSE())</f>
        <v>490</v>
      </c>
      <c r="M12" s="987" t="s">
        <v>468</v>
      </c>
      <c r="N12" s="43"/>
      <c r="O12" s="472">
        <v>30</v>
      </c>
      <c r="P12" s="473">
        <v>510</v>
      </c>
      <c r="Q12" s="473">
        <v>1300</v>
      </c>
      <c r="R12" s="473">
        <v>45</v>
      </c>
      <c r="S12" s="474">
        <v>50</v>
      </c>
      <c r="T12" s="475">
        <v>510</v>
      </c>
      <c r="U12" s="476">
        <v>160</v>
      </c>
      <c r="V12" s="476">
        <v>50</v>
      </c>
      <c r="W12" s="477">
        <v>75</v>
      </c>
      <c r="X12" s="466"/>
      <c r="Y12" s="1069"/>
      <c r="Z12" s="4"/>
      <c r="AA12" s="59" t="s">
        <v>27</v>
      </c>
      <c r="AB12" s="59"/>
      <c r="AC12" s="59"/>
      <c r="AD12" s="526">
        <v>81.599999999999994</v>
      </c>
      <c r="AE12" s="59"/>
      <c r="AF12" s="16"/>
      <c r="AG12" s="59"/>
      <c r="AH12" s="18"/>
      <c r="AJ12" s="4"/>
      <c r="AK12" s="59">
        <v>40</v>
      </c>
      <c r="AL12" s="4"/>
      <c r="AM12" s="1094"/>
      <c r="AN12" s="59"/>
      <c r="AO12" s="1094"/>
      <c r="AP12" s="59"/>
      <c r="AQ12" s="1094"/>
      <c r="AR12" s="59"/>
      <c r="AS12" s="1094"/>
      <c r="AT12" s="59"/>
      <c r="AU12" s="1094"/>
      <c r="AV12" s="59"/>
      <c r="AW12" s="1094"/>
      <c r="AX12" s="59"/>
      <c r="AY12" s="1094"/>
      <c r="AZ12" s="10"/>
      <c r="BA12" s="60"/>
      <c r="BB12" s="59"/>
      <c r="BC12" s="59"/>
      <c r="BD12" s="59"/>
      <c r="BE12" s="10"/>
    </row>
    <row r="13" spans="2:57" x14ac:dyDescent="0.3">
      <c r="B13" s="4"/>
      <c r="C13" s="59" t="s">
        <v>29</v>
      </c>
      <c r="D13" s="59"/>
      <c r="E13" s="59"/>
      <c r="F13" s="526">
        <f>ROUNDUP(F12/F16,1)</f>
        <v>136.5</v>
      </c>
      <c r="G13" s="59"/>
      <c r="H13" s="16"/>
      <c r="I13" s="59"/>
      <c r="J13" s="18"/>
      <c r="K13" s="426"/>
      <c r="L13" s="986">
        <f>VLOOKUP(J3,O4:W12,8,FALSE())</f>
        <v>51</v>
      </c>
      <c r="M13" s="987" t="s">
        <v>790</v>
      </c>
      <c r="N13" s="43"/>
      <c r="X13" s="60"/>
      <c r="Y13" s="1069"/>
      <c r="Z13" s="4"/>
      <c r="AA13" s="59" t="s">
        <v>29</v>
      </c>
      <c r="AB13" s="59"/>
      <c r="AC13" s="59"/>
      <c r="AD13" s="526">
        <v>13.6</v>
      </c>
      <c r="AE13" s="59"/>
      <c r="AF13" s="16"/>
      <c r="AG13" s="59"/>
      <c r="AH13" s="18"/>
      <c r="AJ13" s="4"/>
      <c r="AK13" s="524">
        <v>60</v>
      </c>
      <c r="AL13" s="1096"/>
      <c r="AM13" s="1116">
        <v>1</v>
      </c>
      <c r="AN13" s="1090"/>
      <c r="AO13" s="1116">
        <v>1</v>
      </c>
      <c r="AP13" s="1090"/>
      <c r="AQ13" s="1116">
        <v>1</v>
      </c>
      <c r="AR13" s="1090"/>
      <c r="AS13" s="1116">
        <v>1</v>
      </c>
      <c r="AT13" s="1090"/>
      <c r="AU13" s="1116">
        <v>1</v>
      </c>
      <c r="AV13" s="1090"/>
      <c r="AW13" s="1116">
        <v>1</v>
      </c>
      <c r="AX13" s="1090"/>
      <c r="AY13" s="1116">
        <v>1</v>
      </c>
      <c r="AZ13" s="1093"/>
      <c r="BA13" s="60"/>
      <c r="BB13" s="59"/>
      <c r="BC13" s="59"/>
      <c r="BD13" s="59"/>
      <c r="BE13" s="10"/>
    </row>
    <row r="14" spans="2:57" ht="15" thickBot="1" x14ac:dyDescent="0.35">
      <c r="B14" s="4"/>
      <c r="C14" s="59" t="s">
        <v>32</v>
      </c>
      <c r="D14" s="59"/>
      <c r="E14" s="59"/>
      <c r="F14" s="526">
        <f>IF(F12&lt;97,ROUNDUP(M18*1.04,1),ROUNDUP(M18*1.04,0))</f>
        <v>284</v>
      </c>
      <c r="G14" s="59"/>
      <c r="H14" s="16"/>
      <c r="I14" s="59"/>
      <c r="J14" s="18"/>
      <c r="K14" s="426"/>
      <c r="L14" s="986">
        <f>VLOOKUP(J3,O4:W12,9,FALSE())</f>
        <v>75</v>
      </c>
      <c r="M14" s="987" t="s">
        <v>791</v>
      </c>
      <c r="N14" s="43"/>
      <c r="X14" s="60"/>
      <c r="Y14" s="1069"/>
      <c r="Z14" s="4"/>
      <c r="AA14" s="59" t="s">
        <v>32</v>
      </c>
      <c r="AB14" s="59"/>
      <c r="AC14" s="59"/>
      <c r="AD14" s="526">
        <f>IF(AD12&lt;97,ROUNDUP(AD12*1.04,1),ROUNDUP(AD12*1.04,0))</f>
        <v>84.899999999999991</v>
      </c>
      <c r="AE14" s="59"/>
      <c r="AF14" s="16"/>
      <c r="AG14" s="59"/>
      <c r="AH14" s="18"/>
      <c r="AJ14" s="4"/>
      <c r="AK14" s="59">
        <v>10</v>
      </c>
      <c r="AL14" s="19"/>
      <c r="AM14" s="1099"/>
      <c r="AN14" s="65"/>
      <c r="AO14" s="1097"/>
      <c r="AP14" s="65"/>
      <c r="AQ14" s="1097"/>
      <c r="AR14" s="65"/>
      <c r="AS14" s="1097"/>
      <c r="AT14" s="65"/>
      <c r="AU14" s="1097"/>
      <c r="AV14" s="65"/>
      <c r="AW14" s="1097"/>
      <c r="AX14" s="65"/>
      <c r="AY14" s="1097"/>
      <c r="AZ14" s="40"/>
      <c r="BA14" s="60"/>
      <c r="BB14" s="59"/>
      <c r="BC14" s="59"/>
      <c r="BD14" s="59"/>
      <c r="BE14" s="10"/>
    </row>
    <row r="15" spans="2:57" ht="15" thickBot="1" x14ac:dyDescent="0.35">
      <c r="B15" s="4"/>
      <c r="C15" s="59" t="s">
        <v>34</v>
      </c>
      <c r="D15" s="59"/>
      <c r="E15" s="59"/>
      <c r="F15" s="526">
        <f>ROUNDUP(F14/F16,1)</f>
        <v>142</v>
      </c>
      <c r="G15" s="59"/>
      <c r="H15" s="16"/>
      <c r="I15" s="59"/>
      <c r="J15" s="18"/>
      <c r="K15" s="426"/>
      <c r="L15" s="988">
        <f>(L13+L14)/2</f>
        <v>63</v>
      </c>
      <c r="M15" s="987" t="s">
        <v>792</v>
      </c>
      <c r="N15" s="43"/>
      <c r="X15" s="60"/>
      <c r="Z15" s="4"/>
      <c r="AA15" s="59" t="s">
        <v>34</v>
      </c>
      <c r="AB15" s="59"/>
      <c r="AC15" s="59"/>
      <c r="AD15" s="526">
        <v>14.2</v>
      </c>
      <c r="AE15" s="59"/>
      <c r="AF15" s="16"/>
      <c r="AG15" s="59"/>
      <c r="AH15" s="18"/>
      <c r="AJ15" s="4"/>
      <c r="AK15" s="524"/>
      <c r="AL15" s="524">
        <v>10</v>
      </c>
      <c r="AM15" s="524">
        <v>161</v>
      </c>
      <c r="AN15" s="524">
        <v>20</v>
      </c>
      <c r="AO15" s="524">
        <v>161</v>
      </c>
      <c r="AP15" s="524">
        <v>20</v>
      </c>
      <c r="AQ15" s="524">
        <v>161</v>
      </c>
      <c r="AR15" s="524">
        <v>20</v>
      </c>
      <c r="AS15" s="524">
        <v>161</v>
      </c>
      <c r="AT15" s="524">
        <v>20</v>
      </c>
      <c r="AU15" s="524">
        <v>161</v>
      </c>
      <c r="AV15" s="524">
        <v>20</v>
      </c>
      <c r="AW15" s="524">
        <v>161</v>
      </c>
      <c r="AX15" s="524">
        <v>20</v>
      </c>
      <c r="AY15" s="524">
        <v>161</v>
      </c>
      <c r="AZ15" s="524">
        <v>20</v>
      </c>
      <c r="BA15" s="524"/>
      <c r="BB15" s="524"/>
      <c r="BC15" s="524"/>
      <c r="BD15" s="524"/>
      <c r="BE15" s="10"/>
    </row>
    <row r="16" spans="2:57" ht="15" thickBot="1" x14ac:dyDescent="0.35">
      <c r="B16" s="4"/>
      <c r="C16" s="59" t="s">
        <v>36</v>
      </c>
      <c r="D16" s="59"/>
      <c r="E16" s="59"/>
      <c r="F16" s="173">
        <f>F17*F18</f>
        <v>2</v>
      </c>
      <c r="G16" s="344"/>
      <c r="H16" s="79"/>
      <c r="I16" s="59"/>
      <c r="J16" s="18"/>
      <c r="K16" s="426"/>
      <c r="L16" s="608"/>
      <c r="M16" s="1028">
        <f>VLOOKUP(F8,C69:F82,3,)</f>
        <v>7.5</v>
      </c>
      <c r="N16" s="43"/>
      <c r="O16" s="1066"/>
      <c r="P16" s="1177"/>
      <c r="Q16" s="1512" t="s">
        <v>1087</v>
      </c>
      <c r="R16" s="1512"/>
      <c r="S16" s="1512"/>
      <c r="T16" s="1512"/>
      <c r="U16" s="1512"/>
      <c r="V16" s="1067"/>
      <c r="X16" s="60"/>
      <c r="Z16" s="4"/>
      <c r="AA16" s="59" t="s">
        <v>36</v>
      </c>
      <c r="AB16" s="59"/>
      <c r="AC16" s="59"/>
      <c r="AD16" s="173">
        <f>AD17*AD18</f>
        <v>6</v>
      </c>
      <c r="AH16" s="18"/>
      <c r="AJ16" s="4"/>
      <c r="AK16" s="524"/>
      <c r="AL16" s="524"/>
      <c r="AM16" s="524"/>
      <c r="AN16" s="524"/>
      <c r="AO16" s="524"/>
      <c r="AP16" s="524"/>
      <c r="AQ16" s="524"/>
      <c r="AR16" s="524"/>
      <c r="AS16" s="524"/>
      <c r="AT16" s="524"/>
      <c r="AU16" s="524"/>
      <c r="AV16" s="524"/>
      <c r="AW16" s="524"/>
      <c r="AX16" s="524"/>
      <c r="AY16" s="524"/>
      <c r="AZ16" s="524"/>
      <c r="BA16" s="524"/>
      <c r="BB16" s="524"/>
      <c r="BC16" s="524"/>
      <c r="BD16" s="524"/>
      <c r="BE16" s="10"/>
    </row>
    <row r="17" spans="2:57" ht="15" thickBot="1" x14ac:dyDescent="0.35">
      <c r="B17" s="4"/>
      <c r="C17" s="59" t="s">
        <v>38</v>
      </c>
      <c r="D17" s="59"/>
      <c r="E17" s="59"/>
      <c r="F17" s="634">
        <v>2</v>
      </c>
      <c r="G17" s="524"/>
      <c r="H17" s="79"/>
      <c r="I17" s="59"/>
      <c r="J17" s="18"/>
      <c r="K17" s="426"/>
      <c r="L17" s="1029" t="s">
        <v>328</v>
      </c>
      <c r="M17" s="1030">
        <f>IF(N26=TRUE,M28*L5*L8*M16/1000000,L4*L5*L8*M16/1000000)</f>
        <v>244.97550000000001</v>
      </c>
      <c r="N17" s="43"/>
      <c r="O17" s="1120" t="s">
        <v>1122</v>
      </c>
      <c r="P17" s="1121">
        <v>1</v>
      </c>
      <c r="Q17" s="1121">
        <v>2</v>
      </c>
      <c r="R17" s="1121">
        <v>3</v>
      </c>
      <c r="S17" s="1121">
        <v>4</v>
      </c>
      <c r="T17" s="629">
        <v>5</v>
      </c>
      <c r="U17" s="1178" t="s">
        <v>879</v>
      </c>
      <c r="V17" s="629"/>
      <c r="X17" s="60"/>
      <c r="Z17" s="4"/>
      <c r="AA17" s="59" t="s">
        <v>40</v>
      </c>
      <c r="AB17" s="59"/>
      <c r="AC17" s="59"/>
      <c r="AD17" s="1176">
        <v>2</v>
      </c>
      <c r="AE17" s="344"/>
      <c r="AF17" s="79"/>
      <c r="AG17" s="59"/>
      <c r="AH17" s="18"/>
      <c r="AJ17" s="4"/>
      <c r="AK17" s="524"/>
      <c r="AL17" s="524"/>
      <c r="AM17" s="524"/>
      <c r="AN17" s="524"/>
      <c r="AO17" s="524"/>
      <c r="AP17" s="524"/>
      <c r="AQ17" s="524"/>
      <c r="AR17" s="524"/>
      <c r="AS17" s="524">
        <f>SUM(AL15:BC15)</f>
        <v>1277</v>
      </c>
      <c r="AT17" s="524"/>
      <c r="AU17" s="524"/>
      <c r="AV17" s="524"/>
      <c r="AW17" s="524"/>
      <c r="AX17" s="524"/>
      <c r="AY17" s="524"/>
      <c r="AZ17" s="524"/>
      <c r="BA17" s="524"/>
      <c r="BB17" s="524"/>
      <c r="BC17" s="524"/>
      <c r="BD17" s="524"/>
      <c r="BE17" s="10"/>
    </row>
    <row r="18" spans="2:57" ht="15" thickBot="1" x14ac:dyDescent="0.35">
      <c r="B18" s="19"/>
      <c r="C18" s="65" t="s">
        <v>40</v>
      </c>
      <c r="D18" s="65"/>
      <c r="E18" s="65"/>
      <c r="F18" s="635">
        <v>1</v>
      </c>
      <c r="G18" s="1173"/>
      <c r="H18" s="80"/>
      <c r="I18" s="65"/>
      <c r="J18" s="1195"/>
      <c r="K18" s="426"/>
      <c r="L18" s="1031" t="s">
        <v>1068</v>
      </c>
      <c r="M18" s="1032">
        <f>IF(N26=TRUE,M27*L5*L8*M16/1000000,(L4*L5*L8*M16+L11*L12*L15*M16)/1000000)</f>
        <v>272.75850000000003</v>
      </c>
      <c r="N18" s="43"/>
      <c r="O18" s="1117" t="s">
        <v>1048</v>
      </c>
      <c r="P18" s="1180">
        <v>1</v>
      </c>
      <c r="Q18" s="1181">
        <v>1</v>
      </c>
      <c r="R18" s="1181">
        <v>2</v>
      </c>
      <c r="S18" s="1181">
        <v>1</v>
      </c>
      <c r="T18" s="1182">
        <v>1</v>
      </c>
      <c r="U18" s="1594"/>
      <c r="V18" s="1595"/>
      <c r="X18" s="60"/>
      <c r="Z18" s="19"/>
      <c r="AA18" s="59" t="s">
        <v>38</v>
      </c>
      <c r="AB18" s="65"/>
      <c r="AC18" s="65"/>
      <c r="AD18" s="635">
        <v>3</v>
      </c>
      <c r="AE18" s="432"/>
      <c r="AF18" s="80"/>
      <c r="AG18" s="65"/>
      <c r="AH18" s="22"/>
      <c r="AJ18" s="4"/>
      <c r="AK18" s="524"/>
      <c r="AL18" s="524"/>
      <c r="AM18" s="524"/>
      <c r="AN18" s="524"/>
      <c r="AO18" s="524"/>
      <c r="AP18" s="524"/>
      <c r="AQ18" s="524"/>
      <c r="AR18" s="524"/>
      <c r="AS18" s="524"/>
      <c r="AT18" s="524"/>
      <c r="AU18" s="524"/>
      <c r="AV18" s="524"/>
      <c r="AW18" s="524"/>
      <c r="AX18" s="524"/>
      <c r="AY18" s="524"/>
      <c r="AZ18" s="524"/>
      <c r="BA18" s="524"/>
      <c r="BB18" s="524"/>
      <c r="BC18" s="524"/>
      <c r="BD18" s="524"/>
      <c r="BE18" s="10"/>
    </row>
    <row r="19" spans="2:57" ht="15" thickBot="1" x14ac:dyDescent="0.35">
      <c r="B19" s="12"/>
      <c r="E19" s="71"/>
      <c r="F19" s="71"/>
      <c r="G19" s="71"/>
      <c r="H19" s="71"/>
      <c r="J19" s="529"/>
      <c r="K19" s="24"/>
      <c r="L19" s="1122" t="s">
        <v>85</v>
      </c>
      <c r="M19" s="1079"/>
      <c r="N19" s="43"/>
      <c r="O19" s="1062" t="s">
        <v>1088</v>
      </c>
      <c r="P19" s="4">
        <v>1.5</v>
      </c>
      <c r="Q19" s="1002">
        <v>1.5</v>
      </c>
      <c r="R19" s="1002">
        <v>2.1</v>
      </c>
      <c r="S19" s="1002">
        <v>1.9</v>
      </c>
      <c r="T19" s="70">
        <v>1.9</v>
      </c>
      <c r="U19" s="1596"/>
      <c r="V19" s="1597"/>
      <c r="X19" s="60"/>
      <c r="Z19" s="12"/>
      <c r="AA19" s="71"/>
      <c r="AB19" s="513"/>
      <c r="AC19" s="71"/>
      <c r="AD19" s="71"/>
      <c r="AE19" s="71"/>
      <c r="AF19" s="71"/>
      <c r="AG19" s="71"/>
      <c r="AH19" s="529"/>
      <c r="AJ19" s="4"/>
      <c r="AK19" s="524" t="s">
        <v>1081</v>
      </c>
      <c r="AL19" s="524" t="s">
        <v>420</v>
      </c>
      <c r="AM19" s="17" t="s">
        <v>1079</v>
      </c>
      <c r="AN19" s="524"/>
      <c r="AO19" s="524"/>
      <c r="AP19" s="524"/>
      <c r="AQ19" s="524"/>
      <c r="AR19" s="524"/>
      <c r="AS19" s="524"/>
      <c r="AT19" s="524"/>
      <c r="AU19" s="524"/>
      <c r="AV19" s="524"/>
      <c r="AW19" s="524"/>
      <c r="AX19" s="524"/>
      <c r="AY19" s="524"/>
      <c r="AZ19" s="524"/>
      <c r="BA19" s="524"/>
      <c r="BB19" s="524"/>
      <c r="BC19" s="524"/>
      <c r="BD19" s="524"/>
      <c r="BE19" s="10"/>
    </row>
    <row r="20" spans="2:57" ht="15" thickBot="1" x14ac:dyDescent="0.35">
      <c r="B20" s="4"/>
      <c r="C20" s="60" t="str">
        <f>IF(N26=TRUE,"Максимальное количество деталей в отливке по длине:   "&amp;F17&amp;",   L=","")</f>
        <v/>
      </c>
      <c r="D20" s="43"/>
      <c r="E20" s="59"/>
      <c r="F20" s="59"/>
      <c r="G20" s="59"/>
      <c r="H20" s="59"/>
      <c r="I20" s="524" t="str">
        <f>IF(N26=TRUE,M28&amp;"  мм.","")</f>
        <v/>
      </c>
      <c r="J20" s="1134"/>
      <c r="K20" s="23"/>
      <c r="L20" s="990" t="s">
        <v>88</v>
      </c>
      <c r="M20" s="484">
        <v>315</v>
      </c>
      <c r="N20" s="43"/>
      <c r="O20" s="1120"/>
      <c r="P20" s="1121">
        <f t="shared" ref="P20" si="0">P19*P18</f>
        <v>1.5</v>
      </c>
      <c r="Q20" s="1121">
        <f>Q19*Q18</f>
        <v>1.5</v>
      </c>
      <c r="R20" s="1121">
        <f>R19*R18</f>
        <v>4.2</v>
      </c>
      <c r="S20" s="1121">
        <f t="shared" ref="S20:T20" si="1">S19*S18</f>
        <v>1.9</v>
      </c>
      <c r="T20" s="629">
        <f t="shared" si="1"/>
        <v>1.9</v>
      </c>
      <c r="U20" s="1179">
        <f>SUM(P20:T20)</f>
        <v>11</v>
      </c>
      <c r="V20" s="629"/>
      <c r="X20" s="60"/>
      <c r="Z20" s="4"/>
      <c r="AA20" s="59"/>
      <c r="AB20" s="59"/>
      <c r="AC20" s="59"/>
      <c r="AD20" s="59"/>
      <c r="AE20" s="59"/>
      <c r="AF20" s="59"/>
      <c r="AG20" s="23"/>
      <c r="AH20" s="24"/>
      <c r="AJ20" s="4"/>
      <c r="AK20" s="524"/>
      <c r="AL20" s="524" t="s">
        <v>423</v>
      </c>
      <c r="AM20" s="17" t="s">
        <v>1080</v>
      </c>
      <c r="AN20" s="524"/>
      <c r="AO20" s="524"/>
      <c r="AP20" s="524"/>
      <c r="AQ20" s="524"/>
      <c r="AR20" s="524"/>
      <c r="AS20" s="524"/>
      <c r="AT20" s="524"/>
      <c r="AU20" s="524"/>
      <c r="AV20" s="524"/>
      <c r="AW20" s="524"/>
      <c r="AX20" s="524"/>
      <c r="AY20" s="524"/>
      <c r="AZ20" s="524"/>
      <c r="BA20" s="524"/>
      <c r="BB20" s="524"/>
      <c r="BC20" s="524"/>
      <c r="BD20" s="524"/>
      <c r="BE20" s="10"/>
    </row>
    <row r="21" spans="2:57" ht="15" thickBot="1" x14ac:dyDescent="0.35">
      <c r="B21" s="4"/>
      <c r="C21" s="59"/>
      <c r="D21" s="60"/>
      <c r="E21" s="59"/>
      <c r="F21" s="59"/>
      <c r="G21" s="59"/>
      <c r="H21" s="59"/>
      <c r="I21" s="59"/>
      <c r="J21" s="1134"/>
      <c r="K21" s="23"/>
      <c r="L21" s="991" t="s">
        <v>825</v>
      </c>
      <c r="M21" s="61">
        <v>645</v>
      </c>
      <c r="N21" s="43"/>
      <c r="O21" s="1062"/>
      <c r="P21" s="1069">
        <f>$P20/$U20*$U21/$P$18</f>
        <v>10.309090909090907</v>
      </c>
      <c r="Q21" s="1069">
        <f>$Q20/$U20*$U21/$Q$18</f>
        <v>10.309090909090907</v>
      </c>
      <c r="R21" s="1069">
        <f>$R$20/$U$20*$U21/$R$18</f>
        <v>14.432727272727272</v>
      </c>
      <c r="S21" s="1069">
        <f>$S$20/$U$20*$U21/$S$18</f>
        <v>13.058181818181817</v>
      </c>
      <c r="T21" s="1118">
        <f>$T$20/$U$20*$U21/$T$18</f>
        <v>13.058181818181817</v>
      </c>
      <c r="U21" s="1183">
        <v>75.599999999999994</v>
      </c>
      <c r="V21" s="1175" t="s">
        <v>1076</v>
      </c>
      <c r="X21" s="60"/>
      <c r="Z21" s="4"/>
      <c r="AA21" s="59"/>
      <c r="AB21" s="59"/>
      <c r="AC21" s="59"/>
      <c r="AD21" s="59"/>
      <c r="AE21" s="59"/>
      <c r="AF21" s="59"/>
      <c r="AG21" s="23"/>
      <c r="AH21" s="24"/>
      <c r="AJ21" s="4"/>
      <c r="AK21" s="17" t="s">
        <v>1082</v>
      </c>
      <c r="AL21" s="524"/>
      <c r="AM21" s="524"/>
      <c r="AN21" s="524"/>
      <c r="AO21" s="524"/>
      <c r="AP21" s="524"/>
      <c r="AQ21" s="524"/>
      <c r="AR21" s="524"/>
      <c r="AS21" s="524"/>
      <c r="AT21" s="524"/>
      <c r="AU21" s="524"/>
      <c r="AV21" s="524"/>
      <c r="AW21" s="524"/>
      <c r="AX21" s="524"/>
      <c r="AY21" s="524"/>
      <c r="AZ21" s="524"/>
      <c r="BA21" s="524"/>
      <c r="BB21" s="524"/>
      <c r="BC21" s="524"/>
      <c r="BD21" s="524"/>
      <c r="BE21" s="10"/>
    </row>
    <row r="22" spans="2:57" ht="15" thickBot="1" x14ac:dyDescent="0.35">
      <c r="B22" s="4"/>
      <c r="C22" s="59"/>
      <c r="D22" s="59"/>
      <c r="E22" s="59"/>
      <c r="F22" s="59"/>
      <c r="G22" s="59"/>
      <c r="H22" s="59"/>
      <c r="I22" s="23"/>
      <c r="J22" s="24"/>
      <c r="K22" s="23"/>
      <c r="L22" s="992" t="s">
        <v>826</v>
      </c>
      <c r="M22" s="776">
        <v>21</v>
      </c>
      <c r="N22" s="43"/>
      <c r="O22" s="1062"/>
      <c r="P22" s="1069">
        <f>$P$20/$U$20*$U22/$P$18</f>
        <v>11.127272727272725</v>
      </c>
      <c r="Q22" s="1069">
        <f>$Q$20/$U$20*$U22/$Q$18</f>
        <v>11.127272727272725</v>
      </c>
      <c r="R22" s="1069">
        <f t="shared" ref="R22:R23" si="2">$R$20/$U$20*$U22/$R$18</f>
        <v>15.578181818181818</v>
      </c>
      <c r="S22" s="1069">
        <f t="shared" ref="S22:S23" si="3">$S$20/$U$20*$U22/$S$18</f>
        <v>14.094545454545454</v>
      </c>
      <c r="T22" s="1118">
        <f t="shared" ref="T22:T23" si="4">$T$20/$U$20*$U22/$T$18</f>
        <v>14.094545454545454</v>
      </c>
      <c r="U22" s="1183">
        <v>81.599999999999994</v>
      </c>
      <c r="V22" s="629" t="s">
        <v>1075</v>
      </c>
      <c r="X22" s="60"/>
      <c r="Z22" s="4"/>
      <c r="AA22" s="59"/>
      <c r="AB22" s="59"/>
      <c r="AC22" s="59"/>
      <c r="AD22" s="59"/>
      <c r="AE22" s="59"/>
      <c r="AF22" s="59"/>
      <c r="AG22" s="28">
        <v>237</v>
      </c>
      <c r="AH22" s="27"/>
      <c r="AJ22" s="4"/>
      <c r="AK22" s="17" t="s">
        <v>1078</v>
      </c>
      <c r="AL22" s="524"/>
      <c r="AM22" s="524"/>
      <c r="AN22" s="524"/>
      <c r="AO22" s="524"/>
      <c r="AP22" s="524"/>
      <c r="AQ22" s="524"/>
      <c r="AR22" s="524"/>
      <c r="AS22" s="524"/>
      <c r="AT22" s="524"/>
      <c r="AU22" s="524"/>
      <c r="AV22" s="524"/>
      <c r="AW22" s="524"/>
      <c r="AX22" s="524"/>
      <c r="AY22" s="524"/>
      <c r="AZ22" s="524"/>
      <c r="BA22" s="524"/>
      <c r="BB22" s="524"/>
      <c r="BC22" s="524"/>
      <c r="BD22" s="524"/>
      <c r="BE22" s="10"/>
    </row>
    <row r="23" spans="2:57" ht="15" thickBot="1" x14ac:dyDescent="0.35">
      <c r="B23" s="4"/>
      <c r="C23" s="59"/>
      <c r="D23" s="59"/>
      <c r="E23" s="59"/>
      <c r="F23" s="59"/>
      <c r="G23" s="59"/>
      <c r="H23" s="59"/>
      <c r="I23" s="23"/>
      <c r="J23" s="24"/>
      <c r="K23" s="23"/>
      <c r="L23" s="1080" t="s">
        <v>827</v>
      </c>
      <c r="M23" s="107">
        <v>32</v>
      </c>
      <c r="N23" s="43"/>
      <c r="O23" s="1063"/>
      <c r="P23" s="1070">
        <f>$P$20/$U$20*$U23/$P$18</f>
        <v>11.577272727272728</v>
      </c>
      <c r="Q23" s="1070">
        <f>$Q$20/$U$20*$U23/$Q$18</f>
        <v>11.577272727272728</v>
      </c>
      <c r="R23" s="1070">
        <f t="shared" si="2"/>
        <v>16.208181818181821</v>
      </c>
      <c r="S23" s="1070">
        <f t="shared" si="3"/>
        <v>14.664545454545456</v>
      </c>
      <c r="T23" s="1119">
        <f t="shared" si="4"/>
        <v>14.664545454545456</v>
      </c>
      <c r="U23" s="1068">
        <v>84.9</v>
      </c>
      <c r="V23" s="1184" t="s">
        <v>1045</v>
      </c>
      <c r="Z23" s="4"/>
      <c r="AA23" s="59"/>
      <c r="AB23" s="59"/>
      <c r="AC23" s="59"/>
      <c r="AD23" s="59"/>
      <c r="AE23" s="59"/>
      <c r="AF23" s="59"/>
      <c r="AG23" s="29" t="s">
        <v>1120</v>
      </c>
      <c r="AH23" s="433"/>
      <c r="AJ23" s="19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40"/>
    </row>
    <row r="24" spans="2:57" ht="15" thickBot="1" x14ac:dyDescent="0.35">
      <c r="B24" s="4"/>
      <c r="C24" s="59"/>
      <c r="D24" s="59"/>
      <c r="E24" s="59"/>
      <c r="F24" s="59"/>
      <c r="G24" s="59"/>
      <c r="H24" s="59"/>
      <c r="I24" s="28">
        <f>L5*0.985</f>
        <v>482.65</v>
      </c>
      <c r="J24" s="27"/>
      <c r="K24" s="187"/>
      <c r="L24" s="1081"/>
      <c r="M24" s="997">
        <f>M20*M21*M22*M16/1000000</f>
        <v>32.000062499999999</v>
      </c>
      <c r="N24" s="43"/>
      <c r="T24"/>
      <c r="Z24" s="4"/>
      <c r="AA24" s="59"/>
      <c r="AB24" s="59"/>
      <c r="AC24" s="59"/>
      <c r="AD24" s="59"/>
      <c r="AE24" s="59"/>
      <c r="AF24" s="59"/>
      <c r="AG24" s="29"/>
      <c r="AH24" s="27"/>
    </row>
    <row r="25" spans="2:57" ht="15" thickBot="1" x14ac:dyDescent="0.35">
      <c r="B25" s="4"/>
      <c r="C25" s="59"/>
      <c r="D25" s="59"/>
      <c r="E25" s="59"/>
      <c r="F25" s="59"/>
      <c r="G25" s="59"/>
      <c r="H25" s="59"/>
      <c r="I25" s="483" t="str">
        <f>"( "&amp;M20&amp;" )"</f>
        <v>( 315 )</v>
      </c>
      <c r="J25" s="433"/>
      <c r="K25" s="187"/>
      <c r="L25" s="43"/>
      <c r="M25" s="43"/>
      <c r="N25" s="43"/>
      <c r="R25" s="1113"/>
      <c r="S25" s="1113"/>
      <c r="T25" s="1113"/>
      <c r="Z25" s="4"/>
      <c r="AA25" s="59"/>
      <c r="AB25" s="59"/>
      <c r="AC25" s="59"/>
      <c r="AD25" s="59"/>
      <c r="AE25" s="59"/>
      <c r="AF25" s="59"/>
      <c r="AG25" s="29"/>
      <c r="AH25" s="27"/>
    </row>
    <row r="26" spans="2:57" ht="15.6" x14ac:dyDescent="0.3">
      <c r="B26" s="4"/>
      <c r="C26" s="59"/>
      <c r="D26" s="59"/>
      <c r="E26" s="59"/>
      <c r="F26" s="59"/>
      <c r="G26" s="59"/>
      <c r="H26" s="59"/>
      <c r="I26" s="29"/>
      <c r="J26" s="27"/>
      <c r="K26" s="187"/>
      <c r="L26" s="1007" t="s">
        <v>1091</v>
      </c>
      <c r="M26" s="1009"/>
      <c r="N26" s="1008" t="b">
        <v>0</v>
      </c>
      <c r="P26" s="1581" t="s">
        <v>332</v>
      </c>
      <c r="Q26" s="1582"/>
      <c r="R26" s="1583"/>
      <c r="S26" s="1588">
        <f>R27*R28+R29*R28</f>
        <v>600</v>
      </c>
      <c r="T26" s="1113"/>
      <c r="Y26" s="43"/>
      <c r="Z26" s="4"/>
      <c r="AA26" s="59"/>
      <c r="AB26" s="59"/>
      <c r="AC26" s="59"/>
      <c r="AD26" s="59"/>
      <c r="AE26" s="59"/>
      <c r="AF26" s="59"/>
      <c r="AG26" s="29"/>
      <c r="AH26" s="27"/>
      <c r="AJ26" s="12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13"/>
    </row>
    <row r="27" spans="2:57" ht="15.6" x14ac:dyDescent="0.3">
      <c r="B27" s="4"/>
      <c r="C27" s="59"/>
      <c r="D27" s="59"/>
      <c r="E27" s="59"/>
      <c r="F27" s="59"/>
      <c r="G27" s="59"/>
      <c r="H27" s="59"/>
      <c r="I27" s="29"/>
      <c r="J27" s="27"/>
      <c r="K27" s="187"/>
      <c r="L27" s="608" t="s">
        <v>1089</v>
      </c>
      <c r="M27" s="776">
        <v>400</v>
      </c>
      <c r="N27" s="10"/>
      <c r="P27" s="1584" t="s">
        <v>89</v>
      </c>
      <c r="Q27" s="1585"/>
      <c r="R27" s="1197">
        <v>130</v>
      </c>
      <c r="S27" s="1589"/>
      <c r="T27" s="1113"/>
      <c r="Y27" s="43"/>
      <c r="Z27" s="4"/>
      <c r="AA27" s="59"/>
      <c r="AB27" s="59"/>
      <c r="AC27" s="32"/>
      <c r="AD27" s="59"/>
      <c r="AE27" s="59"/>
      <c r="AF27" s="59"/>
      <c r="AG27" s="29"/>
      <c r="AH27" s="27"/>
      <c r="AJ27" s="1088"/>
      <c r="AK27" s="342"/>
      <c r="AL27" s="466"/>
      <c r="AM27" s="186"/>
      <c r="AN27" s="186"/>
      <c r="AO27" s="186"/>
      <c r="AP27" s="186"/>
      <c r="AQ27" s="524"/>
      <c r="AR27" s="524"/>
      <c r="AS27" s="524">
        <f>SUM(AL29:BD29)</f>
        <v>560</v>
      </c>
      <c r="AT27" s="524"/>
      <c r="AU27" s="524"/>
      <c r="AV27" s="524"/>
      <c r="AW27" s="524"/>
      <c r="AX27" s="524"/>
      <c r="AY27" s="524"/>
      <c r="AZ27" s="524"/>
      <c r="BA27" s="524"/>
      <c r="BB27" s="524"/>
      <c r="BC27" s="59"/>
      <c r="BD27" s="59"/>
      <c r="BE27" s="10"/>
    </row>
    <row r="28" spans="2:57" ht="16.2" thickBot="1" x14ac:dyDescent="0.35">
      <c r="B28" s="4"/>
      <c r="C28" s="59"/>
      <c r="D28" s="59"/>
      <c r="E28" s="59"/>
      <c r="F28" s="59"/>
      <c r="G28" s="59"/>
      <c r="H28" s="59"/>
      <c r="I28" s="29"/>
      <c r="J28" s="27"/>
      <c r="K28" s="187"/>
      <c r="L28" s="1131" t="s">
        <v>1090</v>
      </c>
      <c r="M28" s="1132">
        <v>200</v>
      </c>
      <c r="N28" s="1133"/>
      <c r="P28" s="1586" t="s">
        <v>1133</v>
      </c>
      <c r="Q28" s="1587"/>
      <c r="R28" s="1198">
        <v>4</v>
      </c>
      <c r="S28" s="1589"/>
      <c r="Y28" s="43"/>
      <c r="Z28" s="4"/>
      <c r="AA28" s="59"/>
      <c r="AB28" s="31">
        <v>20</v>
      </c>
      <c r="AC28" s="59"/>
      <c r="AD28" s="59"/>
      <c r="AE28" s="59"/>
      <c r="AF28" s="59"/>
      <c r="AG28" s="29"/>
      <c r="AH28" s="27"/>
      <c r="AJ28" s="1088"/>
      <c r="AK28" s="466"/>
      <c r="AL28" s="466"/>
      <c r="AM28" s="186"/>
      <c r="AN28" s="186"/>
      <c r="AO28" s="186"/>
      <c r="AP28" s="186"/>
      <c r="AQ28" s="524"/>
      <c r="AR28" s="524"/>
      <c r="AS28" s="524"/>
      <c r="AT28" s="524"/>
      <c r="AU28" s="524"/>
      <c r="AV28" s="524"/>
      <c r="AW28" s="524"/>
      <c r="AX28" s="524"/>
      <c r="AY28" s="524"/>
      <c r="AZ28" s="524"/>
      <c r="BA28" s="524"/>
      <c r="BB28" s="524"/>
      <c r="BC28" s="59"/>
      <c r="BD28" s="59"/>
      <c r="BE28" s="10"/>
    </row>
    <row r="29" spans="2:57" ht="16.2" thickBot="1" x14ac:dyDescent="0.35">
      <c r="B29" s="4"/>
      <c r="C29" s="59"/>
      <c r="D29" s="59"/>
      <c r="E29" s="32"/>
      <c r="F29" s="59"/>
      <c r="G29" s="59"/>
      <c r="H29" s="59"/>
      <c r="I29" s="29"/>
      <c r="J29" s="27"/>
      <c r="K29" s="187"/>
      <c r="L29" s="43"/>
      <c r="M29" s="43"/>
      <c r="N29" s="43"/>
      <c r="P29" s="1584" t="s">
        <v>1035</v>
      </c>
      <c r="Q29" s="1585"/>
      <c r="R29" s="1199">
        <v>20</v>
      </c>
      <c r="S29" s="1590"/>
      <c r="Y29" s="43"/>
      <c r="Z29" s="4"/>
      <c r="AA29" s="59"/>
      <c r="AB29" s="59"/>
      <c r="AC29" s="59"/>
      <c r="AD29" s="59"/>
      <c r="AE29" s="59"/>
      <c r="AF29" s="59"/>
      <c r="AG29" s="29"/>
      <c r="AH29" s="27"/>
      <c r="AJ29" s="4"/>
      <c r="AK29" s="59"/>
      <c r="AL29" s="524">
        <v>10</v>
      </c>
      <c r="AM29" s="1593">
        <v>550</v>
      </c>
      <c r="AN29" s="1593"/>
      <c r="AO29" s="524"/>
      <c r="AP29" s="59"/>
      <c r="AQ29" s="524"/>
      <c r="AR29" s="524"/>
      <c r="AS29" s="524"/>
      <c r="AT29" s="524"/>
      <c r="AU29" s="524"/>
      <c r="AV29" s="524"/>
      <c r="AW29" s="524"/>
      <c r="AX29" s="524"/>
      <c r="AY29" s="524"/>
      <c r="AZ29" s="524"/>
      <c r="BA29" s="524"/>
      <c r="BB29" s="59"/>
      <c r="BC29" s="59"/>
      <c r="BD29" s="59"/>
      <c r="BE29" s="10"/>
    </row>
    <row r="30" spans="2:57" x14ac:dyDescent="0.3">
      <c r="B30" s="4"/>
      <c r="C30" s="59"/>
      <c r="D30" s="31">
        <v>15</v>
      </c>
      <c r="E30" s="59"/>
      <c r="F30" s="59"/>
      <c r="G30" s="59"/>
      <c r="H30" s="59"/>
      <c r="I30" s="29"/>
      <c r="J30" s="27"/>
      <c r="K30" s="187"/>
      <c r="L30" s="60"/>
      <c r="M30" s="43"/>
      <c r="O30" s="59"/>
      <c r="Y30" s="43"/>
      <c r="Z30" s="1114">
        <v>79</v>
      </c>
      <c r="AA30" s="59"/>
      <c r="AB30" s="59"/>
      <c r="AC30" s="34">
        <v>1034</v>
      </c>
      <c r="AD30" s="31"/>
      <c r="AE30" s="59"/>
      <c r="AF30" s="59"/>
      <c r="AG30" s="29"/>
      <c r="AH30" s="27"/>
      <c r="AJ30" s="4"/>
      <c r="AK30" s="59"/>
      <c r="AL30" s="1082"/>
      <c r="AM30" s="1078"/>
      <c r="AN30" s="1078"/>
      <c r="AO30" s="1083"/>
      <c r="AP30" s="1083"/>
      <c r="AQ30" s="1083"/>
      <c r="AR30" s="1083"/>
      <c r="AS30" s="1083"/>
      <c r="AT30" s="1083"/>
      <c r="AU30" s="1083"/>
      <c r="AV30" s="1083"/>
      <c r="AW30" s="1083"/>
      <c r="AX30" s="1083"/>
      <c r="AY30" s="1083"/>
      <c r="AZ30" s="1083"/>
      <c r="BA30" s="1083"/>
      <c r="BB30" s="1084"/>
      <c r="BC30" s="59"/>
      <c r="BD30" s="59"/>
      <c r="BE30" s="10"/>
    </row>
    <row r="31" spans="2:57" x14ac:dyDescent="0.3">
      <c r="B31" s="4"/>
      <c r="C31" s="59"/>
      <c r="D31" s="59"/>
      <c r="E31" s="59"/>
      <c r="F31" s="59"/>
      <c r="G31" s="59"/>
      <c r="H31" s="59"/>
      <c r="I31" s="29"/>
      <c r="J31" s="27"/>
      <c r="K31" s="187"/>
      <c r="L31" s="187"/>
      <c r="M31" s="59"/>
      <c r="Y31" s="43"/>
      <c r="Z31" s="4"/>
      <c r="AA31" s="59"/>
      <c r="AB31" s="59"/>
      <c r="AC31" s="29" t="s">
        <v>1121</v>
      </c>
      <c r="AD31" s="187"/>
      <c r="AE31" s="35"/>
      <c r="AF31" s="59"/>
      <c r="AG31" s="29"/>
      <c r="AH31" s="27"/>
      <c r="AJ31" s="4"/>
      <c r="AK31" s="59"/>
      <c r="AL31" s="1102"/>
      <c r="AM31" s="1591"/>
      <c r="AN31" s="1592"/>
      <c r="AO31" s="1101"/>
      <c r="AP31" s="186"/>
      <c r="AQ31" s="186"/>
      <c r="AR31" s="186"/>
      <c r="AS31" s="186"/>
      <c r="AT31" s="186"/>
      <c r="AU31" s="186"/>
      <c r="AV31" s="186"/>
      <c r="AW31" s="524"/>
      <c r="AX31" s="524"/>
      <c r="AY31" s="524"/>
      <c r="AZ31" s="524"/>
      <c r="BA31" s="524"/>
      <c r="BB31" s="18"/>
      <c r="BC31" s="59"/>
      <c r="BD31" s="59"/>
      <c r="BE31" s="10"/>
    </row>
    <row r="32" spans="2:57" x14ac:dyDescent="0.3">
      <c r="B32" s="4"/>
      <c r="C32" s="33">
        <f>IF(N26=TRUE,0,L11*0.985)</f>
        <v>118.2</v>
      </c>
      <c r="D32" s="59"/>
      <c r="E32" s="34">
        <f>IF(N26=FALSE,L4*0.985,M27)</f>
        <v>1300.2</v>
      </c>
      <c r="F32" s="31"/>
      <c r="G32" s="59"/>
      <c r="H32" s="59"/>
      <c r="I32" s="29"/>
      <c r="J32" s="27"/>
      <c r="K32" s="187"/>
      <c r="L32" s="43"/>
      <c r="M32" s="43"/>
      <c r="Y32" s="43"/>
      <c r="Z32" s="4"/>
      <c r="AA32" s="59"/>
      <c r="AB32" s="59"/>
      <c r="AC32" s="59"/>
      <c r="AD32" s="31"/>
      <c r="AE32" s="59"/>
      <c r="AF32" s="59"/>
      <c r="AG32" s="29"/>
      <c r="AH32" s="27"/>
      <c r="AJ32" s="4"/>
      <c r="AK32" s="59">
        <v>10</v>
      </c>
      <c r="AL32" s="1103"/>
      <c r="AM32" s="1104"/>
      <c r="AN32" s="1105"/>
      <c r="AO32" s="1106"/>
      <c r="AP32" s="524"/>
      <c r="AQ32" s="1106"/>
      <c r="AR32" s="524"/>
      <c r="AS32" s="1106"/>
      <c r="AT32" s="524"/>
      <c r="AU32" s="1106"/>
      <c r="AV32" s="524"/>
      <c r="AW32" s="1106"/>
      <c r="AX32" s="524"/>
      <c r="AY32" s="1106"/>
      <c r="AZ32" s="524"/>
      <c r="BA32" s="1106"/>
      <c r="BB32" s="18"/>
      <c r="BC32" s="59">
        <v>20</v>
      </c>
      <c r="BD32" s="59"/>
      <c r="BE32" s="10"/>
    </row>
    <row r="33" spans="2:57" x14ac:dyDescent="0.3">
      <c r="B33" s="4"/>
      <c r="C33" s="59"/>
      <c r="D33" s="59"/>
      <c r="E33" s="483" t="str">
        <f>"( "&amp;M21&amp;" )"</f>
        <v>( 645 )</v>
      </c>
      <c r="F33" s="31"/>
      <c r="G33" s="35"/>
      <c r="H33" s="59"/>
      <c r="I33" s="29"/>
      <c r="J33" s="27"/>
      <c r="K33" s="187"/>
      <c r="L33" s="43"/>
      <c r="M33" s="43"/>
      <c r="Y33" s="43"/>
      <c r="Z33" s="4"/>
      <c r="AA33" s="59"/>
      <c r="AB33" s="59"/>
      <c r="AC33" s="59"/>
      <c r="AD33" s="59"/>
      <c r="AE33" s="59"/>
      <c r="AF33" s="59"/>
      <c r="AG33" s="29"/>
      <c r="AH33" s="27"/>
      <c r="AJ33" s="4">
        <f>SUM(AK30:AK36)</f>
        <v>210</v>
      </c>
      <c r="AK33" s="59">
        <v>85</v>
      </c>
      <c r="AL33" s="1102"/>
      <c r="AM33" s="1107">
        <v>1</v>
      </c>
      <c r="AN33" s="1091"/>
      <c r="AO33" s="1107">
        <v>1</v>
      </c>
      <c r="AP33" s="1091"/>
      <c r="AQ33" s="1108">
        <v>2</v>
      </c>
      <c r="AR33" s="1091"/>
      <c r="AS33" s="1108">
        <v>2</v>
      </c>
      <c r="AT33" s="1091"/>
      <c r="AU33" s="1108">
        <v>2</v>
      </c>
      <c r="AV33" s="1092"/>
      <c r="AW33" s="1108">
        <v>2</v>
      </c>
      <c r="AX33" s="1091"/>
      <c r="AY33" s="1100">
        <v>3</v>
      </c>
      <c r="AZ33" s="1091"/>
      <c r="BA33" s="1100">
        <v>3</v>
      </c>
      <c r="BB33" s="18"/>
      <c r="BC33" s="59">
        <v>103</v>
      </c>
      <c r="BD33" s="59">
        <f>SUM(BC30:BC36)</f>
        <v>256</v>
      </c>
      <c r="BE33" s="10"/>
    </row>
    <row r="34" spans="2:57" x14ac:dyDescent="0.3">
      <c r="B34" s="4"/>
      <c r="C34" s="59"/>
      <c r="D34" s="59"/>
      <c r="E34" s="59"/>
      <c r="F34" s="31"/>
      <c r="G34" s="59"/>
      <c r="H34" s="59"/>
      <c r="I34" s="29"/>
      <c r="J34" s="27"/>
      <c r="K34" s="187"/>
      <c r="L34" s="43"/>
      <c r="M34" s="43"/>
      <c r="Y34" s="43"/>
      <c r="Z34" s="4"/>
      <c r="AA34" s="59"/>
      <c r="AB34" s="59"/>
      <c r="AC34" s="59"/>
      <c r="AD34" s="59"/>
      <c r="AE34" s="59"/>
      <c r="AF34" s="59"/>
      <c r="AG34" s="28">
        <v>37</v>
      </c>
      <c r="AH34" s="27"/>
      <c r="AJ34" s="4"/>
      <c r="AK34" s="59">
        <v>20</v>
      </c>
      <c r="AL34" s="1103"/>
      <c r="AM34" s="1104"/>
      <c r="AN34" s="524"/>
      <c r="AO34" s="1104"/>
      <c r="AP34" s="524"/>
      <c r="AQ34" s="1104"/>
      <c r="AR34" s="524"/>
      <c r="AS34" s="1104"/>
      <c r="AT34" s="524"/>
      <c r="AU34" s="1104"/>
      <c r="AV34" s="524"/>
      <c r="AW34" s="1104"/>
      <c r="AX34" s="524"/>
      <c r="AY34" s="1104"/>
      <c r="AZ34" s="524"/>
      <c r="BA34" s="1104"/>
      <c r="BB34" s="18"/>
      <c r="BC34" s="59">
        <v>20</v>
      </c>
      <c r="BD34" s="59"/>
      <c r="BE34" s="10"/>
    </row>
    <row r="35" spans="2:57" x14ac:dyDescent="0.3">
      <c r="B35" s="4"/>
      <c r="C35" s="59"/>
      <c r="D35" s="59"/>
      <c r="E35" s="59"/>
      <c r="F35" s="59"/>
      <c r="G35" s="59"/>
      <c r="H35" s="59"/>
      <c r="I35" s="29"/>
      <c r="J35" s="27"/>
      <c r="K35" s="187"/>
      <c r="L35" s="43"/>
      <c r="M35" s="43"/>
      <c r="Y35" s="43"/>
      <c r="Z35" s="4"/>
      <c r="AA35" s="59"/>
      <c r="AB35" s="59"/>
      <c r="AC35" s="59"/>
      <c r="AD35" s="59"/>
      <c r="AE35" s="59"/>
      <c r="AF35" s="59"/>
      <c r="AG35" s="29" t="s">
        <v>1125</v>
      </c>
      <c r="AH35" s="27"/>
      <c r="AJ35" s="4"/>
      <c r="AK35" s="59">
        <v>85</v>
      </c>
      <c r="AL35" s="1102"/>
      <c r="AM35" s="1107">
        <v>1</v>
      </c>
      <c r="AN35" s="1091"/>
      <c r="AO35" s="1107">
        <v>1</v>
      </c>
      <c r="AP35" s="1091"/>
      <c r="AQ35" s="1108">
        <v>2</v>
      </c>
      <c r="AR35" s="1091"/>
      <c r="AS35" s="1108">
        <v>2</v>
      </c>
      <c r="AT35" s="1091"/>
      <c r="AU35" s="1108">
        <v>2</v>
      </c>
      <c r="AV35" s="1091"/>
      <c r="AW35" s="1108">
        <v>2</v>
      </c>
      <c r="AX35" s="1091"/>
      <c r="AY35" s="1100">
        <v>3</v>
      </c>
      <c r="AZ35" s="1091"/>
      <c r="BA35" s="1100">
        <v>3</v>
      </c>
      <c r="BB35" s="18"/>
      <c r="BC35" s="59">
        <v>103</v>
      </c>
      <c r="BD35" s="59"/>
      <c r="BE35" s="10"/>
    </row>
    <row r="36" spans="2:57" ht="15" thickBot="1" x14ac:dyDescent="0.35">
      <c r="B36" s="4"/>
      <c r="C36" s="59"/>
      <c r="D36" s="59"/>
      <c r="E36" s="59"/>
      <c r="F36" s="59"/>
      <c r="G36" s="59"/>
      <c r="H36" s="59"/>
      <c r="I36" s="28">
        <f>L6*0.985</f>
        <v>49.25</v>
      </c>
      <c r="J36" s="27"/>
      <c r="K36" s="187"/>
      <c r="L36" s="43"/>
      <c r="M36" s="43"/>
      <c r="P36" s="59"/>
      <c r="Y36" s="43"/>
      <c r="Z36" s="4"/>
      <c r="AA36" s="59"/>
      <c r="AB36" s="59"/>
      <c r="AC36" s="59"/>
      <c r="AD36" s="59"/>
      <c r="AE36" s="59"/>
      <c r="AF36" s="59"/>
      <c r="AG36" s="1115"/>
      <c r="AH36" s="24"/>
      <c r="AJ36" s="4"/>
      <c r="AK36" s="59">
        <v>10</v>
      </c>
      <c r="AL36" s="1109"/>
      <c r="AM36" s="1110"/>
      <c r="AN36" s="432"/>
      <c r="AO36" s="1111"/>
      <c r="AP36" s="432"/>
      <c r="AQ36" s="1111"/>
      <c r="AR36" s="432"/>
      <c r="AS36" s="1111"/>
      <c r="AT36" s="432"/>
      <c r="AU36" s="1111"/>
      <c r="AV36" s="432"/>
      <c r="AW36" s="1111"/>
      <c r="AX36" s="432"/>
      <c r="AY36" s="1111"/>
      <c r="AZ36" s="432"/>
      <c r="BA36" s="1111"/>
      <c r="BB36" s="22"/>
      <c r="BC36" s="59">
        <v>10</v>
      </c>
      <c r="BD36" s="59"/>
      <c r="BE36" s="10"/>
    </row>
    <row r="37" spans="2:57" x14ac:dyDescent="0.3">
      <c r="B37" s="4"/>
      <c r="C37" s="59"/>
      <c r="D37" s="59"/>
      <c r="E37" s="59"/>
      <c r="F37" s="59"/>
      <c r="G37" s="59"/>
      <c r="H37" s="59"/>
      <c r="I37" s="483" t="str">
        <f>"( "&amp;M22&amp;" )"</f>
        <v>( 21 )</v>
      </c>
      <c r="J37" s="27"/>
      <c r="K37" s="187"/>
      <c r="L37" s="43"/>
      <c r="M37" s="43"/>
      <c r="Y37" s="43"/>
      <c r="Z37" s="4"/>
      <c r="AA37" s="59"/>
      <c r="AB37" s="59"/>
      <c r="AC37" s="59"/>
      <c r="AD37" s="59"/>
      <c r="AE37" s="59"/>
      <c r="AF37" s="59"/>
      <c r="AG37" s="23"/>
      <c r="AH37" s="24"/>
      <c r="AJ37" s="4"/>
      <c r="AK37" s="59"/>
      <c r="AL37" s="524">
        <v>10</v>
      </c>
      <c r="AM37" s="524">
        <v>300</v>
      </c>
      <c r="AN37" s="524">
        <v>20</v>
      </c>
      <c r="AO37" s="524">
        <v>300</v>
      </c>
      <c r="AP37" s="524">
        <v>20</v>
      </c>
      <c r="AQ37" s="524">
        <v>190</v>
      </c>
      <c r="AR37" s="524">
        <v>20</v>
      </c>
      <c r="AS37" s="524">
        <v>130</v>
      </c>
      <c r="AT37" s="524">
        <v>20</v>
      </c>
      <c r="AU37" s="524"/>
      <c r="AV37" s="524"/>
      <c r="AW37" s="524"/>
      <c r="AX37" s="524"/>
      <c r="AY37" s="524"/>
      <c r="AZ37" s="524"/>
      <c r="BA37" s="524"/>
      <c r="BB37" s="524"/>
      <c r="BC37" s="59"/>
      <c r="BD37" s="59"/>
      <c r="BE37" s="10"/>
    </row>
    <row r="38" spans="2:57" x14ac:dyDescent="0.3">
      <c r="B38" s="4"/>
      <c r="C38" s="59"/>
      <c r="D38" s="59"/>
      <c r="E38" s="59"/>
      <c r="F38" s="59"/>
      <c r="G38" s="59"/>
      <c r="H38" s="59"/>
      <c r="I38" s="23"/>
      <c r="J38" s="24"/>
      <c r="K38" s="23"/>
      <c r="L38" s="43"/>
      <c r="M38" s="43"/>
      <c r="Y38" s="43"/>
      <c r="Z38" s="4"/>
      <c r="AA38" s="59"/>
      <c r="AB38" s="59"/>
      <c r="AC38" s="59"/>
      <c r="AD38" s="59"/>
      <c r="AE38" s="59"/>
      <c r="AF38" s="59"/>
      <c r="AG38" s="23"/>
      <c r="AH38" s="24"/>
      <c r="AJ38" s="4"/>
      <c r="AK38" s="59"/>
      <c r="AL38" s="524"/>
      <c r="AM38" s="524"/>
      <c r="AN38" s="524"/>
      <c r="AO38" s="524"/>
      <c r="AP38" s="524"/>
      <c r="AQ38" s="524"/>
      <c r="AR38" s="524"/>
      <c r="AS38" s="524"/>
      <c r="AT38" s="524"/>
      <c r="AU38" s="524"/>
      <c r="AV38" s="524"/>
      <c r="AW38" s="524"/>
      <c r="AX38" s="524"/>
      <c r="AY38" s="524"/>
      <c r="AZ38" s="524"/>
      <c r="BA38" s="524"/>
      <c r="BB38" s="524"/>
      <c r="BC38" s="59"/>
      <c r="BD38" s="59"/>
      <c r="BE38" s="10"/>
    </row>
    <row r="39" spans="2:57" ht="15" thickBot="1" x14ac:dyDescent="0.35">
      <c r="B39" s="4"/>
      <c r="C39" s="59"/>
      <c r="D39" s="59"/>
      <c r="E39" s="59"/>
      <c r="F39" s="59"/>
      <c r="G39" s="59"/>
      <c r="H39" s="59"/>
      <c r="I39" s="23"/>
      <c r="J39" s="24"/>
      <c r="K39" s="23"/>
      <c r="L39" s="43"/>
      <c r="M39" s="43"/>
      <c r="Z39" s="19"/>
      <c r="AA39" s="65"/>
      <c r="AB39" s="65"/>
      <c r="AC39" s="127"/>
      <c r="AD39" s="65"/>
      <c r="AE39" s="65"/>
      <c r="AF39" s="65"/>
      <c r="AG39" s="65"/>
      <c r="AH39" s="40"/>
      <c r="AJ39" s="4"/>
      <c r="AK39" s="59"/>
      <c r="AL39" s="524"/>
      <c r="AM39" s="524"/>
      <c r="AN39" s="524"/>
      <c r="AO39" s="524"/>
      <c r="AP39" s="524"/>
      <c r="AQ39" s="524"/>
      <c r="AR39" s="524"/>
      <c r="AS39" s="524">
        <f>SUM(AL37:BD37)</f>
        <v>1010</v>
      </c>
      <c r="AT39" s="524"/>
      <c r="AU39" s="524"/>
      <c r="AV39" s="524"/>
      <c r="AW39" s="524"/>
      <c r="AX39" s="524"/>
      <c r="AY39" s="524"/>
      <c r="AZ39" s="524"/>
      <c r="BA39" s="524"/>
      <c r="BB39" s="524"/>
      <c r="BC39" s="59"/>
      <c r="BD39" s="59"/>
      <c r="BE39" s="10"/>
    </row>
    <row r="40" spans="2:57" x14ac:dyDescent="0.3">
      <c r="B40" s="4"/>
      <c r="C40" s="59"/>
      <c r="D40" s="59"/>
      <c r="E40" s="59"/>
      <c r="F40" s="59"/>
      <c r="G40" s="59"/>
      <c r="H40" s="59"/>
      <c r="I40" s="23"/>
      <c r="J40" s="24"/>
      <c r="K40" s="23"/>
      <c r="L40" s="43"/>
      <c r="M40" s="43"/>
      <c r="Z40" s="4"/>
      <c r="AA40" s="434" t="s">
        <v>60</v>
      </c>
      <c r="AB40" s="434"/>
      <c r="AC40" s="434"/>
      <c r="AD40" s="435" t="s">
        <v>91</v>
      </c>
      <c r="AE40" s="434"/>
      <c r="AF40" s="434"/>
      <c r="AG40" s="434"/>
      <c r="AH40" s="10"/>
      <c r="AJ40" s="4"/>
      <c r="AK40" s="59"/>
      <c r="AL40" s="524"/>
      <c r="AM40" s="524"/>
      <c r="AN40" s="524"/>
      <c r="AO40" s="524"/>
      <c r="AP40" s="524"/>
      <c r="AQ40" s="524"/>
      <c r="AR40" s="524"/>
      <c r="AS40" s="524"/>
      <c r="AT40" s="524"/>
      <c r="AU40" s="524"/>
      <c r="AV40" s="524"/>
      <c r="AW40" s="524"/>
      <c r="AX40" s="524"/>
      <c r="AY40" s="524"/>
      <c r="AZ40" s="524"/>
      <c r="BA40" s="524"/>
      <c r="BB40" s="524"/>
      <c r="BC40" s="59"/>
      <c r="BD40" s="59"/>
      <c r="BE40" s="10"/>
    </row>
    <row r="41" spans="2:57" ht="15" thickBot="1" x14ac:dyDescent="0.35">
      <c r="B41" s="19"/>
      <c r="C41" s="65"/>
      <c r="D41" s="65"/>
      <c r="E41" s="127"/>
      <c r="F41" s="65"/>
      <c r="G41" s="65"/>
      <c r="H41" s="65"/>
      <c r="I41" s="65"/>
      <c r="J41" s="40"/>
      <c r="K41" s="59"/>
      <c r="L41" s="43"/>
      <c r="M41" s="43"/>
      <c r="Z41" s="4"/>
      <c r="AA41" s="434" t="s">
        <v>55</v>
      </c>
      <c r="AB41" s="434"/>
      <c r="AC41" s="434"/>
      <c r="AD41" s="430" t="s">
        <v>56</v>
      </c>
      <c r="AE41" s="434"/>
      <c r="AF41" s="434"/>
      <c r="AG41" s="434"/>
      <c r="AH41" s="10"/>
      <c r="AJ41" s="4"/>
      <c r="AK41" s="59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59"/>
      <c r="BD41" s="59"/>
      <c r="BE41" s="10"/>
    </row>
    <row r="42" spans="2:57" x14ac:dyDescent="0.3">
      <c r="B42" s="4"/>
      <c r="C42" s="434" t="s">
        <v>60</v>
      </c>
      <c r="D42" s="434"/>
      <c r="E42" s="434"/>
      <c r="F42" s="435" t="s">
        <v>91</v>
      </c>
      <c r="G42" s="434"/>
      <c r="H42" s="434"/>
      <c r="I42" s="434"/>
      <c r="J42" s="10"/>
      <c r="K42" s="59"/>
      <c r="L42" s="43"/>
      <c r="M42" s="43"/>
      <c r="Z42" s="4"/>
      <c r="AA42" s="434" t="s">
        <v>951</v>
      </c>
      <c r="AB42" s="434"/>
      <c r="AC42" s="434"/>
      <c r="AD42" s="430" t="s">
        <v>794</v>
      </c>
      <c r="AE42" s="434" t="s">
        <v>92</v>
      </c>
      <c r="AF42" s="434"/>
      <c r="AG42" s="434"/>
      <c r="AH42" s="10"/>
      <c r="AJ42" s="4"/>
      <c r="AK42" s="524" t="s">
        <v>1081</v>
      </c>
      <c r="AL42" s="524" t="s">
        <v>420</v>
      </c>
      <c r="AM42" s="17" t="s">
        <v>1083</v>
      </c>
      <c r="AN42" s="524"/>
      <c r="AO42" s="524"/>
      <c r="AP42" s="524"/>
      <c r="AQ42" s="524"/>
      <c r="AR42" s="524"/>
      <c r="AS42" s="524"/>
      <c r="AT42" s="524"/>
      <c r="AU42" s="524"/>
      <c r="AV42" s="524"/>
      <c r="AW42" s="524"/>
      <c r="AX42" s="524"/>
      <c r="AY42" s="524"/>
      <c r="AZ42" s="524"/>
      <c r="BA42" s="524"/>
      <c r="BB42" s="524"/>
      <c r="BC42" s="59"/>
      <c r="BD42" s="59"/>
      <c r="BE42" s="10"/>
    </row>
    <row r="43" spans="2:57" x14ac:dyDescent="0.3">
      <c r="B43" s="4"/>
      <c r="C43" s="434" t="s">
        <v>55</v>
      </c>
      <c r="D43" s="434"/>
      <c r="E43" s="434"/>
      <c r="F43" s="430" t="s">
        <v>56</v>
      </c>
      <c r="G43" s="434"/>
      <c r="H43" s="434"/>
      <c r="I43" s="434"/>
      <c r="J43" s="10"/>
      <c r="K43" s="59"/>
      <c r="L43" s="43"/>
      <c r="M43" s="43"/>
      <c r="Z43" s="4"/>
      <c r="AA43" s="434" t="s">
        <v>50</v>
      </c>
      <c r="AB43" s="434"/>
      <c r="AC43" s="434"/>
      <c r="AD43" s="430" t="s">
        <v>132</v>
      </c>
      <c r="AE43" s="434"/>
      <c r="AF43" s="434"/>
      <c r="AG43" s="434"/>
      <c r="AH43" s="10"/>
      <c r="AJ43" s="4"/>
      <c r="AK43" s="524"/>
      <c r="AL43" s="524" t="s">
        <v>423</v>
      </c>
      <c r="AM43" s="17" t="s">
        <v>1084</v>
      </c>
      <c r="AN43" s="524"/>
      <c r="AO43" s="524"/>
      <c r="AP43" s="524"/>
      <c r="AQ43" s="524"/>
      <c r="AR43" s="524"/>
      <c r="AS43" s="524"/>
      <c r="AT43" s="524"/>
      <c r="AU43" s="524"/>
      <c r="AV43" s="524"/>
      <c r="AW43" s="524"/>
      <c r="AX43" s="524"/>
      <c r="AY43" s="524"/>
      <c r="AZ43" s="524"/>
      <c r="BA43" s="524"/>
      <c r="BB43" s="524"/>
      <c r="BC43" s="59"/>
      <c r="BD43" s="59"/>
      <c r="BE43" s="10"/>
    </row>
    <row r="44" spans="2:57" x14ac:dyDescent="0.3">
      <c r="B44" s="4"/>
      <c r="C44" s="434" t="s">
        <v>951</v>
      </c>
      <c r="D44" s="434"/>
      <c r="E44" s="434"/>
      <c r="F44" s="430" t="str">
        <f>IF(L6&lt;50,VLOOKUP(F8,C69:F82,4,FALSE),VLOOKUP(F8,C69:F82,2,FALSE))</f>
        <v>1100-1120</v>
      </c>
      <c r="G44" s="434" t="s">
        <v>92</v>
      </c>
      <c r="H44" s="434"/>
      <c r="I44" s="434"/>
      <c r="J44" s="10"/>
      <c r="K44" s="59"/>
      <c r="L44" s="43"/>
      <c r="M44" s="43"/>
      <c r="Z44" s="4"/>
      <c r="AA44" s="434" t="s">
        <v>52</v>
      </c>
      <c r="AB44" s="434"/>
      <c r="AC44" s="434"/>
      <c r="AD44" s="430" t="s">
        <v>796</v>
      </c>
      <c r="AE44" s="434"/>
      <c r="AF44" s="434"/>
      <c r="AG44" s="434"/>
      <c r="AH44" s="10"/>
      <c r="AJ44" s="4"/>
      <c r="AK44" s="59"/>
      <c r="AL44" s="524" t="s">
        <v>425</v>
      </c>
      <c r="AM44" s="59" t="s">
        <v>1085</v>
      </c>
      <c r="AN44" s="59"/>
      <c r="AO44" s="59"/>
      <c r="AP44" s="59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9"/>
      <c r="BD44" s="59"/>
      <c r="BE44" s="10"/>
    </row>
    <row r="45" spans="2:57" ht="15" thickBot="1" x14ac:dyDescent="0.35">
      <c r="B45" s="4"/>
      <c r="C45" s="434" t="s">
        <v>50</v>
      </c>
      <c r="D45" s="434"/>
      <c r="E45" s="434"/>
      <c r="F45" s="430" t="str">
        <f>VLOOKUP(F8,Данные!A3:I27,6,FALSE())</f>
        <v>25010.00176</v>
      </c>
      <c r="G45" s="434"/>
      <c r="H45" s="434"/>
      <c r="I45" s="434"/>
      <c r="J45" s="10"/>
      <c r="K45" s="59"/>
      <c r="L45" s="43"/>
      <c r="M45" s="43"/>
      <c r="Z45" s="4"/>
      <c r="AA45" s="434" t="s">
        <v>66</v>
      </c>
      <c r="AB45" s="434"/>
      <c r="AC45" s="430"/>
      <c r="AD45" s="430" t="s">
        <v>67</v>
      </c>
      <c r="AE45" s="434"/>
      <c r="AF45" s="434"/>
      <c r="AG45" s="434"/>
      <c r="AH45" s="10"/>
      <c r="AJ45" s="4"/>
      <c r="AK45" s="17" t="s">
        <v>1082</v>
      </c>
      <c r="AL45" s="524"/>
      <c r="AM45" s="524"/>
      <c r="AN45" s="524"/>
      <c r="AO45" s="524"/>
      <c r="AP45" s="524"/>
      <c r="AQ45" s="524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10"/>
    </row>
    <row r="46" spans="2:57" ht="15" thickBot="1" x14ac:dyDescent="0.35">
      <c r="B46" s="4"/>
      <c r="C46" s="434" t="s">
        <v>52</v>
      </c>
      <c r="D46" s="434"/>
      <c r="E46" s="434"/>
      <c r="F46" s="430" t="s">
        <v>796</v>
      </c>
      <c r="G46" s="434"/>
      <c r="H46" s="434"/>
      <c r="I46" s="434"/>
      <c r="J46" s="10"/>
      <c r="K46" s="59"/>
      <c r="L46" s="43"/>
      <c r="M46" s="43"/>
      <c r="Z46" s="1500" t="s">
        <v>68</v>
      </c>
      <c r="AA46" s="1573"/>
      <c r="AB46" s="1501"/>
      <c r="AC46" s="436" t="s">
        <v>69</v>
      </c>
      <c r="AD46" s="437" t="s">
        <v>68</v>
      </c>
      <c r="AE46" s="13"/>
      <c r="AF46" s="71" t="s">
        <v>70</v>
      </c>
      <c r="AG46" s="71"/>
      <c r="AH46" s="13"/>
      <c r="AJ46" s="19"/>
      <c r="AK46" s="21" t="s">
        <v>1086</v>
      </c>
      <c r="AL46" s="432"/>
      <c r="AM46" s="432"/>
      <c r="AN46" s="432"/>
      <c r="AO46" s="432"/>
      <c r="AP46" s="432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40"/>
    </row>
    <row r="47" spans="2:57" ht="15" thickBot="1" x14ac:dyDescent="0.35">
      <c r="B47" s="4"/>
      <c r="C47" s="434" t="s">
        <v>66</v>
      </c>
      <c r="D47" s="434"/>
      <c r="E47" s="430"/>
      <c r="F47" s="430" t="s">
        <v>67</v>
      </c>
      <c r="G47" s="434"/>
      <c r="H47" s="434"/>
      <c r="I47" s="434"/>
      <c r="J47" s="10"/>
      <c r="K47" s="59"/>
      <c r="L47" s="43"/>
      <c r="M47" s="43"/>
      <c r="Z47" s="1578">
        <f ca="1">TODAY()</f>
        <v>45414</v>
      </c>
      <c r="AA47" s="1579"/>
      <c r="AB47" s="1580"/>
      <c r="AC47" s="39"/>
      <c r="AD47" s="1"/>
      <c r="AE47" s="84"/>
      <c r="AF47" s="2"/>
      <c r="AG47" s="2"/>
      <c r="AH47" s="84"/>
    </row>
    <row r="48" spans="2:57" ht="15" thickBot="1" x14ac:dyDescent="0.35">
      <c r="B48" s="1500" t="s">
        <v>68</v>
      </c>
      <c r="C48" s="1573"/>
      <c r="D48" s="1501"/>
      <c r="E48" s="436" t="s">
        <v>69</v>
      </c>
      <c r="F48" s="437" t="s">
        <v>68</v>
      </c>
      <c r="G48" s="13"/>
      <c r="H48" s="71" t="s">
        <v>70</v>
      </c>
      <c r="I48" s="71"/>
      <c r="J48" s="13"/>
      <c r="K48" s="59"/>
      <c r="L48" s="43"/>
      <c r="M48" s="43"/>
      <c r="Z48" s="1500" t="s">
        <v>71</v>
      </c>
      <c r="AA48" s="1573"/>
      <c r="AB48" s="1501"/>
      <c r="AC48" s="21"/>
      <c r="AD48" s="65"/>
      <c r="AE48" s="65"/>
      <c r="AF48" s="65"/>
      <c r="AG48" s="65"/>
      <c r="AH48" s="40"/>
    </row>
    <row r="49" spans="2:13" ht="15" thickBot="1" x14ac:dyDescent="0.35">
      <c r="B49" s="1578">
        <f ca="1">TODAY()</f>
        <v>45414</v>
      </c>
      <c r="C49" s="1579"/>
      <c r="D49" s="1580"/>
      <c r="E49" s="39"/>
      <c r="F49" s="1"/>
      <c r="G49" s="84"/>
      <c r="H49" s="2"/>
      <c r="I49" s="2"/>
      <c r="J49" s="84"/>
      <c r="K49" s="59"/>
      <c r="L49" s="43"/>
      <c r="M49" s="43"/>
    </row>
    <row r="50" spans="2:13" ht="15" thickBot="1" x14ac:dyDescent="0.35">
      <c r="B50" s="1500" t="s">
        <v>71</v>
      </c>
      <c r="C50" s="1573"/>
      <c r="D50" s="1501"/>
      <c r="E50" s="21"/>
      <c r="F50" s="65"/>
      <c r="G50" s="65"/>
      <c r="H50" s="65"/>
      <c r="I50" s="65"/>
      <c r="J50" s="40"/>
      <c r="K50" s="59"/>
      <c r="L50" s="43"/>
      <c r="M50" s="43"/>
    </row>
    <row r="51" spans="2:13" x14ac:dyDescent="0.3">
      <c r="K51" s="59"/>
    </row>
    <row r="68" spans="3:6" x14ac:dyDescent="0.3">
      <c r="D68" t="s">
        <v>1092</v>
      </c>
      <c r="F68" t="s">
        <v>1224</v>
      </c>
    </row>
    <row r="69" spans="3:6" x14ac:dyDescent="0.3">
      <c r="C69" s="225" t="s">
        <v>9</v>
      </c>
      <c r="D69" s="43" t="s">
        <v>120</v>
      </c>
      <c r="E69" s="43">
        <v>9.1</v>
      </c>
      <c r="F69" t="s">
        <v>1093</v>
      </c>
    </row>
    <row r="70" spans="3:6" x14ac:dyDescent="0.3">
      <c r="C70" s="225" t="s">
        <v>21</v>
      </c>
      <c r="D70" s="43" t="s">
        <v>130</v>
      </c>
      <c r="E70" s="43">
        <v>8.8800000000000008</v>
      </c>
      <c r="F70" t="s">
        <v>1094</v>
      </c>
    </row>
    <row r="71" spans="3:6" x14ac:dyDescent="0.3">
      <c r="C71" s="225" t="s">
        <v>793</v>
      </c>
      <c r="D71" s="43" t="s">
        <v>130</v>
      </c>
      <c r="E71" s="43">
        <v>8.6999999999999993</v>
      </c>
      <c r="F71" t="s">
        <v>1094</v>
      </c>
    </row>
    <row r="72" spans="3:6" x14ac:dyDescent="0.3">
      <c r="C72" s="225" t="s">
        <v>15</v>
      </c>
      <c r="D72" s="43" t="s">
        <v>130</v>
      </c>
      <c r="E72" s="43">
        <v>8.8800000000000008</v>
      </c>
      <c r="F72" t="s">
        <v>1093</v>
      </c>
    </row>
    <row r="73" spans="3:6" x14ac:dyDescent="0.3">
      <c r="C73" s="225" t="s">
        <v>128</v>
      </c>
      <c r="D73" s="60" t="s">
        <v>794</v>
      </c>
      <c r="E73" s="43">
        <v>7.5</v>
      </c>
      <c r="F73" t="s">
        <v>1095</v>
      </c>
    </row>
    <row r="74" spans="3:6" x14ac:dyDescent="0.3">
      <c r="C74" s="225" t="s">
        <v>37</v>
      </c>
      <c r="D74" s="60" t="s">
        <v>794</v>
      </c>
      <c r="E74" s="43">
        <v>7.5</v>
      </c>
      <c r="F74" s="43" t="s">
        <v>1095</v>
      </c>
    </row>
    <row r="75" spans="3:6" x14ac:dyDescent="0.3">
      <c r="C75" s="225" t="s">
        <v>28</v>
      </c>
      <c r="D75" s="60" t="s">
        <v>794</v>
      </c>
      <c r="E75" s="43">
        <v>7.5</v>
      </c>
      <c r="F75" s="43" t="s">
        <v>1095</v>
      </c>
    </row>
    <row r="76" spans="3:6" x14ac:dyDescent="0.3">
      <c r="C76" s="225" t="s">
        <v>33</v>
      </c>
      <c r="D76" s="60" t="s">
        <v>794</v>
      </c>
      <c r="E76" s="43">
        <v>8.1</v>
      </c>
      <c r="F76" t="s">
        <v>1095</v>
      </c>
    </row>
    <row r="77" spans="3:6" x14ac:dyDescent="0.3">
      <c r="C77" s="225" t="s">
        <v>31</v>
      </c>
      <c r="D77" s="60" t="s">
        <v>794</v>
      </c>
      <c r="E77" s="43">
        <v>7.8</v>
      </c>
      <c r="F77" t="s">
        <v>1095</v>
      </c>
    </row>
    <row r="78" spans="3:6" ht="15.6" x14ac:dyDescent="0.3">
      <c r="C78" s="231" t="s">
        <v>39</v>
      </c>
      <c r="D78" s="60" t="s">
        <v>794</v>
      </c>
      <c r="E78" s="43">
        <v>7.8</v>
      </c>
      <c r="F78" t="s">
        <v>1095</v>
      </c>
    </row>
    <row r="79" spans="3:6" ht="15.6" x14ac:dyDescent="0.3">
      <c r="C79" s="231" t="s">
        <v>35</v>
      </c>
      <c r="D79" s="60" t="s">
        <v>794</v>
      </c>
      <c r="E79" s="43">
        <v>7.6</v>
      </c>
      <c r="F79" t="s">
        <v>1095</v>
      </c>
    </row>
    <row r="80" spans="3:6" x14ac:dyDescent="0.3">
      <c r="C80" s="225" t="s">
        <v>134</v>
      </c>
      <c r="D80" s="60" t="s">
        <v>135</v>
      </c>
      <c r="E80" s="43">
        <v>8.5</v>
      </c>
      <c r="F80" t="s">
        <v>135</v>
      </c>
    </row>
    <row r="81" spans="3:6" x14ac:dyDescent="0.3">
      <c r="C81" s="225" t="s">
        <v>137</v>
      </c>
      <c r="D81" s="60" t="s">
        <v>795</v>
      </c>
      <c r="E81" s="43">
        <v>8.5</v>
      </c>
      <c r="F81" t="s">
        <v>1096</v>
      </c>
    </row>
    <row r="82" spans="3:6" x14ac:dyDescent="0.3">
      <c r="C82" s="225" t="s">
        <v>142</v>
      </c>
      <c r="D82" s="60" t="s">
        <v>795</v>
      </c>
      <c r="E82" s="43">
        <v>8.5</v>
      </c>
      <c r="F82" t="s">
        <v>1097</v>
      </c>
    </row>
  </sheetData>
  <mergeCells count="17">
    <mergeCell ref="AM31:AN31"/>
    <mergeCell ref="Z46:AB46"/>
    <mergeCell ref="Z47:AB47"/>
    <mergeCell ref="Z48:AB48"/>
    <mergeCell ref="Q16:U16"/>
    <mergeCell ref="AM29:AN29"/>
    <mergeCell ref="U18:V19"/>
    <mergeCell ref="B50:D50"/>
    <mergeCell ref="T2:W2"/>
    <mergeCell ref="P2:S2"/>
    <mergeCell ref="B48:D48"/>
    <mergeCell ref="B49:D49"/>
    <mergeCell ref="P26:R26"/>
    <mergeCell ref="P27:Q27"/>
    <mergeCell ref="P29:Q29"/>
    <mergeCell ref="P28:Q28"/>
    <mergeCell ref="S26:S29"/>
  </mergeCells>
  <dataValidations count="2">
    <dataValidation type="list" allowBlank="1" showInputMessage="1" showErrorMessage="1" sqref="J3 AH3" xr:uid="{E139EA59-4A1F-4A44-B14C-8D3C4C828A73}">
      <formula1>$O$4:$O$12</formula1>
    </dataValidation>
    <dataValidation type="list" allowBlank="1" showInputMessage="1" showErrorMessage="1" sqref="AD8 F8" xr:uid="{DD9468B2-7D27-4A1F-A735-C3F6F7092431}">
      <formula1>$C$69:$C$82</formula1>
    </dataValidation>
  </dataValidations>
  <hyperlinks>
    <hyperlink ref="L2:M2" r:id="rId1" display="Состояние оснастки" xr:uid="{21C72973-D06C-401E-B056-553E1EF9D925}"/>
  </hyperlinks>
  <pageMargins left="0.7" right="0.7" top="0.75" bottom="0.75" header="0.3" footer="0.3"/>
  <pageSetup paperSize="9" scale="19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5" name="Check Box 1">
              <controlPr defaultSize="0" autoFill="0" autoLine="0" autoPict="0">
                <anchor moveWithCells="1">
                  <from>
                    <xdr:col>13</xdr:col>
                    <xdr:colOff>45720</xdr:colOff>
                    <xdr:row>24</xdr:row>
                    <xdr:rowOff>175260</xdr:rowOff>
                  </from>
                  <to>
                    <xdr:col>14</xdr:col>
                    <xdr:colOff>7620</xdr:colOff>
                    <xdr:row>26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CD66-A0E8-4CB2-B378-0490BDA5B213}">
  <sheetPr codeName="Лист12">
    <pageSetUpPr fitToPage="1"/>
  </sheetPr>
  <dimension ref="A1:N74"/>
  <sheetViews>
    <sheetView tabSelected="1" topLeftCell="A10" zoomScale="70" zoomScaleNormal="70" workbookViewId="0">
      <selection activeCell="I44" sqref="I44"/>
    </sheetView>
  </sheetViews>
  <sheetFormatPr defaultRowHeight="14.4" x14ac:dyDescent="0.3"/>
  <cols>
    <col min="1" max="1" width="3.109375" customWidth="1"/>
    <col min="2" max="2" width="4.88671875" customWidth="1"/>
    <col min="3" max="3" width="6.109375" customWidth="1"/>
    <col min="4" max="4" width="25.33203125" customWidth="1"/>
    <col min="5" max="5" width="16.77734375" customWidth="1"/>
    <col min="6" max="6" width="15.44140625" customWidth="1"/>
    <col min="7" max="7" width="8.77734375" customWidth="1"/>
    <col min="8" max="8" width="11.33203125" customWidth="1"/>
    <col min="9" max="9" width="9.77734375" customWidth="1"/>
    <col min="10" max="10" width="6.21875" customWidth="1"/>
    <col min="11" max="11" width="12.33203125" customWidth="1"/>
    <col min="12" max="12" width="2.44140625" customWidth="1"/>
    <col min="18" max="18" width="9.5546875" customWidth="1"/>
    <col min="19" max="19" width="8.77734375" customWidth="1"/>
  </cols>
  <sheetData>
    <row r="1" spans="1:14" ht="15.6" customHeight="1" x14ac:dyDescent="0.3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</row>
    <row r="2" spans="1:14" ht="15" customHeight="1" thickBot="1" x14ac:dyDescent="0.35">
      <c r="A2" s="43"/>
      <c r="B2" s="703"/>
      <c r="C2" s="704"/>
      <c r="D2" s="704"/>
      <c r="E2" s="704"/>
      <c r="F2" s="704"/>
      <c r="G2" s="704"/>
      <c r="H2" s="704"/>
      <c r="I2" s="704"/>
      <c r="J2" s="704"/>
      <c r="K2" s="704"/>
      <c r="L2" s="705"/>
      <c r="M2" s="43"/>
      <c r="N2" s="389" t="s">
        <v>943</v>
      </c>
    </row>
    <row r="3" spans="1:14" x14ac:dyDescent="0.3">
      <c r="A3" s="43"/>
      <c r="B3" s="706"/>
      <c r="C3" s="12"/>
      <c r="D3" s="71"/>
      <c r="E3" s="71"/>
      <c r="F3" s="71"/>
      <c r="G3" s="71"/>
      <c r="H3" s="71"/>
      <c r="I3" s="71"/>
      <c r="J3" s="71"/>
      <c r="K3" s="13"/>
      <c r="L3" s="707"/>
      <c r="M3" s="43"/>
      <c r="N3" s="751" t="s">
        <v>942</v>
      </c>
    </row>
    <row r="4" spans="1:14" ht="18" x14ac:dyDescent="0.35">
      <c r="A4" s="43"/>
      <c r="B4" s="706"/>
      <c r="C4" s="4"/>
      <c r="D4" s="1609" t="s">
        <v>835</v>
      </c>
      <c r="E4" s="1609"/>
      <c r="F4" s="1609"/>
      <c r="G4" s="1609"/>
      <c r="H4" s="1609"/>
      <c r="I4" s="1609"/>
      <c r="J4" s="1609"/>
      <c r="K4" s="10"/>
      <c r="L4" s="707"/>
      <c r="M4" s="43"/>
      <c r="N4" s="775" t="s">
        <v>281</v>
      </c>
    </row>
    <row r="5" spans="1:14" ht="15.6" x14ac:dyDescent="0.3">
      <c r="A5" s="43"/>
      <c r="B5" s="706"/>
      <c r="C5" s="708"/>
      <c r="D5" s="1610" t="s">
        <v>883</v>
      </c>
      <c r="E5" s="1610"/>
      <c r="F5" s="1610"/>
      <c r="G5" s="1610"/>
      <c r="H5" s="1610"/>
      <c r="I5" s="1610"/>
      <c r="J5" s="1610"/>
      <c r="K5" s="709"/>
      <c r="L5" s="707"/>
      <c r="M5" s="43"/>
      <c r="N5" s="1049" t="s">
        <v>1113</v>
      </c>
    </row>
    <row r="6" spans="1:14" ht="15.6" x14ac:dyDescent="0.3">
      <c r="A6" s="43"/>
      <c r="B6" s="706"/>
      <c r="C6" s="708"/>
      <c r="D6" s="1610" t="s">
        <v>884</v>
      </c>
      <c r="E6" s="1610"/>
      <c r="F6" s="1610"/>
      <c r="G6" s="1610"/>
      <c r="H6" s="1610"/>
      <c r="I6" s="1610"/>
      <c r="J6" s="1610"/>
      <c r="K6" s="709"/>
      <c r="L6" s="707"/>
      <c r="M6" s="43"/>
      <c r="N6" s="43"/>
    </row>
    <row r="7" spans="1:14" ht="15.6" x14ac:dyDescent="0.3">
      <c r="A7" s="43"/>
      <c r="B7" s="706"/>
      <c r="C7" s="708"/>
      <c r="D7" s="699"/>
      <c r="E7" s="699"/>
      <c r="F7" s="699"/>
      <c r="G7" s="699"/>
      <c r="H7" s="699"/>
      <c r="I7" s="699"/>
      <c r="J7" s="710"/>
      <c r="K7" s="709"/>
      <c r="L7" s="707"/>
      <c r="M7" s="43"/>
      <c r="N7" s="43"/>
    </row>
    <row r="8" spans="1:14" ht="15.6" x14ac:dyDescent="0.3">
      <c r="A8" s="43"/>
      <c r="B8" s="706"/>
      <c r="C8" s="708"/>
      <c r="D8" s="699"/>
      <c r="E8" s="699"/>
      <c r="F8" s="699"/>
      <c r="G8" s="699"/>
      <c r="H8" s="699"/>
      <c r="I8" s="699"/>
      <c r="J8" s="710"/>
      <c r="K8" s="709"/>
      <c r="L8" s="707"/>
      <c r="M8" s="43"/>
      <c r="N8" s="43"/>
    </row>
    <row r="9" spans="1:14" ht="15.6" x14ac:dyDescent="0.3">
      <c r="A9" s="43"/>
      <c r="B9" s="706"/>
      <c r="C9" s="708"/>
      <c r="D9" s="699"/>
      <c r="E9" s="699"/>
      <c r="F9" s="699"/>
      <c r="G9" s="699"/>
      <c r="H9" s="699"/>
      <c r="I9" s="699"/>
      <c r="J9" s="710"/>
      <c r="K9" s="709"/>
      <c r="L9" s="707"/>
      <c r="M9" s="43"/>
      <c r="N9" s="43"/>
    </row>
    <row r="10" spans="1:14" ht="15.6" x14ac:dyDescent="0.3">
      <c r="A10" s="43"/>
      <c r="B10" s="706"/>
      <c r="C10" s="708"/>
      <c r="D10" s="645"/>
      <c r="E10" s="645"/>
      <c r="F10" s="645"/>
      <c r="G10" s="645"/>
      <c r="H10" s="645"/>
      <c r="I10" s="645"/>
      <c r="J10" s="711"/>
      <c r="K10" s="709"/>
      <c r="L10" s="707"/>
      <c r="M10" s="43"/>
      <c r="N10" s="43"/>
    </row>
    <row r="11" spans="1:14" ht="15.6" x14ac:dyDescent="0.3">
      <c r="A11" s="43"/>
      <c r="B11" s="706"/>
      <c r="C11" s="712">
        <v>1</v>
      </c>
      <c r="D11" s="645" t="s">
        <v>885</v>
      </c>
      <c r="E11" s="1153" t="s">
        <v>1300</v>
      </c>
      <c r="F11" s="645"/>
      <c r="G11" s="645"/>
      <c r="H11" s="645" t="s">
        <v>886</v>
      </c>
      <c r="I11" s="1035" t="s">
        <v>1298</v>
      </c>
      <c r="J11" s="711"/>
      <c r="K11" s="709"/>
      <c r="L11" s="707"/>
      <c r="M11" s="43"/>
      <c r="N11" s="43"/>
    </row>
    <row r="12" spans="1:14" ht="15.6" x14ac:dyDescent="0.3">
      <c r="A12" s="43"/>
      <c r="B12" s="706"/>
      <c r="C12" s="712"/>
      <c r="D12" s="645"/>
      <c r="E12" s="673"/>
      <c r="F12" s="645"/>
      <c r="G12" s="645"/>
      <c r="H12" s="645"/>
      <c r="I12" s="673"/>
      <c r="J12" s="711"/>
      <c r="K12" s="709"/>
      <c r="L12" s="707"/>
      <c r="M12" s="43"/>
      <c r="N12" s="43"/>
    </row>
    <row r="13" spans="1:14" ht="15.6" x14ac:dyDescent="0.3">
      <c r="A13" s="43"/>
      <c r="B13" s="706"/>
      <c r="C13" s="712"/>
      <c r="D13" s="645"/>
      <c r="E13" s="673"/>
      <c r="F13" s="645"/>
      <c r="G13" s="645"/>
      <c r="H13" s="645" t="s">
        <v>887</v>
      </c>
      <c r="I13" s="713" t="s">
        <v>1299</v>
      </c>
      <c r="J13" s="711"/>
      <c r="K13" s="709"/>
      <c r="L13" s="707"/>
      <c r="M13" s="43"/>
      <c r="N13" s="43"/>
    </row>
    <row r="14" spans="1:14" ht="15.6" x14ac:dyDescent="0.3">
      <c r="A14" s="43"/>
      <c r="B14" s="706"/>
      <c r="C14" s="712"/>
      <c r="D14" s="645"/>
      <c r="E14" s="673"/>
      <c r="F14" s="645"/>
      <c r="G14" s="645"/>
      <c r="H14" s="645"/>
      <c r="I14" s="673"/>
      <c r="J14" s="711"/>
      <c r="K14" s="709"/>
      <c r="L14" s="707"/>
      <c r="M14" s="43"/>
      <c r="N14" s="43"/>
    </row>
    <row r="15" spans="1:14" ht="15.6" x14ac:dyDescent="0.3">
      <c r="A15" s="43"/>
      <c r="B15" s="706"/>
      <c r="C15" s="712">
        <v>2</v>
      </c>
      <c r="D15" s="645" t="s">
        <v>6</v>
      </c>
      <c r="E15" s="713" t="s">
        <v>7</v>
      </c>
      <c r="F15" s="645"/>
      <c r="G15" s="645"/>
      <c r="H15" s="645" t="s">
        <v>888</v>
      </c>
      <c r="I15" s="645"/>
      <c r="J15" s="714" t="s">
        <v>824</v>
      </c>
      <c r="K15" s="709" t="s">
        <v>889</v>
      </c>
      <c r="L15" s="707"/>
      <c r="M15" s="43"/>
      <c r="N15" s="43"/>
    </row>
    <row r="16" spans="1:14" ht="15.6" x14ac:dyDescent="0.3">
      <c r="A16" s="43"/>
      <c r="B16" s="706"/>
      <c r="C16" s="712"/>
      <c r="D16" s="645"/>
      <c r="E16" s="673"/>
      <c r="F16" s="645"/>
      <c r="G16" s="645"/>
      <c r="H16" s="645"/>
      <c r="I16" s="645"/>
      <c r="J16" s="711"/>
      <c r="K16" s="709"/>
      <c r="L16" s="707"/>
      <c r="M16" s="43"/>
      <c r="N16" s="43"/>
    </row>
    <row r="17" spans="1:14" ht="15.6" x14ac:dyDescent="0.3">
      <c r="A17" s="43"/>
      <c r="B17" s="706"/>
      <c r="C17" s="712">
        <v>3</v>
      </c>
      <c r="D17" s="645" t="s">
        <v>890</v>
      </c>
      <c r="E17" s="645"/>
      <c r="F17" s="678" t="s">
        <v>891</v>
      </c>
      <c r="G17" s="715">
        <v>635</v>
      </c>
      <c r="H17" s="645" t="s">
        <v>892</v>
      </c>
      <c r="I17" s="715">
        <v>540</v>
      </c>
      <c r="J17" s="716" t="s">
        <v>893</v>
      </c>
      <c r="K17" s="10"/>
      <c r="L17" s="707"/>
      <c r="M17" s="43"/>
      <c r="N17" s="43"/>
    </row>
    <row r="18" spans="1:14" ht="15.6" x14ac:dyDescent="0.3">
      <c r="A18" s="43"/>
      <c r="B18" s="706"/>
      <c r="C18" s="712"/>
      <c r="D18" s="645" t="s">
        <v>894</v>
      </c>
      <c r="E18" s="715" t="s">
        <v>1301</v>
      </c>
      <c r="F18" s="645"/>
      <c r="G18" s="645"/>
      <c r="H18" s="645"/>
      <c r="I18" s="645"/>
      <c r="J18" s="711"/>
      <c r="K18" s="709"/>
      <c r="L18" s="707"/>
      <c r="M18" s="43"/>
      <c r="N18" s="43"/>
    </row>
    <row r="19" spans="1:14" ht="15.6" x14ac:dyDescent="0.3">
      <c r="A19" s="43"/>
      <c r="B19" s="706"/>
      <c r="C19" s="712"/>
      <c r="D19" s="645"/>
      <c r="E19" s="675"/>
      <c r="F19" s="43"/>
      <c r="G19" s="43"/>
      <c r="H19" s="717"/>
      <c r="I19" s="645"/>
      <c r="J19" s="711"/>
      <c r="K19" s="709"/>
      <c r="L19" s="707"/>
      <c r="M19" s="43"/>
      <c r="N19" s="43"/>
    </row>
    <row r="20" spans="1:14" ht="15.6" x14ac:dyDescent="0.3">
      <c r="A20" s="43"/>
      <c r="B20" s="706"/>
      <c r="C20" s="712">
        <v>4</v>
      </c>
      <c r="D20" s="645" t="s">
        <v>895</v>
      </c>
      <c r="E20" s="715">
        <v>390</v>
      </c>
      <c r="F20" s="645" t="s">
        <v>896</v>
      </c>
      <c r="G20" s="718">
        <v>29</v>
      </c>
      <c r="H20" s="645" t="s">
        <v>1174</v>
      </c>
      <c r="I20" s="1265"/>
      <c r="J20" s="711"/>
      <c r="K20" s="709"/>
      <c r="L20" s="707"/>
      <c r="M20" s="43"/>
      <c r="N20" s="43"/>
    </row>
    <row r="21" spans="1:14" ht="15.6" x14ac:dyDescent="0.3">
      <c r="A21" s="43"/>
      <c r="B21" s="706"/>
      <c r="C21" s="712"/>
      <c r="D21" s="645"/>
      <c r="E21" s="645"/>
      <c r="F21" s="674"/>
      <c r="G21" s="645"/>
      <c r="H21" s="674"/>
      <c r="I21" s="678"/>
      <c r="J21" s="711"/>
      <c r="K21" s="709"/>
      <c r="L21" s="707"/>
      <c r="M21" s="43"/>
      <c r="N21" s="43"/>
    </row>
    <row r="22" spans="1:14" ht="15.6" x14ac:dyDescent="0.3">
      <c r="A22" s="43"/>
      <c r="B22" s="706"/>
      <c r="C22" s="712">
        <v>5</v>
      </c>
      <c r="D22" s="645" t="s">
        <v>897</v>
      </c>
      <c r="E22" s="675" t="s">
        <v>898</v>
      </c>
      <c r="F22" s="645" t="s">
        <v>899</v>
      </c>
      <c r="G22" s="699" t="s">
        <v>898</v>
      </c>
      <c r="H22" s="645" t="s">
        <v>896</v>
      </c>
      <c r="I22" s="645"/>
      <c r="J22" s="719" t="s">
        <v>898</v>
      </c>
      <c r="K22" s="709"/>
      <c r="L22" s="707"/>
      <c r="M22" s="43"/>
      <c r="N22" s="43"/>
    </row>
    <row r="23" spans="1:14" ht="15.6" x14ac:dyDescent="0.3">
      <c r="A23" s="43"/>
      <c r="B23" s="706"/>
      <c r="C23" s="712"/>
      <c r="D23" s="645"/>
      <c r="E23" s="675"/>
      <c r="F23" s="645"/>
      <c r="G23" s="699"/>
      <c r="H23" s="645"/>
      <c r="I23" s="645"/>
      <c r="J23" s="719"/>
      <c r="K23" s="709"/>
      <c r="L23" s="707"/>
      <c r="M23" s="43"/>
      <c r="N23" s="43"/>
    </row>
    <row r="24" spans="1:14" ht="15.6" x14ac:dyDescent="0.3">
      <c r="A24" s="43"/>
      <c r="B24" s="706"/>
      <c r="C24" s="712">
        <v>6</v>
      </c>
      <c r="D24" s="720" t="s">
        <v>900</v>
      </c>
      <c r="E24" s="720"/>
      <c r="F24" s="721">
        <f>I17</f>
        <v>540</v>
      </c>
      <c r="G24" s="645"/>
      <c r="H24" s="645"/>
      <c r="I24" s="645"/>
      <c r="J24" s="711"/>
      <c r="K24" s="709"/>
      <c r="L24" s="707"/>
      <c r="M24" s="43"/>
      <c r="N24" s="43"/>
    </row>
    <row r="25" spans="1:14" ht="15.6" x14ac:dyDescent="0.3">
      <c r="A25" s="43"/>
      <c r="B25" s="706"/>
      <c r="C25" s="712"/>
      <c r="D25" s="1611" t="s">
        <v>901</v>
      </c>
      <c r="E25" s="1612"/>
      <c r="F25" s="750">
        <v>890</v>
      </c>
      <c r="G25" s="674"/>
      <c r="H25" s="645"/>
      <c r="I25" s="645"/>
      <c r="J25" s="711"/>
      <c r="K25" s="709"/>
      <c r="L25" s="707"/>
      <c r="M25" s="43"/>
      <c r="N25" s="43"/>
    </row>
    <row r="26" spans="1:14" ht="15.6" x14ac:dyDescent="0.3">
      <c r="A26" s="43"/>
      <c r="B26" s="706"/>
      <c r="C26" s="712"/>
      <c r="D26" s="1613" t="s">
        <v>902</v>
      </c>
      <c r="E26" s="1614"/>
      <c r="F26" s="721">
        <v>230</v>
      </c>
      <c r="G26" s="674"/>
      <c r="H26" s="645"/>
      <c r="I26" s="645"/>
      <c r="J26" s="711"/>
      <c r="K26" s="709"/>
      <c r="L26" s="707"/>
      <c r="M26" s="43"/>
      <c r="N26" s="43"/>
    </row>
    <row r="27" spans="1:14" ht="15.6" x14ac:dyDescent="0.3">
      <c r="A27" s="43"/>
      <c r="B27" s="706"/>
      <c r="C27" s="712"/>
      <c r="D27" s="1615" t="s">
        <v>1280</v>
      </c>
      <c r="E27" s="1616"/>
      <c r="F27" s="722">
        <v>657.5</v>
      </c>
      <c r="G27" s="723"/>
      <c r="H27" s="711"/>
      <c r="I27" s="711"/>
      <c r="J27" s="711"/>
      <c r="K27" s="709"/>
      <c r="L27" s="707"/>
      <c r="M27" s="43"/>
      <c r="N27" s="43"/>
    </row>
    <row r="28" spans="1:14" ht="15.6" x14ac:dyDescent="0.3">
      <c r="A28" s="43"/>
      <c r="B28" s="706"/>
      <c r="C28" s="712"/>
      <c r="D28" s="1615" t="s">
        <v>1187</v>
      </c>
      <c r="E28" s="1616"/>
      <c r="F28" s="722">
        <v>43</v>
      </c>
      <c r="G28" s="723"/>
      <c r="H28" s="711"/>
      <c r="I28" s="711"/>
      <c r="J28" s="711"/>
      <c r="K28" s="709"/>
      <c r="L28" s="707"/>
      <c r="M28" s="43"/>
      <c r="N28" s="43"/>
    </row>
    <row r="29" spans="1:14" ht="15.6" x14ac:dyDescent="0.3">
      <c r="A29" s="43"/>
      <c r="B29" s="706"/>
      <c r="C29" s="712"/>
      <c r="D29" s="184"/>
      <c r="E29" s="711"/>
      <c r="F29" s="719"/>
      <c r="G29" s="723"/>
      <c r="H29" s="724"/>
      <c r="I29" s="711"/>
      <c r="J29" s="711"/>
      <c r="K29" s="709"/>
      <c r="L29" s="707"/>
      <c r="M29" s="43"/>
      <c r="N29" s="43"/>
    </row>
    <row r="30" spans="1:14" ht="15.6" x14ac:dyDescent="0.3">
      <c r="A30" s="43"/>
      <c r="B30" s="706"/>
      <c r="C30" s="712">
        <v>7</v>
      </c>
      <c r="D30" s="725" t="s">
        <v>903</v>
      </c>
      <c r="E30" s="725"/>
      <c r="F30" s="725"/>
      <c r="G30" s="725"/>
      <c r="H30" s="725"/>
      <c r="I30" s="725"/>
      <c r="J30" s="725"/>
      <c r="K30" s="709"/>
      <c r="L30" s="707"/>
      <c r="M30" s="43"/>
      <c r="N30" s="43"/>
    </row>
    <row r="31" spans="1:14" ht="15.6" x14ac:dyDescent="0.3">
      <c r="A31" s="43"/>
      <c r="B31" s="706"/>
      <c r="C31" s="708"/>
      <c r="D31" s="139" t="s">
        <v>904</v>
      </c>
      <c r="E31" s="726">
        <f>F27*0.99</f>
        <v>650.92499999999995</v>
      </c>
      <c r="F31" s="727"/>
      <c r="G31" s="727"/>
      <c r="H31" s="727"/>
      <c r="I31" s="727"/>
      <c r="J31" s="727"/>
      <c r="K31" s="709"/>
      <c r="L31" s="707"/>
      <c r="M31" s="43"/>
      <c r="N31" s="43"/>
    </row>
    <row r="32" spans="1:14" ht="15.6" x14ac:dyDescent="0.3">
      <c r="A32" s="43"/>
      <c r="B32" s="706"/>
      <c r="C32" s="712"/>
      <c r="D32" s="728" t="s">
        <v>261</v>
      </c>
      <c r="E32" s="726">
        <f>F28*0.985</f>
        <v>42.354999999999997</v>
      </c>
      <c r="F32" s="727"/>
      <c r="G32" s="727"/>
      <c r="H32" s="727"/>
      <c r="I32" s="727"/>
      <c r="J32" s="727"/>
      <c r="K32" s="709"/>
      <c r="L32" s="707"/>
      <c r="M32" s="43"/>
      <c r="N32" s="43"/>
    </row>
    <row r="33" spans="1:14" ht="15.6" x14ac:dyDescent="0.3">
      <c r="A33" s="43"/>
      <c r="B33" s="706"/>
      <c r="C33" s="708"/>
      <c r="D33" s="139" t="s">
        <v>905</v>
      </c>
      <c r="E33" s="726">
        <f>G17*0.99</f>
        <v>628.65</v>
      </c>
      <c r="F33" s="711"/>
      <c r="G33" s="711"/>
      <c r="H33" s="711"/>
      <c r="I33" s="711"/>
      <c r="J33" s="711"/>
      <c r="K33" s="709"/>
      <c r="L33" s="707"/>
      <c r="M33" s="43"/>
      <c r="N33" s="43"/>
    </row>
    <row r="34" spans="1:14" ht="15.6" x14ac:dyDescent="0.3">
      <c r="A34" s="43"/>
      <c r="B34" s="706"/>
      <c r="C34" s="708"/>
      <c r="D34" s="139" t="s">
        <v>906</v>
      </c>
      <c r="E34" s="729">
        <v>420</v>
      </c>
      <c r="F34" s="711"/>
      <c r="G34" s="711"/>
      <c r="H34" s="719"/>
      <c r="I34" s="711"/>
      <c r="J34" s="711"/>
      <c r="K34" s="709"/>
      <c r="L34" s="707"/>
      <c r="M34" s="43"/>
      <c r="N34" s="43"/>
    </row>
    <row r="35" spans="1:14" ht="15.6" x14ac:dyDescent="0.3">
      <c r="A35" s="43"/>
      <c r="B35" s="706"/>
      <c r="C35" s="708"/>
      <c r="D35" s="139" t="s">
        <v>907</v>
      </c>
      <c r="E35" s="726">
        <f>E34*1.03</f>
        <v>432.6</v>
      </c>
      <c r="F35" s="711"/>
      <c r="G35" s="711"/>
      <c r="H35" s="719"/>
      <c r="I35" s="711"/>
      <c r="J35" s="711"/>
      <c r="K35" s="709"/>
      <c r="L35" s="707"/>
      <c r="M35" s="43"/>
      <c r="N35" s="43"/>
    </row>
    <row r="36" spans="1:14" ht="15.6" x14ac:dyDescent="0.3">
      <c r="A36" s="43"/>
      <c r="B36" s="706"/>
      <c r="C36" s="708"/>
      <c r="D36" s="139" t="s">
        <v>908</v>
      </c>
      <c r="E36" s="726">
        <f>(I17+F28)*0.99</f>
        <v>577.16999999999996</v>
      </c>
      <c r="F36" s="730"/>
      <c r="G36" s="711"/>
      <c r="H36" s="711"/>
      <c r="I36" s="711"/>
      <c r="J36" s="711"/>
      <c r="K36" s="709"/>
      <c r="L36" s="707"/>
      <c r="M36" s="43"/>
      <c r="N36" s="43"/>
    </row>
    <row r="37" spans="1:14" ht="15.6" x14ac:dyDescent="0.3">
      <c r="A37" s="43"/>
      <c r="B37" s="706"/>
      <c r="C37" s="708"/>
      <c r="D37" s="711"/>
      <c r="E37" s="731"/>
      <c r="F37" s="711"/>
      <c r="G37" s="711"/>
      <c r="H37" s="731"/>
      <c r="I37" s="711"/>
      <c r="J37" s="711"/>
      <c r="K37" s="709"/>
      <c r="L37" s="707"/>
      <c r="M37" s="43"/>
      <c r="N37" s="43"/>
    </row>
    <row r="38" spans="1:14" ht="15.6" x14ac:dyDescent="0.3">
      <c r="A38" s="43"/>
      <c r="B38" s="706"/>
      <c r="C38" s="712">
        <v>8</v>
      </c>
      <c r="D38" s="711" t="s">
        <v>909</v>
      </c>
      <c r="E38" s="711"/>
      <c r="F38" s="732">
        <f>3.1415926*(E33*E33-E34*E34)*E74*E36/4000000/J39+3.1415926*(E31*E31-E33*E33)*E74*E32/4000000/J39</f>
        <v>889.17544661821103</v>
      </c>
      <c r="G38" s="711" t="s">
        <v>910</v>
      </c>
      <c r="H38" s="711"/>
      <c r="I38" s="733">
        <f>F38</f>
        <v>889.17544661821103</v>
      </c>
      <c r="J38" s="711"/>
      <c r="K38" s="709"/>
      <c r="L38" s="707"/>
      <c r="M38" s="43"/>
      <c r="N38" s="43"/>
    </row>
    <row r="39" spans="1:14" ht="15.6" x14ac:dyDescent="0.3">
      <c r="A39" s="43"/>
      <c r="B39" s="706"/>
      <c r="C39" s="708"/>
      <c r="D39" s="43"/>
      <c r="E39" s="711" t="s">
        <v>911</v>
      </c>
      <c r="F39" s="734">
        <f>I38*1.04</f>
        <v>924.74246448293945</v>
      </c>
      <c r="G39" s="711" t="s">
        <v>912</v>
      </c>
      <c r="H39" s="711"/>
      <c r="I39" s="711"/>
      <c r="J39" s="715">
        <v>1</v>
      </c>
      <c r="K39" s="709"/>
      <c r="L39" s="707"/>
      <c r="M39" s="43"/>
      <c r="N39" s="43"/>
    </row>
    <row r="40" spans="1:14" ht="15.6" x14ac:dyDescent="0.3">
      <c r="A40" s="43"/>
      <c r="B40" s="706"/>
      <c r="C40" s="708"/>
      <c r="D40" s="711" t="s">
        <v>913</v>
      </c>
      <c r="E40" s="711"/>
      <c r="F40" s="734">
        <f>F39*J39</f>
        <v>924.74246448293945</v>
      </c>
      <c r="G40" s="711"/>
      <c r="H40" s="711"/>
      <c r="I40" s="711"/>
      <c r="J40" s="719"/>
      <c r="K40" s="709"/>
      <c r="L40" s="707"/>
      <c r="M40" s="43"/>
      <c r="N40" s="43"/>
    </row>
    <row r="41" spans="1:14" ht="15.6" x14ac:dyDescent="0.3">
      <c r="A41" s="43"/>
      <c r="B41" s="706"/>
      <c r="C41" s="708"/>
      <c r="D41" s="711"/>
      <c r="E41" s="711"/>
      <c r="F41" s="734"/>
      <c r="G41" s="711"/>
      <c r="H41" s="711"/>
      <c r="I41" s="711"/>
      <c r="J41" s="719"/>
      <c r="K41" s="709"/>
      <c r="L41" s="707"/>
      <c r="M41" s="43"/>
      <c r="N41" s="43"/>
    </row>
    <row r="42" spans="1:14" ht="15.6" x14ac:dyDescent="0.3">
      <c r="A42" s="43"/>
      <c r="B42" s="706"/>
      <c r="C42" s="708"/>
      <c r="D42" s="1617" t="str">
        <f>IF(E34-E20&gt;20,D73&amp;E73&amp;F73,"")</f>
        <v>Металл в ковш сливать по показаниям тензодатчиков печи FS-30. Всего 950 кг.</v>
      </c>
      <c r="E42" s="1617"/>
      <c r="F42" s="1617"/>
      <c r="G42" s="1617"/>
      <c r="H42" s="1617"/>
      <c r="I42" s="1617"/>
      <c r="J42" s="1617"/>
      <c r="K42" s="1618"/>
      <c r="L42" s="707"/>
      <c r="M42" s="43"/>
      <c r="N42" s="43"/>
    </row>
    <row r="43" spans="1:14" ht="15.6" x14ac:dyDescent="0.3">
      <c r="A43" s="43"/>
      <c r="B43" s="706"/>
      <c r="C43" s="708"/>
      <c r="D43" s="1617"/>
      <c r="E43" s="1617"/>
      <c r="F43" s="1617"/>
      <c r="G43" s="1617"/>
      <c r="H43" s="1617"/>
      <c r="I43" s="1617"/>
      <c r="J43" s="1617"/>
      <c r="K43" s="1618"/>
      <c r="L43" s="707"/>
      <c r="M43" s="43"/>
      <c r="N43" s="43"/>
    </row>
    <row r="44" spans="1:14" ht="21" x14ac:dyDescent="0.4">
      <c r="A44" s="43"/>
      <c r="B44" s="706"/>
      <c r="C44" s="708"/>
      <c r="D44" s="735"/>
      <c r="E44" s="735"/>
      <c r="F44" s="735"/>
      <c r="G44" s="735"/>
      <c r="H44" s="735"/>
      <c r="I44" s="735"/>
      <c r="J44" s="735"/>
      <c r="K44" s="709"/>
      <c r="L44" s="707"/>
      <c r="M44" s="43"/>
      <c r="N44" s="43"/>
    </row>
    <row r="45" spans="1:14" ht="15.6" x14ac:dyDescent="0.3">
      <c r="A45" s="43"/>
      <c r="B45" s="706"/>
      <c r="C45" s="712">
        <v>9</v>
      </c>
      <c r="D45" s="711" t="s">
        <v>914</v>
      </c>
      <c r="E45" s="711"/>
      <c r="F45" s="736" t="str">
        <f>VLOOKUP(E47,Данные!A3:F22,6,FALSE())&amp;", ТИ 25012.00014"</f>
        <v>25010.00174, ТИ 25012.00014</v>
      </c>
      <c r="G45" s="711"/>
      <c r="H45" s="711"/>
      <c r="I45" s="711"/>
      <c r="J45" s="711"/>
      <c r="K45" s="709"/>
      <c r="L45" s="707"/>
      <c r="M45" s="43"/>
      <c r="N45" s="43"/>
    </row>
    <row r="46" spans="1:14" ht="15.6" x14ac:dyDescent="0.3">
      <c r="A46" s="43"/>
      <c r="B46" s="706"/>
      <c r="C46" s="712"/>
      <c r="D46" s="711"/>
      <c r="E46" s="711"/>
      <c r="F46" s="711"/>
      <c r="G46" s="736"/>
      <c r="H46" s="711"/>
      <c r="I46" s="711"/>
      <c r="J46" s="711"/>
      <c r="K46" s="709"/>
      <c r="L46" s="707"/>
      <c r="M46" s="43"/>
      <c r="N46" s="43"/>
    </row>
    <row r="47" spans="1:14" ht="15.6" x14ac:dyDescent="0.3">
      <c r="A47" s="43"/>
      <c r="B47" s="706"/>
      <c r="C47" s="712">
        <v>10</v>
      </c>
      <c r="D47" s="711" t="s">
        <v>915</v>
      </c>
      <c r="E47" s="713" t="s">
        <v>15</v>
      </c>
      <c r="F47" s="711"/>
      <c r="G47" s="711"/>
      <c r="H47" s="711"/>
      <c r="I47" s="711"/>
      <c r="J47" s="711"/>
      <c r="K47" s="709"/>
      <c r="L47" s="707"/>
      <c r="M47" s="43"/>
      <c r="N47" s="43"/>
    </row>
    <row r="48" spans="1:14" ht="15.6" x14ac:dyDescent="0.3">
      <c r="A48" s="43"/>
      <c r="B48" s="706"/>
      <c r="C48" s="712"/>
      <c r="D48" s="711"/>
      <c r="E48" s="711"/>
      <c r="F48" s="736"/>
      <c r="G48" s="711"/>
      <c r="H48" s="711"/>
      <c r="I48" s="711"/>
      <c r="J48" s="711"/>
      <c r="K48" s="709"/>
      <c r="L48" s="707"/>
      <c r="M48" s="43"/>
      <c r="N48" s="43"/>
    </row>
    <row r="49" spans="1:14" ht="15.6" x14ac:dyDescent="0.3">
      <c r="A49" s="43"/>
      <c r="B49" s="706"/>
      <c r="C49" s="712">
        <v>11</v>
      </c>
      <c r="D49" s="1619" t="s">
        <v>916</v>
      </c>
      <c r="E49" s="1619"/>
      <c r="F49" s="1619"/>
      <c r="G49" s="1619"/>
      <c r="H49" s="1620"/>
      <c r="I49" s="1619"/>
      <c r="J49" s="1619"/>
      <c r="K49" s="709"/>
      <c r="L49" s="707"/>
      <c r="M49" s="43"/>
      <c r="N49" s="43"/>
    </row>
    <row r="50" spans="1:14" ht="15.6" x14ac:dyDescent="0.3">
      <c r="A50" s="43"/>
      <c r="B50" s="706"/>
      <c r="C50" s="4"/>
      <c r="D50" s="139" t="s">
        <v>917</v>
      </c>
      <c r="E50" s="139"/>
      <c r="F50" s="139"/>
      <c r="G50" s="752">
        <f>995*E72*POWER(G17, -0.3333)</f>
        <v>439.98938066113482</v>
      </c>
      <c r="H50" s="139" t="s">
        <v>918</v>
      </c>
      <c r="I50" s="58"/>
      <c r="J50" s="139"/>
      <c r="K50" s="738">
        <f>(E33-E34)/200*10</f>
        <v>10.432499999999997</v>
      </c>
      <c r="L50" s="707"/>
      <c r="M50" s="389">
        <v>3.8</v>
      </c>
      <c r="N50" s="43"/>
    </row>
    <row r="51" spans="1:14" ht="15.6" x14ac:dyDescent="0.3">
      <c r="A51" s="43"/>
      <c r="B51" s="706"/>
      <c r="C51" s="4"/>
      <c r="D51" s="139" t="s">
        <v>919</v>
      </c>
      <c r="E51" s="139"/>
      <c r="F51" s="139"/>
      <c r="G51" s="737">
        <f>G50*0.8</f>
        <v>351.99150452890785</v>
      </c>
      <c r="H51" s="139" t="s">
        <v>920</v>
      </c>
      <c r="I51" s="58"/>
      <c r="J51" s="139"/>
      <c r="K51" s="738">
        <f>K50*0.8</f>
        <v>8.3459999999999983</v>
      </c>
      <c r="L51" s="707"/>
      <c r="M51" s="43"/>
      <c r="N51" s="43"/>
    </row>
    <row r="52" spans="1:14" ht="21" x14ac:dyDescent="0.4">
      <c r="A52" s="43"/>
      <c r="B52" s="706"/>
      <c r="C52" s="4"/>
      <c r="D52" s="139" t="s">
        <v>921</v>
      </c>
      <c r="E52" s="139"/>
      <c r="F52" s="139"/>
      <c r="G52" s="739">
        <f>G50*F25/F26/39.25</f>
        <v>43.377518558671831</v>
      </c>
      <c r="H52" s="1621" t="s">
        <v>922</v>
      </c>
      <c r="I52" s="1621"/>
      <c r="J52" s="1621"/>
      <c r="K52" s="1622">
        <v>4</v>
      </c>
      <c r="L52" s="707"/>
      <c r="M52" s="43"/>
      <c r="N52" s="43"/>
    </row>
    <row r="53" spans="1:14" ht="21" x14ac:dyDescent="0.4">
      <c r="A53" s="43"/>
      <c r="B53" s="706"/>
      <c r="C53" s="4"/>
      <c r="D53" s="139" t="s">
        <v>923</v>
      </c>
      <c r="E53" s="139"/>
      <c r="F53" s="139"/>
      <c r="G53" s="739">
        <f>G52*0.8</f>
        <v>34.702014846937466</v>
      </c>
      <c r="H53" s="1621"/>
      <c r="I53" s="1621"/>
      <c r="J53" s="1621"/>
      <c r="K53" s="1623"/>
      <c r="L53" s="707"/>
      <c r="M53" s="43"/>
      <c r="N53" s="43"/>
    </row>
    <row r="54" spans="1:14" x14ac:dyDescent="0.3">
      <c r="A54" s="43"/>
      <c r="B54" s="706"/>
      <c r="C54" s="4"/>
      <c r="D54" s="1606" t="s">
        <v>924</v>
      </c>
      <c r="E54" s="1607"/>
      <c r="F54" s="1608"/>
      <c r="G54" s="740">
        <f>ROUND(SQRT(E71)/50,0)*50</f>
        <v>800</v>
      </c>
      <c r="H54" s="59"/>
      <c r="I54" s="59"/>
      <c r="J54" s="59"/>
      <c r="K54" s="10"/>
      <c r="L54" s="707"/>
      <c r="M54" s="43"/>
      <c r="N54" s="43"/>
    </row>
    <row r="55" spans="1:14" x14ac:dyDescent="0.3">
      <c r="A55" s="43"/>
      <c r="B55" s="706"/>
      <c r="C55" s="4"/>
      <c r="D55" s="59"/>
      <c r="E55" s="59"/>
      <c r="F55" s="59"/>
      <c r="G55" s="59"/>
      <c r="H55" s="59"/>
      <c r="I55" s="59"/>
      <c r="J55" s="59"/>
      <c r="K55" s="10"/>
      <c r="L55" s="707"/>
      <c r="M55" s="43"/>
      <c r="N55" s="43"/>
    </row>
    <row r="56" spans="1:14" ht="15.6" x14ac:dyDescent="0.3">
      <c r="A56" s="43"/>
      <c r="B56" s="706"/>
      <c r="C56" s="712">
        <v>12</v>
      </c>
      <c r="D56" s="711" t="s">
        <v>925</v>
      </c>
      <c r="E56" s="711"/>
      <c r="F56" s="711"/>
      <c r="G56" s="711"/>
      <c r="H56" s="711"/>
      <c r="I56" s="59"/>
      <c r="J56" s="59"/>
      <c r="K56" s="10"/>
      <c r="L56" s="707"/>
      <c r="M56" s="43"/>
      <c r="N56" s="43"/>
    </row>
    <row r="57" spans="1:14" ht="15.6" x14ac:dyDescent="0.3">
      <c r="A57" s="43"/>
      <c r="B57" s="706"/>
      <c r="C57" s="708"/>
      <c r="D57" s="711" t="s">
        <v>926</v>
      </c>
      <c r="E57" s="711"/>
      <c r="F57" s="711"/>
      <c r="G57" s="711"/>
      <c r="H57" s="711"/>
      <c r="I57" s="59"/>
      <c r="J57" s="59"/>
      <c r="K57" s="10"/>
      <c r="L57" s="707"/>
      <c r="M57" s="43"/>
      <c r="N57" s="43"/>
    </row>
    <row r="58" spans="1:14" ht="15.6" x14ac:dyDescent="0.3">
      <c r="A58" s="43"/>
      <c r="B58" s="706"/>
      <c r="C58" s="708"/>
      <c r="D58" s="711" t="s">
        <v>927</v>
      </c>
      <c r="E58" s="711"/>
      <c r="F58" s="711"/>
      <c r="G58" s="711"/>
      <c r="H58" s="711"/>
      <c r="I58" s="59"/>
      <c r="J58" s="59"/>
      <c r="K58" s="10"/>
      <c r="L58" s="707"/>
      <c r="M58" s="43"/>
      <c r="N58" s="43"/>
    </row>
    <row r="59" spans="1:14" ht="15.6" x14ac:dyDescent="0.3">
      <c r="A59" s="43"/>
      <c r="B59" s="706"/>
      <c r="C59" s="708"/>
      <c r="D59" s="711"/>
      <c r="E59" s="711"/>
      <c r="F59" s="711"/>
      <c r="G59" s="711"/>
      <c r="H59" s="711"/>
      <c r="I59" s="59"/>
      <c r="J59" s="59"/>
      <c r="K59" s="10"/>
      <c r="L59" s="707"/>
      <c r="M59" s="43"/>
      <c r="N59" s="43"/>
    </row>
    <row r="60" spans="1:14" ht="15.6" x14ac:dyDescent="0.3">
      <c r="A60" s="43"/>
      <c r="B60" s="706"/>
      <c r="C60" s="708"/>
      <c r="D60" s="711"/>
      <c r="E60" s="711"/>
      <c r="F60" s="711"/>
      <c r="G60" s="711"/>
      <c r="H60" s="711"/>
      <c r="I60" s="59"/>
      <c r="J60" s="59"/>
      <c r="K60" s="10"/>
      <c r="L60" s="707"/>
      <c r="M60" s="43"/>
      <c r="N60" s="43"/>
    </row>
    <row r="61" spans="1:14" x14ac:dyDescent="0.3">
      <c r="A61" s="43"/>
      <c r="B61" s="706"/>
      <c r="C61" s="4"/>
      <c r="D61" s="59"/>
      <c r="E61" s="59"/>
      <c r="F61" s="59"/>
      <c r="G61" s="59"/>
      <c r="H61" s="59"/>
      <c r="I61" s="59"/>
      <c r="J61" s="59"/>
      <c r="K61" s="10"/>
      <c r="L61" s="707"/>
      <c r="M61" s="43"/>
      <c r="N61" s="43"/>
    </row>
    <row r="62" spans="1:14" x14ac:dyDescent="0.3">
      <c r="A62" s="43"/>
      <c r="B62" s="706"/>
      <c r="C62" s="4"/>
      <c r="D62" s="59"/>
      <c r="E62" s="59"/>
      <c r="F62" s="59"/>
      <c r="G62" s="59"/>
      <c r="H62" s="59"/>
      <c r="I62" s="59"/>
      <c r="J62" s="59"/>
      <c r="K62" s="10"/>
      <c r="L62" s="707"/>
      <c r="M62" s="43"/>
      <c r="N62" s="43"/>
    </row>
    <row r="63" spans="1:14" x14ac:dyDescent="0.3">
      <c r="A63" s="43"/>
      <c r="B63" s="706"/>
      <c r="C63" s="4"/>
      <c r="D63" s="59"/>
      <c r="E63" s="59"/>
      <c r="F63" s="59"/>
      <c r="G63" s="59"/>
      <c r="H63" s="59"/>
      <c r="I63" s="59"/>
      <c r="J63" s="59"/>
      <c r="K63" s="10"/>
      <c r="L63" s="707"/>
      <c r="M63" s="43"/>
      <c r="N63" s="43"/>
    </row>
    <row r="64" spans="1:14" ht="15.6" x14ac:dyDescent="0.3">
      <c r="A64" s="43"/>
      <c r="B64" s="706"/>
      <c r="C64" s="4"/>
      <c r="D64" s="59"/>
      <c r="E64" s="139"/>
      <c r="F64" s="139" t="s">
        <v>928</v>
      </c>
      <c r="G64" s="1602" t="s">
        <v>929</v>
      </c>
      <c r="H64" s="1602"/>
      <c r="I64" s="1603" t="s">
        <v>71</v>
      </c>
      <c r="J64" s="1604"/>
      <c r="K64" s="741" t="s">
        <v>68</v>
      </c>
      <c r="L64" s="707"/>
      <c r="M64" s="43"/>
      <c r="N64" s="43"/>
    </row>
    <row r="65" spans="1:14" ht="15.6" x14ac:dyDescent="0.3">
      <c r="A65" s="43"/>
      <c r="B65" s="706"/>
      <c r="C65" s="4"/>
      <c r="D65" s="59"/>
      <c r="E65" s="139" t="s">
        <v>930</v>
      </c>
      <c r="F65" s="139" t="s">
        <v>931</v>
      </c>
      <c r="G65" s="1605" t="s">
        <v>932</v>
      </c>
      <c r="H65" s="1605"/>
      <c r="I65" s="1603"/>
      <c r="J65" s="1604"/>
      <c r="K65" s="742">
        <f ca="1">TODAY()</f>
        <v>45414</v>
      </c>
      <c r="L65" s="707"/>
      <c r="M65" s="43"/>
      <c r="N65" s="43"/>
    </row>
    <row r="66" spans="1:14" ht="15.6" x14ac:dyDescent="0.3">
      <c r="A66" s="43"/>
      <c r="B66" s="706"/>
      <c r="C66" s="4"/>
      <c r="D66" s="59"/>
      <c r="E66" s="139" t="s">
        <v>933</v>
      </c>
      <c r="F66" s="139"/>
      <c r="G66" s="1605"/>
      <c r="H66" s="1605"/>
      <c r="I66" s="1603"/>
      <c r="J66" s="1604"/>
      <c r="K66" s="743"/>
      <c r="L66" s="707"/>
      <c r="M66" s="43"/>
      <c r="N66" s="43"/>
    </row>
    <row r="67" spans="1:14" ht="16.2" thickBot="1" x14ac:dyDescent="0.35">
      <c r="A67" s="43"/>
      <c r="B67" s="706"/>
      <c r="C67" s="19"/>
      <c r="D67" s="65"/>
      <c r="E67" s="744" t="s">
        <v>934</v>
      </c>
      <c r="F67" s="744" t="s">
        <v>935</v>
      </c>
      <c r="G67" s="1598" t="s">
        <v>936</v>
      </c>
      <c r="H67" s="1599"/>
      <c r="I67" s="1600"/>
      <c r="J67" s="1601"/>
      <c r="K67" s="745"/>
      <c r="L67" s="707"/>
      <c r="M67" s="43"/>
      <c r="N67" s="43"/>
    </row>
    <row r="68" spans="1:14" x14ac:dyDescent="0.3">
      <c r="A68" s="43"/>
      <c r="B68" s="746"/>
      <c r="C68" s="747"/>
      <c r="D68" s="747"/>
      <c r="E68" s="747"/>
      <c r="F68" s="747"/>
      <c r="G68" s="747"/>
      <c r="H68" s="747"/>
      <c r="I68" s="747"/>
      <c r="J68" s="747"/>
      <c r="K68" s="747"/>
      <c r="L68" s="748"/>
      <c r="M68" s="43"/>
      <c r="N68" s="43"/>
    </row>
    <row r="69" spans="1:14" x14ac:dyDescent="0.3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</row>
    <row r="70" spans="1:14" x14ac:dyDescent="0.3">
      <c r="A70" s="43"/>
      <c r="B70" s="43" t="s">
        <v>944</v>
      </c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</row>
    <row r="71" spans="1:14" x14ac:dyDescent="0.3">
      <c r="A71" s="43"/>
      <c r="B71" s="43"/>
      <c r="C71" s="43"/>
      <c r="D71" s="43" t="s">
        <v>937</v>
      </c>
      <c r="E71" s="43">
        <f>2*((F25/2+F26/2)*(F25/2+F26/2))</f>
        <v>627200</v>
      </c>
      <c r="F71" s="43"/>
      <c r="G71" s="43"/>
      <c r="H71" s="43"/>
      <c r="I71" s="43"/>
      <c r="J71" s="43"/>
      <c r="K71" s="43"/>
      <c r="L71" s="43"/>
      <c r="M71" s="43"/>
      <c r="N71" s="43"/>
    </row>
    <row r="72" spans="1:14" x14ac:dyDescent="0.3">
      <c r="A72" s="43"/>
      <c r="B72" s="43"/>
      <c r="C72" s="43"/>
      <c r="D72" s="43" t="s">
        <v>938</v>
      </c>
      <c r="E72" s="43">
        <f>M50</f>
        <v>3.8</v>
      </c>
      <c r="F72" s="43"/>
      <c r="G72" s="43"/>
      <c r="H72" s="43"/>
      <c r="I72" s="43"/>
      <c r="J72" s="43"/>
      <c r="K72" s="43"/>
      <c r="L72" s="43"/>
      <c r="M72" s="43"/>
      <c r="N72" s="43"/>
    </row>
    <row r="73" spans="1:14" x14ac:dyDescent="0.3">
      <c r="A73" s="43"/>
      <c r="B73" s="43"/>
      <c r="C73" s="43"/>
      <c r="D73" s="43" t="s">
        <v>939</v>
      </c>
      <c r="E73" s="749">
        <f>ROUNDUP(F40/50,0)*50</f>
        <v>950</v>
      </c>
      <c r="F73" s="43" t="s">
        <v>940</v>
      </c>
      <c r="G73" s="43"/>
      <c r="H73" s="43"/>
      <c r="I73" s="43"/>
      <c r="J73" s="43"/>
      <c r="K73" s="43"/>
      <c r="L73" s="43"/>
      <c r="M73" s="43"/>
      <c r="N73" s="43"/>
    </row>
    <row r="74" spans="1:14" x14ac:dyDescent="0.3">
      <c r="D74" t="s">
        <v>941</v>
      </c>
      <c r="E74">
        <f>VLOOKUP(E47,Данные!A3:I22,9,FALSE())</f>
        <v>8.8800000000000008</v>
      </c>
    </row>
  </sheetData>
  <mergeCells count="20">
    <mergeCell ref="D54:F54"/>
    <mergeCell ref="D4:J4"/>
    <mergeCell ref="D5:J5"/>
    <mergeCell ref="D6:J6"/>
    <mergeCell ref="D25:E25"/>
    <mergeCell ref="D26:E26"/>
    <mergeCell ref="D27:E27"/>
    <mergeCell ref="D28:E28"/>
    <mergeCell ref="D42:K43"/>
    <mergeCell ref="D49:J49"/>
    <mergeCell ref="H52:J53"/>
    <mergeCell ref="K52:K53"/>
    <mergeCell ref="G67:H67"/>
    <mergeCell ref="I67:J67"/>
    <mergeCell ref="G64:H64"/>
    <mergeCell ref="I64:J64"/>
    <mergeCell ref="G65:H65"/>
    <mergeCell ref="I65:J65"/>
    <mergeCell ref="G66:H66"/>
    <mergeCell ref="I66:J66"/>
  </mergeCells>
  <hyperlinks>
    <hyperlink ref="N4" r:id="rId1" xr:uid="{95586657-3799-4734-8B74-213F7FFCCEAC}"/>
    <hyperlink ref="N5" r:id="rId2" xr:uid="{3C73AEE0-CB75-4C58-AE65-6CE6118ECEFB}"/>
  </hyperlinks>
  <printOptions horizontalCentered="1" verticalCentered="1"/>
  <pageMargins left="0" right="0" top="0" bottom="0" header="0" footer="0"/>
  <pageSetup paperSize="9" scale="66" orientation="portrait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56A1BD-EF2B-410D-AB6D-F9DA7976631B}">
          <x14:formula1>
            <xm:f>Данные!$A$3:$A$22</xm:f>
          </x14:formula1>
          <xm:sqref>E47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9E216-4B3A-4870-9215-73CF1FAE72CF}">
  <sheetPr codeName="Лист6">
    <pageSetUpPr fitToPage="1"/>
  </sheetPr>
  <dimension ref="B1:CC66"/>
  <sheetViews>
    <sheetView topLeftCell="A28" zoomScale="70" zoomScaleNormal="70" workbookViewId="0">
      <selection activeCell="Q58" sqref="Q58"/>
    </sheetView>
  </sheetViews>
  <sheetFormatPr defaultRowHeight="14.4" x14ac:dyDescent="0.3"/>
  <cols>
    <col min="1" max="1" width="2.88671875" customWidth="1"/>
    <col min="5" max="5" width="10.77734375" customWidth="1"/>
    <col min="6" max="6" width="14.88671875" customWidth="1"/>
    <col min="7" max="7" width="5.6640625" customWidth="1"/>
    <col min="10" max="10" width="12.6640625" customWidth="1"/>
    <col min="15" max="15" width="10.33203125" customWidth="1"/>
    <col min="16" max="16" width="11.44140625" customWidth="1"/>
    <col min="17" max="17" width="6.77734375" customWidth="1"/>
    <col min="18" max="18" width="8.44140625" customWidth="1"/>
    <col min="20" max="20" width="16" customWidth="1"/>
    <col min="26" max="26" width="13" customWidth="1"/>
    <col min="29" max="29" width="12.33203125" customWidth="1"/>
    <col min="30" max="30" width="15.44140625" customWidth="1"/>
    <col min="36" max="36" width="11.109375" customWidth="1"/>
    <col min="42" max="42" width="3.77734375" customWidth="1"/>
    <col min="45" max="45" width="16" customWidth="1"/>
    <col min="46" max="46" width="13.5546875" customWidth="1"/>
    <col min="50" max="50" width="10.109375" customWidth="1"/>
    <col min="55" max="55" width="10.77734375" customWidth="1"/>
    <col min="56" max="56" width="10.109375" customWidth="1"/>
  </cols>
  <sheetData>
    <row r="1" spans="2:81" ht="15" thickBot="1" x14ac:dyDescent="0.35">
      <c r="AF1" s="43"/>
      <c r="AG1" s="43"/>
      <c r="AH1" s="43"/>
      <c r="AI1" s="43"/>
      <c r="AJ1" s="43"/>
      <c r="AK1" s="43"/>
      <c r="AL1" s="43"/>
      <c r="AM1" s="43"/>
      <c r="AN1" s="43"/>
      <c r="AO1" s="43"/>
    </row>
    <row r="2" spans="2:81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1132</v>
      </c>
      <c r="L2" s="1"/>
      <c r="M2" s="2"/>
      <c r="N2" s="2"/>
      <c r="O2" s="41" t="s">
        <v>0</v>
      </c>
      <c r="P2" s="2"/>
      <c r="Q2" s="2"/>
      <c r="R2" s="2"/>
      <c r="S2" s="2"/>
      <c r="T2" s="350" t="s">
        <v>1132</v>
      </c>
      <c r="V2" s="1"/>
      <c r="W2" s="2"/>
      <c r="X2" s="2"/>
      <c r="Y2" s="41" t="s">
        <v>0</v>
      </c>
      <c r="Z2" s="2"/>
      <c r="AA2" s="2"/>
      <c r="AB2" s="2"/>
      <c r="AC2" s="2"/>
      <c r="AD2" s="350" t="s">
        <v>1132</v>
      </c>
      <c r="AE2" s="43"/>
      <c r="AF2" s="1"/>
      <c r="AG2" s="2"/>
      <c r="AH2" s="2"/>
      <c r="AI2" s="41" t="s">
        <v>0</v>
      </c>
      <c r="AJ2" s="2"/>
      <c r="AK2" s="2"/>
      <c r="AL2" s="2"/>
      <c r="AM2" s="2"/>
      <c r="AN2" s="3" t="s">
        <v>1132</v>
      </c>
      <c r="AO2" s="43"/>
      <c r="AP2" s="1"/>
      <c r="AQ2" s="2"/>
      <c r="AR2" s="2"/>
      <c r="AS2" s="41" t="s">
        <v>0</v>
      </c>
      <c r="AT2" s="2"/>
      <c r="AU2" s="2"/>
      <c r="AV2" s="2"/>
      <c r="AW2" s="2"/>
      <c r="AX2" s="3" t="s">
        <v>1132</v>
      </c>
      <c r="AY2" s="43"/>
      <c r="AZ2" s="1"/>
      <c r="BA2" s="2"/>
      <c r="BB2" s="2"/>
      <c r="BC2" s="41" t="s">
        <v>0</v>
      </c>
      <c r="BD2" s="2"/>
      <c r="BE2" s="2"/>
      <c r="BF2" s="2"/>
      <c r="BG2" s="2"/>
      <c r="BH2" s="3" t="s">
        <v>1132</v>
      </c>
      <c r="BI2" s="43"/>
    </row>
    <row r="3" spans="2:81" ht="15" thickBot="1" x14ac:dyDescent="0.35">
      <c r="B3" s="12" t="s">
        <v>2</v>
      </c>
      <c r="C3" s="59"/>
      <c r="D3" s="5"/>
      <c r="E3" s="5"/>
      <c r="F3" s="45" t="s">
        <v>1141</v>
      </c>
      <c r="G3" s="5"/>
      <c r="H3" s="59"/>
      <c r="I3" s="43" t="s">
        <v>341</v>
      </c>
      <c r="J3" s="135"/>
      <c r="L3" s="12" t="s">
        <v>2</v>
      </c>
      <c r="M3" s="59"/>
      <c r="N3" s="5"/>
      <c r="O3" s="5"/>
      <c r="P3" s="45" t="s">
        <v>418</v>
      </c>
      <c r="Q3" s="5"/>
      <c r="R3" s="59"/>
      <c r="S3" s="43"/>
      <c r="T3" s="135"/>
      <c r="V3" s="12" t="s">
        <v>2</v>
      </c>
      <c r="W3" s="59"/>
      <c r="X3" s="5"/>
      <c r="Y3" s="5"/>
      <c r="Z3" s="45" t="s">
        <v>805</v>
      </c>
      <c r="AA3" s="5"/>
      <c r="AB3" s="59"/>
      <c r="AC3" s="43"/>
      <c r="AD3" s="135"/>
      <c r="AE3" s="43"/>
      <c r="AF3" s="12" t="s">
        <v>2</v>
      </c>
      <c r="AG3" s="59"/>
      <c r="AH3" s="5"/>
      <c r="AI3" s="5"/>
      <c r="AJ3" s="45" t="s">
        <v>809</v>
      </c>
      <c r="AK3" s="5"/>
      <c r="AL3" s="59"/>
      <c r="AM3" s="43" t="s">
        <v>341</v>
      </c>
      <c r="AN3" s="135"/>
      <c r="AO3" s="43"/>
      <c r="AP3" s="12" t="s">
        <v>2</v>
      </c>
      <c r="AQ3" s="59"/>
      <c r="AR3" s="5"/>
      <c r="AS3" s="5"/>
      <c r="AT3" s="45" t="s">
        <v>851</v>
      </c>
      <c r="AU3" s="5"/>
      <c r="AV3" s="59"/>
      <c r="AW3" s="43" t="s">
        <v>341</v>
      </c>
      <c r="AX3" s="135"/>
      <c r="AY3" s="43"/>
      <c r="AZ3" s="12" t="s">
        <v>2</v>
      </c>
      <c r="BA3" s="59"/>
      <c r="BB3" s="5"/>
      <c r="BC3" s="5"/>
      <c r="BD3" s="45" t="s">
        <v>1105</v>
      </c>
      <c r="BE3" s="5"/>
      <c r="BF3" s="59"/>
      <c r="BG3" s="43" t="s">
        <v>341</v>
      </c>
      <c r="BH3" s="135" t="s">
        <v>1104</v>
      </c>
      <c r="BI3" s="43"/>
      <c r="BJ3" s="1"/>
      <c r="BK3" s="2"/>
      <c r="BL3" s="2"/>
      <c r="BM3" s="41" t="s">
        <v>0</v>
      </c>
      <c r="BN3" s="2"/>
      <c r="BO3" s="2"/>
      <c r="BP3" s="2"/>
      <c r="BQ3" s="2"/>
      <c r="BR3" s="3" t="s">
        <v>1132</v>
      </c>
      <c r="BT3" s="1"/>
      <c r="BU3" s="2"/>
      <c r="BV3" s="2"/>
      <c r="BW3" s="41" t="s">
        <v>0</v>
      </c>
      <c r="BX3" s="2"/>
      <c r="BY3" s="2"/>
      <c r="BZ3" s="2"/>
      <c r="CA3" s="2"/>
      <c r="CB3" s="3" t="s">
        <v>1132</v>
      </c>
    </row>
    <row r="4" spans="2:81" x14ac:dyDescent="0.3">
      <c r="B4" s="4" t="s">
        <v>4</v>
      </c>
      <c r="C4" s="59"/>
      <c r="D4" s="55"/>
      <c r="E4" s="55"/>
      <c r="F4" s="43" t="s">
        <v>1140</v>
      </c>
      <c r="G4" s="55"/>
      <c r="H4" s="55"/>
      <c r="I4" s="46" t="s">
        <v>1140</v>
      </c>
      <c r="J4" s="10"/>
      <c r="L4" s="4" t="s">
        <v>4</v>
      </c>
      <c r="M4" s="59"/>
      <c r="N4" s="55"/>
      <c r="O4" s="55"/>
      <c r="P4" s="43" t="s">
        <v>426</v>
      </c>
      <c r="Q4" s="55"/>
      <c r="R4" s="55"/>
      <c r="S4" s="46"/>
      <c r="T4" s="10"/>
      <c r="V4" s="4" t="s">
        <v>4</v>
      </c>
      <c r="W4" s="59"/>
      <c r="X4" s="55"/>
      <c r="Y4" s="55"/>
      <c r="Z4" s="448" t="s">
        <v>806</v>
      </c>
      <c r="AA4" s="55"/>
      <c r="AB4" s="55"/>
      <c r="AC4" s="46"/>
      <c r="AD4" s="10"/>
      <c r="AE4" s="43"/>
      <c r="AF4" s="4" t="s">
        <v>4</v>
      </c>
      <c r="AG4" s="59"/>
      <c r="AH4" s="55"/>
      <c r="AI4" s="55"/>
      <c r="AJ4" s="43" t="s">
        <v>810</v>
      </c>
      <c r="AK4" s="55"/>
      <c r="AL4" s="55"/>
      <c r="AM4" s="46" t="s">
        <v>810</v>
      </c>
      <c r="AN4" s="10"/>
      <c r="AO4" s="43"/>
      <c r="AP4" s="4" t="s">
        <v>4</v>
      </c>
      <c r="AQ4" s="59"/>
      <c r="AR4" s="55"/>
      <c r="AS4" s="55"/>
      <c r="AT4" s="43" t="s">
        <v>366</v>
      </c>
      <c r="AU4" s="55"/>
      <c r="AV4" s="55"/>
      <c r="AW4" s="46" t="s">
        <v>366</v>
      </c>
      <c r="AX4" s="10"/>
      <c r="AY4" s="43"/>
      <c r="AZ4" s="4" t="s">
        <v>4</v>
      </c>
      <c r="BA4" s="59"/>
      <c r="BB4" s="55"/>
      <c r="BC4" s="55"/>
      <c r="BD4" s="43" t="s">
        <v>1100</v>
      </c>
      <c r="BE4" s="55"/>
      <c r="BF4" s="55"/>
      <c r="BG4" s="46"/>
      <c r="BH4" s="10"/>
      <c r="BI4" s="43"/>
      <c r="BJ4" s="12" t="s">
        <v>2</v>
      </c>
      <c r="BK4" s="59"/>
      <c r="BL4" s="5"/>
      <c r="BM4" s="5"/>
      <c r="BN4" s="45" t="s">
        <v>339</v>
      </c>
      <c r="BO4" s="5"/>
      <c r="BP4" s="59"/>
      <c r="BQ4" t="s">
        <v>341</v>
      </c>
      <c r="BR4" s="135"/>
      <c r="BT4" s="12" t="s">
        <v>2</v>
      </c>
      <c r="BU4" s="59"/>
      <c r="BV4" s="5"/>
      <c r="BW4" s="5"/>
      <c r="BX4" s="45" t="s">
        <v>364</v>
      </c>
      <c r="BY4" s="5"/>
      <c r="BZ4" s="59"/>
      <c r="CA4" s="43" t="s">
        <v>341</v>
      </c>
      <c r="CB4" s="135"/>
    </row>
    <row r="5" spans="2:81" x14ac:dyDescent="0.3">
      <c r="B5" s="4" t="s">
        <v>6</v>
      </c>
      <c r="C5" s="59"/>
      <c r="D5" s="55"/>
      <c r="E5" s="55"/>
      <c r="F5" s="14" t="s">
        <v>316</v>
      </c>
      <c r="G5" s="55"/>
      <c r="H5" s="55"/>
      <c r="I5" s="55"/>
      <c r="J5" s="10"/>
      <c r="L5" s="4" t="s">
        <v>6</v>
      </c>
      <c r="M5" s="59"/>
      <c r="N5" s="55"/>
      <c r="O5" s="55"/>
      <c r="P5" s="14" t="s">
        <v>419</v>
      </c>
      <c r="Q5" s="55"/>
      <c r="R5" s="55"/>
      <c r="S5" s="55"/>
      <c r="T5" s="10"/>
      <c r="V5" s="4" t="s">
        <v>6</v>
      </c>
      <c r="W5" s="59"/>
      <c r="X5" s="55"/>
      <c r="Y5" s="55"/>
      <c r="Z5" s="14" t="s">
        <v>807</v>
      </c>
      <c r="AA5" s="55"/>
      <c r="AB5" s="55"/>
      <c r="AC5" s="55"/>
      <c r="AD5" s="10"/>
      <c r="AE5" s="43"/>
      <c r="AF5" s="4" t="s">
        <v>6</v>
      </c>
      <c r="AG5" s="59"/>
      <c r="AH5" s="55"/>
      <c r="AI5" s="55"/>
      <c r="AJ5" s="14" t="s">
        <v>316</v>
      </c>
      <c r="AK5" s="55"/>
      <c r="AL5" s="55"/>
      <c r="AM5" s="55"/>
      <c r="AN5" s="10"/>
      <c r="AO5" s="43"/>
      <c r="AP5" s="4" t="s">
        <v>6</v>
      </c>
      <c r="AQ5" s="59"/>
      <c r="AR5" s="55"/>
      <c r="AS5" s="55"/>
      <c r="AT5" s="14" t="s">
        <v>316</v>
      </c>
      <c r="AU5" s="55"/>
      <c r="AV5" s="55"/>
      <c r="AW5" s="55"/>
      <c r="AX5" s="10"/>
      <c r="AY5" s="43"/>
      <c r="AZ5" s="4" t="s">
        <v>6</v>
      </c>
      <c r="BA5" s="59"/>
      <c r="BB5" s="55"/>
      <c r="BC5" s="55"/>
      <c r="BD5" s="14" t="s">
        <v>7</v>
      </c>
      <c r="BE5" s="55"/>
      <c r="BF5" s="55"/>
      <c r="BG5" s="55"/>
      <c r="BH5" s="10"/>
      <c r="BI5" s="43"/>
      <c r="BJ5" s="4" t="s">
        <v>4</v>
      </c>
      <c r="BK5" s="59"/>
      <c r="BL5" s="55"/>
      <c r="BM5" s="55"/>
      <c r="BN5" t="s">
        <v>340</v>
      </c>
      <c r="BO5" s="55"/>
      <c r="BP5" s="55"/>
      <c r="BQ5" s="46" t="s">
        <v>338</v>
      </c>
      <c r="BR5" s="10"/>
      <c r="BT5" s="4" t="s">
        <v>4</v>
      </c>
      <c r="BU5" s="59"/>
      <c r="BV5" s="55"/>
      <c r="BW5" s="55"/>
      <c r="BX5" s="43" t="s">
        <v>365</v>
      </c>
      <c r="BY5" s="55"/>
      <c r="BZ5" s="55"/>
      <c r="CA5" s="46" t="s">
        <v>366</v>
      </c>
      <c r="CB5" s="10"/>
    </row>
    <row r="6" spans="2:81" ht="15" thickBot="1" x14ac:dyDescent="0.35">
      <c r="B6" s="19" t="s">
        <v>10</v>
      </c>
      <c r="C6" s="65"/>
      <c r="D6" s="20"/>
      <c r="E6" s="20"/>
      <c r="F6" s="21">
        <v>2</v>
      </c>
      <c r="G6" s="20"/>
      <c r="H6" s="20"/>
      <c r="I6" s="20"/>
      <c r="J6" s="40"/>
      <c r="L6" s="19" t="s">
        <v>10</v>
      </c>
      <c r="M6" s="65"/>
      <c r="N6" s="20"/>
      <c r="O6" s="20"/>
      <c r="P6" s="21">
        <v>3</v>
      </c>
      <c r="Q6" s="20"/>
      <c r="R6" s="20"/>
      <c r="S6" s="20"/>
      <c r="T6" s="40"/>
      <c r="V6" s="19" t="s">
        <v>10</v>
      </c>
      <c r="W6" s="65"/>
      <c r="X6" s="20"/>
      <c r="Y6" s="20"/>
      <c r="Z6" s="21">
        <v>20</v>
      </c>
      <c r="AA6" s="20"/>
      <c r="AB6" s="20"/>
      <c r="AC6" s="20"/>
      <c r="AD6" s="40"/>
      <c r="AE6" s="43"/>
      <c r="AF6" s="19" t="s">
        <v>10</v>
      </c>
      <c r="AG6" s="65"/>
      <c r="AH6" s="20"/>
      <c r="AI6" s="20"/>
      <c r="AJ6" s="21">
        <v>3</v>
      </c>
      <c r="AK6" s="20"/>
      <c r="AL6" s="20"/>
      <c r="AM6" s="20"/>
      <c r="AN6" s="40"/>
      <c r="AO6" s="43"/>
      <c r="AP6" s="19" t="s">
        <v>10</v>
      </c>
      <c r="AQ6" s="65"/>
      <c r="AR6" s="20"/>
      <c r="AS6" s="20"/>
      <c r="AT6" s="21">
        <v>1</v>
      </c>
      <c r="AU6" s="20"/>
      <c r="AV6" s="20"/>
      <c r="AW6" s="20"/>
      <c r="AX6" s="40"/>
      <c r="AY6" s="43"/>
      <c r="AZ6" s="19" t="s">
        <v>10</v>
      </c>
      <c r="BA6" s="65"/>
      <c r="BB6" s="20"/>
      <c r="BC6" s="20"/>
      <c r="BD6" s="21">
        <v>1</v>
      </c>
      <c r="BE6" s="20"/>
      <c r="BF6" s="20"/>
      <c r="BG6" s="20"/>
      <c r="BH6" s="40"/>
      <c r="BI6" s="43"/>
      <c r="BJ6" s="4" t="s">
        <v>6</v>
      </c>
      <c r="BK6" s="59"/>
      <c r="BL6" s="55"/>
      <c r="BM6" s="55"/>
      <c r="BN6" s="14" t="s">
        <v>337</v>
      </c>
      <c r="BO6" s="55"/>
      <c r="BP6" s="55"/>
      <c r="BQ6" s="55"/>
      <c r="BR6" s="10"/>
      <c r="BT6" s="4" t="s">
        <v>6</v>
      </c>
      <c r="BU6" s="59"/>
      <c r="BV6" s="55"/>
      <c r="BW6" s="55"/>
      <c r="BX6" s="14" t="s">
        <v>316</v>
      </c>
      <c r="BY6" s="55"/>
      <c r="BZ6" s="55"/>
      <c r="CA6" s="55"/>
      <c r="CB6" s="10"/>
    </row>
    <row r="7" spans="2:81" ht="15" thickBot="1" x14ac:dyDescent="0.35">
      <c r="B7" s="4" t="s">
        <v>16</v>
      </c>
      <c r="C7" s="55"/>
      <c r="D7" s="55"/>
      <c r="E7" s="55"/>
      <c r="F7" s="48" t="s">
        <v>9</v>
      </c>
      <c r="G7" s="55"/>
      <c r="H7" s="59"/>
      <c r="I7" s="55" t="s">
        <v>17</v>
      </c>
      <c r="J7" s="15">
        <f>F8/F9</f>
        <v>0.41976149914821126</v>
      </c>
      <c r="L7" s="4" t="s">
        <v>16</v>
      </c>
      <c r="M7" s="55"/>
      <c r="N7" s="55"/>
      <c r="O7" s="55"/>
      <c r="P7" s="48" t="s">
        <v>15</v>
      </c>
      <c r="Q7" s="55"/>
      <c r="R7" s="59"/>
      <c r="S7" s="55" t="s">
        <v>17</v>
      </c>
      <c r="T7" s="15">
        <f>P8/P9</f>
        <v>0.72967032967032963</v>
      </c>
      <c r="V7" s="4" t="s">
        <v>16</v>
      </c>
      <c r="W7" s="55"/>
      <c r="X7" s="55"/>
      <c r="Y7" s="55"/>
      <c r="Z7" s="48" t="s">
        <v>808</v>
      </c>
      <c r="AA7" s="55"/>
      <c r="AB7" s="59"/>
      <c r="AC7" s="55" t="s">
        <v>17</v>
      </c>
      <c r="AD7" s="15">
        <f>Z8/Z9</f>
        <v>0.90625</v>
      </c>
      <c r="AE7" s="43"/>
      <c r="AF7" s="4" t="s">
        <v>16</v>
      </c>
      <c r="AG7" s="55"/>
      <c r="AH7" s="55"/>
      <c r="AI7" s="55"/>
      <c r="AJ7" s="48" t="s">
        <v>9</v>
      </c>
      <c r="AK7" s="55"/>
      <c r="AL7" s="59"/>
      <c r="AM7" s="55" t="s">
        <v>17</v>
      </c>
      <c r="AN7" s="15">
        <f>AJ8/AJ9</f>
        <v>0.27647058823529413</v>
      </c>
      <c r="AO7" s="43"/>
      <c r="AP7" s="4" t="s">
        <v>16</v>
      </c>
      <c r="AQ7" s="55"/>
      <c r="AR7" s="55"/>
      <c r="AS7" s="55"/>
      <c r="AT7" s="585" t="s">
        <v>9</v>
      </c>
      <c r="AU7" s="55"/>
      <c r="AV7" s="59"/>
      <c r="AW7" s="55" t="s">
        <v>17</v>
      </c>
      <c r="AX7" s="15">
        <f>AT8/AT9</f>
        <v>0.43333333333333335</v>
      </c>
      <c r="AY7" s="43"/>
      <c r="AZ7" s="12" t="s">
        <v>16</v>
      </c>
      <c r="BA7" s="5"/>
      <c r="BB7" s="5"/>
      <c r="BC7" s="5"/>
      <c r="BD7" s="1148" t="s">
        <v>28</v>
      </c>
      <c r="BE7" s="5"/>
      <c r="BF7" s="71"/>
      <c r="BG7" s="5" t="s">
        <v>17</v>
      </c>
      <c r="BH7" s="190">
        <f>BD8/BD9</f>
        <v>0.53366058906030855</v>
      </c>
      <c r="BI7" s="43"/>
      <c r="BJ7" s="19" t="s">
        <v>10</v>
      </c>
      <c r="BK7" s="65"/>
      <c r="BL7" s="20"/>
      <c r="BM7" s="20"/>
      <c r="BN7" s="21">
        <v>4</v>
      </c>
      <c r="BO7" s="20"/>
      <c r="BP7" s="20"/>
      <c r="BQ7" s="20"/>
      <c r="BR7" s="40"/>
      <c r="BT7" s="19" t="s">
        <v>10</v>
      </c>
      <c r="BU7" s="65"/>
      <c r="BV7" s="20"/>
      <c r="BW7" s="20"/>
      <c r="BX7" s="21">
        <v>1</v>
      </c>
      <c r="BY7" s="20"/>
      <c r="BZ7" s="20"/>
      <c r="CA7" s="20"/>
      <c r="CB7" s="40"/>
    </row>
    <row r="8" spans="2:81" x14ac:dyDescent="0.3">
      <c r="B8" s="4" t="s">
        <v>19</v>
      </c>
      <c r="C8" s="55"/>
      <c r="D8" s="55"/>
      <c r="E8" s="55"/>
      <c r="F8" s="144">
        <v>1232</v>
      </c>
      <c r="G8" s="55"/>
      <c r="H8" s="59"/>
      <c r="I8" s="55" t="s">
        <v>23</v>
      </c>
      <c r="J8" s="15">
        <f>F8/F13</f>
        <v>0.38024691358024693</v>
      </c>
      <c r="L8" s="4" t="s">
        <v>19</v>
      </c>
      <c r="M8" s="55"/>
      <c r="N8" s="55"/>
      <c r="O8" s="55"/>
      <c r="P8" s="144">
        <v>332</v>
      </c>
      <c r="Q8" s="55"/>
      <c r="R8" s="59"/>
      <c r="S8" s="55" t="s">
        <v>23</v>
      </c>
      <c r="T8" s="15">
        <f>P8/P13</f>
        <v>0.38425925925925924</v>
      </c>
      <c r="V8" s="4" t="s">
        <v>19</v>
      </c>
      <c r="W8" s="55"/>
      <c r="X8" s="55"/>
      <c r="Y8" s="55"/>
      <c r="Z8" s="144">
        <v>145</v>
      </c>
      <c r="AA8" s="55"/>
      <c r="AB8" s="59"/>
      <c r="AC8" s="55" t="s">
        <v>23</v>
      </c>
      <c r="AD8" s="15">
        <f>Z8/Z11</f>
        <v>0.86826347305389218</v>
      </c>
      <c r="AE8" s="43"/>
      <c r="AF8" s="4" t="s">
        <v>19</v>
      </c>
      <c r="AG8" s="55"/>
      <c r="AH8" s="55"/>
      <c r="AI8" s="55"/>
      <c r="AJ8" s="144">
        <v>235</v>
      </c>
      <c r="AK8" s="55"/>
      <c r="AL8" s="59"/>
      <c r="AM8" s="55" t="s">
        <v>23</v>
      </c>
      <c r="AN8" s="15">
        <f>AJ8/AJ13</f>
        <v>0.23906408952187183</v>
      </c>
      <c r="AO8" s="43"/>
      <c r="AP8" s="4" t="s">
        <v>19</v>
      </c>
      <c r="AQ8" s="55"/>
      <c r="AR8" s="55"/>
      <c r="AS8" s="55"/>
      <c r="AT8" s="144">
        <v>260</v>
      </c>
      <c r="AU8" s="55"/>
      <c r="AV8" s="59"/>
      <c r="AW8" s="55" t="s">
        <v>23</v>
      </c>
      <c r="AX8" s="15">
        <f>AT8/AT13</f>
        <v>0.35961272475795297</v>
      </c>
      <c r="AY8" s="43"/>
      <c r="AZ8" s="4" t="s">
        <v>19</v>
      </c>
      <c r="BA8" s="55"/>
      <c r="BB8" s="55"/>
      <c r="BC8" s="55"/>
      <c r="BD8" s="144">
        <v>761</v>
      </c>
      <c r="BE8" s="55"/>
      <c r="BF8" s="59"/>
      <c r="BG8" s="55" t="s">
        <v>23</v>
      </c>
      <c r="BH8" s="15">
        <f>BD8/BD13</f>
        <v>0.41928374655647382</v>
      </c>
      <c r="BI8" s="43"/>
      <c r="BJ8" s="4" t="s">
        <v>16</v>
      </c>
      <c r="BK8" s="55"/>
      <c r="BL8" s="55"/>
      <c r="BM8" s="55"/>
      <c r="BN8" s="48" t="s">
        <v>9</v>
      </c>
      <c r="BO8" s="55"/>
      <c r="BP8" s="59"/>
      <c r="BQ8" s="55" t="s">
        <v>17</v>
      </c>
      <c r="BR8" s="15">
        <f>BN9/BN10</f>
        <v>0.4</v>
      </c>
      <c r="BT8" s="4" t="s">
        <v>16</v>
      </c>
      <c r="BU8" s="55"/>
      <c r="BV8" s="55"/>
      <c r="BW8" s="55"/>
      <c r="BX8" s="48" t="s">
        <v>28</v>
      </c>
      <c r="BY8" s="55"/>
      <c r="BZ8" s="59"/>
      <c r="CA8" s="55" t="s">
        <v>17</v>
      </c>
      <c r="CB8" s="15">
        <f>BX9/BX10</f>
        <v>0.32786885245901637</v>
      </c>
    </row>
    <row r="9" spans="2:81" x14ac:dyDescent="0.3">
      <c r="B9" s="4" t="s">
        <v>22</v>
      </c>
      <c r="C9" s="55"/>
      <c r="D9" s="55"/>
      <c r="E9" s="55"/>
      <c r="F9" s="144">
        <v>2935</v>
      </c>
      <c r="G9" s="9" t="s">
        <v>343</v>
      </c>
      <c r="H9" s="55"/>
      <c r="I9" s="55"/>
      <c r="J9" s="18"/>
      <c r="L9" s="4" t="s">
        <v>22</v>
      </c>
      <c r="M9" s="55"/>
      <c r="N9" s="55"/>
      <c r="O9" s="55"/>
      <c r="P9" s="144">
        <v>455</v>
      </c>
      <c r="Q9" s="9"/>
      <c r="R9" s="55"/>
      <c r="S9" s="55"/>
      <c r="T9" s="18"/>
      <c r="V9" s="4" t="s">
        <v>22</v>
      </c>
      <c r="W9" s="55"/>
      <c r="X9" s="55"/>
      <c r="Y9" s="55"/>
      <c r="Z9" s="144">
        <v>160</v>
      </c>
      <c r="AA9" s="9"/>
      <c r="AB9" s="55"/>
      <c r="AC9" s="55"/>
      <c r="AD9" s="18"/>
      <c r="AE9" s="43"/>
      <c r="AF9" s="4" t="s">
        <v>22</v>
      </c>
      <c r="AG9" s="55"/>
      <c r="AH9" s="55"/>
      <c r="AI9" s="55"/>
      <c r="AJ9" s="144">
        <v>850</v>
      </c>
      <c r="AK9" s="9" t="s">
        <v>343</v>
      </c>
      <c r="AL9" s="55"/>
      <c r="AM9" s="55"/>
      <c r="AN9" s="18"/>
      <c r="AO9" s="43"/>
      <c r="AP9" s="4" t="s">
        <v>22</v>
      </c>
      <c r="AQ9" s="55"/>
      <c r="AR9" s="55"/>
      <c r="AS9" s="55"/>
      <c r="AT9" s="144">
        <v>600</v>
      </c>
      <c r="AU9" s="9" t="s">
        <v>343</v>
      </c>
      <c r="AV9" s="55"/>
      <c r="AW9" s="55"/>
      <c r="AX9" s="18"/>
      <c r="AY9" s="43"/>
      <c r="AZ9" s="4" t="s">
        <v>22</v>
      </c>
      <c r="BA9" s="55"/>
      <c r="BB9" s="55"/>
      <c r="BC9" s="55"/>
      <c r="BD9" s="144">
        <v>1426</v>
      </c>
      <c r="BE9" s="9"/>
      <c r="BF9" s="55"/>
      <c r="BG9" s="55"/>
      <c r="BH9" s="18"/>
      <c r="BI9" s="43"/>
      <c r="BJ9" s="4" t="s">
        <v>19</v>
      </c>
      <c r="BK9" s="55"/>
      <c r="BL9" s="55"/>
      <c r="BM9" s="55"/>
      <c r="BN9" s="144">
        <v>82</v>
      </c>
      <c r="BO9" s="55"/>
      <c r="BP9" s="59"/>
      <c r="BQ9" s="55" t="s">
        <v>23</v>
      </c>
      <c r="BR9" s="15">
        <f>BN9/BN14</f>
        <v>0.3203125</v>
      </c>
      <c r="BT9" s="4" t="s">
        <v>19</v>
      </c>
      <c r="BU9" s="55"/>
      <c r="BV9" s="55"/>
      <c r="BW9" s="55"/>
      <c r="BX9" s="144">
        <v>200</v>
      </c>
      <c r="BY9" s="55"/>
      <c r="BZ9" s="59"/>
      <c r="CA9" s="55" t="s">
        <v>23</v>
      </c>
      <c r="CB9" s="15">
        <f>BX9/BX14</f>
        <v>0.28050490883590462</v>
      </c>
    </row>
    <row r="10" spans="2:81" s="43" customFormat="1" x14ac:dyDescent="0.3">
      <c r="B10" s="4" t="s">
        <v>24</v>
      </c>
      <c r="C10" s="55"/>
      <c r="D10" s="55"/>
      <c r="E10" s="55"/>
      <c r="F10" s="144">
        <v>920</v>
      </c>
      <c r="G10" s="55"/>
      <c r="H10" s="55"/>
      <c r="I10" s="55"/>
      <c r="J10" s="18"/>
      <c r="L10" s="4" t="s">
        <v>24</v>
      </c>
      <c r="M10" s="55"/>
      <c r="N10" s="55"/>
      <c r="O10" s="55"/>
      <c r="P10" s="144">
        <v>294</v>
      </c>
      <c r="Q10" s="55"/>
      <c r="R10" s="55"/>
      <c r="S10" s="55"/>
      <c r="T10" s="18"/>
      <c r="V10" s="4" t="s">
        <v>27</v>
      </c>
      <c r="W10" s="55"/>
      <c r="X10" s="55"/>
      <c r="Y10" s="55"/>
      <c r="Z10" s="144">
        <v>160</v>
      </c>
      <c r="AA10" s="55"/>
      <c r="AB10" s="55"/>
      <c r="AC10" s="55"/>
      <c r="AD10" s="18"/>
      <c r="AF10" s="4" t="s">
        <v>24</v>
      </c>
      <c r="AG10" s="55"/>
      <c r="AH10" s="55"/>
      <c r="AI10" s="55"/>
      <c r="AJ10" s="144">
        <v>510</v>
      </c>
      <c r="AK10" s="55"/>
      <c r="AL10" s="55"/>
      <c r="AM10" s="55"/>
      <c r="AN10" s="18"/>
      <c r="AP10" s="4" t="s">
        <v>24</v>
      </c>
      <c r="AQ10" s="55"/>
      <c r="AR10" s="55"/>
      <c r="AS10" s="55"/>
      <c r="AT10" s="144">
        <v>140</v>
      </c>
      <c r="AU10" s="55"/>
      <c r="AV10" s="55"/>
      <c r="AW10" s="55"/>
      <c r="AX10" s="18"/>
      <c r="AZ10" s="4" t="s">
        <v>24</v>
      </c>
      <c r="BA10" s="55"/>
      <c r="BB10" s="55"/>
      <c r="BC10" s="55"/>
      <c r="BD10" s="144">
        <v>245</v>
      </c>
      <c r="BE10" s="55"/>
      <c r="BF10" s="55"/>
      <c r="BG10" s="55"/>
      <c r="BH10" s="18"/>
      <c r="BJ10" s="4" t="s">
        <v>22</v>
      </c>
      <c r="BK10" s="55"/>
      <c r="BL10" s="55"/>
      <c r="BM10" s="55"/>
      <c r="BN10" s="144">
        <v>205</v>
      </c>
      <c r="BO10" s="9" t="s">
        <v>343</v>
      </c>
      <c r="BP10" s="55"/>
      <c r="BQ10" s="55"/>
      <c r="BR10" s="18"/>
      <c r="BS10"/>
      <c r="BT10" s="4" t="s">
        <v>22</v>
      </c>
      <c r="BU10" s="55"/>
      <c r="BV10" s="55"/>
      <c r="BW10" s="55"/>
      <c r="BX10" s="144">
        <v>610</v>
      </c>
      <c r="BY10" s="9" t="s">
        <v>343</v>
      </c>
      <c r="BZ10" s="55"/>
      <c r="CA10" s="55"/>
      <c r="CB10" s="18"/>
      <c r="CC10"/>
    </row>
    <row r="11" spans="2:81" s="43" customFormat="1" ht="15" thickBot="1" x14ac:dyDescent="0.35">
      <c r="B11" s="4" t="s">
        <v>342</v>
      </c>
      <c r="C11" s="55"/>
      <c r="D11" s="55"/>
      <c r="E11" s="55"/>
      <c r="F11" s="144">
        <v>180</v>
      </c>
      <c r="G11" s="55"/>
      <c r="H11" s="55"/>
      <c r="I11" s="55"/>
      <c r="J11" s="18"/>
      <c r="L11" s="4" t="s">
        <v>342</v>
      </c>
      <c r="M11" s="55"/>
      <c r="N11" s="55"/>
      <c r="O11" s="55"/>
      <c r="P11" s="144">
        <v>81</v>
      </c>
      <c r="Q11" s="55"/>
      <c r="R11" s="55"/>
      <c r="S11" s="55"/>
      <c r="T11" s="18"/>
      <c r="V11" s="19" t="s">
        <v>32</v>
      </c>
      <c r="W11" s="20"/>
      <c r="X11" s="20"/>
      <c r="Y11" s="20"/>
      <c r="Z11" s="145">
        <f>ROUNDUP(Z10*1.04,0)</f>
        <v>167</v>
      </c>
      <c r="AA11" s="20"/>
      <c r="AB11" s="20"/>
      <c r="AC11" s="20"/>
      <c r="AD11" s="22"/>
      <c r="AF11" s="4" t="s">
        <v>342</v>
      </c>
      <c r="AG11" s="55"/>
      <c r="AH11" s="55"/>
      <c r="AI11" s="55"/>
      <c r="AJ11" s="144">
        <v>95</v>
      </c>
      <c r="AK11" s="55"/>
      <c r="AL11" s="55"/>
      <c r="AM11" s="55"/>
      <c r="AN11" s="18"/>
      <c r="AP11" s="4" t="s">
        <v>342</v>
      </c>
      <c r="AQ11" s="55"/>
      <c r="AR11" s="55"/>
      <c r="AS11" s="55"/>
      <c r="AT11" s="144">
        <v>95</v>
      </c>
      <c r="AU11" s="55"/>
      <c r="AV11" s="55"/>
      <c r="AW11" s="55"/>
      <c r="AX11" s="18"/>
      <c r="AZ11" s="4" t="s">
        <v>342</v>
      </c>
      <c r="BA11" s="55"/>
      <c r="BB11" s="55"/>
      <c r="BC11" s="55"/>
      <c r="BD11" s="144">
        <v>74</v>
      </c>
      <c r="BE11" s="55"/>
      <c r="BF11" s="55"/>
      <c r="BG11" s="55"/>
      <c r="BH11" s="18"/>
      <c r="BJ11" s="4" t="s">
        <v>24</v>
      </c>
      <c r="BK11" s="55"/>
      <c r="BL11" s="55"/>
      <c r="BM11" s="55"/>
      <c r="BN11" s="144">
        <v>31</v>
      </c>
      <c r="BO11" s="55"/>
      <c r="BP11" s="55"/>
      <c r="BQ11" s="55"/>
      <c r="BR11" s="18"/>
      <c r="BT11" s="4" t="s">
        <v>24</v>
      </c>
      <c r="BU11" s="55"/>
      <c r="BV11" s="55"/>
      <c r="BW11" s="55"/>
      <c r="BX11" s="144">
        <v>172</v>
      </c>
      <c r="BY11" s="55"/>
      <c r="BZ11" s="55"/>
      <c r="CA11" s="55"/>
      <c r="CB11" s="18"/>
    </row>
    <row r="12" spans="2:81" x14ac:dyDescent="0.3">
      <c r="B12" s="4" t="s">
        <v>27</v>
      </c>
      <c r="C12" s="55"/>
      <c r="D12" s="55"/>
      <c r="E12" s="55"/>
      <c r="F12" s="144">
        <f>F9+F11</f>
        <v>3115</v>
      </c>
      <c r="G12" s="55"/>
      <c r="H12" s="55" t="s">
        <v>1149</v>
      </c>
      <c r="I12" s="55"/>
      <c r="J12" s="18"/>
      <c r="L12" s="4" t="s">
        <v>27</v>
      </c>
      <c r="M12" s="55"/>
      <c r="N12" s="55"/>
      <c r="O12" s="55"/>
      <c r="P12" s="144">
        <v>830</v>
      </c>
      <c r="Q12" s="55"/>
      <c r="R12" s="55"/>
      <c r="S12" s="55"/>
      <c r="T12" s="18"/>
      <c r="V12" s="12"/>
      <c r="W12" s="5"/>
      <c r="X12" s="164"/>
      <c r="Y12" s="45"/>
      <c r="Z12" s="165"/>
      <c r="AA12" s="5"/>
      <c r="AB12" s="5"/>
      <c r="AC12" s="166"/>
      <c r="AD12" s="167"/>
      <c r="AE12" s="43"/>
      <c r="AF12" s="4" t="s">
        <v>27</v>
      </c>
      <c r="AG12" s="55"/>
      <c r="AH12" s="55"/>
      <c r="AI12" s="55"/>
      <c r="AJ12" s="144">
        <f>AJ9+AJ11</f>
        <v>945</v>
      </c>
      <c r="AK12" s="55"/>
      <c r="AL12" s="55"/>
      <c r="AM12" s="55"/>
      <c r="AN12" s="18"/>
      <c r="AO12" s="43"/>
      <c r="AP12" s="4" t="s">
        <v>27</v>
      </c>
      <c r="AQ12" s="55"/>
      <c r="AR12" s="55"/>
      <c r="AS12" s="55"/>
      <c r="AT12" s="144">
        <f>AT9+AT11</f>
        <v>695</v>
      </c>
      <c r="AU12" s="55"/>
      <c r="AV12" s="55"/>
      <c r="AW12" s="55"/>
      <c r="AX12" s="18"/>
      <c r="AY12" s="43"/>
      <c r="AZ12" s="4" t="s">
        <v>27</v>
      </c>
      <c r="BA12" s="55"/>
      <c r="BB12" s="55"/>
      <c r="BC12" s="55"/>
      <c r="BD12" s="144">
        <f>BD9+BD11+BD10</f>
        <v>1745</v>
      </c>
      <c r="BE12" s="55"/>
      <c r="BF12" s="55"/>
      <c r="BG12" s="55"/>
      <c r="BH12" s="18"/>
      <c r="BI12" s="43"/>
      <c r="BJ12" s="4" t="s">
        <v>342</v>
      </c>
      <c r="BK12" s="55"/>
      <c r="BL12" s="55"/>
      <c r="BM12" s="55"/>
      <c r="BN12" s="144">
        <v>10</v>
      </c>
      <c r="BO12" s="55"/>
      <c r="BP12" s="55"/>
      <c r="BQ12" s="55"/>
      <c r="BR12" s="18"/>
      <c r="BS12" s="43"/>
      <c r="BT12" s="4" t="s">
        <v>342</v>
      </c>
      <c r="BU12" s="55"/>
      <c r="BV12" s="55"/>
      <c r="BW12" s="55"/>
      <c r="BX12" s="144">
        <v>75</v>
      </c>
      <c r="BY12" s="55"/>
      <c r="BZ12" s="55"/>
      <c r="CA12" s="55"/>
      <c r="CB12" s="18"/>
      <c r="CC12" s="43"/>
    </row>
    <row r="13" spans="2:81" ht="15" thickBot="1" x14ac:dyDescent="0.35">
      <c r="B13" s="19" t="s">
        <v>32</v>
      </c>
      <c r="C13" s="20"/>
      <c r="D13" s="20"/>
      <c r="E13" s="20"/>
      <c r="F13" s="145">
        <f>ROUNDUP(F12*1.04,0)</f>
        <v>3240</v>
      </c>
      <c r="G13" s="20"/>
      <c r="H13" s="20"/>
      <c r="I13" s="20"/>
      <c r="J13" s="22"/>
      <c r="L13" s="19" t="s">
        <v>32</v>
      </c>
      <c r="M13" s="20"/>
      <c r="N13" s="20"/>
      <c r="O13" s="20"/>
      <c r="P13" s="145">
        <f>ROUNDUP(P12*1.04,0)</f>
        <v>864</v>
      </c>
      <c r="Q13" s="20"/>
      <c r="R13" s="20"/>
      <c r="S13" s="20"/>
      <c r="T13" s="22"/>
      <c r="V13" s="4"/>
      <c r="W13" s="55"/>
      <c r="X13" s="55"/>
      <c r="Y13" s="55"/>
      <c r="Z13" s="55"/>
      <c r="AA13" s="53"/>
      <c r="AB13" s="349"/>
      <c r="AC13" s="23"/>
      <c r="AD13" s="24"/>
      <c r="AE13" s="43"/>
      <c r="AF13" s="19" t="s">
        <v>32</v>
      </c>
      <c r="AG13" s="20"/>
      <c r="AH13" s="20"/>
      <c r="AI13" s="20"/>
      <c r="AJ13" s="145">
        <f>ROUNDUP(AJ12*1.04,0)</f>
        <v>983</v>
      </c>
      <c r="AK13" s="20"/>
      <c r="AL13" s="20"/>
      <c r="AM13" s="20"/>
      <c r="AN13" s="22"/>
      <c r="AO13" s="43"/>
      <c r="AP13" s="19" t="s">
        <v>32</v>
      </c>
      <c r="AQ13" s="20"/>
      <c r="AR13" s="20"/>
      <c r="AS13" s="20"/>
      <c r="AT13" s="145">
        <f>ROUNDUP(AT12*1.04,0)</f>
        <v>723</v>
      </c>
      <c r="AU13" s="20"/>
      <c r="AV13" s="20"/>
      <c r="AW13" s="20"/>
      <c r="AX13" s="22"/>
      <c r="AY13" s="43"/>
      <c r="AZ13" s="19" t="s">
        <v>32</v>
      </c>
      <c r="BA13" s="20"/>
      <c r="BB13" s="20"/>
      <c r="BC13" s="20"/>
      <c r="BD13" s="145">
        <f>ROUNDUP(BD12*1.04,0)</f>
        <v>1815</v>
      </c>
      <c r="BE13" s="20"/>
      <c r="BF13" s="20"/>
      <c r="BG13" s="20"/>
      <c r="BH13" s="22"/>
      <c r="BI13" s="43"/>
      <c r="BJ13" s="4" t="s">
        <v>27</v>
      </c>
      <c r="BK13" s="55"/>
      <c r="BL13" s="55"/>
      <c r="BM13" s="55"/>
      <c r="BN13" s="144">
        <f>SUM(BN10:BN12)</f>
        <v>246</v>
      </c>
      <c r="BO13" s="55"/>
      <c r="BP13" s="55"/>
      <c r="BQ13" s="55"/>
      <c r="BR13" s="18"/>
      <c r="BT13" s="4" t="s">
        <v>27</v>
      </c>
      <c r="BU13" s="55"/>
      <c r="BV13" s="55"/>
      <c r="BW13" s="55"/>
      <c r="BX13" s="144">
        <f>BX10+BX12</f>
        <v>685</v>
      </c>
      <c r="BY13" s="55"/>
      <c r="BZ13" s="55"/>
      <c r="CA13" s="55"/>
      <c r="CB13" s="18"/>
    </row>
    <row r="14" spans="2:81" ht="15" thickBot="1" x14ac:dyDescent="0.35">
      <c r="B14" s="12"/>
      <c r="C14" s="5"/>
      <c r="D14" s="164"/>
      <c r="E14" s="45"/>
      <c r="F14" s="165"/>
      <c r="G14" s="5"/>
      <c r="H14" s="5"/>
      <c r="I14" s="166"/>
      <c r="J14" s="167"/>
      <c r="L14" s="12"/>
      <c r="M14" s="5"/>
      <c r="N14" s="164"/>
      <c r="O14" s="45"/>
      <c r="P14" s="165"/>
      <c r="Q14" s="5"/>
      <c r="R14" s="5"/>
      <c r="S14" s="166"/>
      <c r="T14" s="167"/>
      <c r="V14" s="4"/>
      <c r="W14" s="55"/>
      <c r="X14" s="55"/>
      <c r="Y14" s="55"/>
      <c r="Z14" s="55"/>
      <c r="AA14" s="55"/>
      <c r="AB14" s="46"/>
      <c r="AC14" s="23"/>
      <c r="AD14" s="24"/>
      <c r="AE14" s="43"/>
      <c r="AF14" s="4"/>
      <c r="AG14" s="55"/>
      <c r="AH14" s="128"/>
      <c r="AI14" s="46"/>
      <c r="AJ14" s="36"/>
      <c r="AK14" s="55"/>
      <c r="AL14" s="55"/>
      <c r="AM14" s="23"/>
      <c r="AN14" s="24"/>
      <c r="AO14" s="43"/>
      <c r="AP14" s="4"/>
      <c r="AQ14" s="55"/>
      <c r="AR14" s="128"/>
      <c r="AS14" s="46"/>
      <c r="AT14" s="36"/>
      <c r="AU14" s="55"/>
      <c r="AV14" s="55"/>
      <c r="AW14" s="23"/>
      <c r="AX14" s="24"/>
      <c r="AY14" s="43"/>
      <c r="AZ14" s="4"/>
      <c r="BA14" s="55"/>
      <c r="BB14" s="128"/>
      <c r="BC14" s="46"/>
      <c r="BD14" s="36"/>
      <c r="BE14" s="55"/>
      <c r="BF14" s="55"/>
      <c r="BG14" s="23"/>
      <c r="BH14" s="24"/>
      <c r="BI14" s="43"/>
      <c r="BJ14" s="19" t="s">
        <v>32</v>
      </c>
      <c r="BK14" s="20"/>
      <c r="BL14" s="20"/>
      <c r="BM14" s="20"/>
      <c r="BN14" s="145">
        <f>ROUNDUP(BN13*1.04,0)</f>
        <v>256</v>
      </c>
      <c r="BO14" s="20"/>
      <c r="BP14" s="20"/>
      <c r="BQ14" s="20"/>
      <c r="BR14" s="22"/>
      <c r="BT14" s="19" t="s">
        <v>32</v>
      </c>
      <c r="BU14" s="20"/>
      <c r="BV14" s="20"/>
      <c r="BW14" s="20"/>
      <c r="BX14" s="145">
        <f>ROUNDUP(BX13*1.04,0)</f>
        <v>713</v>
      </c>
      <c r="BY14" s="20"/>
      <c r="BZ14" s="20"/>
      <c r="CA14" s="20"/>
      <c r="CB14" s="22"/>
    </row>
    <row r="15" spans="2:81" x14ac:dyDescent="0.3">
      <c r="B15" s="1211"/>
      <c r="C15" s="1212"/>
      <c r="D15" s="1212"/>
      <c r="E15" s="1212"/>
      <c r="F15" s="1212" t="s">
        <v>1144</v>
      </c>
      <c r="G15" s="1212"/>
      <c r="H15" s="1212"/>
      <c r="I15" s="23"/>
      <c r="J15" s="24"/>
      <c r="L15" s="4"/>
      <c r="M15" s="55"/>
      <c r="N15" s="55"/>
      <c r="O15" s="55"/>
      <c r="P15" s="55"/>
      <c r="Q15" s="53" t="s">
        <v>420</v>
      </c>
      <c r="R15" s="349" t="s">
        <v>421</v>
      </c>
      <c r="S15" s="23"/>
      <c r="T15" s="24"/>
      <c r="V15" s="4"/>
      <c r="W15" s="55"/>
      <c r="X15" s="55"/>
      <c r="Y15" s="55"/>
      <c r="Z15" s="55"/>
      <c r="AA15" s="55"/>
      <c r="AB15" s="55"/>
      <c r="AC15" s="28"/>
      <c r="AD15" s="27"/>
      <c r="AE15" s="43"/>
      <c r="AF15" s="4"/>
      <c r="AG15" s="55"/>
      <c r="AH15" s="55"/>
      <c r="AI15" s="55"/>
      <c r="AJ15" s="55"/>
      <c r="AK15" s="55"/>
      <c r="AL15" s="55"/>
      <c r="AM15" s="23"/>
      <c r="AN15" s="24"/>
      <c r="AO15" s="43"/>
      <c r="AP15" s="4"/>
      <c r="AQ15" s="55"/>
      <c r="AR15" s="55"/>
      <c r="AS15" s="55"/>
      <c r="AT15" s="55"/>
      <c r="AU15" s="55"/>
      <c r="AV15" s="55"/>
      <c r="AW15" s="23"/>
      <c r="AX15" s="24"/>
      <c r="AY15" s="43"/>
      <c r="AZ15" s="4"/>
      <c r="BA15" s="55"/>
      <c r="BB15" s="55"/>
      <c r="BC15" s="1138" t="s">
        <v>1099</v>
      </c>
      <c r="BD15" s="55"/>
      <c r="BE15" s="55"/>
      <c r="BF15" s="55"/>
      <c r="BG15" s="23"/>
      <c r="BH15" s="24"/>
      <c r="BI15" s="43"/>
      <c r="BJ15" s="4"/>
      <c r="BK15" s="55"/>
      <c r="BL15" s="128"/>
      <c r="BM15" s="46"/>
      <c r="BN15" s="36"/>
      <c r="BO15" s="55"/>
      <c r="BP15" s="55"/>
      <c r="BQ15" s="23"/>
      <c r="BR15" s="24"/>
      <c r="BT15" s="4"/>
      <c r="BU15" s="55"/>
      <c r="BV15" s="128"/>
      <c r="BW15" s="46"/>
      <c r="BX15" s="36"/>
      <c r="BY15" s="55"/>
      <c r="BZ15" s="55"/>
      <c r="CA15" s="23"/>
      <c r="CB15" s="24"/>
    </row>
    <row r="16" spans="2:81" x14ac:dyDescent="0.3">
      <c r="B16" s="1211"/>
      <c r="C16" s="1212"/>
      <c r="D16" s="1212"/>
      <c r="E16" s="1212"/>
      <c r="F16" s="1212"/>
      <c r="G16" s="1212"/>
      <c r="H16" s="1213" t="str">
        <f>IF(Данные!V42=TRUE,"ХХ","")</f>
        <v/>
      </c>
      <c r="I16" s="23"/>
      <c r="J16" s="24"/>
      <c r="L16" s="4"/>
      <c r="M16" s="55"/>
      <c r="N16" s="55"/>
      <c r="O16" s="55"/>
      <c r="P16" s="55"/>
      <c r="Q16" s="55"/>
      <c r="R16" s="46" t="s">
        <v>422</v>
      </c>
      <c r="S16" s="23"/>
      <c r="T16" s="24"/>
      <c r="V16" s="4"/>
      <c r="W16" s="55"/>
      <c r="X16" s="55"/>
      <c r="Y16" s="55"/>
      <c r="Z16" s="55"/>
      <c r="AA16" s="59"/>
      <c r="AB16" s="59"/>
      <c r="AC16" s="59"/>
      <c r="AD16" s="10"/>
      <c r="AE16" s="43"/>
      <c r="AF16" s="4"/>
      <c r="AG16" s="55"/>
      <c r="AH16" s="55"/>
      <c r="AI16" s="55"/>
      <c r="AJ16" s="55"/>
      <c r="AK16" s="55"/>
      <c r="AL16" s="46" t="str">
        <f>IF(Данные!AZ41=TRUE,"ХХ","")</f>
        <v/>
      </c>
      <c r="AM16" s="23"/>
      <c r="AN16" s="24"/>
      <c r="AO16" s="43"/>
      <c r="AP16" s="4"/>
      <c r="AQ16" s="55"/>
      <c r="AR16" s="55"/>
      <c r="AS16" s="55"/>
      <c r="AT16" s="55"/>
      <c r="AU16" s="55"/>
      <c r="AV16" s="46" t="str">
        <f>IF(Данные!BJ42=TRUE,"ХХ","")</f>
        <v/>
      </c>
      <c r="AW16" s="23"/>
      <c r="AX16" s="24"/>
      <c r="AY16" s="43"/>
      <c r="AZ16" s="4"/>
      <c r="BA16" s="55"/>
      <c r="BB16" s="55"/>
      <c r="BC16" s="55"/>
      <c r="BD16" s="55"/>
      <c r="BE16" s="55"/>
      <c r="BF16" s="46" t="str">
        <f>IF(Данные!BT42=TRUE,"ХХ","")</f>
        <v/>
      </c>
      <c r="BG16" s="23"/>
      <c r="BH16" s="24"/>
      <c r="BI16" s="43"/>
      <c r="BJ16" s="4"/>
      <c r="BK16" s="55"/>
      <c r="BL16" s="55"/>
      <c r="BM16" s="55"/>
      <c r="BN16" s="55"/>
      <c r="BO16" s="55"/>
      <c r="BP16" s="55"/>
      <c r="BQ16" s="23"/>
      <c r="BR16" s="24"/>
      <c r="BT16" s="4"/>
      <c r="BU16" s="55"/>
      <c r="BV16" s="55"/>
      <c r="BW16" s="55"/>
      <c r="BX16" s="55"/>
      <c r="BY16" s="55"/>
      <c r="BZ16" s="55"/>
      <c r="CA16" s="23"/>
      <c r="CB16" s="24"/>
    </row>
    <row r="17" spans="2:80" x14ac:dyDescent="0.3">
      <c r="B17" s="1211"/>
      <c r="C17" s="1212"/>
      <c r="D17" s="1212"/>
      <c r="E17" s="1212"/>
      <c r="F17" s="1214" t="s">
        <v>1143</v>
      </c>
      <c r="G17" s="1212"/>
      <c r="H17" s="1212" t="str">
        <f>IF(Данные!V42=TRUE,"ХХ","")</f>
        <v/>
      </c>
      <c r="I17" s="29"/>
      <c r="J17" s="27"/>
      <c r="L17" s="4"/>
      <c r="M17" s="55"/>
      <c r="N17" s="55"/>
      <c r="O17" s="55"/>
      <c r="P17" s="55"/>
      <c r="Q17" s="55"/>
      <c r="R17" s="55" t="s">
        <v>424</v>
      </c>
      <c r="S17" s="28"/>
      <c r="T17" s="27"/>
      <c r="V17" s="4"/>
      <c r="W17" s="55"/>
      <c r="X17" s="55"/>
      <c r="Y17" s="55"/>
      <c r="Z17" s="55"/>
      <c r="AA17" s="53"/>
      <c r="AB17" s="55"/>
      <c r="AC17" s="26"/>
      <c r="AD17" s="27"/>
      <c r="AE17" s="43"/>
      <c r="AF17" s="4"/>
      <c r="AG17" s="55"/>
      <c r="AH17" s="55"/>
      <c r="AI17" s="55"/>
      <c r="AJ17" s="55"/>
      <c r="AK17" s="55"/>
      <c r="AL17" s="55" t="str">
        <f>IF(Данные!AZ41=TRUE,"ХХ","")</f>
        <v/>
      </c>
      <c r="AM17" s="28"/>
      <c r="AN17" s="27"/>
      <c r="AO17" s="43"/>
      <c r="AP17" s="4"/>
      <c r="AQ17" s="55"/>
      <c r="AR17" s="55"/>
      <c r="AS17" s="55"/>
      <c r="AT17" s="55"/>
      <c r="AU17" s="55"/>
      <c r="AV17" s="55" t="str">
        <f>IF(Данные!BJ42=TRUE,"ХХ","")</f>
        <v/>
      </c>
      <c r="AW17" s="28"/>
      <c r="AX17" s="27"/>
      <c r="AY17" s="43"/>
      <c r="AZ17" s="4"/>
      <c r="BA17" s="55"/>
      <c r="BB17" s="55"/>
      <c r="BC17" s="55"/>
      <c r="BD17" s="55"/>
      <c r="BE17" s="55"/>
      <c r="BF17" s="55" t="str">
        <f>IF(Данные!BT42=TRUE,"ХХ","")</f>
        <v/>
      </c>
      <c r="BG17" s="28"/>
      <c r="BH17" s="27"/>
      <c r="BI17" s="43"/>
      <c r="BJ17" s="4"/>
      <c r="BK17" s="55"/>
      <c r="BL17" s="55"/>
      <c r="BM17" s="55"/>
      <c r="BN17" s="55"/>
      <c r="BO17" s="55"/>
      <c r="BP17" s="46" t="str">
        <f>IF(Данные!B42=TRUE,"ХХ","")</f>
        <v/>
      </c>
      <c r="BQ17" s="23"/>
      <c r="BR17" s="24"/>
      <c r="BT17" s="4"/>
      <c r="BU17" s="55"/>
      <c r="BV17" s="55"/>
      <c r="BW17" s="55"/>
      <c r="BX17" s="55"/>
      <c r="BY17" s="55"/>
      <c r="BZ17" s="46" t="str">
        <f>IF(Данные!L42=TRUE,"ХХ","")</f>
        <v/>
      </c>
      <c r="CA17" s="23"/>
      <c r="CB17" s="24"/>
    </row>
    <row r="18" spans="2:80" x14ac:dyDescent="0.3">
      <c r="B18" s="1211"/>
      <c r="C18" s="1212"/>
      <c r="D18" s="1212"/>
      <c r="E18" s="1212"/>
      <c r="F18" s="1212"/>
      <c r="G18" s="1212"/>
      <c r="H18" s="1212" t="str">
        <f>IF(Данные!V42=TRUE,"ХХ","")</f>
        <v/>
      </c>
      <c r="I18" s="29"/>
      <c r="J18" s="27"/>
      <c r="L18" s="4"/>
      <c r="M18" s="55"/>
      <c r="N18" s="55"/>
      <c r="O18" s="55"/>
      <c r="P18" s="55"/>
      <c r="Q18" s="59"/>
      <c r="R18" s="59"/>
      <c r="S18" s="59"/>
      <c r="T18" s="10"/>
      <c r="V18" s="4"/>
      <c r="W18" s="55"/>
      <c r="X18" s="55"/>
      <c r="Y18" s="55"/>
      <c r="Z18" s="55"/>
      <c r="AA18" s="55"/>
      <c r="AB18" s="126"/>
      <c r="AC18" s="29"/>
      <c r="AD18" s="27"/>
      <c r="AE18" s="43"/>
      <c r="AF18" s="4"/>
      <c r="AG18" s="55"/>
      <c r="AH18" s="55"/>
      <c r="AI18" s="55"/>
      <c r="AJ18" s="55"/>
      <c r="AK18" s="55"/>
      <c r="AL18" s="55" t="str">
        <f>IF(Данные!AZ41=TRUE,"ХХ","")</f>
        <v/>
      </c>
      <c r="AM18" s="26"/>
      <c r="AN18" s="27"/>
      <c r="AO18" s="43"/>
      <c r="AP18" s="4"/>
      <c r="AQ18" s="55"/>
      <c r="AR18" s="55"/>
      <c r="AS18" s="55"/>
      <c r="AT18" s="55"/>
      <c r="AU18" s="55"/>
      <c r="AV18" s="55" t="str">
        <f>IF(Данные!BJ42=TRUE,"ХХ","")</f>
        <v/>
      </c>
      <c r="AW18" s="26"/>
      <c r="AX18" s="27"/>
      <c r="AY18" s="43"/>
      <c r="AZ18" s="4"/>
      <c r="BA18" s="55"/>
      <c r="BB18" s="55"/>
      <c r="BC18" s="55"/>
      <c r="BD18" s="55"/>
      <c r="BE18" s="55"/>
      <c r="BF18" s="55" t="str">
        <f>IF(Данные!BT42=TRUE,"ХХ","")</f>
        <v/>
      </c>
      <c r="BG18" s="26"/>
      <c r="BH18" s="27"/>
      <c r="BI18" s="43"/>
      <c r="BJ18" s="4"/>
      <c r="BK18" s="55"/>
      <c r="BL18" s="55"/>
      <c r="BM18" s="55"/>
      <c r="BN18" s="55"/>
      <c r="BO18" s="55"/>
      <c r="BP18" s="55" t="str">
        <f>IF(Данные!B42=TRUE,"ХХ","")</f>
        <v/>
      </c>
      <c r="BQ18" s="28"/>
      <c r="BR18" s="27"/>
      <c r="BT18" s="4"/>
      <c r="BU18" s="55"/>
      <c r="BV18" s="55"/>
      <c r="BW18" s="55"/>
      <c r="BX18" s="55"/>
      <c r="BY18" s="55"/>
      <c r="BZ18" s="55" t="str">
        <f>IF(Данные!L42=TRUE,"ХХ","")</f>
        <v/>
      </c>
      <c r="CA18" s="28"/>
      <c r="CB18" s="27"/>
    </row>
    <row r="19" spans="2:80" ht="15.6" x14ac:dyDescent="0.3">
      <c r="B19" s="1211"/>
      <c r="C19" s="1212"/>
      <c r="D19" s="1212"/>
      <c r="E19" s="1212"/>
      <c r="F19" s="1212"/>
      <c r="G19" s="1212"/>
      <c r="H19" s="1215" t="str">
        <f>IF(Данные!V42=TRUE,"ХХ","")</f>
        <v/>
      </c>
      <c r="I19" s="29"/>
      <c r="J19" s="27"/>
      <c r="L19" s="4"/>
      <c r="M19" s="55"/>
      <c r="N19" s="55"/>
      <c r="O19" s="55"/>
      <c r="P19" s="55"/>
      <c r="Q19" s="53" t="s">
        <v>423</v>
      </c>
      <c r="R19" s="55" t="s">
        <v>429</v>
      </c>
      <c r="S19" s="26"/>
      <c r="T19" s="27"/>
      <c r="V19" s="4"/>
      <c r="W19" s="55"/>
      <c r="X19" s="55"/>
      <c r="Y19" s="55"/>
      <c r="Z19" s="55"/>
      <c r="AA19" s="55"/>
      <c r="AB19" s="126"/>
      <c r="AC19" s="29"/>
      <c r="AD19" s="27"/>
      <c r="AE19" s="43"/>
      <c r="AF19" s="4"/>
      <c r="AG19" s="55"/>
      <c r="AH19" s="55"/>
      <c r="AI19" s="55"/>
      <c r="AJ19" s="55"/>
      <c r="AK19" s="55"/>
      <c r="AL19" s="126" t="str">
        <f>IF(Данные!AZ41=TRUE,"ХХ","")</f>
        <v/>
      </c>
      <c r="AM19" s="29"/>
      <c r="AN19" s="27"/>
      <c r="AO19" s="43"/>
      <c r="AP19" s="4"/>
      <c r="AQ19" s="55"/>
      <c r="AR19" s="55"/>
      <c r="AS19" s="55"/>
      <c r="AT19" s="55"/>
      <c r="AU19" s="55"/>
      <c r="AV19" s="126" t="str">
        <f>IF(Данные!BJ42=TRUE,"ХХ","")</f>
        <v/>
      </c>
      <c r="AW19" s="29"/>
      <c r="AX19" s="27"/>
      <c r="AY19" s="43"/>
      <c r="AZ19" s="4"/>
      <c r="BA19" s="1139"/>
      <c r="BB19" s="55"/>
      <c r="BC19" s="55"/>
      <c r="BD19" s="55"/>
      <c r="BE19" s="55"/>
      <c r="BF19" s="126" t="str">
        <f>IF(Данные!BT42=TRUE,"ХХ","")</f>
        <v/>
      </c>
      <c r="BG19" s="29"/>
      <c r="BH19" s="27"/>
      <c r="BI19" s="43"/>
      <c r="BJ19" s="4"/>
      <c r="BK19" s="55"/>
      <c r="BL19" s="55"/>
      <c r="BM19" s="55"/>
      <c r="BN19" s="55"/>
      <c r="BO19" s="55"/>
      <c r="BP19" s="55" t="str">
        <f>IF(Данные!B42=TRUE,"ХХ","")</f>
        <v/>
      </c>
      <c r="BQ19" s="26"/>
      <c r="BR19" s="27"/>
      <c r="BT19" s="4"/>
      <c r="BU19" s="55"/>
      <c r="BV19" s="55"/>
      <c r="BW19" s="55"/>
      <c r="BX19" s="55"/>
      <c r="BY19" s="55"/>
      <c r="BZ19" s="55" t="str">
        <f>IF(Данные!L42=TRUE,"ХХ","")</f>
        <v/>
      </c>
      <c r="CA19" s="26"/>
      <c r="CB19" s="27"/>
    </row>
    <row r="20" spans="2:80" x14ac:dyDescent="0.3">
      <c r="B20" s="1211"/>
      <c r="C20" s="1212"/>
      <c r="D20" s="1212"/>
      <c r="E20" s="1212"/>
      <c r="F20" s="1212"/>
      <c r="G20" s="1212"/>
      <c r="H20" s="1215" t="str">
        <f>IF(Данные!V42=TRUE,"ХХ","")</f>
        <v/>
      </c>
      <c r="I20" s="29"/>
      <c r="J20" s="27"/>
      <c r="L20" s="4"/>
      <c r="M20" s="55"/>
      <c r="N20" s="55"/>
      <c r="O20" s="55"/>
      <c r="P20" s="55"/>
      <c r="Q20" s="55"/>
      <c r="R20" s="126" t="s">
        <v>430</v>
      </c>
      <c r="S20" s="29"/>
      <c r="T20" s="27"/>
      <c r="V20" s="4"/>
      <c r="W20" s="55"/>
      <c r="X20" s="31"/>
      <c r="Y20" s="32"/>
      <c r="Z20" s="55"/>
      <c r="AA20" s="53"/>
      <c r="AB20" s="126"/>
      <c r="AC20" s="29"/>
      <c r="AD20" s="27"/>
      <c r="AE20" s="43"/>
      <c r="AF20" s="4"/>
      <c r="AG20" s="55"/>
      <c r="AH20" s="55"/>
      <c r="AI20" s="55"/>
      <c r="AJ20" s="55"/>
      <c r="AK20" s="55"/>
      <c r="AL20" s="126" t="str">
        <f>IF(Данные!AZ41=TRUE,"ХХ","")</f>
        <v/>
      </c>
      <c r="AM20" s="29"/>
      <c r="AN20" s="27"/>
      <c r="AO20" s="43"/>
      <c r="AP20" s="4"/>
      <c r="AQ20" s="55"/>
      <c r="AR20" s="55"/>
      <c r="AS20" s="55"/>
      <c r="AT20" s="55"/>
      <c r="AU20" s="55"/>
      <c r="AV20" s="126" t="str">
        <f>IF(Данные!BJ42=TRUE,"ХХ","")</f>
        <v/>
      </c>
      <c r="AW20" s="29"/>
      <c r="AX20" s="27"/>
      <c r="AY20" s="43"/>
      <c r="AZ20" s="4"/>
      <c r="BA20" s="55"/>
      <c r="BB20" s="55"/>
      <c r="BC20" s="55"/>
      <c r="BD20" s="55"/>
      <c r="BE20" s="55"/>
      <c r="BF20" s="1137">
        <v>415</v>
      </c>
      <c r="BG20" s="29"/>
      <c r="BH20" s="27"/>
      <c r="BI20" s="43"/>
      <c r="BJ20" s="4"/>
      <c r="BK20" s="55"/>
      <c r="BL20" s="55"/>
      <c r="BM20" s="55"/>
      <c r="BN20" s="55"/>
      <c r="BO20" s="55"/>
      <c r="BP20" s="126" t="str">
        <f>IF(Данные!B42=TRUE,"ХХ","")</f>
        <v/>
      </c>
      <c r="BQ20" s="29"/>
      <c r="BR20" s="27"/>
      <c r="BT20" s="4"/>
      <c r="BU20" s="55"/>
      <c r="BV20" s="55"/>
      <c r="BW20" s="55"/>
      <c r="BX20" s="55"/>
      <c r="BY20" s="55"/>
      <c r="BZ20" s="126" t="str">
        <f>IF(Данные!L42=TRUE,"ХХ","")</f>
        <v/>
      </c>
      <c r="CA20" s="29"/>
      <c r="CB20" s="27"/>
    </row>
    <row r="21" spans="2:80" x14ac:dyDescent="0.3">
      <c r="B21" s="1211"/>
      <c r="C21" s="1212"/>
      <c r="D21" s="1212"/>
      <c r="E21" s="1212"/>
      <c r="F21" s="1212"/>
      <c r="G21" s="1212"/>
      <c r="H21" s="1215" t="str">
        <f>IF(Данные!V42=TRUE,"ХХ","")</f>
        <v/>
      </c>
      <c r="I21" s="29" t="s">
        <v>1148</v>
      </c>
      <c r="J21" s="24"/>
      <c r="L21" s="4"/>
      <c r="M21" s="55"/>
      <c r="N21" s="55"/>
      <c r="O21" s="55"/>
      <c r="P21" s="55"/>
      <c r="Q21" s="55"/>
      <c r="R21" s="126" t="str">
        <f>IF(Данные!AF42=TRUE,"ХХ","")</f>
        <v/>
      </c>
      <c r="S21" s="29"/>
      <c r="T21" s="27"/>
      <c r="V21" s="4"/>
      <c r="W21" s="55"/>
      <c r="X21" s="59"/>
      <c r="Y21" s="55"/>
      <c r="Z21" s="55"/>
      <c r="AA21" s="55"/>
      <c r="AB21" s="126"/>
      <c r="AC21" s="29"/>
      <c r="AD21" s="27"/>
      <c r="AE21" s="43"/>
      <c r="AF21" s="4"/>
      <c r="AG21" s="55"/>
      <c r="AH21" s="55"/>
      <c r="AI21" s="55"/>
      <c r="AJ21" s="55"/>
      <c r="AK21" s="55"/>
      <c r="AL21" s="126" t="str">
        <f>IF(Данные!AZ41=TRUE,"ХХ","")</f>
        <v/>
      </c>
      <c r="AM21" s="29"/>
      <c r="AN21" s="27"/>
      <c r="AO21" s="43"/>
      <c r="AP21" s="4"/>
      <c r="AQ21" s="55"/>
      <c r="AR21" s="55"/>
      <c r="AS21" s="55"/>
      <c r="AT21" s="55"/>
      <c r="AU21" s="55"/>
      <c r="AV21" s="126" t="str">
        <f>IF(Данные!BJ42=TRUE,"ХХ","")</f>
        <v/>
      </c>
      <c r="AW21" s="29"/>
      <c r="AX21" s="27"/>
      <c r="AY21" s="43"/>
      <c r="AZ21" s="4"/>
      <c r="BA21" s="55"/>
      <c r="BB21" s="55"/>
      <c r="BC21" s="55"/>
      <c r="BD21" s="55"/>
      <c r="BE21" s="55"/>
      <c r="BF21" s="126" t="str">
        <f>IF(Данные!BT42=TRUE,"ХХ","")</f>
        <v/>
      </c>
      <c r="BG21" s="29"/>
      <c r="BH21" s="27"/>
      <c r="BI21" s="43"/>
      <c r="BJ21" s="4"/>
      <c r="BK21" s="55"/>
      <c r="BL21" s="55"/>
      <c r="BM21" s="55"/>
      <c r="BN21" s="55"/>
      <c r="BO21" s="55"/>
      <c r="BP21" s="126" t="str">
        <f>IF(Данные!B42=TRUE,"ХХ","")</f>
        <v/>
      </c>
      <c r="BQ21" s="29"/>
      <c r="BR21" s="27"/>
      <c r="BT21" s="4"/>
      <c r="BU21" s="55"/>
      <c r="BV21" s="55"/>
      <c r="BW21" s="55"/>
      <c r="BX21" s="55"/>
      <c r="BY21" s="55"/>
      <c r="BZ21" s="126" t="str">
        <f>IF(Данные!L42=TRUE,"ХХ","")</f>
        <v/>
      </c>
      <c r="CA21" s="29"/>
      <c r="CB21" s="27"/>
    </row>
    <row r="22" spans="2:80" x14ac:dyDescent="0.3">
      <c r="B22" s="1211"/>
      <c r="C22" s="1212"/>
      <c r="D22" s="187"/>
      <c r="E22" s="30"/>
      <c r="F22" s="1212" t="s">
        <v>1145</v>
      </c>
      <c r="G22" s="1212"/>
      <c r="H22" s="1212"/>
      <c r="I22" s="29"/>
      <c r="J22" s="27"/>
      <c r="L22" s="4"/>
      <c r="M22" s="55"/>
      <c r="N22" s="31"/>
      <c r="O22" s="32"/>
      <c r="P22" s="55"/>
      <c r="Q22" s="53" t="s">
        <v>425</v>
      </c>
      <c r="R22" s="126" t="s">
        <v>427</v>
      </c>
      <c r="S22" s="29"/>
      <c r="T22" s="27"/>
      <c r="V22" s="4"/>
      <c r="W22" s="33"/>
      <c r="X22" s="59"/>
      <c r="Y22" s="34"/>
      <c r="Z22" s="55"/>
      <c r="AA22" s="55"/>
      <c r="AB22" s="126"/>
      <c r="AC22" s="29"/>
      <c r="AD22" s="27"/>
      <c r="AE22" s="43"/>
      <c r="AF22" s="4"/>
      <c r="AG22" s="55"/>
      <c r="AH22" s="31"/>
      <c r="AI22" s="32"/>
      <c r="AJ22" s="55"/>
      <c r="AK22" s="55"/>
      <c r="AL22" s="55"/>
      <c r="AM22" s="29"/>
      <c r="AN22" s="27"/>
      <c r="AO22" s="43"/>
      <c r="AP22" s="4"/>
      <c r="AQ22" s="55"/>
      <c r="AR22" s="31"/>
      <c r="AS22" s="32"/>
      <c r="AT22" s="55"/>
      <c r="AU22" s="55"/>
      <c r="AV22" s="55"/>
      <c r="AW22" s="29"/>
      <c r="AX22" s="27"/>
      <c r="AY22" s="43"/>
      <c r="AZ22" s="4"/>
      <c r="BA22" s="55"/>
      <c r="BB22" s="31"/>
      <c r="BC22" s="32"/>
      <c r="BD22" s="55"/>
      <c r="BE22" s="55"/>
      <c r="BF22" s="55"/>
      <c r="BG22" s="29"/>
      <c r="BH22" s="27"/>
      <c r="BI22" s="43"/>
      <c r="BJ22" s="4"/>
      <c r="BK22" s="55"/>
      <c r="BL22" s="55"/>
      <c r="BM22" s="55"/>
      <c r="BN22" s="55"/>
      <c r="BO22" s="55"/>
      <c r="BP22" s="126" t="str">
        <f>IF(Данные!B42=TRUE,"ХХ","")</f>
        <v/>
      </c>
      <c r="BQ22" s="29"/>
      <c r="BR22" s="27"/>
      <c r="BT22" s="4"/>
      <c r="BU22" s="55"/>
      <c r="BV22" s="55"/>
      <c r="BW22" s="55"/>
      <c r="BX22" s="55"/>
      <c r="BY22" s="55"/>
      <c r="BZ22" s="126" t="str">
        <f>IF(Данные!L42=TRUE,"ХХ","")</f>
        <v/>
      </c>
      <c r="CA22" s="29"/>
      <c r="CB22" s="27"/>
    </row>
    <row r="23" spans="2:80" x14ac:dyDescent="0.3">
      <c r="B23" s="1211"/>
      <c r="C23" s="1212"/>
      <c r="D23" s="23"/>
      <c r="E23" s="1212"/>
      <c r="F23" s="1212"/>
      <c r="G23" s="1212"/>
      <c r="H23" s="1212"/>
      <c r="I23" s="29"/>
      <c r="J23" s="27"/>
      <c r="L23" s="4"/>
      <c r="M23" s="55"/>
      <c r="N23" s="59"/>
      <c r="O23" s="55"/>
      <c r="P23" s="55"/>
      <c r="Q23" s="55"/>
      <c r="R23" s="126" t="s">
        <v>428</v>
      </c>
      <c r="S23" s="29"/>
      <c r="T23" s="27"/>
      <c r="V23" s="4"/>
      <c r="W23" s="59"/>
      <c r="X23" s="55"/>
      <c r="Y23" s="26"/>
      <c r="Z23" s="31"/>
      <c r="AA23" s="55"/>
      <c r="AB23" s="126"/>
      <c r="AC23" s="29"/>
      <c r="AD23" s="27"/>
      <c r="AE23" s="43"/>
      <c r="AF23" s="4"/>
      <c r="AG23" s="55"/>
      <c r="AH23" s="59"/>
      <c r="AI23" s="55"/>
      <c r="AJ23" s="55"/>
      <c r="AK23" s="55"/>
      <c r="AL23" s="55"/>
      <c r="AM23" s="29"/>
      <c r="AN23" s="27"/>
      <c r="AO23" s="43"/>
      <c r="AP23" s="4"/>
      <c r="AQ23" s="55"/>
      <c r="AR23" s="59"/>
      <c r="AS23" s="55"/>
      <c r="AT23" s="55"/>
      <c r="AU23" s="55"/>
      <c r="AV23" s="55"/>
      <c r="AW23" s="29"/>
      <c r="AX23" s="27"/>
      <c r="AY23" s="43"/>
      <c r="AZ23" s="4"/>
      <c r="BA23" s="55"/>
      <c r="BB23" s="1136" t="s">
        <v>1098</v>
      </c>
      <c r="BC23" s="55"/>
      <c r="BD23" s="55"/>
      <c r="BE23" s="55"/>
      <c r="BF23" s="55"/>
      <c r="BG23" s="29"/>
      <c r="BH23" s="27"/>
      <c r="BI23" s="43"/>
      <c r="BJ23" s="4"/>
      <c r="BK23" s="55"/>
      <c r="BL23" s="31"/>
      <c r="BM23" s="32"/>
      <c r="BN23" s="55"/>
      <c r="BO23" s="55"/>
      <c r="BP23" s="55"/>
      <c r="BQ23" s="29"/>
      <c r="BR23" s="27"/>
      <c r="BT23" s="4"/>
      <c r="BU23" s="55"/>
      <c r="BV23" s="31"/>
      <c r="BW23" s="32"/>
      <c r="BX23" s="55"/>
      <c r="BY23" s="55"/>
      <c r="BZ23" s="55"/>
      <c r="CA23" s="29"/>
      <c r="CB23" s="27"/>
    </row>
    <row r="24" spans="2:80" x14ac:dyDescent="0.3">
      <c r="B24" s="1211"/>
      <c r="C24" s="1216"/>
      <c r="D24" s="23"/>
      <c r="E24" s="187"/>
      <c r="F24" s="1212" t="s">
        <v>1153</v>
      </c>
      <c r="G24" s="1212"/>
      <c r="H24" s="1212"/>
      <c r="I24" s="29"/>
      <c r="J24" s="27"/>
      <c r="L24" s="4"/>
      <c r="M24" s="33"/>
      <c r="N24" s="59"/>
      <c r="O24" s="34"/>
      <c r="P24" s="55"/>
      <c r="Q24" s="55"/>
      <c r="R24" s="126" t="s">
        <v>431</v>
      </c>
      <c r="S24" s="29"/>
      <c r="T24" s="27"/>
      <c r="V24" s="4"/>
      <c r="W24" s="59"/>
      <c r="X24" s="55"/>
      <c r="Y24" s="26"/>
      <c r="Z24" s="31"/>
      <c r="AA24" s="55"/>
      <c r="AB24" s="55"/>
      <c r="AC24" s="29"/>
      <c r="AD24" s="27"/>
      <c r="AE24" s="43"/>
      <c r="AF24" s="4"/>
      <c r="AG24" s="33"/>
      <c r="AH24" s="59"/>
      <c r="AI24" s="34"/>
      <c r="AJ24" s="55"/>
      <c r="AK24" s="55"/>
      <c r="AL24" s="55"/>
      <c r="AM24" s="29"/>
      <c r="AN24" s="27"/>
      <c r="AO24" s="43"/>
      <c r="AP24" s="4"/>
      <c r="AQ24" s="33"/>
      <c r="AR24" s="59"/>
      <c r="AS24" s="34"/>
      <c r="AT24" s="55"/>
      <c r="AU24" s="55"/>
      <c r="AV24" s="55"/>
      <c r="AW24" s="29"/>
      <c r="AX24" s="27"/>
      <c r="AY24" s="43"/>
      <c r="AZ24" s="4"/>
      <c r="BA24" s="33"/>
      <c r="BB24" s="59"/>
      <c r="BC24" s="34"/>
      <c r="BD24" s="55"/>
      <c r="BE24" s="55"/>
      <c r="BF24" s="55"/>
      <c r="BG24" s="29"/>
      <c r="BH24" s="27"/>
      <c r="BI24" s="43"/>
      <c r="BJ24" s="4"/>
      <c r="BK24" s="55"/>
      <c r="BL24" s="59"/>
      <c r="BM24" s="55"/>
      <c r="BN24" s="55"/>
      <c r="BO24" s="55"/>
      <c r="BP24" s="55"/>
      <c r="BQ24" s="29"/>
      <c r="BR24" s="27"/>
      <c r="BT24" s="4"/>
      <c r="BU24" s="55"/>
      <c r="BV24" s="59"/>
      <c r="BW24" s="55"/>
      <c r="BX24" s="55"/>
      <c r="BY24" s="55"/>
      <c r="BZ24" s="55"/>
      <c r="CA24" s="29"/>
      <c r="CB24" s="27"/>
    </row>
    <row r="25" spans="2:80" x14ac:dyDescent="0.3">
      <c r="B25" s="1218">
        <v>370</v>
      </c>
      <c r="C25" s="23"/>
      <c r="D25" s="1212"/>
      <c r="E25" s="29"/>
      <c r="F25" s="187"/>
      <c r="G25" s="1212"/>
      <c r="H25" s="1212"/>
      <c r="I25" s="29"/>
      <c r="J25" s="27"/>
      <c r="L25" s="4"/>
      <c r="M25" s="59"/>
      <c r="N25" s="55"/>
      <c r="O25" s="26"/>
      <c r="P25" s="31"/>
      <c r="Q25" s="55"/>
      <c r="R25" s="126" t="s">
        <v>432</v>
      </c>
      <c r="S25" s="29"/>
      <c r="T25" s="27"/>
      <c r="V25" s="4"/>
      <c r="W25" s="55"/>
      <c r="X25" s="55"/>
      <c r="Y25" s="55"/>
      <c r="Z25" s="55"/>
      <c r="AA25" s="55"/>
      <c r="AB25" s="55"/>
      <c r="AC25" s="29"/>
      <c r="AD25" s="27"/>
      <c r="AE25" s="43"/>
      <c r="AF25" s="4"/>
      <c r="AG25" s="43"/>
      <c r="AH25" s="55"/>
      <c r="AI25" s="26"/>
      <c r="AJ25" s="31"/>
      <c r="AK25" s="55"/>
      <c r="AL25" s="55"/>
      <c r="AM25" s="29"/>
      <c r="AN25" s="27"/>
      <c r="AO25" s="43"/>
      <c r="AP25" s="4"/>
      <c r="AQ25" s="43"/>
      <c r="AR25" s="55"/>
      <c r="AS25" s="26"/>
      <c r="AT25" s="31"/>
      <c r="AU25" s="55"/>
      <c r="AV25" s="55"/>
      <c r="AW25" s="29"/>
      <c r="AX25" s="27"/>
      <c r="AY25" s="43"/>
      <c r="AZ25" s="4"/>
      <c r="BA25" s="43"/>
      <c r="BB25" s="55"/>
      <c r="BC25" s="26"/>
      <c r="BD25" s="31"/>
      <c r="BE25" s="55"/>
      <c r="BF25" s="55"/>
      <c r="BG25" s="29"/>
      <c r="BH25" s="27"/>
      <c r="BI25" s="43"/>
      <c r="BJ25" s="4"/>
      <c r="BK25" s="33"/>
      <c r="BL25" s="59"/>
      <c r="BM25" s="34"/>
      <c r="BN25" s="55"/>
      <c r="BO25" s="55"/>
      <c r="BP25" s="55"/>
      <c r="BQ25" s="29"/>
      <c r="BR25" s="27"/>
      <c r="BT25" s="4"/>
      <c r="BU25" s="33"/>
      <c r="BV25" s="59"/>
      <c r="BW25" s="34"/>
      <c r="BX25" s="55"/>
      <c r="BY25" s="55"/>
      <c r="BZ25" s="55"/>
      <c r="CA25" s="29"/>
      <c r="CB25" s="27"/>
    </row>
    <row r="26" spans="2:80" x14ac:dyDescent="0.3">
      <c r="B26" s="1218" t="s">
        <v>1154</v>
      </c>
      <c r="C26" s="23"/>
      <c r="D26" s="1212"/>
      <c r="E26" s="29"/>
      <c r="F26" s="187"/>
      <c r="G26" s="1212"/>
      <c r="H26" s="1212"/>
      <c r="I26" s="29"/>
      <c r="J26" s="27"/>
      <c r="L26" s="4"/>
      <c r="M26" s="59"/>
      <c r="N26" s="55"/>
      <c r="O26" s="26"/>
      <c r="P26" s="31"/>
      <c r="Q26" s="55"/>
      <c r="R26" s="55"/>
      <c r="S26" s="29"/>
      <c r="T26" s="27"/>
      <c r="V26" s="4"/>
      <c r="W26" s="55"/>
      <c r="X26" s="55"/>
      <c r="Y26" s="55"/>
      <c r="Z26" s="55"/>
      <c r="AA26" s="55"/>
      <c r="AB26" s="55" t="str">
        <f>IF(Данные!AP42=TRUE,"ХХ","")</f>
        <v/>
      </c>
      <c r="AC26" s="28"/>
      <c r="AD26" s="27"/>
      <c r="AE26" s="43"/>
      <c r="AF26" s="4"/>
      <c r="AG26" s="43"/>
      <c r="AH26" s="55"/>
      <c r="AI26" s="26"/>
      <c r="AJ26" s="31"/>
      <c r="AK26" s="55"/>
      <c r="AL26" s="55"/>
      <c r="AM26" s="29"/>
      <c r="AN26" s="27"/>
      <c r="AO26" s="43"/>
      <c r="AP26" s="4"/>
      <c r="AQ26" s="43"/>
      <c r="AR26" s="55"/>
      <c r="AS26" s="26"/>
      <c r="AT26" s="31"/>
      <c r="AU26" s="55"/>
      <c r="AV26" s="55"/>
      <c r="AW26" s="29"/>
      <c r="AX26" s="27"/>
      <c r="AY26" s="43"/>
      <c r="AZ26" s="4"/>
      <c r="BA26" s="43"/>
      <c r="BB26" s="55"/>
      <c r="BC26" s="26"/>
      <c r="BD26" s="31">
        <v>250</v>
      </c>
      <c r="BE26" s="55"/>
      <c r="BF26" s="55"/>
      <c r="BG26" s="29"/>
      <c r="BH26" s="27"/>
      <c r="BI26" s="43"/>
      <c r="BJ26" s="4"/>
      <c r="BK26" s="43"/>
      <c r="BL26" s="55"/>
      <c r="BM26" s="26"/>
      <c r="BN26" s="31"/>
      <c r="BO26" s="55"/>
      <c r="BP26" s="55"/>
      <c r="BQ26" s="29"/>
      <c r="BR26" s="27"/>
      <c r="BT26" s="4"/>
      <c r="BU26" s="43"/>
      <c r="BV26" s="55"/>
      <c r="BW26" s="26"/>
      <c r="BX26" s="31"/>
      <c r="BY26" s="55"/>
      <c r="BZ26" s="55"/>
      <c r="CA26" s="29"/>
      <c r="CB26" s="27"/>
    </row>
    <row r="27" spans="2:80" x14ac:dyDescent="0.3">
      <c r="B27" s="1218"/>
      <c r="C27" s="1212"/>
      <c r="D27" s="1212"/>
      <c r="E27" s="1212"/>
      <c r="F27" s="1212"/>
      <c r="G27" s="1212"/>
      <c r="H27" s="1212"/>
      <c r="I27" s="29"/>
      <c r="J27" s="27"/>
      <c r="L27" s="4"/>
      <c r="M27" s="55"/>
      <c r="N27" s="55"/>
      <c r="O27" s="55"/>
      <c r="P27" s="55"/>
      <c r="Q27" s="55"/>
      <c r="R27" s="55"/>
      <c r="S27" s="29"/>
      <c r="T27" s="27"/>
      <c r="V27" s="4"/>
      <c r="W27" s="55"/>
      <c r="X27" s="55"/>
      <c r="Y27" s="55"/>
      <c r="Z27" s="55"/>
      <c r="AA27" s="55"/>
      <c r="AB27" s="55" t="str">
        <f>IF(Данные!AP42=TRUE,"ХХ","")</f>
        <v/>
      </c>
      <c r="AC27" s="26"/>
      <c r="AD27" s="27"/>
      <c r="AE27" s="43"/>
      <c r="AF27" s="4"/>
      <c r="AG27" s="55"/>
      <c r="AH27" s="55"/>
      <c r="AI27" s="55"/>
      <c r="AJ27" s="55"/>
      <c r="AK27" s="55"/>
      <c r="AL27" s="55"/>
      <c r="AM27" s="29"/>
      <c r="AN27" s="27"/>
      <c r="AO27" s="43"/>
      <c r="AP27" s="4"/>
      <c r="AQ27" s="55"/>
      <c r="AR27" s="55"/>
      <c r="AS27" s="55"/>
      <c r="AT27" s="55"/>
      <c r="AU27" s="55"/>
      <c r="AV27" s="55"/>
      <c r="AW27" s="29"/>
      <c r="AX27" s="27"/>
      <c r="AY27" s="43"/>
      <c r="AZ27" s="4"/>
      <c r="BA27" s="55"/>
      <c r="BB27" s="55"/>
      <c r="BC27" s="55"/>
      <c r="BD27" s="55"/>
      <c r="BE27" s="55"/>
      <c r="BF27" s="55"/>
      <c r="BG27" s="29" t="s">
        <v>1107</v>
      </c>
      <c r="BH27" s="27"/>
      <c r="BI27" s="43"/>
      <c r="BJ27" s="4"/>
      <c r="BK27" s="43"/>
      <c r="BL27" s="55"/>
      <c r="BM27" s="26"/>
      <c r="BN27" s="31"/>
      <c r="BO27" s="55"/>
      <c r="BP27" s="55"/>
      <c r="BQ27" s="29"/>
      <c r="BR27" s="27"/>
      <c r="BT27" s="4"/>
      <c r="BU27" s="43"/>
      <c r="BV27" s="55"/>
      <c r="BW27" s="26"/>
      <c r="BX27" s="31"/>
      <c r="BY27" s="55"/>
      <c r="BZ27" s="55"/>
      <c r="CA27" s="29"/>
      <c r="CB27" s="27"/>
    </row>
    <row r="28" spans="2:80" x14ac:dyDescent="0.3">
      <c r="B28" s="1211"/>
      <c r="C28" s="1212"/>
      <c r="D28" s="1212"/>
      <c r="E28" s="1212"/>
      <c r="F28" s="1212" t="s">
        <v>1147</v>
      </c>
      <c r="G28" s="1212"/>
      <c r="H28" s="1212" t="str">
        <f>IF(Данные!V42=TRUE,"ХХ","")</f>
        <v/>
      </c>
      <c r="I28" s="29"/>
      <c r="J28" s="27"/>
      <c r="L28" s="4"/>
      <c r="M28" s="55"/>
      <c r="N28" s="55"/>
      <c r="O28" s="55"/>
      <c r="P28" s="55"/>
      <c r="Q28" s="55"/>
      <c r="R28" s="55" t="str">
        <f>IF(Данные!AF42=TRUE,"ХХ","")</f>
        <v/>
      </c>
      <c r="S28" s="28"/>
      <c r="T28" s="27"/>
      <c r="V28" s="4"/>
      <c r="W28" s="55"/>
      <c r="X28" s="55"/>
      <c r="Y28" s="55"/>
      <c r="Z28" s="55"/>
      <c r="AA28" s="55"/>
      <c r="AB28" s="55" t="str">
        <f>IF(Данные!AP42=TRUE,"ХХ","")</f>
        <v/>
      </c>
      <c r="AC28" s="23"/>
      <c r="AD28" s="24"/>
      <c r="AE28" s="43"/>
      <c r="AF28" s="4"/>
      <c r="AG28" s="55"/>
      <c r="AH28" s="55"/>
      <c r="AI28" s="55"/>
      <c r="AJ28" s="55"/>
      <c r="AK28" s="55"/>
      <c r="AL28" s="55" t="str">
        <f>IF(Данные!AZ41=TRUE,"ХХ","")</f>
        <v/>
      </c>
      <c r="AM28" s="28"/>
      <c r="AN28" s="27"/>
      <c r="AO28" s="43"/>
      <c r="AP28" s="4"/>
      <c r="AQ28" s="55"/>
      <c r="AR28" s="55"/>
      <c r="AS28" s="55"/>
      <c r="AT28" s="55"/>
      <c r="AU28" s="55"/>
      <c r="AV28" s="55" t="str">
        <f>IF(Данные!BJ42=TRUE,"ХХ","")</f>
        <v/>
      </c>
      <c r="AW28" s="28"/>
      <c r="AX28" s="27"/>
      <c r="AY28" s="43"/>
      <c r="AZ28" s="4"/>
      <c r="BA28" s="55"/>
      <c r="BB28" s="55"/>
      <c r="BC28" s="55"/>
      <c r="BD28" s="55"/>
      <c r="BE28" s="55"/>
      <c r="BF28" s="55" t="str">
        <f>IF(Данные!BT42=TRUE,"ХХ","")</f>
        <v/>
      </c>
      <c r="BG28" s="28"/>
      <c r="BH28" s="27"/>
      <c r="BI28" s="43"/>
      <c r="BJ28" s="4"/>
      <c r="BK28" s="55"/>
      <c r="BL28" s="55"/>
      <c r="BM28" s="55"/>
      <c r="BN28" s="55"/>
      <c r="BO28" s="55"/>
      <c r="BP28" s="55"/>
      <c r="BQ28" s="29"/>
      <c r="BR28" s="27"/>
      <c r="BT28" s="4"/>
      <c r="BU28" s="55"/>
      <c r="BV28" s="55"/>
      <c r="BW28" s="55"/>
      <c r="BX28" s="55"/>
      <c r="BY28" s="55"/>
      <c r="BZ28" s="55"/>
      <c r="CA28" s="29"/>
      <c r="CB28" s="27"/>
    </row>
    <row r="29" spans="2:80" ht="15.6" x14ac:dyDescent="0.3">
      <c r="B29" s="1211"/>
      <c r="C29" s="1212"/>
      <c r="D29" s="1212"/>
      <c r="E29" s="1212"/>
      <c r="F29" s="1217" t="s">
        <v>1151</v>
      </c>
      <c r="G29" s="1212"/>
      <c r="H29" s="1212" t="str">
        <f>IF(Данные!V42=TRUE,"ХХ","")</f>
        <v/>
      </c>
      <c r="I29" s="29"/>
      <c r="J29" s="27"/>
      <c r="L29" s="4"/>
      <c r="M29" s="55"/>
      <c r="N29" s="55"/>
      <c r="O29" s="55"/>
      <c r="P29" s="55"/>
      <c r="Q29" s="55"/>
      <c r="R29" s="55" t="str">
        <f>IF(Данные!AF42=TRUE,"ХХ","")</f>
        <v/>
      </c>
      <c r="S29" s="26"/>
      <c r="T29" s="27"/>
      <c r="V29" s="4"/>
      <c r="W29" s="55"/>
      <c r="X29" s="55"/>
      <c r="Y29" s="55"/>
      <c r="Z29" s="55"/>
      <c r="AA29" s="55"/>
      <c r="AB29" s="126" t="str">
        <f>IF(Данные!AP42=TRUE,"ХХ","")</f>
        <v/>
      </c>
      <c r="AC29" s="23"/>
      <c r="AD29" s="24"/>
      <c r="AE29" s="43"/>
      <c r="AF29" s="4"/>
      <c r="AG29" s="55"/>
      <c r="AH29" s="55"/>
      <c r="AI29" s="55"/>
      <c r="AJ29" s="55"/>
      <c r="AK29" s="55"/>
      <c r="AL29" s="55" t="str">
        <f>IF(Данные!AZ41=TRUE,"ХХ","")</f>
        <v/>
      </c>
      <c r="AM29" s="26"/>
      <c r="AN29" s="27"/>
      <c r="AO29" s="43"/>
      <c r="AP29" s="4"/>
      <c r="AQ29" s="55"/>
      <c r="AR29" s="55"/>
      <c r="AS29" s="55"/>
      <c r="AT29" s="55"/>
      <c r="AU29" s="55"/>
      <c r="AV29" s="55" t="str">
        <f>IF(Данные!BJ42=TRUE,"ХХ","")</f>
        <v/>
      </c>
      <c r="AW29" s="26"/>
      <c r="AX29" s="27"/>
      <c r="AY29" s="43"/>
      <c r="AZ29" s="4"/>
      <c r="BA29" s="1139" t="s">
        <v>1106</v>
      </c>
      <c r="BB29" s="1139"/>
      <c r="BC29" s="1139"/>
      <c r="BD29" s="1139"/>
      <c r="BE29" s="1139"/>
      <c r="BF29" s="1139"/>
      <c r="BG29" s="26"/>
      <c r="BH29" s="27"/>
      <c r="BI29" s="43"/>
      <c r="BJ29" s="4"/>
      <c r="BK29" s="55"/>
      <c r="BL29" s="55"/>
      <c r="BM29" s="55"/>
      <c r="BN29" s="55"/>
      <c r="BO29" s="55"/>
      <c r="BP29" s="55" t="str">
        <f>IF(Данные!B42=TRUE,"ХХ","")</f>
        <v/>
      </c>
      <c r="BQ29" s="28"/>
      <c r="BR29" s="27"/>
      <c r="BT29" s="4"/>
      <c r="BU29" s="55"/>
      <c r="BV29" s="55"/>
      <c r="BW29" s="55"/>
      <c r="BX29" s="55"/>
      <c r="BY29" s="55"/>
      <c r="BZ29" s="55" t="str">
        <f>IF(Данные!L42=TRUE,"ХХ","")</f>
        <v/>
      </c>
      <c r="CA29" s="28"/>
      <c r="CB29" s="27"/>
    </row>
    <row r="30" spans="2:80" ht="15.6" x14ac:dyDescent="0.3">
      <c r="B30" s="1211"/>
      <c r="C30" s="1212"/>
      <c r="D30" s="1212"/>
      <c r="E30" s="1212"/>
      <c r="F30" s="1212"/>
      <c r="G30" s="1212"/>
      <c r="H30" s="1212" t="str">
        <f>IF(Данные!V42=TRUE,"ХХ","")</f>
        <v/>
      </c>
      <c r="I30" s="23"/>
      <c r="J30" s="24"/>
      <c r="L30" s="4"/>
      <c r="M30" s="55"/>
      <c r="N30" s="55"/>
      <c r="O30" s="55"/>
      <c r="P30" s="55"/>
      <c r="Q30" s="55"/>
      <c r="R30" s="55" t="str">
        <f>IF(Данные!AF42=TRUE,"ХХ","")</f>
        <v/>
      </c>
      <c r="S30" s="23"/>
      <c r="T30" s="24"/>
      <c r="V30" s="4"/>
      <c r="W30" s="55"/>
      <c r="X30" s="55" t="str">
        <f>IF(Данные!AP38=TRUE,"ХХХХХХХХХХХХХХХХХХХХХХХХХХХХХХХХХХХ","")</f>
        <v/>
      </c>
      <c r="Y30" s="59"/>
      <c r="Z30" s="55"/>
      <c r="AA30" s="55"/>
      <c r="AB30" s="55"/>
      <c r="AC30" s="23"/>
      <c r="AD30" s="24"/>
      <c r="AE30" s="43"/>
      <c r="AF30" s="4"/>
      <c r="AG30" s="55"/>
      <c r="AH30" s="55"/>
      <c r="AI30" s="55"/>
      <c r="AJ30" s="55"/>
      <c r="AK30" s="55"/>
      <c r="AL30" s="55" t="str">
        <f>IF(Данные!AZ41=TRUE,"ХХ","")</f>
        <v/>
      </c>
      <c r="AM30" s="23"/>
      <c r="AN30" s="24"/>
      <c r="AO30" s="43"/>
      <c r="AP30" s="4"/>
      <c r="AQ30" s="55"/>
      <c r="AR30" s="55"/>
      <c r="AS30" s="55"/>
      <c r="AT30" s="55"/>
      <c r="AU30" s="55"/>
      <c r="AV30" s="55" t="str">
        <f>IF(Данные!BJ42=TRUE,"ХХ","")</f>
        <v/>
      </c>
      <c r="AW30" s="23"/>
      <c r="AX30" s="24"/>
      <c r="AY30" s="43"/>
      <c r="AZ30" s="4"/>
      <c r="BA30" s="55"/>
      <c r="BB30" s="55"/>
      <c r="BC30" s="1150" t="s">
        <v>1102</v>
      </c>
      <c r="BD30" s="55"/>
      <c r="BE30" s="55"/>
      <c r="BF30" s="55" t="str">
        <f>IF(Данные!BT42=TRUE,"ХХ","")</f>
        <v/>
      </c>
      <c r="BG30" s="23"/>
      <c r="BH30" s="24"/>
      <c r="BI30" s="43"/>
      <c r="BJ30" s="4"/>
      <c r="BK30" s="55"/>
      <c r="BL30" s="55"/>
      <c r="BM30" s="55"/>
      <c r="BN30" s="55"/>
      <c r="BO30" s="55"/>
      <c r="BP30" s="55" t="str">
        <f>IF(Данные!B42=TRUE,"ХХ","")</f>
        <v/>
      </c>
      <c r="BQ30" s="26"/>
      <c r="BR30" s="27"/>
      <c r="BT30" s="4"/>
      <c r="BU30" s="55"/>
      <c r="BV30" s="55"/>
      <c r="BW30" s="55"/>
      <c r="BX30" s="55"/>
      <c r="BY30" s="55"/>
      <c r="BZ30" s="55" t="str">
        <f>IF(Данные!L42=TRUE,"ХХ","")</f>
        <v/>
      </c>
      <c r="CA30" s="26"/>
      <c r="CB30" s="27"/>
    </row>
    <row r="31" spans="2:80" x14ac:dyDescent="0.3">
      <c r="B31" s="1211"/>
      <c r="C31" s="1212"/>
      <c r="D31" s="1212"/>
      <c r="E31" s="1212"/>
      <c r="F31" s="1212" t="s">
        <v>1146</v>
      </c>
      <c r="G31" s="1212"/>
      <c r="H31" s="1215" t="str">
        <f>IF(Данные!V42=TRUE,"ХХ","")</f>
        <v/>
      </c>
      <c r="I31" s="23"/>
      <c r="J31" s="24"/>
      <c r="L31" s="4"/>
      <c r="M31" s="55"/>
      <c r="N31" s="55"/>
      <c r="O31" s="55"/>
      <c r="P31" s="55"/>
      <c r="Q31" s="55"/>
      <c r="R31" s="126" t="str">
        <f>IF(Данные!AF42=TRUE,"ХХ","")</f>
        <v/>
      </c>
      <c r="S31" s="23"/>
      <c r="T31" s="24"/>
      <c r="V31" s="4"/>
      <c r="W31" s="128"/>
      <c r="X31" s="55"/>
      <c r="Y31" s="55"/>
      <c r="Z31" s="55"/>
      <c r="AA31" s="55"/>
      <c r="AB31" s="55"/>
      <c r="AC31" s="23"/>
      <c r="AD31" s="24"/>
      <c r="AE31" s="43"/>
      <c r="AF31" s="4"/>
      <c r="AG31" s="55"/>
      <c r="AH31" s="55"/>
      <c r="AI31" s="55"/>
      <c r="AJ31" s="55"/>
      <c r="AK31" s="55"/>
      <c r="AL31" s="126" t="str">
        <f>IF(Данные!AZ41=TRUE,"ХХ","")</f>
        <v/>
      </c>
      <c r="AM31" s="23"/>
      <c r="AN31" s="24"/>
      <c r="AO31" s="43"/>
      <c r="AP31" s="4"/>
      <c r="AQ31" s="55"/>
      <c r="AR31" s="55"/>
      <c r="AS31" s="55"/>
      <c r="AT31" s="55"/>
      <c r="AU31" s="55"/>
      <c r="AV31" s="126" t="str">
        <f>IF(Данные!BJ42=TRUE,"ХХ","")</f>
        <v/>
      </c>
      <c r="AW31" s="23"/>
      <c r="AX31" s="24"/>
      <c r="AY31" s="43"/>
      <c r="AZ31" s="4"/>
      <c r="BA31" s="55"/>
      <c r="BB31" s="55"/>
      <c r="BC31" s="55"/>
      <c r="BD31" s="55"/>
      <c r="BE31" s="55"/>
      <c r="BF31" s="126" t="str">
        <f>IF(Данные!BT42=TRUE,"ХХ","")</f>
        <v/>
      </c>
      <c r="BG31" s="23"/>
      <c r="BH31" s="24"/>
      <c r="BI31" s="43"/>
      <c r="BJ31" s="4"/>
      <c r="BK31" s="55"/>
      <c r="BL31" s="55"/>
      <c r="BM31" s="55"/>
      <c r="BN31" s="55"/>
      <c r="BO31" s="55"/>
      <c r="BP31" s="55" t="str">
        <f>IF(Данные!B42=TRUE,"ХХ","")</f>
        <v/>
      </c>
      <c r="BQ31" s="23"/>
      <c r="BR31" s="24"/>
      <c r="BT31" s="4"/>
      <c r="BU31" s="55"/>
      <c r="BV31" s="55"/>
      <c r="BW31" s="55"/>
      <c r="BX31" s="55"/>
      <c r="BY31" s="55"/>
      <c r="BZ31" s="55" t="str">
        <f>IF(Данные!L42=TRUE,"ХХ","")</f>
        <v/>
      </c>
      <c r="CA31" s="23"/>
      <c r="CB31" s="24"/>
    </row>
    <row r="32" spans="2:80" x14ac:dyDescent="0.3">
      <c r="B32" s="1211"/>
      <c r="C32" s="1212"/>
      <c r="D32" s="1212" t="str">
        <f>IF(Данные!V38=TRUE,"ХХХХХХХХХХХХХХХХХХХХХХХХХХХХХХХХХХХ","")</f>
        <v/>
      </c>
      <c r="E32" s="23"/>
      <c r="F32" s="1212" t="s">
        <v>1152</v>
      </c>
      <c r="G32" s="1212"/>
      <c r="H32" s="1212"/>
      <c r="I32" s="23"/>
      <c r="J32" s="24"/>
      <c r="L32" s="4"/>
      <c r="M32" s="55"/>
      <c r="N32" s="55" t="str">
        <f>IF(Данные!AF38=TRUE,"ХХХХХХХХХХХХХХХХХХХХХХХХХХХХХХХХХХХ","")</f>
        <v/>
      </c>
      <c r="O32" s="59"/>
      <c r="P32" s="55"/>
      <c r="Q32" s="55"/>
      <c r="R32" s="55"/>
      <c r="S32" s="23"/>
      <c r="T32" s="24"/>
      <c r="V32" s="4"/>
      <c r="W32" s="55"/>
      <c r="X32" s="55"/>
      <c r="Y32" s="55"/>
      <c r="Z32" s="55"/>
      <c r="AA32" s="59"/>
      <c r="AB32" s="55"/>
      <c r="AC32" s="55"/>
      <c r="AD32" s="24"/>
      <c r="AE32" s="43"/>
      <c r="AF32" s="4"/>
      <c r="AG32" s="55"/>
      <c r="AH32" s="55" t="str">
        <f>IF(Данные!AZ37=TRUE,"ХХХХХХХХХХХХХХХХХХХХХХХХХХХХХХХХХХХ","")</f>
        <v/>
      </c>
      <c r="AI32" s="43"/>
      <c r="AJ32" s="55"/>
      <c r="AK32" s="55"/>
      <c r="AL32" s="55"/>
      <c r="AM32" s="23"/>
      <c r="AN32" s="24"/>
      <c r="AO32" s="43"/>
      <c r="AP32" s="4"/>
      <c r="AQ32" s="55"/>
      <c r="AR32" s="55" t="str">
        <f>IF(Данные!BJ38=TRUE,"ХХХХХХХХХХХХХХХХХХХХХХХХХХХХХХХХХХХ","")</f>
        <v/>
      </c>
      <c r="AS32" s="43"/>
      <c r="AT32" s="55"/>
      <c r="AU32" s="55"/>
      <c r="AV32" s="55"/>
      <c r="AW32" s="23"/>
      <c r="AX32" s="24"/>
      <c r="AY32" s="43"/>
      <c r="AZ32" s="4"/>
      <c r="BA32" s="55"/>
      <c r="BB32" s="55" t="str">
        <f>IF(Данные!BT38=TRUE,"ХХХХХХХХХХХХХХХХХХХХХХХХХХХХХХХХХХХ","")</f>
        <v/>
      </c>
      <c r="BC32" s="43"/>
      <c r="BD32" s="55"/>
      <c r="BE32" s="55"/>
      <c r="BF32" s="55"/>
      <c r="BG32" s="23"/>
      <c r="BH32" s="24"/>
      <c r="BI32" s="43"/>
      <c r="BJ32" s="4"/>
      <c r="BK32" s="55"/>
      <c r="BL32" s="55"/>
      <c r="BM32" s="55"/>
      <c r="BN32" s="55"/>
      <c r="BO32" s="55"/>
      <c r="BP32" s="126" t="str">
        <f>IF(Данные!B42=TRUE,"ХХ","")</f>
        <v/>
      </c>
      <c r="BQ32" s="23"/>
      <c r="BR32" s="24"/>
      <c r="BT32" s="4"/>
      <c r="BU32" s="55"/>
      <c r="BV32" s="55"/>
      <c r="BW32" s="55"/>
      <c r="BX32" s="55"/>
      <c r="BY32" s="55"/>
      <c r="BZ32" s="126" t="str">
        <f>IF(Данные!L42=TRUE,"ХХ","")</f>
        <v/>
      </c>
      <c r="CA32" s="23"/>
      <c r="CB32" s="24"/>
    </row>
    <row r="33" spans="2:81" ht="16.2" thickBot="1" x14ac:dyDescent="0.35">
      <c r="B33" s="1211"/>
      <c r="C33" s="1212"/>
      <c r="D33" s="1212"/>
      <c r="E33" s="1212"/>
      <c r="F33" s="1212"/>
      <c r="G33" s="1212"/>
      <c r="H33" s="1212"/>
      <c r="I33" s="23"/>
      <c r="J33" s="24"/>
      <c r="L33" s="4"/>
      <c r="M33" s="128"/>
      <c r="N33" s="55"/>
      <c r="O33" s="55"/>
      <c r="P33" s="55"/>
      <c r="Q33" s="55"/>
      <c r="R33" s="55"/>
      <c r="S33" s="23"/>
      <c r="T33" s="24"/>
      <c r="V33" s="19"/>
      <c r="W33" s="127" t="str">
        <f>IF(OR(Данные!AP38=TRUE,Данные!AP42=TRUE),"Использовать холодильники","")</f>
        <v/>
      </c>
      <c r="X33" s="20"/>
      <c r="Y33" s="134"/>
      <c r="Z33" s="20"/>
      <c r="AA33" s="65"/>
      <c r="AB33" s="20"/>
      <c r="AC33" s="20"/>
      <c r="AD33" s="76"/>
      <c r="AE33" s="43"/>
      <c r="AF33" s="4"/>
      <c r="AG33" s="128"/>
      <c r="AH33" s="55"/>
      <c r="AI33" s="55"/>
      <c r="AJ33" s="55"/>
      <c r="AK33" s="55"/>
      <c r="AL33" s="55"/>
      <c r="AM33" s="23"/>
      <c r="AN33" s="24"/>
      <c r="AO33" s="43"/>
      <c r="AP33" s="4"/>
      <c r="AQ33" s="128"/>
      <c r="AR33" s="55"/>
      <c r="AS33" s="55"/>
      <c r="AT33" s="55"/>
      <c r="AU33" s="55"/>
      <c r="AV33" s="55"/>
      <c r="AW33" s="23"/>
      <c r="AX33" s="24"/>
      <c r="AY33" s="43"/>
      <c r="AZ33" s="4"/>
      <c r="BA33" s="128"/>
      <c r="BB33" s="55"/>
      <c r="BC33" s="55"/>
      <c r="BD33" s="55"/>
      <c r="BE33" s="55"/>
      <c r="BF33" s="55"/>
      <c r="BG33" s="23"/>
      <c r="BH33" s="24"/>
      <c r="BI33" s="43"/>
      <c r="BJ33" s="4"/>
      <c r="BK33" s="55"/>
      <c r="BL33" s="55" t="str">
        <f>IF(Данные!B38=TRUE,"ХХХХХХХХХХХХХХХХХХХХХХХХХХХХХХХХХХХ","")</f>
        <v/>
      </c>
      <c r="BM33" s="43"/>
      <c r="BN33" s="55"/>
      <c r="BO33" s="55"/>
      <c r="BP33" s="55"/>
      <c r="BQ33" s="23"/>
      <c r="BR33" s="24"/>
      <c r="BT33" s="4"/>
      <c r="BU33" s="55"/>
      <c r="BV33" s="55" t="str">
        <f>IF(Данные!L38=TRUE,"ХХХХХХХХХХХХХХХХХХХХХХХХХХХХХХХХХХХ","")</f>
        <v/>
      </c>
      <c r="BW33" s="43"/>
      <c r="BX33" s="55"/>
      <c r="BY33" s="55"/>
      <c r="BZ33" s="55"/>
      <c r="CA33" s="23"/>
      <c r="CB33" s="24"/>
    </row>
    <row r="34" spans="2:81" ht="21" x14ac:dyDescent="0.4">
      <c r="B34" s="4"/>
      <c r="C34" s="55"/>
      <c r="D34" s="55"/>
      <c r="E34" s="55"/>
      <c r="F34" s="55"/>
      <c r="G34" s="59"/>
      <c r="H34" s="55"/>
      <c r="I34" s="55"/>
      <c r="J34" s="24"/>
      <c r="L34" s="4"/>
      <c r="M34" s="55"/>
      <c r="N34" s="55"/>
      <c r="O34" s="55"/>
      <c r="P34" s="55"/>
      <c r="Q34" s="59"/>
      <c r="R34" s="55"/>
      <c r="S34" s="55"/>
      <c r="T34" s="24"/>
      <c r="V34" s="4"/>
      <c r="W34" s="55" t="s">
        <v>264</v>
      </c>
      <c r="X34" s="55"/>
      <c r="Y34" s="55"/>
      <c r="Z34" s="53" t="s">
        <v>54</v>
      </c>
      <c r="AA34" s="55"/>
      <c r="AB34" s="55"/>
      <c r="AC34" s="55"/>
      <c r="AD34" s="10"/>
      <c r="AE34" s="43"/>
      <c r="AF34" s="4"/>
      <c r="AG34" s="55"/>
      <c r="AH34" s="55"/>
      <c r="AI34" s="55"/>
      <c r="AJ34" s="55"/>
      <c r="AK34" s="43"/>
      <c r="AL34" s="55"/>
      <c r="AM34" s="55"/>
      <c r="AN34" s="24"/>
      <c r="AO34" s="43"/>
      <c r="AP34" s="4"/>
      <c r="AQ34" s="55"/>
      <c r="AR34" s="55"/>
      <c r="AS34" s="55"/>
      <c r="AT34" s="55"/>
      <c r="AU34" s="43"/>
      <c r="AV34" s="55"/>
      <c r="AW34" s="55"/>
      <c r="AX34" s="24"/>
      <c r="AY34" s="43"/>
      <c r="AZ34" s="4"/>
      <c r="BA34" s="1149" t="s">
        <v>1103</v>
      </c>
      <c r="BB34" s="55"/>
      <c r="BC34" s="55"/>
      <c r="BD34" s="55"/>
      <c r="BE34" s="43"/>
      <c r="BF34" s="55"/>
      <c r="BG34" s="55"/>
      <c r="BH34" s="24"/>
      <c r="BI34" s="43"/>
      <c r="BJ34" s="4"/>
      <c r="BK34" s="128"/>
      <c r="BL34" s="55"/>
      <c r="BM34" s="55"/>
      <c r="BN34" s="55"/>
      <c r="BO34" s="55"/>
      <c r="BP34" s="55"/>
      <c r="BQ34" s="23"/>
      <c r="BR34" s="24"/>
      <c r="BT34" s="4"/>
      <c r="BU34" s="128"/>
      <c r="BV34" s="55"/>
      <c r="BW34" s="55"/>
      <c r="BX34" s="55"/>
      <c r="BY34" s="55"/>
      <c r="BZ34" s="55"/>
      <c r="CA34" s="23"/>
      <c r="CB34" s="24"/>
    </row>
    <row r="35" spans="2:81" ht="16.2" thickBot="1" x14ac:dyDescent="0.35">
      <c r="B35" s="19"/>
      <c r="C35" s="127" t="str">
        <f>IF(OR(Данные!V38=TRUE,Данные!V42=TRUE),"Использовать холодильники","")</f>
        <v/>
      </c>
      <c r="D35" s="20"/>
      <c r="E35" s="134"/>
      <c r="F35" s="20"/>
      <c r="G35" s="65"/>
      <c r="H35" s="20"/>
      <c r="I35" s="20" t="s">
        <v>1155</v>
      </c>
      <c r="J35" s="76"/>
      <c r="L35" s="19"/>
      <c r="M35" s="127" t="str">
        <f>IF(OR(Данные!AF38=TRUE,Данные!AF42=TRUE),"Использовать холодильники","")</f>
        <v/>
      </c>
      <c r="N35" s="20"/>
      <c r="O35" s="134"/>
      <c r="P35" s="20"/>
      <c r="Q35" s="65"/>
      <c r="R35" s="20"/>
      <c r="S35" s="20"/>
      <c r="T35" s="76"/>
      <c r="V35" s="4"/>
      <c r="W35" s="55" t="s">
        <v>60</v>
      </c>
      <c r="X35" s="55"/>
      <c r="Y35" s="55"/>
      <c r="Z35" s="52" t="s">
        <v>91</v>
      </c>
      <c r="AA35" s="55"/>
      <c r="AB35" s="55"/>
      <c r="AC35" s="55"/>
      <c r="AD35" s="10"/>
      <c r="AE35" s="43"/>
      <c r="AF35" s="19"/>
      <c r="AG35" s="127" t="str">
        <f>IF(OR(Данные!AZ37=TRUE,Данные!AZ41=TRUE),"Использовать холодильники","")</f>
        <v/>
      </c>
      <c r="AH35" s="20"/>
      <c r="AI35" s="134"/>
      <c r="AJ35" s="20"/>
      <c r="AK35" s="65"/>
      <c r="AL35" s="20"/>
      <c r="AM35" s="20"/>
      <c r="AN35" s="76"/>
      <c r="AO35" s="43"/>
      <c r="AP35" s="19"/>
      <c r="AQ35" s="127" t="str">
        <f>IF(OR(Данные!BJ38=TRUE,Данные!BJ42=TRUE),"Использовать холодильники","")</f>
        <v/>
      </c>
      <c r="AR35" s="20"/>
      <c r="AS35" s="134"/>
      <c r="AT35" s="20"/>
      <c r="AU35" s="65"/>
      <c r="AV35" s="20"/>
      <c r="AW35" s="20"/>
      <c r="AX35" s="76"/>
      <c r="AY35" s="43"/>
      <c r="AZ35" s="19"/>
      <c r="BA35" s="127" t="str">
        <f>IF(OR(Данные!BT38=TRUE,Данные!BT42=TRUE),"Использовать холодильники","")</f>
        <v/>
      </c>
      <c r="BB35" s="20"/>
      <c r="BC35" s="134"/>
      <c r="BD35" s="20"/>
      <c r="BE35" s="65"/>
      <c r="BF35" s="20"/>
      <c r="BG35" s="20"/>
      <c r="BH35" s="76"/>
      <c r="BI35" s="43"/>
      <c r="BJ35" s="4"/>
      <c r="BK35" s="55"/>
      <c r="BL35" s="55"/>
      <c r="BM35" s="55"/>
      <c r="BN35" s="55"/>
      <c r="BO35" s="43"/>
      <c r="BP35" s="55"/>
      <c r="BQ35" s="55"/>
      <c r="BR35" s="24"/>
      <c r="BT35" s="4"/>
      <c r="BU35" s="55"/>
      <c r="BV35" s="55"/>
      <c r="BW35" s="55"/>
      <c r="BX35" s="55"/>
      <c r="BY35" s="43"/>
      <c r="BZ35" s="55"/>
      <c r="CA35" s="55"/>
      <c r="CB35" s="24"/>
    </row>
    <row r="36" spans="2:81" ht="16.2" thickBot="1" x14ac:dyDescent="0.35">
      <c r="B36" s="4"/>
      <c r="C36" s="55" t="s">
        <v>264</v>
      </c>
      <c r="D36" s="55"/>
      <c r="E36" s="55"/>
      <c r="F36" s="53" t="s">
        <v>54</v>
      </c>
      <c r="G36" s="55"/>
      <c r="H36" s="55"/>
      <c r="I36" s="55"/>
      <c r="J36" s="10"/>
      <c r="L36" s="4"/>
      <c r="M36" s="55" t="s">
        <v>264</v>
      </c>
      <c r="N36" s="55"/>
      <c r="O36" s="55"/>
      <c r="P36" s="53" t="s">
        <v>54</v>
      </c>
      <c r="Q36" s="55"/>
      <c r="R36" s="55"/>
      <c r="S36" s="55"/>
      <c r="T36" s="10"/>
      <c r="V36" s="4"/>
      <c r="W36" s="55" t="s">
        <v>55</v>
      </c>
      <c r="X36" s="55"/>
      <c r="Y36" s="55"/>
      <c r="Z36" s="53" t="s">
        <v>56</v>
      </c>
      <c r="AA36" s="55"/>
      <c r="AB36" s="55"/>
      <c r="AC36" s="55"/>
      <c r="AD36" s="10"/>
      <c r="AE36" s="43"/>
      <c r="AF36" s="4"/>
      <c r="AG36" s="55" t="s">
        <v>264</v>
      </c>
      <c r="AH36" s="55"/>
      <c r="AI36" s="55"/>
      <c r="AJ36" s="53" t="s">
        <v>54</v>
      </c>
      <c r="AK36" s="55"/>
      <c r="AL36" s="55"/>
      <c r="AM36" s="55"/>
      <c r="AN36" s="10"/>
      <c r="AO36" s="43"/>
      <c r="AP36" s="4"/>
      <c r="AQ36" s="55" t="s">
        <v>264</v>
      </c>
      <c r="AR36" s="55"/>
      <c r="AS36" s="55"/>
      <c r="AT36" s="53" t="s">
        <v>54</v>
      </c>
      <c r="AU36" s="55"/>
      <c r="AV36" s="55"/>
      <c r="AW36" s="55"/>
      <c r="AX36" s="10"/>
      <c r="AY36" s="43"/>
      <c r="AZ36" s="4"/>
      <c r="BA36" s="55" t="s">
        <v>264</v>
      </c>
      <c r="BB36" s="55"/>
      <c r="BC36" s="55"/>
      <c r="BD36" s="53" t="s">
        <v>54</v>
      </c>
      <c r="BE36" s="55"/>
      <c r="BF36" s="55"/>
      <c r="BG36" s="55"/>
      <c r="BH36" s="10"/>
      <c r="BI36" s="43"/>
      <c r="BJ36" s="19"/>
      <c r="BK36" s="127" t="str">
        <f>IF(OR(Данные!B38=TRUE,Данные!B42=TRUE),"Использовать холодильники","")</f>
        <v/>
      </c>
      <c r="BL36" s="20"/>
      <c r="BM36" s="134"/>
      <c r="BN36" s="20"/>
      <c r="BO36" s="65"/>
      <c r="BP36" s="20"/>
      <c r="BQ36" s="20"/>
      <c r="BR36" s="76"/>
      <c r="BT36" s="19"/>
      <c r="BU36" s="127" t="str">
        <f>IF(OR(Данные!L38=TRUE,Данные!L42=TRUE),"Использовать холодильники","")</f>
        <v/>
      </c>
      <c r="BV36" s="20"/>
      <c r="BW36" s="134"/>
      <c r="BX36" s="20"/>
      <c r="BY36" s="65"/>
      <c r="BZ36" s="20"/>
      <c r="CA36" s="20"/>
      <c r="CB36" s="76"/>
    </row>
    <row r="37" spans="2:81" x14ac:dyDescent="0.3">
      <c r="B37" s="4"/>
      <c r="C37" s="55" t="s">
        <v>60</v>
      </c>
      <c r="D37" s="55"/>
      <c r="E37" s="55"/>
      <c r="F37" s="52" t="s">
        <v>91</v>
      </c>
      <c r="G37" s="55"/>
      <c r="H37" s="55"/>
      <c r="I37" s="55"/>
      <c r="J37" s="10"/>
      <c r="L37" s="4"/>
      <c r="M37" s="55" t="s">
        <v>60</v>
      </c>
      <c r="N37" s="55"/>
      <c r="O37" s="55"/>
      <c r="P37" s="52" t="s">
        <v>91</v>
      </c>
      <c r="Q37" s="55"/>
      <c r="R37" s="55"/>
      <c r="S37" s="55"/>
      <c r="T37" s="10"/>
      <c r="V37" s="4"/>
      <c r="W37" s="55" t="s">
        <v>66</v>
      </c>
      <c r="X37" s="55"/>
      <c r="Y37" s="17"/>
      <c r="Z37" s="17" t="s">
        <v>67</v>
      </c>
      <c r="AA37" s="55"/>
      <c r="AB37" s="55"/>
      <c r="AC37" s="55"/>
      <c r="AD37" s="10"/>
      <c r="AE37" s="43"/>
      <c r="AF37" s="4"/>
      <c r="AG37" s="55" t="s">
        <v>60</v>
      </c>
      <c r="AH37" s="55"/>
      <c r="AI37" s="55"/>
      <c r="AJ37" s="52" t="s">
        <v>91</v>
      </c>
      <c r="AK37" s="55"/>
      <c r="AL37" s="55"/>
      <c r="AM37" s="55"/>
      <c r="AN37" s="10"/>
      <c r="AO37" s="43"/>
      <c r="AP37" s="4"/>
      <c r="AQ37" s="55" t="s">
        <v>60</v>
      </c>
      <c r="AR37" s="55"/>
      <c r="AS37" s="55"/>
      <c r="AT37" s="52" t="s">
        <v>91</v>
      </c>
      <c r="AU37" s="55"/>
      <c r="AV37" s="55"/>
      <c r="AW37" s="55"/>
      <c r="AX37" s="10"/>
      <c r="AY37" s="43"/>
      <c r="AZ37" s="4"/>
      <c r="BA37" s="55" t="s">
        <v>60</v>
      </c>
      <c r="BB37" s="55"/>
      <c r="BC37" s="55"/>
      <c r="BD37" s="52" t="s">
        <v>91</v>
      </c>
      <c r="BE37" s="55"/>
      <c r="BF37" s="55"/>
      <c r="BG37" s="55"/>
      <c r="BH37" s="10"/>
      <c r="BI37" s="43"/>
      <c r="BJ37" s="4"/>
      <c r="BK37" s="55" t="s">
        <v>264</v>
      </c>
      <c r="BL37" s="55"/>
      <c r="BM37" s="55"/>
      <c r="BN37" s="53" t="s">
        <v>54</v>
      </c>
      <c r="BO37" s="55"/>
      <c r="BP37" s="55"/>
      <c r="BQ37" s="55"/>
      <c r="BR37" s="10"/>
      <c r="BT37" s="4"/>
      <c r="BU37" s="55" t="s">
        <v>264</v>
      </c>
      <c r="BV37" s="55"/>
      <c r="BW37" s="55"/>
      <c r="BX37" s="53" t="s">
        <v>54</v>
      </c>
      <c r="BY37" s="55"/>
      <c r="BZ37" s="55"/>
      <c r="CA37" s="55"/>
      <c r="CB37" s="10"/>
    </row>
    <row r="38" spans="2:81" ht="15" thickBot="1" x14ac:dyDescent="0.35">
      <c r="B38" s="4"/>
      <c r="C38" s="55" t="s">
        <v>55</v>
      </c>
      <c r="D38" s="55"/>
      <c r="E38" s="55"/>
      <c r="F38" s="53" t="s">
        <v>56</v>
      </c>
      <c r="G38" s="55"/>
      <c r="H38" s="55"/>
      <c r="I38" s="55"/>
      <c r="J38" s="10"/>
      <c r="L38" s="4"/>
      <c r="M38" s="55" t="s">
        <v>55</v>
      </c>
      <c r="N38" s="55"/>
      <c r="O38" s="55"/>
      <c r="P38" s="53" t="s">
        <v>56</v>
      </c>
      <c r="Q38" s="55"/>
      <c r="R38" s="55"/>
      <c r="S38" s="55"/>
      <c r="T38" s="10"/>
      <c r="V38" s="4"/>
      <c r="W38" s="55" t="s">
        <v>94</v>
      </c>
      <c r="X38" s="55"/>
      <c r="Y38" s="17"/>
      <c r="Z38" s="17" t="s">
        <v>58</v>
      </c>
      <c r="AA38" s="55"/>
      <c r="AB38" s="55"/>
      <c r="AC38" s="55"/>
      <c r="AD38" s="10"/>
      <c r="AE38" s="43"/>
      <c r="AF38" s="4"/>
      <c r="AG38" s="55" t="s">
        <v>55</v>
      </c>
      <c r="AH38" s="55"/>
      <c r="AI38" s="55"/>
      <c r="AJ38" s="53" t="s">
        <v>56</v>
      </c>
      <c r="AK38" s="55"/>
      <c r="AL38" s="55"/>
      <c r="AM38" s="55"/>
      <c r="AN38" s="10"/>
      <c r="AO38" s="43"/>
      <c r="AP38" s="4"/>
      <c r="AQ38" s="55" t="s">
        <v>55</v>
      </c>
      <c r="AR38" s="55"/>
      <c r="AS38" s="55"/>
      <c r="AT38" s="53" t="s">
        <v>56</v>
      </c>
      <c r="AU38" s="55"/>
      <c r="AV38" s="55"/>
      <c r="AW38" s="55"/>
      <c r="AX38" s="10"/>
      <c r="AY38" s="43"/>
      <c r="AZ38" s="4"/>
      <c r="BA38" s="55" t="s">
        <v>55</v>
      </c>
      <c r="BB38" s="55"/>
      <c r="BC38" s="55"/>
      <c r="BD38" s="53" t="s">
        <v>56</v>
      </c>
      <c r="BE38" s="55"/>
      <c r="BF38" s="55"/>
      <c r="BG38" s="55"/>
      <c r="BH38" s="10"/>
      <c r="BI38" s="43"/>
      <c r="BJ38" s="4"/>
      <c r="BK38" s="55" t="s">
        <v>60</v>
      </c>
      <c r="BL38" s="55"/>
      <c r="BM38" s="55"/>
      <c r="BN38" s="52" t="s">
        <v>91</v>
      </c>
      <c r="BO38" s="55"/>
      <c r="BP38" s="55"/>
      <c r="BQ38" s="55"/>
      <c r="BR38" s="10"/>
      <c r="BT38" s="4"/>
      <c r="BU38" s="55" t="s">
        <v>60</v>
      </c>
      <c r="BV38" s="55"/>
      <c r="BW38" s="55"/>
      <c r="BX38" s="52" t="s">
        <v>91</v>
      </c>
      <c r="BY38" s="55"/>
      <c r="BZ38" s="55"/>
      <c r="CA38" s="55"/>
      <c r="CB38" s="10"/>
    </row>
    <row r="39" spans="2:81" s="43" customFormat="1" ht="15" thickBot="1" x14ac:dyDescent="0.35">
      <c r="B39" s="4"/>
      <c r="C39" s="126" t="s">
        <v>63</v>
      </c>
      <c r="D39" s="55"/>
      <c r="E39" s="55"/>
      <c r="F39" s="584" t="s">
        <v>123</v>
      </c>
      <c r="G39" s="46">
        <v>-6</v>
      </c>
      <c r="H39" s="55"/>
      <c r="I39" s="55"/>
      <c r="J39" s="10"/>
      <c r="L39" s="4"/>
      <c r="M39" s="126" t="s">
        <v>63</v>
      </c>
      <c r="N39" s="55"/>
      <c r="O39" s="55"/>
      <c r="P39" s="141" t="s">
        <v>123</v>
      </c>
      <c r="Q39" s="46">
        <v>-1</v>
      </c>
      <c r="R39" s="55"/>
      <c r="S39" s="55"/>
      <c r="T39" s="10"/>
      <c r="V39" s="12"/>
      <c r="W39" s="5" t="s">
        <v>68</v>
      </c>
      <c r="X39" s="13"/>
      <c r="Y39" s="37" t="s">
        <v>69</v>
      </c>
      <c r="Z39" s="351" t="s">
        <v>68</v>
      </c>
      <c r="AA39" s="13"/>
      <c r="AB39" s="5" t="s">
        <v>70</v>
      </c>
      <c r="AC39" s="5"/>
      <c r="AD39" s="13"/>
      <c r="AF39" s="4"/>
      <c r="AG39" s="126" t="s">
        <v>63</v>
      </c>
      <c r="AH39" s="55"/>
      <c r="AI39" s="55"/>
      <c r="AJ39" s="141" t="s">
        <v>123</v>
      </c>
      <c r="AK39" s="46">
        <v>-2</v>
      </c>
      <c r="AL39" s="55"/>
      <c r="AM39" s="55"/>
      <c r="AN39" s="10"/>
      <c r="AP39" s="4"/>
      <c r="AQ39" s="126" t="s">
        <v>63</v>
      </c>
      <c r="AR39" s="55"/>
      <c r="AS39" s="55"/>
      <c r="AT39" s="584" t="s">
        <v>123</v>
      </c>
      <c r="AU39" s="46">
        <v>-1</v>
      </c>
      <c r="AV39" s="55"/>
      <c r="AW39" s="55"/>
      <c r="AX39" s="10"/>
      <c r="AZ39" s="4"/>
      <c r="BA39" s="126" t="s">
        <v>63</v>
      </c>
      <c r="BB39" s="55"/>
      <c r="BC39" s="55"/>
      <c r="BD39" s="584" t="s">
        <v>133</v>
      </c>
      <c r="BE39" s="46">
        <v>-3</v>
      </c>
      <c r="BF39" s="55"/>
      <c r="BG39" s="55"/>
      <c r="BH39" s="10"/>
      <c r="BJ39" s="4"/>
      <c r="BK39" s="55" t="s">
        <v>55</v>
      </c>
      <c r="BL39" s="55"/>
      <c r="BM39" s="55"/>
      <c r="BN39" s="53" t="s">
        <v>56</v>
      </c>
      <c r="BO39" s="55"/>
      <c r="BP39" s="55"/>
      <c r="BQ39" s="55"/>
      <c r="BR39" s="10"/>
      <c r="BS39"/>
      <c r="BT39" s="4"/>
      <c r="BU39" s="55" t="s">
        <v>55</v>
      </c>
      <c r="BV39" s="55"/>
      <c r="BW39" s="55"/>
      <c r="BX39" s="53" t="s">
        <v>56</v>
      </c>
      <c r="BY39" s="55"/>
      <c r="BZ39" s="55"/>
      <c r="CA39" s="55"/>
      <c r="CB39" s="10"/>
      <c r="CC39"/>
    </row>
    <row r="40" spans="2:81" ht="15" thickBot="1" x14ac:dyDescent="0.35">
      <c r="B40" s="4"/>
      <c r="C40" s="55" t="s">
        <v>951</v>
      </c>
      <c r="D40" s="55"/>
      <c r="E40" s="55"/>
      <c r="F40" s="54" t="s">
        <v>117</v>
      </c>
      <c r="G40" s="17" t="s">
        <v>92</v>
      </c>
      <c r="H40" s="55"/>
      <c r="I40" s="55"/>
      <c r="J40" s="10"/>
      <c r="L40" s="4"/>
      <c r="M40" s="55" t="s">
        <v>951</v>
      </c>
      <c r="N40" s="55"/>
      <c r="O40" s="55"/>
      <c r="P40" s="54" t="s">
        <v>120</v>
      </c>
      <c r="Q40" s="17" t="s">
        <v>92</v>
      </c>
      <c r="R40" s="55"/>
      <c r="S40" s="55"/>
      <c r="T40" s="10"/>
      <c r="V40" s="1567">
        <f ca="1">TODAY()</f>
        <v>45414</v>
      </c>
      <c r="W40" s="1567"/>
      <c r="X40" s="3"/>
      <c r="Y40" s="39"/>
      <c r="Z40" s="1"/>
      <c r="AA40" s="3"/>
      <c r="AB40" s="2"/>
      <c r="AC40" s="2"/>
      <c r="AD40" s="3"/>
      <c r="AE40" s="43"/>
      <c r="AF40" s="4"/>
      <c r="AG40" s="55" t="s">
        <v>951</v>
      </c>
      <c r="AH40" s="55"/>
      <c r="AI40" s="55"/>
      <c r="AJ40" s="54" t="s">
        <v>117</v>
      </c>
      <c r="AK40" s="17" t="s">
        <v>92</v>
      </c>
      <c r="AL40" s="55"/>
      <c r="AM40" s="55"/>
      <c r="AN40" s="10"/>
      <c r="AO40" s="43"/>
      <c r="AP40" s="4"/>
      <c r="AQ40" s="55" t="s">
        <v>951</v>
      </c>
      <c r="AR40" s="55"/>
      <c r="AS40" s="55"/>
      <c r="AT40" s="54" t="s">
        <v>117</v>
      </c>
      <c r="AU40" s="17" t="s">
        <v>92</v>
      </c>
      <c r="AV40" s="55"/>
      <c r="AW40" s="55"/>
      <c r="AX40" s="10"/>
      <c r="AY40" s="43"/>
      <c r="AZ40" s="4"/>
      <c r="BA40" s="55" t="s">
        <v>951</v>
      </c>
      <c r="BB40" s="55"/>
      <c r="BC40" s="55"/>
      <c r="BD40" s="54" t="s">
        <v>120</v>
      </c>
      <c r="BE40" s="17" t="s">
        <v>92</v>
      </c>
      <c r="BF40" s="55"/>
      <c r="BG40" s="55"/>
      <c r="BH40" s="10"/>
      <c r="BI40" s="43"/>
      <c r="BJ40" s="4"/>
      <c r="BK40" s="126" t="s">
        <v>63</v>
      </c>
      <c r="BL40" s="55"/>
      <c r="BM40" s="55"/>
      <c r="BN40" s="141" t="s">
        <v>123</v>
      </c>
      <c r="BO40" s="55"/>
      <c r="BP40" s="55"/>
      <c r="BQ40" s="55"/>
      <c r="BR40" s="10"/>
      <c r="BS40" s="43"/>
      <c r="BT40" s="4"/>
      <c r="BU40" s="126" t="s">
        <v>63</v>
      </c>
      <c r="BV40" s="55"/>
      <c r="BW40" s="55"/>
      <c r="BX40" s="141" t="s">
        <v>133</v>
      </c>
      <c r="BY40" s="46">
        <v>-1</v>
      </c>
      <c r="BZ40" s="55"/>
      <c r="CA40" s="55"/>
      <c r="CB40" s="10"/>
      <c r="CC40" s="43"/>
    </row>
    <row r="41" spans="2:81" ht="15" thickBot="1" x14ac:dyDescent="0.35">
      <c r="B41" s="4"/>
      <c r="C41" s="55" t="s">
        <v>50</v>
      </c>
      <c r="D41" s="55"/>
      <c r="E41" s="55"/>
      <c r="F41" s="53" t="str">
        <f>VLOOKUP(F7,Данные!A3:I27,6,FALSE())</f>
        <v>25010.00173</v>
      </c>
      <c r="G41" s="55"/>
      <c r="H41" s="55"/>
      <c r="I41" s="55"/>
      <c r="J41" s="10"/>
      <c r="L41" s="4"/>
      <c r="M41" s="55" t="s">
        <v>50</v>
      </c>
      <c r="N41" s="55"/>
      <c r="O41" s="55"/>
      <c r="P41" s="53" t="str">
        <f>VLOOKUP(P7,Данные!A3:I27,6,FALSE())</f>
        <v>25010.00174</v>
      </c>
      <c r="Q41" s="55"/>
      <c r="R41" s="55"/>
      <c r="S41" s="55"/>
      <c r="T41" s="10"/>
      <c r="V41" s="77"/>
      <c r="W41" s="20" t="s">
        <v>71</v>
      </c>
      <c r="X41" s="3"/>
      <c r="Y41" s="21"/>
      <c r="Z41" s="20"/>
      <c r="AA41" s="20"/>
      <c r="AB41" s="20"/>
      <c r="AC41" s="20"/>
      <c r="AD41" s="40"/>
      <c r="AE41" s="43"/>
      <c r="AF41" s="4"/>
      <c r="AG41" s="55" t="s">
        <v>50</v>
      </c>
      <c r="AH41" s="55"/>
      <c r="AI41" s="55"/>
      <c r="AJ41" s="53" t="str">
        <f>VLOOKUP(AJ7,Данные!A3:I27,6,FALSE())</f>
        <v>25010.00173</v>
      </c>
      <c r="AK41" s="55"/>
      <c r="AL41" s="55"/>
      <c r="AM41" s="55"/>
      <c r="AN41" s="10"/>
      <c r="AO41" s="43"/>
      <c r="AP41" s="4"/>
      <c r="AQ41" s="55" t="s">
        <v>50</v>
      </c>
      <c r="AR41" s="55"/>
      <c r="AS41" s="55"/>
      <c r="AT41" s="53" t="str">
        <f>VLOOKUP(AT7,Данные!A3:I27,6,FALSE())</f>
        <v>25010.00173</v>
      </c>
      <c r="AU41" s="55"/>
      <c r="AV41" s="55"/>
      <c r="AW41" s="55"/>
      <c r="AX41" s="10"/>
      <c r="AY41" s="43"/>
      <c r="AZ41" s="4"/>
      <c r="BA41" s="55" t="s">
        <v>50</v>
      </c>
      <c r="BB41" s="55"/>
      <c r="BC41" s="55"/>
      <c r="BD41" s="53" t="str">
        <f>VLOOKUP(BD7,Марка_мет,6,FALSE())</f>
        <v>25010.00176</v>
      </c>
      <c r="BE41" s="55"/>
      <c r="BF41" s="55"/>
      <c r="BG41" s="55"/>
      <c r="BH41" s="10"/>
      <c r="BI41" s="43"/>
      <c r="BJ41" s="4"/>
      <c r="BK41" s="55" t="s">
        <v>951</v>
      </c>
      <c r="BL41" s="55"/>
      <c r="BM41" s="55"/>
      <c r="BN41" s="54" t="s">
        <v>117</v>
      </c>
      <c r="BO41" s="17" t="s">
        <v>92</v>
      </c>
      <c r="BP41" s="55"/>
      <c r="BQ41" s="55"/>
      <c r="BR41" s="10"/>
      <c r="BT41" s="4"/>
      <c r="BU41" s="55" t="s">
        <v>951</v>
      </c>
      <c r="BV41" s="55"/>
      <c r="BW41" s="55"/>
      <c r="BX41" s="54" t="s">
        <v>130</v>
      </c>
      <c r="BY41" s="17" t="s">
        <v>92</v>
      </c>
      <c r="BZ41" s="55"/>
      <c r="CA41" s="55"/>
      <c r="CB41" s="10"/>
    </row>
    <row r="42" spans="2:81" ht="15" thickBot="1" x14ac:dyDescent="0.35">
      <c r="B42" s="4"/>
      <c r="C42" s="55" t="s">
        <v>52</v>
      </c>
      <c r="D42" s="55"/>
      <c r="E42" s="55"/>
      <c r="F42" s="53" t="s">
        <v>121</v>
      </c>
      <c r="G42" s="55"/>
      <c r="H42" s="55"/>
      <c r="I42" s="55"/>
      <c r="J42" s="10"/>
      <c r="L42" s="4"/>
      <c r="M42" s="55" t="s">
        <v>52</v>
      </c>
      <c r="N42" s="55"/>
      <c r="O42" s="55"/>
      <c r="P42" s="53" t="s">
        <v>93</v>
      </c>
      <c r="Q42" s="55"/>
      <c r="R42" s="55"/>
      <c r="S42" s="55"/>
      <c r="T42" s="10"/>
      <c r="V42" s="4"/>
      <c r="W42" s="59"/>
      <c r="X42" s="59"/>
      <c r="Y42" s="59"/>
      <c r="Z42" s="59"/>
      <c r="AA42" s="59"/>
      <c r="AB42" s="59"/>
      <c r="AC42" s="59"/>
      <c r="AD42" s="10"/>
      <c r="AE42" s="43"/>
      <c r="AF42" s="4"/>
      <c r="AG42" s="55" t="s">
        <v>52</v>
      </c>
      <c r="AH42" s="55"/>
      <c r="AI42" s="55"/>
      <c r="AJ42" s="53" t="s">
        <v>93</v>
      </c>
      <c r="AK42" s="55"/>
      <c r="AL42" s="55"/>
      <c r="AM42" s="55"/>
      <c r="AN42" s="10"/>
      <c r="AO42" s="43"/>
      <c r="AP42" s="4"/>
      <c r="AQ42" s="55" t="s">
        <v>52</v>
      </c>
      <c r="AR42" s="55"/>
      <c r="AS42" s="55"/>
      <c r="AT42" s="53" t="s">
        <v>93</v>
      </c>
      <c r="AU42" s="55"/>
      <c r="AV42" s="55"/>
      <c r="AW42" s="55"/>
      <c r="AX42" s="10"/>
      <c r="AY42" s="43"/>
      <c r="AZ42" s="4"/>
      <c r="BA42" s="55" t="s">
        <v>52</v>
      </c>
      <c r="BB42" s="55"/>
      <c r="BC42" s="55"/>
      <c r="BD42" s="53" t="s">
        <v>93</v>
      </c>
      <c r="BE42" s="55"/>
      <c r="BF42" s="55"/>
      <c r="BG42" s="55"/>
      <c r="BH42" s="10"/>
      <c r="BI42" s="43"/>
      <c r="BJ42" s="4"/>
      <c r="BK42" s="55" t="s">
        <v>50</v>
      </c>
      <c r="BL42" s="55"/>
      <c r="BM42" s="55"/>
      <c r="BN42" s="53" t="str">
        <f>VLOOKUP(BN8,Данные!A3:I27,6,FALSE())</f>
        <v>25010.00173</v>
      </c>
      <c r="BO42" s="55"/>
      <c r="BP42" s="55"/>
      <c r="BQ42" s="55"/>
      <c r="BR42" s="10"/>
      <c r="BT42" s="4"/>
      <c r="BU42" s="55" t="s">
        <v>50</v>
      </c>
      <c r="BV42" s="55"/>
      <c r="BW42" s="55"/>
      <c r="BX42" s="53" t="str">
        <f>VLOOKUP(BX8,Данные!A3:I27,6,FALSE())</f>
        <v>25010.00176</v>
      </c>
      <c r="BY42" s="55"/>
      <c r="BZ42" s="55"/>
      <c r="CA42" s="55"/>
      <c r="CB42" s="10"/>
    </row>
    <row r="43" spans="2:81" x14ac:dyDescent="0.3">
      <c r="B43" s="4"/>
      <c r="C43" s="55" t="s">
        <v>66</v>
      </c>
      <c r="D43" s="55"/>
      <c r="E43" s="17"/>
      <c r="F43" s="17" t="s">
        <v>1150</v>
      </c>
      <c r="G43" s="55"/>
      <c r="H43" s="55"/>
      <c r="I43" s="55"/>
      <c r="J43" s="10"/>
      <c r="L43" s="4"/>
      <c r="M43" s="55" t="s">
        <v>66</v>
      </c>
      <c r="N43" s="55"/>
      <c r="O43" s="17"/>
      <c r="P43" s="17" t="s">
        <v>67</v>
      </c>
      <c r="Q43" s="55"/>
      <c r="R43" s="55"/>
      <c r="S43" s="55"/>
      <c r="T43" s="10"/>
      <c r="V43" s="108" t="s">
        <v>6</v>
      </c>
      <c r="W43" s="444"/>
      <c r="X43" s="445"/>
      <c r="Y43" s="111" t="s">
        <v>297</v>
      </c>
      <c r="Z43" s="112" t="s">
        <v>298</v>
      </c>
      <c r="AA43" s="111" t="s">
        <v>298</v>
      </c>
      <c r="AB43" s="111" t="s">
        <v>299</v>
      </c>
      <c r="AC43" s="108" t="s">
        <v>300</v>
      </c>
      <c r="AD43" s="445"/>
      <c r="AE43" s="43"/>
      <c r="AF43" s="4"/>
      <c r="AG43" s="55" t="s">
        <v>66</v>
      </c>
      <c r="AH43" s="55"/>
      <c r="AI43" s="17"/>
      <c r="AJ43" s="17" t="s">
        <v>67</v>
      </c>
      <c r="AK43" s="55"/>
      <c r="AL43" s="55"/>
      <c r="AM43" s="55"/>
      <c r="AN43" s="10"/>
      <c r="AO43" s="43"/>
      <c r="AP43" s="4"/>
      <c r="AQ43" s="55" t="s">
        <v>66</v>
      </c>
      <c r="AR43" s="55"/>
      <c r="AS43" s="17"/>
      <c r="AT43" s="17" t="s">
        <v>67</v>
      </c>
      <c r="AU43" s="55"/>
      <c r="AV43" s="55"/>
      <c r="AW43" s="55"/>
      <c r="AX43" s="10"/>
      <c r="AY43" s="43"/>
      <c r="AZ43" s="4"/>
      <c r="BA43" s="55" t="s">
        <v>66</v>
      </c>
      <c r="BB43" s="55"/>
      <c r="BC43" s="17"/>
      <c r="BD43" s="17" t="s">
        <v>67</v>
      </c>
      <c r="BE43" s="55"/>
      <c r="BF43" s="55"/>
      <c r="BG43" s="55"/>
      <c r="BH43" s="10"/>
      <c r="BI43" s="43"/>
      <c r="BJ43" s="4"/>
      <c r="BK43" s="55" t="s">
        <v>52</v>
      </c>
      <c r="BL43" s="55"/>
      <c r="BM43" s="55"/>
      <c r="BN43" s="53" t="s">
        <v>93</v>
      </c>
      <c r="BO43" s="55"/>
      <c r="BP43" s="55"/>
      <c r="BQ43" s="55"/>
      <c r="BR43" s="10"/>
      <c r="BT43" s="4"/>
      <c r="BU43" s="55" t="s">
        <v>52</v>
      </c>
      <c r="BV43" s="55"/>
      <c r="BW43" s="55"/>
      <c r="BX43" s="53" t="s">
        <v>93</v>
      </c>
      <c r="BY43" s="55"/>
      <c r="BZ43" s="55"/>
      <c r="CA43" s="55"/>
      <c r="CB43" s="10"/>
    </row>
    <row r="44" spans="2:81" ht="15" thickBot="1" x14ac:dyDescent="0.35">
      <c r="B44" s="4"/>
      <c r="C44" s="55" t="s">
        <v>94</v>
      </c>
      <c r="D44" s="55"/>
      <c r="E44" s="17"/>
      <c r="F44" s="17" t="s">
        <v>58</v>
      </c>
      <c r="G44" s="55"/>
      <c r="H44" s="55"/>
      <c r="I44" s="55"/>
      <c r="J44" s="10"/>
      <c r="L44" s="4"/>
      <c r="M44" s="55" t="s">
        <v>94</v>
      </c>
      <c r="N44" s="55"/>
      <c r="O44" s="17"/>
      <c r="P44" s="17" t="s">
        <v>58</v>
      </c>
      <c r="Q44" s="55"/>
      <c r="R44" s="55"/>
      <c r="S44" s="55"/>
      <c r="T44" s="10"/>
      <c r="V44" s="113"/>
      <c r="W44" s="446" t="s">
        <v>301</v>
      </c>
      <c r="X44" s="447"/>
      <c r="Y44" s="115" t="s">
        <v>302</v>
      </c>
      <c r="Z44" s="115" t="s">
        <v>303</v>
      </c>
      <c r="AA44" s="115" t="s">
        <v>304</v>
      </c>
      <c r="AB44" s="115"/>
      <c r="AC44" s="116" t="s">
        <v>305</v>
      </c>
      <c r="AD44" s="447"/>
      <c r="AE44" s="43"/>
      <c r="AF44" s="4"/>
      <c r="AG44" s="55" t="s">
        <v>94</v>
      </c>
      <c r="AH44" s="55"/>
      <c r="AI44" s="17"/>
      <c r="AJ44" s="17" t="s">
        <v>58</v>
      </c>
      <c r="AK44" s="55"/>
      <c r="AL44" s="55"/>
      <c r="AM44" s="55"/>
      <c r="AN44" s="10"/>
      <c r="AO44" s="43"/>
      <c r="AP44" s="4"/>
      <c r="AQ44" s="55" t="s">
        <v>94</v>
      </c>
      <c r="AR44" s="55"/>
      <c r="AS44" s="17"/>
      <c r="AT44" s="173" t="s">
        <v>58</v>
      </c>
      <c r="AU44" s="55"/>
      <c r="AV44" s="55"/>
      <c r="AW44" s="55"/>
      <c r="AX44" s="10"/>
      <c r="AY44" s="43"/>
      <c r="AZ44" s="4"/>
      <c r="BA44" s="55" t="s">
        <v>94</v>
      </c>
      <c r="BB44" s="55"/>
      <c r="BC44" s="17"/>
      <c r="BD44" s="173" t="s">
        <v>58</v>
      </c>
      <c r="BE44" s="55"/>
      <c r="BF44" s="55"/>
      <c r="BG44" s="55"/>
      <c r="BH44" s="10"/>
      <c r="BI44" s="43"/>
      <c r="BJ44" s="4"/>
      <c r="BK44" s="55" t="s">
        <v>66</v>
      </c>
      <c r="BL44" s="55"/>
      <c r="BM44" s="17"/>
      <c r="BN44" s="17" t="s">
        <v>67</v>
      </c>
      <c r="BO44" s="55"/>
      <c r="BP44" s="55"/>
      <c r="BQ44" s="55"/>
      <c r="BR44" s="10"/>
      <c r="BT44" s="4"/>
      <c r="BU44" s="55" t="s">
        <v>66</v>
      </c>
      <c r="BV44" s="55"/>
      <c r="BW44" s="17"/>
      <c r="BX44" s="17" t="s">
        <v>67</v>
      </c>
      <c r="BY44" s="55"/>
      <c r="BZ44" s="55"/>
      <c r="CA44" s="55"/>
      <c r="CB44" s="10"/>
    </row>
    <row r="45" spans="2:81" ht="15" thickBot="1" x14ac:dyDescent="0.35">
      <c r="B45" s="12"/>
      <c r="C45" s="5" t="s">
        <v>68</v>
      </c>
      <c r="D45" s="13"/>
      <c r="E45" s="37" t="s">
        <v>69</v>
      </c>
      <c r="F45" s="38" t="s">
        <v>68</v>
      </c>
      <c r="G45" s="13"/>
      <c r="H45" s="5" t="s">
        <v>70</v>
      </c>
      <c r="I45" s="5"/>
      <c r="J45" s="13"/>
      <c r="L45" s="12"/>
      <c r="M45" s="5" t="s">
        <v>68</v>
      </c>
      <c r="N45" s="13"/>
      <c r="O45" s="37" t="s">
        <v>69</v>
      </c>
      <c r="P45" s="351" t="s">
        <v>68</v>
      </c>
      <c r="Q45" s="13"/>
      <c r="R45" s="5" t="s">
        <v>70</v>
      </c>
      <c r="S45" s="5"/>
      <c r="T45" s="13"/>
      <c r="V45" s="113"/>
      <c r="W45" s="446" t="s">
        <v>405</v>
      </c>
      <c r="X45" s="446"/>
      <c r="Y45" s="200">
        <v>40</v>
      </c>
      <c r="Z45" s="201">
        <v>1</v>
      </c>
      <c r="AA45" s="200">
        <v>20</v>
      </c>
      <c r="AB45" s="115">
        <v>3</v>
      </c>
      <c r="AC45" s="1525">
        <f>ROUND(Z$10/AE51,3)</f>
        <v>1.621</v>
      </c>
      <c r="AD45" s="1526"/>
      <c r="AE45" s="43"/>
      <c r="AF45" s="12"/>
      <c r="AG45" s="5" t="s">
        <v>68</v>
      </c>
      <c r="AH45" s="13"/>
      <c r="AI45" s="37" t="s">
        <v>69</v>
      </c>
      <c r="AJ45" s="38" t="s">
        <v>68</v>
      </c>
      <c r="AK45" s="13"/>
      <c r="AL45" s="5" t="s">
        <v>70</v>
      </c>
      <c r="AM45" s="5"/>
      <c r="AN45" s="13"/>
      <c r="AO45" s="43"/>
      <c r="AP45" s="12"/>
      <c r="AQ45" s="5" t="s">
        <v>68</v>
      </c>
      <c r="AR45" s="13"/>
      <c r="AS45" s="37" t="s">
        <v>69</v>
      </c>
      <c r="AT45" s="38" t="s">
        <v>68</v>
      </c>
      <c r="AU45" s="13"/>
      <c r="AV45" s="5" t="s">
        <v>70</v>
      </c>
      <c r="AW45" s="5"/>
      <c r="AX45" s="13"/>
      <c r="AY45" s="43"/>
      <c r="AZ45" s="12"/>
      <c r="BA45" s="5" t="s">
        <v>68</v>
      </c>
      <c r="BB45" s="13"/>
      <c r="BC45" s="37" t="s">
        <v>69</v>
      </c>
      <c r="BD45" s="38" t="s">
        <v>68</v>
      </c>
      <c r="BE45" s="13"/>
      <c r="BF45" s="5" t="s">
        <v>70</v>
      </c>
      <c r="BG45" s="5"/>
      <c r="BH45" s="13"/>
      <c r="BI45" s="43"/>
      <c r="BJ45" s="4"/>
      <c r="BK45" s="55" t="s">
        <v>94</v>
      </c>
      <c r="BL45" s="55"/>
      <c r="BM45" s="17"/>
      <c r="BN45" s="17" t="s">
        <v>58</v>
      </c>
      <c r="BO45" s="55"/>
      <c r="BP45" s="55"/>
      <c r="BQ45" s="55"/>
      <c r="BR45" s="10"/>
      <c r="BT45" s="4"/>
      <c r="BU45" s="55" t="s">
        <v>94</v>
      </c>
      <c r="BV45" s="55"/>
      <c r="BW45" s="17"/>
      <c r="BX45" s="17" t="s">
        <v>58</v>
      </c>
      <c r="BY45" s="55"/>
      <c r="BZ45" s="55"/>
      <c r="CA45" s="55"/>
      <c r="CB45" s="10"/>
    </row>
    <row r="46" spans="2:81" ht="15" thickBot="1" x14ac:dyDescent="0.35">
      <c r="B46" s="1567">
        <f ca="1">TODAY()</f>
        <v>45414</v>
      </c>
      <c r="C46" s="1567"/>
      <c r="D46" s="3"/>
      <c r="E46" s="39"/>
      <c r="F46" s="1"/>
      <c r="G46" s="3"/>
      <c r="H46" s="2"/>
      <c r="I46" s="2"/>
      <c r="J46" s="3"/>
      <c r="L46" s="1567">
        <f ca="1">TODAY()</f>
        <v>45414</v>
      </c>
      <c r="M46" s="1567"/>
      <c r="N46" s="3"/>
      <c r="O46" s="39"/>
      <c r="P46" s="1"/>
      <c r="Q46" s="3"/>
      <c r="R46" s="2"/>
      <c r="S46" s="2"/>
      <c r="T46" s="3"/>
      <c r="AE46" s="43"/>
      <c r="AF46" s="1567">
        <f ca="1">TODAY()</f>
        <v>45414</v>
      </c>
      <c r="AG46" s="1567"/>
      <c r="AH46" s="3"/>
      <c r="AI46" s="39"/>
      <c r="AJ46" s="1"/>
      <c r="AK46" s="3"/>
      <c r="AL46" s="2"/>
      <c r="AM46" s="2"/>
      <c r="AN46" s="3"/>
      <c r="AO46" s="43"/>
      <c r="AP46" s="1567">
        <f ca="1">TODAY()</f>
        <v>45414</v>
      </c>
      <c r="AQ46" s="1567"/>
      <c r="AR46" s="3"/>
      <c r="AS46" s="39"/>
      <c r="AT46" s="1"/>
      <c r="AU46" s="3"/>
      <c r="AV46" s="2"/>
      <c r="AW46" s="2"/>
      <c r="AX46" s="3"/>
      <c r="AY46" s="43"/>
      <c r="AZ46" s="1567">
        <f ca="1">TODAY()</f>
        <v>45414</v>
      </c>
      <c r="BA46" s="1567"/>
      <c r="BB46" s="3"/>
      <c r="BC46" s="39"/>
      <c r="BD46" s="1"/>
      <c r="BE46" s="3"/>
      <c r="BF46" s="2"/>
      <c r="BG46" s="2"/>
      <c r="BH46" s="3"/>
      <c r="BI46" s="43"/>
      <c r="BJ46" s="12"/>
      <c r="BK46" s="5" t="s">
        <v>68</v>
      </c>
      <c r="BL46" s="13"/>
      <c r="BM46" s="37" t="s">
        <v>69</v>
      </c>
      <c r="BN46" s="38" t="s">
        <v>68</v>
      </c>
      <c r="BO46" s="13"/>
      <c r="BP46" s="5" t="s">
        <v>70</v>
      </c>
      <c r="BQ46" s="5"/>
      <c r="BR46" s="13"/>
      <c r="BT46" s="12"/>
      <c r="BU46" s="5" t="s">
        <v>68</v>
      </c>
      <c r="BV46" s="13"/>
      <c r="BW46" s="37" t="s">
        <v>69</v>
      </c>
      <c r="BX46" s="38" t="s">
        <v>68</v>
      </c>
      <c r="BY46" s="13"/>
      <c r="BZ46" s="5" t="s">
        <v>70</v>
      </c>
      <c r="CA46" s="5"/>
      <c r="CB46" s="13"/>
    </row>
    <row r="47" spans="2:81" ht="15" thickBot="1" x14ac:dyDescent="0.35">
      <c r="B47" s="77"/>
      <c r="C47" s="20" t="s">
        <v>71</v>
      </c>
      <c r="D47" s="3"/>
      <c r="E47" s="21"/>
      <c r="F47" s="20"/>
      <c r="G47" s="20"/>
      <c r="H47" s="20"/>
      <c r="I47" s="20"/>
      <c r="J47" s="40"/>
      <c r="L47" s="77"/>
      <c r="M47" s="20" t="s">
        <v>71</v>
      </c>
      <c r="N47" s="3"/>
      <c r="O47" s="21"/>
      <c r="P47" s="20"/>
      <c r="Q47" s="20"/>
      <c r="R47" s="20"/>
      <c r="S47" s="20"/>
      <c r="T47" s="40"/>
      <c r="AE47" s="43"/>
      <c r="AF47" s="77"/>
      <c r="AG47" s="20" t="s">
        <v>71</v>
      </c>
      <c r="AH47" s="3"/>
      <c r="AI47" s="21"/>
      <c r="AJ47" s="20"/>
      <c r="AK47" s="20"/>
      <c r="AL47" s="20"/>
      <c r="AM47" s="20"/>
      <c r="AN47" s="40"/>
      <c r="AO47" s="43"/>
      <c r="AP47" s="77"/>
      <c r="AQ47" s="20" t="s">
        <v>71</v>
      </c>
      <c r="AR47" s="3"/>
      <c r="AS47" s="21"/>
      <c r="AT47" s="20"/>
      <c r="AU47" s="20"/>
      <c r="AV47" s="20"/>
      <c r="AW47" s="20"/>
      <c r="AX47" s="40"/>
      <c r="AY47" s="43"/>
      <c r="AZ47" s="77"/>
      <c r="BA47" s="20" t="s">
        <v>71</v>
      </c>
      <c r="BB47" s="3"/>
      <c r="BC47" s="21"/>
      <c r="BD47" s="20"/>
      <c r="BE47" s="20"/>
      <c r="BF47" s="20"/>
      <c r="BG47" s="20"/>
      <c r="BH47" s="40"/>
      <c r="BI47" s="43"/>
      <c r="BJ47" s="1567">
        <f ca="1">TODAY()</f>
        <v>45414</v>
      </c>
      <c r="BK47" s="1567"/>
      <c r="BL47" s="3"/>
      <c r="BM47" s="39"/>
      <c r="BN47" s="1"/>
      <c r="BO47" s="3"/>
      <c r="BP47" s="2"/>
      <c r="BQ47" s="2"/>
      <c r="BR47" s="3"/>
      <c r="BT47" s="1567">
        <f ca="1">TODAY()</f>
        <v>45414</v>
      </c>
      <c r="BU47" s="1567"/>
      <c r="BV47" s="3"/>
      <c r="BW47" s="39"/>
      <c r="BX47" s="1"/>
      <c r="BY47" s="3"/>
      <c r="BZ47" s="2"/>
      <c r="CA47" s="2"/>
      <c r="CB47" s="3"/>
    </row>
    <row r="48" spans="2:81" ht="15" thickBot="1" x14ac:dyDescent="0.35">
      <c r="B48" s="4"/>
      <c r="C48" s="59"/>
      <c r="D48" s="59"/>
      <c r="E48" s="59"/>
      <c r="F48" s="59"/>
      <c r="G48" s="59"/>
      <c r="H48" s="59"/>
      <c r="I48" s="59"/>
      <c r="J48" s="10"/>
      <c r="L48" s="4"/>
      <c r="M48" s="59"/>
      <c r="N48" s="59"/>
      <c r="O48" s="59"/>
      <c r="P48" s="59"/>
      <c r="Q48" s="59"/>
      <c r="R48" s="59"/>
      <c r="S48" s="59"/>
      <c r="T48" s="10"/>
      <c r="AE48" s="43"/>
      <c r="AF48" s="4"/>
      <c r="AG48" s="59"/>
      <c r="AH48" s="59"/>
      <c r="AI48" s="59"/>
      <c r="AJ48" s="59"/>
      <c r="AK48" s="59"/>
      <c r="AL48" s="59"/>
      <c r="AM48" s="59"/>
      <c r="AN48" s="10"/>
      <c r="AO48" s="43"/>
      <c r="AP48" s="4"/>
      <c r="AQ48" s="59"/>
      <c r="AR48" s="59"/>
      <c r="AS48" s="59"/>
      <c r="AT48" s="59"/>
      <c r="AU48" s="59"/>
      <c r="AV48" s="59"/>
      <c r="AW48" s="59"/>
      <c r="AX48" s="10"/>
      <c r="AY48" s="43"/>
      <c r="AZ48" s="4"/>
      <c r="BA48" s="59"/>
      <c r="BB48" s="59"/>
      <c r="BC48" s="59"/>
      <c r="BD48" s="59"/>
      <c r="BE48" s="59"/>
      <c r="BF48" s="59"/>
      <c r="BG48" s="59"/>
      <c r="BH48" s="10"/>
      <c r="BI48" s="43"/>
      <c r="BJ48" s="77"/>
      <c r="BK48" s="20" t="s">
        <v>71</v>
      </c>
      <c r="BL48" s="3"/>
      <c r="BM48" s="21"/>
      <c r="BN48" s="20"/>
      <c r="BO48" s="20"/>
      <c r="BP48" s="20"/>
      <c r="BQ48" s="20"/>
      <c r="BR48" s="40"/>
      <c r="BT48" s="77"/>
      <c r="BU48" s="20" t="s">
        <v>71</v>
      </c>
      <c r="BV48" s="3"/>
      <c r="BW48" s="21"/>
      <c r="BX48" s="20"/>
      <c r="BY48" s="20"/>
      <c r="BZ48" s="20"/>
      <c r="CA48" s="20"/>
      <c r="CB48" s="40"/>
    </row>
    <row r="49" spans="2:81" ht="15" thickBot="1" x14ac:dyDescent="0.35">
      <c r="B49" s="108" t="s">
        <v>6</v>
      </c>
      <c r="C49" s="208"/>
      <c r="D49" s="206"/>
      <c r="E49" s="111" t="s">
        <v>297</v>
      </c>
      <c r="F49" s="112" t="s">
        <v>298</v>
      </c>
      <c r="G49" s="111" t="s">
        <v>298</v>
      </c>
      <c r="H49" s="111" t="s">
        <v>299</v>
      </c>
      <c r="I49" s="108" t="s">
        <v>300</v>
      </c>
      <c r="J49" s="206"/>
      <c r="L49" s="108" t="s">
        <v>6</v>
      </c>
      <c r="M49" s="345"/>
      <c r="N49" s="346"/>
      <c r="O49" s="111" t="s">
        <v>297</v>
      </c>
      <c r="P49" s="112" t="s">
        <v>298</v>
      </c>
      <c r="Q49" s="111" t="s">
        <v>298</v>
      </c>
      <c r="R49" s="111" t="s">
        <v>299</v>
      </c>
      <c r="S49" s="108" t="s">
        <v>300</v>
      </c>
      <c r="T49" s="346"/>
      <c r="AE49" s="43"/>
      <c r="AF49" s="108" t="s">
        <v>6</v>
      </c>
      <c r="AG49" s="449"/>
      <c r="AH49" s="450"/>
      <c r="AI49" s="111" t="s">
        <v>297</v>
      </c>
      <c r="AJ49" s="112" t="s">
        <v>298</v>
      </c>
      <c r="AK49" s="111" t="s">
        <v>298</v>
      </c>
      <c r="AL49" s="111" t="s">
        <v>299</v>
      </c>
      <c r="AM49" s="108" t="s">
        <v>300</v>
      </c>
      <c r="AN49" s="450"/>
      <c r="AO49" s="43"/>
      <c r="AP49" s="108" t="s">
        <v>6</v>
      </c>
      <c r="AQ49" s="520"/>
      <c r="AR49" s="521"/>
      <c r="AS49" s="111" t="s">
        <v>297</v>
      </c>
      <c r="AT49" s="112" t="s">
        <v>298</v>
      </c>
      <c r="AU49" s="111" t="s">
        <v>298</v>
      </c>
      <c r="AV49" s="111" t="s">
        <v>299</v>
      </c>
      <c r="AW49" s="108" t="s">
        <v>300</v>
      </c>
      <c r="AX49" s="521"/>
      <c r="AY49" s="43"/>
      <c r="AZ49" s="108" t="s">
        <v>6</v>
      </c>
      <c r="BA49" s="1127"/>
      <c r="BB49" s="1128"/>
      <c r="BC49" s="111" t="s">
        <v>297</v>
      </c>
      <c r="BD49" s="112" t="s">
        <v>298</v>
      </c>
      <c r="BE49" s="111" t="s">
        <v>298</v>
      </c>
      <c r="BF49" s="111" t="s">
        <v>299</v>
      </c>
      <c r="BG49" s="108" t="s">
        <v>300</v>
      </c>
      <c r="BH49" s="1128"/>
      <c r="BI49" s="43"/>
      <c r="BJ49" s="4"/>
      <c r="BK49" s="59"/>
      <c r="BL49" s="59"/>
      <c r="BM49" s="59"/>
      <c r="BN49" s="59"/>
      <c r="BO49" s="59"/>
      <c r="BP49" s="59"/>
      <c r="BQ49" s="59"/>
      <c r="BR49" s="10"/>
      <c r="BT49" s="4"/>
      <c r="BU49" s="59"/>
      <c r="BV49" s="59"/>
      <c r="BW49" s="59"/>
      <c r="BX49" s="59"/>
      <c r="BY49" s="59"/>
      <c r="BZ49" s="59"/>
      <c r="CA49" s="59"/>
      <c r="CB49" s="10"/>
    </row>
    <row r="50" spans="2:81" ht="15" thickBot="1" x14ac:dyDescent="0.35">
      <c r="B50" s="113"/>
      <c r="C50" s="114" t="s">
        <v>301</v>
      </c>
      <c r="D50" s="207"/>
      <c r="E50" s="115" t="s">
        <v>302</v>
      </c>
      <c r="F50" s="115" t="s">
        <v>303</v>
      </c>
      <c r="G50" s="115" t="s">
        <v>304</v>
      </c>
      <c r="H50" s="115"/>
      <c r="I50" s="116" t="s">
        <v>305</v>
      </c>
      <c r="J50" s="207"/>
      <c r="L50" s="113"/>
      <c r="M50" s="347" t="s">
        <v>301</v>
      </c>
      <c r="N50" s="348"/>
      <c r="O50" s="115" t="s">
        <v>302</v>
      </c>
      <c r="P50" s="115" t="s">
        <v>303</v>
      </c>
      <c r="Q50" s="115" t="s">
        <v>304</v>
      </c>
      <c r="R50" s="115"/>
      <c r="S50" s="116" t="s">
        <v>305</v>
      </c>
      <c r="T50" s="348"/>
      <c r="AE50" s="43"/>
      <c r="AF50" s="113"/>
      <c r="AG50" s="451" t="s">
        <v>301</v>
      </c>
      <c r="AH50" s="452"/>
      <c r="AI50" s="115" t="s">
        <v>302</v>
      </c>
      <c r="AJ50" s="115" t="s">
        <v>303</v>
      </c>
      <c r="AK50" s="115" t="s">
        <v>304</v>
      </c>
      <c r="AL50" s="115"/>
      <c r="AM50" s="116" t="s">
        <v>305</v>
      </c>
      <c r="AN50" s="452"/>
      <c r="AO50" s="43"/>
      <c r="AP50" s="113"/>
      <c r="AQ50" s="522" t="s">
        <v>301</v>
      </c>
      <c r="AR50" s="523"/>
      <c r="AS50" s="115" t="s">
        <v>302</v>
      </c>
      <c r="AT50" s="115" t="s">
        <v>303</v>
      </c>
      <c r="AU50" s="115" t="s">
        <v>304</v>
      </c>
      <c r="AV50" s="115"/>
      <c r="AW50" s="116" t="s">
        <v>305</v>
      </c>
      <c r="AX50" s="523"/>
      <c r="AY50" s="43"/>
      <c r="AZ50" s="113"/>
      <c r="BA50" s="1129" t="s">
        <v>301</v>
      </c>
      <c r="BB50" s="1125"/>
      <c r="BC50" s="115" t="s">
        <v>302</v>
      </c>
      <c r="BD50" s="115" t="s">
        <v>303</v>
      </c>
      <c r="BE50" s="115" t="s">
        <v>304</v>
      </c>
      <c r="BF50" s="115"/>
      <c r="BG50" s="116" t="s">
        <v>305</v>
      </c>
      <c r="BH50" s="1125"/>
      <c r="BI50" s="43"/>
      <c r="BJ50" s="108" t="s">
        <v>6</v>
      </c>
      <c r="BK50" s="109"/>
      <c r="BL50" s="110"/>
      <c r="BM50" s="111" t="s">
        <v>297</v>
      </c>
      <c r="BN50" s="112" t="s">
        <v>298</v>
      </c>
      <c r="BO50" s="111" t="s">
        <v>298</v>
      </c>
      <c r="BP50" s="111" t="s">
        <v>299</v>
      </c>
      <c r="BQ50" s="108" t="s">
        <v>300</v>
      </c>
      <c r="BR50" s="110"/>
      <c r="BT50" s="108" t="s">
        <v>6</v>
      </c>
      <c r="BU50" s="109"/>
      <c r="BV50" s="110"/>
      <c r="BW50" s="111" t="s">
        <v>297</v>
      </c>
      <c r="BX50" s="112" t="s">
        <v>298</v>
      </c>
      <c r="BY50" s="111" t="s">
        <v>298</v>
      </c>
      <c r="BZ50" s="111" t="s">
        <v>299</v>
      </c>
      <c r="CA50" s="108" t="s">
        <v>300</v>
      </c>
      <c r="CB50" s="110"/>
    </row>
    <row r="51" spans="2:81" ht="15" thickBot="1" x14ac:dyDescent="0.35">
      <c r="B51" s="113"/>
      <c r="C51" s="114" t="s">
        <v>405</v>
      </c>
      <c r="D51" s="114"/>
      <c r="E51" s="200">
        <v>40</v>
      </c>
      <c r="F51" s="201">
        <v>1</v>
      </c>
      <c r="G51" s="200">
        <v>20</v>
      </c>
      <c r="H51" s="115">
        <v>3</v>
      </c>
      <c r="I51" s="1525">
        <f>ROUND(F$12/K51,3)</f>
        <v>31.553999999999998</v>
      </c>
      <c r="J51" s="1526"/>
      <c r="K51" s="210">
        <v>98.72</v>
      </c>
      <c r="L51" s="113"/>
      <c r="M51" s="347" t="s">
        <v>405</v>
      </c>
      <c r="N51" s="347"/>
      <c r="O51" s="200">
        <v>40</v>
      </c>
      <c r="P51" s="201">
        <v>1</v>
      </c>
      <c r="Q51" s="200">
        <v>20</v>
      </c>
      <c r="R51" s="115">
        <v>3</v>
      </c>
      <c r="S51" s="1525">
        <f>ROUND(P$12/U51,3)</f>
        <v>8.4079999999999995</v>
      </c>
      <c r="T51" s="1526"/>
      <c r="U51" s="210">
        <v>98.72</v>
      </c>
      <c r="AD51" s="59"/>
      <c r="AE51" s="586">
        <v>98.72</v>
      </c>
      <c r="AF51" s="113"/>
      <c r="AG51" s="451" t="s">
        <v>405</v>
      </c>
      <c r="AH51" s="451"/>
      <c r="AI51" s="200">
        <v>40</v>
      </c>
      <c r="AJ51" s="453">
        <v>1</v>
      </c>
      <c r="AK51" s="200">
        <v>20</v>
      </c>
      <c r="AL51" s="115">
        <v>3</v>
      </c>
      <c r="AM51" s="1525">
        <f>ROUND(AJ$12/AO51,3)</f>
        <v>9.5730000000000004</v>
      </c>
      <c r="AN51" s="1526"/>
      <c r="AO51" s="210">
        <v>98.72</v>
      </c>
      <c r="AP51" s="113"/>
      <c r="AQ51" s="522" t="s">
        <v>405</v>
      </c>
      <c r="AR51" s="522"/>
      <c r="AS51" s="200">
        <v>40</v>
      </c>
      <c r="AT51" s="525">
        <v>1</v>
      </c>
      <c r="AU51" s="200">
        <v>20</v>
      </c>
      <c r="AV51" s="115">
        <v>3</v>
      </c>
      <c r="AW51" s="1525">
        <f>ROUND(AT$12/AY51,3)</f>
        <v>7.04</v>
      </c>
      <c r="AX51" s="1526"/>
      <c r="AY51" s="210">
        <v>98.72</v>
      </c>
      <c r="AZ51" s="113"/>
      <c r="BA51" s="1129" t="s">
        <v>405</v>
      </c>
      <c r="BB51" s="1129"/>
      <c r="BC51" s="200">
        <v>40</v>
      </c>
      <c r="BD51" s="1126">
        <v>1</v>
      </c>
      <c r="BE51" s="200">
        <v>20</v>
      </c>
      <c r="BF51" s="115">
        <v>3</v>
      </c>
      <c r="BG51" s="1525">
        <f>ROUND(BD$12/BI51,3)</f>
        <v>10.265000000000001</v>
      </c>
      <c r="BH51" s="1526"/>
      <c r="BI51" s="210">
        <v>170</v>
      </c>
      <c r="BJ51" s="113"/>
      <c r="BK51" s="114" t="s">
        <v>301</v>
      </c>
      <c r="BL51" s="199"/>
      <c r="BM51" s="115" t="s">
        <v>302</v>
      </c>
      <c r="BN51" s="115" t="s">
        <v>303</v>
      </c>
      <c r="BO51" s="115" t="s">
        <v>304</v>
      </c>
      <c r="BP51" s="115"/>
      <c r="BQ51" s="116" t="s">
        <v>305</v>
      </c>
      <c r="BR51" s="199"/>
      <c r="BT51" s="113"/>
      <c r="BU51" s="114" t="s">
        <v>301</v>
      </c>
      <c r="BV51" s="199"/>
      <c r="BW51" s="115" t="s">
        <v>302</v>
      </c>
      <c r="BX51" s="115" t="s">
        <v>303</v>
      </c>
      <c r="BY51" s="115" t="s">
        <v>304</v>
      </c>
      <c r="BZ51" s="115"/>
      <c r="CA51" s="116" t="s">
        <v>305</v>
      </c>
      <c r="CB51" s="199"/>
    </row>
    <row r="52" spans="2:81" ht="15" thickBot="1" x14ac:dyDescent="0.35">
      <c r="BJ52" s="113"/>
      <c r="BK52" s="114" t="s">
        <v>405</v>
      </c>
      <c r="BL52" s="114"/>
      <c r="BM52" s="200">
        <v>40</v>
      </c>
      <c r="BN52" s="201">
        <v>1</v>
      </c>
      <c r="BO52" s="200">
        <v>20</v>
      </c>
      <c r="BP52" s="115">
        <v>3</v>
      </c>
      <c r="BQ52" s="1525">
        <f>ROUND($BN$13/BS52,3)</f>
        <v>2.492</v>
      </c>
      <c r="BR52" s="1526"/>
      <c r="BS52" s="210">
        <v>98.72</v>
      </c>
      <c r="BT52" s="113"/>
      <c r="BU52" s="114" t="s">
        <v>405</v>
      </c>
      <c r="BV52" s="114"/>
      <c r="BW52" s="200">
        <v>40</v>
      </c>
      <c r="BX52" s="201">
        <v>1</v>
      </c>
      <c r="BY52" s="200">
        <v>20</v>
      </c>
      <c r="BZ52" s="115">
        <v>3</v>
      </c>
      <c r="CA52" s="1525">
        <f>ROUND(BX$13/CC52,3)</f>
        <v>6.9390000000000001</v>
      </c>
      <c r="CB52" s="1526"/>
      <c r="CC52" s="210">
        <v>98.72</v>
      </c>
    </row>
    <row r="55" spans="2:81" x14ac:dyDescent="0.3">
      <c r="C55" s="43"/>
      <c r="D55" s="43" t="s">
        <v>4</v>
      </c>
      <c r="E55" s="43" t="s">
        <v>852</v>
      </c>
    </row>
    <row r="56" spans="2:81" x14ac:dyDescent="0.3">
      <c r="C56" s="43"/>
      <c r="D56" s="43"/>
      <c r="E56" s="43"/>
    </row>
    <row r="57" spans="2:81" x14ac:dyDescent="0.3">
      <c r="C57" s="43" t="s">
        <v>853</v>
      </c>
      <c r="D57" s="46" t="s">
        <v>338</v>
      </c>
      <c r="E57" s="702">
        <v>1</v>
      </c>
    </row>
    <row r="58" spans="2:81" x14ac:dyDescent="0.3">
      <c r="C58" s="43" t="s">
        <v>853</v>
      </c>
      <c r="D58" s="43" t="s">
        <v>365</v>
      </c>
      <c r="E58" s="43">
        <v>1</v>
      </c>
    </row>
    <row r="59" spans="2:81" x14ac:dyDescent="0.3">
      <c r="C59" s="43" t="s">
        <v>853</v>
      </c>
      <c r="D59" s="43" t="s">
        <v>411</v>
      </c>
      <c r="E59" s="702">
        <v>1</v>
      </c>
    </row>
    <row r="60" spans="2:81" x14ac:dyDescent="0.3">
      <c r="C60" s="43" t="s">
        <v>853</v>
      </c>
      <c r="D60" s="702" t="s">
        <v>1140</v>
      </c>
      <c r="E60" s="702">
        <v>1</v>
      </c>
    </row>
    <row r="61" spans="2:81" x14ac:dyDescent="0.3">
      <c r="C61" s="43" t="s">
        <v>853</v>
      </c>
      <c r="D61" s="702" t="s">
        <v>810</v>
      </c>
      <c r="E61" s="702">
        <v>1</v>
      </c>
    </row>
    <row r="62" spans="2:81" x14ac:dyDescent="0.3">
      <c r="C62" s="43"/>
      <c r="D62" s="702" t="s">
        <v>964</v>
      </c>
      <c r="E62" s="43"/>
    </row>
    <row r="63" spans="2:81" x14ac:dyDescent="0.3">
      <c r="C63" s="43" t="s">
        <v>853</v>
      </c>
      <c r="D63" s="702" t="s">
        <v>366</v>
      </c>
      <c r="E63" s="702">
        <v>1</v>
      </c>
    </row>
    <row r="64" spans="2:81" x14ac:dyDescent="0.3">
      <c r="C64" s="43" t="s">
        <v>854</v>
      </c>
      <c r="D64" s="702" t="s">
        <v>426</v>
      </c>
      <c r="E64" s="43">
        <v>1</v>
      </c>
    </row>
    <row r="65" spans="3:5" x14ac:dyDescent="0.3">
      <c r="C65" s="43" t="s">
        <v>855</v>
      </c>
      <c r="D65" s="783" t="s">
        <v>806</v>
      </c>
      <c r="E65" s="43">
        <v>1</v>
      </c>
    </row>
    <row r="66" spans="3:5" x14ac:dyDescent="0.3">
      <c r="C66" s="43" t="s">
        <v>1123</v>
      </c>
      <c r="D66" s="43"/>
      <c r="E66" s="43"/>
    </row>
  </sheetData>
  <mergeCells count="16">
    <mergeCell ref="CA52:CB52"/>
    <mergeCell ref="AF46:AG46"/>
    <mergeCell ref="L46:M46"/>
    <mergeCell ref="S51:T51"/>
    <mergeCell ref="AP46:AQ46"/>
    <mergeCell ref="AW51:AX51"/>
    <mergeCell ref="AZ46:BA46"/>
    <mergeCell ref="BG51:BH51"/>
    <mergeCell ref="BJ47:BK47"/>
    <mergeCell ref="BT47:BU47"/>
    <mergeCell ref="BQ52:BR52"/>
    <mergeCell ref="V40:W40"/>
    <mergeCell ref="B46:C46"/>
    <mergeCell ref="I51:J51"/>
    <mergeCell ref="AM51:AN51"/>
    <mergeCell ref="AC45:AD45"/>
  </mergeCells>
  <hyperlinks>
    <hyperlink ref="E57" r:id="rId1" display="..\Scanned Documents\Литейные карты\15.00194.jpg" xr:uid="{4A0D73D8-EF33-4092-89C3-E581FB9FEE89}"/>
    <hyperlink ref="D63" r:id="rId2" xr:uid="{DA538214-AEC7-4E7A-B50A-CC31DE08DED2}"/>
    <hyperlink ref="D61" r:id="rId3" xr:uid="{6771684E-721D-4E6B-AD5D-E84437ECCFB3}"/>
    <hyperlink ref="D62" r:id="rId4" xr:uid="{E0FE0C1D-6D3E-491D-A761-AAAC8208E63E}"/>
    <hyperlink ref="D64" r:id="rId5" xr:uid="{E201590E-BAA4-48B5-BE52-7A5C30B2D840}"/>
    <hyperlink ref="D65" r:id="rId6" xr:uid="{8C2F2F89-237C-4E52-A4F5-530D4DBEC9FA}"/>
    <hyperlink ref="E59" r:id="rId7" display="..\Scanned Documents\Литейные карты\1275.04.712-1.jpg" xr:uid="{E0AFB593-310A-4EE5-A32D-56679D2841F9}"/>
    <hyperlink ref="E63" r:id="rId8" display="..\Scanned Documents\Литейные карты\1277.04.307.jpg" xr:uid="{06AB316E-D078-4DB7-A9EE-5E5585C1ED5C}"/>
    <hyperlink ref="E61" r:id="rId9" display="..\Scanned Documents\Литейные карты\1277.04.608.jpg" xr:uid="{E22F24BA-EE7E-408A-AC4A-4807374A7DAC}"/>
    <hyperlink ref="D60" r:id="rId10" xr:uid="{0A7ACA3D-B22A-4F89-A189-B8AC3D003A3B}"/>
    <hyperlink ref="E60" r:id="rId11" display="../Scanned Documents/Литейные карты/1268.04.613.jpg" xr:uid="{0CE8812A-2105-4590-A940-137FBA095E64}"/>
  </hyperlinks>
  <pageMargins left="0.7" right="0.7" top="0.75" bottom="0.75" header="0.3" footer="0.3"/>
  <pageSetup paperSize="9" scale="11" orientation="portrait" r:id="rId12"/>
  <drawing r:id="rId1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7B3E2-5A0E-4864-B394-1E2D0CD0A6FC}">
          <x14:formula1>
            <xm:f>Данные!$E$29:$H$29</xm:f>
          </x14:formula1>
          <xm:sqref>BN40 BX40 F39 P39 AJ39 AT39 BD39</xm:sqref>
        </x14:dataValidation>
        <x14:dataValidation type="list" allowBlank="1" showInputMessage="1" showErrorMessage="1" xr:uid="{C66BFDA5-4CF0-477E-B875-B1A20BC60481}">
          <x14:formula1>
            <xm:f>Данные!$A$3:$A$25</xm:f>
          </x14:formula1>
          <x14:formula2>
            <xm:f>0</xm:f>
          </x14:formula2>
          <xm:sqref>BN8 BD7 AT7 AJ7 BX8 F7 P7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2FE6-449B-4E2F-887E-F26C7F15EA42}">
  <sheetPr codeName="Лист8"/>
  <dimension ref="B1:T67"/>
  <sheetViews>
    <sheetView zoomScale="85" zoomScaleNormal="85" workbookViewId="0">
      <selection activeCell="O43" sqref="O43"/>
    </sheetView>
  </sheetViews>
  <sheetFormatPr defaultRowHeight="14.4" x14ac:dyDescent="0.3"/>
  <cols>
    <col min="1" max="1" width="3.5546875" customWidth="1"/>
    <col min="2" max="2" width="4.6640625" customWidth="1"/>
    <col min="3" max="3" width="10.44140625" customWidth="1"/>
    <col min="5" max="6" width="9.88671875" customWidth="1"/>
    <col min="7" max="7" width="10.21875" customWidth="1"/>
    <col min="8" max="8" width="10.77734375" customWidth="1"/>
    <col min="11" max="11" width="2.88671875" style="43" customWidth="1"/>
    <col min="12" max="12" width="13.44140625" customWidth="1"/>
    <col min="13" max="13" width="7.88671875" customWidth="1"/>
    <col min="14" max="14" width="2.33203125" style="188" customWidth="1"/>
    <col min="15" max="15" width="9.77734375" customWidth="1"/>
    <col min="16" max="16" width="9.21875" customWidth="1"/>
    <col min="19" max="19" width="9" bestFit="1" customWidth="1"/>
    <col min="21" max="21" width="9.77734375" bestFit="1" customWidth="1"/>
    <col min="22" max="22" width="10.5546875" customWidth="1"/>
  </cols>
  <sheetData>
    <row r="1" spans="2:17" ht="15" thickBot="1" x14ac:dyDescent="0.35">
      <c r="J1" t="s">
        <v>1228</v>
      </c>
      <c r="K1" s="59"/>
    </row>
    <row r="2" spans="2:17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1132</v>
      </c>
      <c r="K2" s="55"/>
      <c r="L2" s="1624" t="s">
        <v>85</v>
      </c>
      <c r="M2" s="1625"/>
      <c r="O2">
        <v>1529.5</v>
      </c>
    </row>
    <row r="3" spans="2:17" x14ac:dyDescent="0.3">
      <c r="B3" s="12" t="s">
        <v>2</v>
      </c>
      <c r="C3" s="71"/>
      <c r="D3" s="5"/>
      <c r="E3" s="5"/>
      <c r="F3" s="622" t="s">
        <v>1231</v>
      </c>
      <c r="G3" s="5"/>
      <c r="H3" s="71" t="s">
        <v>272</v>
      </c>
      <c r="I3" s="1313" t="s">
        <v>874</v>
      </c>
      <c r="J3" s="135"/>
      <c r="K3" s="1309"/>
      <c r="L3" s="969" t="s">
        <v>1040</v>
      </c>
      <c r="M3" s="61">
        <v>1500</v>
      </c>
      <c r="O3">
        <v>1169.5</v>
      </c>
    </row>
    <row r="4" spans="2:17" ht="15.6" customHeight="1" x14ac:dyDescent="0.3">
      <c r="B4" s="4" t="s">
        <v>4</v>
      </c>
      <c r="C4" s="59"/>
      <c r="D4" s="55"/>
      <c r="E4" s="55"/>
      <c r="F4" s="632" t="s">
        <v>874</v>
      </c>
      <c r="G4" s="55"/>
      <c r="H4" s="55"/>
      <c r="I4" s="59"/>
      <c r="J4" s="10"/>
      <c r="K4" s="59"/>
      <c r="L4" s="969" t="s">
        <v>1041</v>
      </c>
      <c r="M4" s="61">
        <v>1200</v>
      </c>
      <c r="O4">
        <v>105</v>
      </c>
    </row>
    <row r="5" spans="2:17" ht="15" thickBot="1" x14ac:dyDescent="0.35">
      <c r="B5" s="4" t="s">
        <v>6</v>
      </c>
      <c r="C5" s="59"/>
      <c r="D5" s="55"/>
      <c r="E5" s="55"/>
      <c r="F5" s="623" t="s">
        <v>360</v>
      </c>
      <c r="G5" s="55"/>
      <c r="H5" s="55"/>
      <c r="I5" s="55"/>
      <c r="J5" s="10"/>
      <c r="K5" s="59"/>
      <c r="L5" s="970" t="s">
        <v>8</v>
      </c>
      <c r="M5" s="70">
        <v>60</v>
      </c>
      <c r="O5">
        <v>9.1</v>
      </c>
    </row>
    <row r="6" spans="2:17" ht="15" thickBot="1" x14ac:dyDescent="0.35">
      <c r="B6" s="19" t="s">
        <v>10</v>
      </c>
      <c r="C6" s="65"/>
      <c r="D6" s="20"/>
      <c r="E6" s="20"/>
      <c r="F6" s="624">
        <v>1</v>
      </c>
      <c r="G6" s="20"/>
      <c r="H6" s="20"/>
      <c r="I6" s="20"/>
      <c r="J6" s="40"/>
      <c r="K6" s="59"/>
      <c r="L6" s="967" t="s">
        <v>19</v>
      </c>
      <c r="M6" s="968">
        <f>ROUNDUP((M3*M3-M4*M4)*3.1415296*M5*M8/4000000,0)</f>
        <v>348</v>
      </c>
    </row>
    <row r="7" spans="2:17" ht="15" thickBot="1" x14ac:dyDescent="0.35">
      <c r="B7" s="4" t="s">
        <v>16</v>
      </c>
      <c r="C7" s="55"/>
      <c r="D7" s="55"/>
      <c r="E7" s="55"/>
      <c r="F7" s="625" t="s">
        <v>9</v>
      </c>
      <c r="G7" s="55"/>
      <c r="H7" s="59"/>
      <c r="I7" s="55" t="s">
        <v>17</v>
      </c>
      <c r="J7" s="15">
        <f>F8/F9</f>
        <v>0.46575342465753422</v>
      </c>
      <c r="K7" s="183"/>
      <c r="L7" s="485"/>
      <c r="M7" s="966"/>
    </row>
    <row r="8" spans="2:17" ht="15" thickBot="1" x14ac:dyDescent="0.35">
      <c r="B8" s="4" t="s">
        <v>19</v>
      </c>
      <c r="C8" s="55"/>
      <c r="D8" s="55"/>
      <c r="E8" s="55"/>
      <c r="F8" s="621">
        <f>VLOOKUP(I3,B58:I73,5,FALSE)</f>
        <v>340</v>
      </c>
      <c r="G8" s="55"/>
      <c r="H8" s="59"/>
      <c r="I8" s="55" t="s">
        <v>23</v>
      </c>
      <c r="J8" s="15">
        <f>F8/F12</f>
        <v>0.31267242964870334</v>
      </c>
      <c r="K8" s="183"/>
      <c r="L8" s="972" t="s">
        <v>1042</v>
      </c>
      <c r="M8" s="973">
        <f>VLOOKUP(F7,Данные!A3:I22,9,FALSE)</f>
        <v>9.1</v>
      </c>
      <c r="O8">
        <f>(O2*O2-O3*O3)*3.1415926*O4*O5/4000000</f>
        <v>729.16522896426295</v>
      </c>
    </row>
    <row r="9" spans="2:17" ht="15" thickBot="1" x14ac:dyDescent="0.35">
      <c r="B9" s="4" t="s">
        <v>22</v>
      </c>
      <c r="C9" s="55"/>
      <c r="D9" s="55"/>
      <c r="E9" s="55"/>
      <c r="F9" s="621">
        <f>VLOOKUP(I3,B58:I73,6,FALSE)</f>
        <v>730</v>
      </c>
      <c r="G9" s="9"/>
      <c r="H9" s="55"/>
      <c r="I9" s="55"/>
      <c r="J9" s="18"/>
      <c r="K9" s="524"/>
      <c r="L9" s="1314" t="s">
        <v>256</v>
      </c>
      <c r="M9" s="40">
        <f>ROUNDUP(((E24+I13)*(E24+I13)-(E21-I13)*(E21-I13))*J18*3.1415926*M8/4000000,0)</f>
        <v>725</v>
      </c>
    </row>
    <row r="10" spans="2:17" x14ac:dyDescent="0.3">
      <c r="B10" s="4" t="s">
        <v>342</v>
      </c>
      <c r="C10" s="55"/>
      <c r="D10" s="55"/>
      <c r="E10" s="55"/>
      <c r="F10" s="621">
        <f>F11-F9</f>
        <v>315.5</v>
      </c>
      <c r="G10" s="55"/>
      <c r="H10" s="55"/>
      <c r="I10" s="55"/>
      <c r="J10" s="18"/>
      <c r="K10" s="524"/>
    </row>
    <row r="11" spans="2:17" x14ac:dyDescent="0.3">
      <c r="B11" s="4" t="s">
        <v>27</v>
      </c>
      <c r="C11" s="55"/>
      <c r="D11" s="55"/>
      <c r="E11" s="55"/>
      <c r="F11" s="626">
        <f>VLOOKUP(I3,B58:I73,7,FALSE)</f>
        <v>1045.5</v>
      </c>
      <c r="G11" s="55"/>
      <c r="H11" s="55"/>
      <c r="I11" s="55"/>
      <c r="J11" s="18"/>
      <c r="K11" s="524"/>
    </row>
    <row r="12" spans="2:17" ht="15" thickBot="1" x14ac:dyDescent="0.35">
      <c r="B12" s="19" t="s">
        <v>32</v>
      </c>
      <c r="C12" s="20"/>
      <c r="D12" s="20"/>
      <c r="E12" s="20"/>
      <c r="F12" s="627">
        <f>ROUNDUP(F11*1.04,1)</f>
        <v>1087.3999999999999</v>
      </c>
      <c r="G12" s="20"/>
      <c r="H12" s="20"/>
      <c r="I12" s="20"/>
      <c r="J12" s="22"/>
      <c r="K12" s="524"/>
    </row>
    <row r="13" spans="2:17" x14ac:dyDescent="0.3">
      <c r="B13" s="12"/>
      <c r="C13" s="1325" t="s">
        <v>221</v>
      </c>
      <c r="D13" s="164"/>
      <c r="E13" s="45"/>
      <c r="F13" s="165"/>
      <c r="G13" s="5" t="str">
        <f>"Формовочный уклон:"</f>
        <v>Формовочный уклон:</v>
      </c>
      <c r="H13" s="5"/>
      <c r="I13" s="5">
        <f>Данные!R198</f>
        <v>3</v>
      </c>
      <c r="J13" s="1350" t="str">
        <f>" мм."</f>
        <v xml:space="preserve"> мм.</v>
      </c>
      <c r="K13" s="23"/>
    </row>
    <row r="14" spans="2:17" x14ac:dyDescent="0.3">
      <c r="B14" s="4"/>
      <c r="C14" s="55"/>
      <c r="D14" s="55"/>
      <c r="E14" s="55"/>
      <c r="F14" s="55"/>
      <c r="G14" s="55"/>
      <c r="H14" s="55"/>
      <c r="I14" s="23"/>
      <c r="J14" s="24"/>
      <c r="K14" s="23"/>
      <c r="O14" s="59"/>
      <c r="P14" s="59"/>
      <c r="Q14" s="59"/>
    </row>
    <row r="15" spans="2:17" ht="15.6" customHeight="1" x14ac:dyDescent="0.3">
      <c r="B15" s="4"/>
      <c r="C15" s="55"/>
      <c r="D15" s="55"/>
      <c r="E15" s="55"/>
      <c r="F15" s="55"/>
      <c r="G15" s="55"/>
      <c r="H15" s="46"/>
      <c r="I15" s="23"/>
      <c r="J15" s="24"/>
      <c r="K15" s="23"/>
      <c r="O15" s="59"/>
      <c r="P15" s="618"/>
      <c r="Q15" s="59"/>
    </row>
    <row r="16" spans="2:17" ht="15.6" customHeight="1" x14ac:dyDescent="0.3">
      <c r="B16" s="4"/>
      <c r="C16" s="55"/>
      <c r="D16" s="55"/>
      <c r="E16" s="55"/>
      <c r="F16" s="55"/>
      <c r="G16" s="55"/>
      <c r="H16" s="55"/>
      <c r="I16" s="28"/>
      <c r="J16" s="27"/>
      <c r="K16" s="187"/>
      <c r="O16" s="59"/>
      <c r="P16" s="618"/>
      <c r="Q16" s="59"/>
    </row>
    <row r="17" spans="2:20" ht="15" customHeight="1" x14ac:dyDescent="0.3">
      <c r="B17" s="4"/>
      <c r="C17" s="55"/>
      <c r="D17" s="55"/>
      <c r="E17" s="55"/>
      <c r="F17" s="55"/>
      <c r="G17" s="55"/>
      <c r="H17" s="55"/>
      <c r="I17" s="26"/>
      <c r="J17" s="163"/>
      <c r="K17" s="1310"/>
      <c r="O17" s="59"/>
      <c r="P17" s="618"/>
      <c r="Q17" s="59"/>
    </row>
    <row r="18" spans="2:20" ht="15" customHeight="1" x14ac:dyDescent="0.3">
      <c r="B18" s="4"/>
      <c r="C18" s="55"/>
      <c r="D18" s="55"/>
      <c r="E18" s="55"/>
      <c r="F18" s="55"/>
      <c r="G18" s="55"/>
      <c r="H18" s="126" t="str">
        <f>IF(Данные!B42=TRUE,"ХХ","")</f>
        <v/>
      </c>
      <c r="I18" s="59"/>
      <c r="J18" s="441">
        <f>ROUNDUP(VLOOKUP(I3,B58:E64,4,FALSE)*0.985,0)</f>
        <v>104</v>
      </c>
      <c r="K18" s="1311"/>
      <c r="M18" s="620"/>
      <c r="N18" s="980"/>
      <c r="O18" s="59"/>
      <c r="P18" s="618"/>
      <c r="Q18" s="59"/>
    </row>
    <row r="19" spans="2:20" ht="15.6" customHeight="1" x14ac:dyDescent="0.3">
      <c r="B19" s="4"/>
      <c r="C19" s="55"/>
      <c r="D19" s="55"/>
      <c r="E19" s="55"/>
      <c r="F19" s="55"/>
      <c r="G19" s="55"/>
      <c r="H19" s="126" t="str">
        <f>IF(Данные!B42=TRUE,"ХХ","")</f>
        <v/>
      </c>
      <c r="I19" s="29"/>
      <c r="J19" s="441" t="str">
        <f>"( "&amp;M5&amp;" )"</f>
        <v>( 60 )</v>
      </c>
      <c r="K19" s="1311"/>
      <c r="M19" s="620"/>
      <c r="N19" s="980"/>
      <c r="O19" s="980"/>
      <c r="P19" s="618"/>
      <c r="Q19" s="59"/>
    </row>
    <row r="20" spans="2:20" ht="15.6" customHeight="1" x14ac:dyDescent="0.3">
      <c r="B20" s="4"/>
      <c r="C20" s="160"/>
      <c r="D20" s="55"/>
      <c r="E20" s="55"/>
      <c r="F20" s="55"/>
      <c r="G20" s="55"/>
      <c r="H20" s="161"/>
      <c r="I20" s="29"/>
      <c r="J20" s="163"/>
      <c r="K20" s="1310"/>
      <c r="M20" s="620"/>
      <c r="N20" s="980"/>
      <c r="O20" s="980"/>
      <c r="P20" s="618"/>
      <c r="Q20" s="59"/>
    </row>
    <row r="21" spans="2:20" x14ac:dyDescent="0.3">
      <c r="B21" s="4"/>
      <c r="C21" s="55"/>
      <c r="D21" s="31"/>
      <c r="E21" s="162">
        <f>ROUNDDOWN(VLOOKUP(I3,B58:E64,3,FALSE)*0.994,0)</f>
        <v>1172</v>
      </c>
      <c r="F21" s="55"/>
      <c r="G21" s="55"/>
      <c r="H21" s="55"/>
      <c r="I21" s="29"/>
      <c r="J21" s="27"/>
      <c r="K21" s="187"/>
    </row>
    <row r="22" spans="2:20" x14ac:dyDescent="0.3">
      <c r="B22" s="4"/>
      <c r="C22" s="55"/>
      <c r="D22" s="59"/>
      <c r="E22" s="971" t="str">
        <f>"( "&amp;M4&amp;" )"</f>
        <v>( 1200 )</v>
      </c>
      <c r="F22" s="55"/>
      <c r="G22" s="55"/>
      <c r="H22" s="55"/>
      <c r="I22" s="29"/>
      <c r="J22" s="27"/>
      <c r="K22" s="187"/>
    </row>
    <row r="23" spans="2:20" x14ac:dyDescent="0.3">
      <c r="B23" s="4"/>
      <c r="C23" s="33"/>
      <c r="D23" s="59"/>
      <c r="E23" s="34"/>
      <c r="F23" s="55"/>
      <c r="G23" s="55"/>
      <c r="H23" s="55"/>
      <c r="I23" s="29"/>
      <c r="J23" s="27"/>
      <c r="K23" s="187"/>
      <c r="T23" s="59"/>
    </row>
    <row r="24" spans="2:20" x14ac:dyDescent="0.3">
      <c r="B24" s="4"/>
      <c r="C24" s="59"/>
      <c r="D24" s="55"/>
      <c r="E24" s="162">
        <f>ROUNDUP(VLOOKUP(I3,B58:E64,2,FALSE)*0.985,0)</f>
        <v>1527</v>
      </c>
      <c r="F24" s="31"/>
      <c r="G24" s="55"/>
      <c r="H24" s="55"/>
      <c r="I24" s="29"/>
      <c r="J24" s="27"/>
      <c r="K24" s="187"/>
    </row>
    <row r="25" spans="2:20" x14ac:dyDescent="0.3">
      <c r="B25" s="4"/>
      <c r="C25" s="59"/>
      <c r="D25" s="55"/>
      <c r="E25" s="971" t="str">
        <f>"( "&amp;M3&amp;" )"</f>
        <v>( 1500 )</v>
      </c>
      <c r="F25" s="31"/>
      <c r="G25" s="55"/>
      <c r="H25" s="55"/>
      <c r="I25" s="29"/>
      <c r="J25" s="27"/>
      <c r="K25" s="187"/>
    </row>
    <row r="26" spans="2:20" x14ac:dyDescent="0.3">
      <c r="B26" s="4"/>
      <c r="C26" s="55"/>
      <c r="D26" s="55"/>
      <c r="E26" s="55"/>
      <c r="F26" s="55"/>
      <c r="G26" s="55"/>
      <c r="H26" s="55"/>
      <c r="I26" s="29"/>
      <c r="J26" s="27"/>
      <c r="K26" s="187"/>
    </row>
    <row r="27" spans="2:20" x14ac:dyDescent="0.3">
      <c r="B27" s="4"/>
      <c r="C27" s="55"/>
      <c r="D27" s="55"/>
      <c r="E27" s="55"/>
      <c r="F27" s="55"/>
      <c r="G27" s="55"/>
      <c r="H27" s="55"/>
      <c r="I27" s="26"/>
      <c r="J27" s="27"/>
      <c r="K27" s="187"/>
    </row>
    <row r="28" spans="2:20" x14ac:dyDescent="0.3">
      <c r="B28" s="4"/>
      <c r="C28" s="55"/>
      <c r="D28" s="55"/>
      <c r="E28" s="55"/>
      <c r="F28" s="55"/>
      <c r="G28" s="55"/>
      <c r="H28" s="126"/>
      <c r="I28" s="23"/>
      <c r="J28" s="24"/>
      <c r="K28" s="23"/>
    </row>
    <row r="29" spans="2:20" x14ac:dyDescent="0.3">
      <c r="B29" s="4"/>
      <c r="C29" s="55"/>
      <c r="D29" s="55"/>
      <c r="E29" s="59"/>
      <c r="F29" s="55"/>
      <c r="G29" s="55"/>
      <c r="H29" s="55"/>
      <c r="I29" s="23"/>
      <c r="J29" s="24"/>
      <c r="K29" s="23"/>
    </row>
    <row r="30" spans="2:20" x14ac:dyDescent="0.3">
      <c r="B30" s="4"/>
      <c r="C30" s="128"/>
      <c r="D30" s="55"/>
      <c r="E30" s="55"/>
      <c r="F30" s="55"/>
      <c r="G30" s="55"/>
      <c r="H30" s="55"/>
      <c r="I30" s="23"/>
      <c r="J30" s="24"/>
      <c r="K30" s="23"/>
    </row>
    <row r="31" spans="2:20" x14ac:dyDescent="0.3">
      <c r="B31" s="4"/>
      <c r="C31" s="55" t="s">
        <v>361</v>
      </c>
      <c r="D31" s="55"/>
      <c r="E31" s="55"/>
      <c r="F31" s="55"/>
      <c r="G31" s="59"/>
      <c r="H31" s="55"/>
      <c r="I31" s="55"/>
      <c r="J31" s="24"/>
      <c r="K31" s="23"/>
    </row>
    <row r="32" spans="2:20" ht="16.2" thickBot="1" x14ac:dyDescent="0.35">
      <c r="B32" s="19"/>
      <c r="C32" s="127" t="str">
        <f>IF(OR(Данные!B38=TRUE,Данные!B42=TRUE),"Использовать холодильники","")</f>
        <v/>
      </c>
      <c r="D32" s="20"/>
      <c r="E32" s="134"/>
      <c r="F32" s="20"/>
      <c r="G32" s="65"/>
      <c r="H32" s="20"/>
      <c r="I32" s="20"/>
      <c r="J32" s="76"/>
      <c r="K32" s="23"/>
    </row>
    <row r="33" spans="2:12" x14ac:dyDescent="0.3">
      <c r="B33" s="4"/>
      <c r="C33" s="55" t="s">
        <v>264</v>
      </c>
      <c r="D33" s="55"/>
      <c r="E33" s="55"/>
      <c r="F33" s="53" t="s">
        <v>54</v>
      </c>
      <c r="G33" s="55"/>
      <c r="H33" s="55"/>
      <c r="I33" s="55"/>
      <c r="J33" s="10"/>
      <c r="K33" s="23"/>
    </row>
    <row r="34" spans="2:12" x14ac:dyDescent="0.3">
      <c r="B34" s="4"/>
      <c r="C34" s="55" t="s">
        <v>60</v>
      </c>
      <c r="D34" s="55"/>
      <c r="E34" s="55"/>
      <c r="F34" s="52" t="s">
        <v>91</v>
      </c>
      <c r="G34" s="55"/>
      <c r="H34" s="55"/>
      <c r="I34" s="55"/>
      <c r="J34" s="10"/>
      <c r="K34" s="59"/>
    </row>
    <row r="35" spans="2:12" x14ac:dyDescent="0.3">
      <c r="B35" s="4"/>
      <c r="C35" s="55" t="s">
        <v>55</v>
      </c>
      <c r="D35" s="55"/>
      <c r="E35" s="55"/>
      <c r="F35" s="53" t="s">
        <v>56</v>
      </c>
      <c r="G35" s="55"/>
      <c r="H35" s="55"/>
      <c r="I35" s="55"/>
      <c r="J35" s="10"/>
      <c r="K35" s="59"/>
    </row>
    <row r="36" spans="2:12" x14ac:dyDescent="0.3">
      <c r="B36" s="4"/>
      <c r="C36" s="126" t="s">
        <v>63</v>
      </c>
      <c r="D36" s="55"/>
      <c r="E36" s="55"/>
      <c r="F36" s="169" t="s">
        <v>362</v>
      </c>
      <c r="G36" s="168"/>
      <c r="H36" s="55"/>
      <c r="I36" s="55" t="s">
        <v>1232</v>
      </c>
      <c r="J36" s="10"/>
      <c r="K36" s="59"/>
    </row>
    <row r="37" spans="2:12" x14ac:dyDescent="0.3">
      <c r="B37" s="4"/>
      <c r="C37" s="55" t="s">
        <v>947</v>
      </c>
      <c r="D37" s="55"/>
      <c r="E37" s="55"/>
      <c r="F37" s="54" t="s">
        <v>117</v>
      </c>
      <c r="G37" s="17" t="s">
        <v>92</v>
      </c>
      <c r="H37" s="55"/>
      <c r="I37" s="55"/>
      <c r="J37" s="10"/>
      <c r="K37" s="59"/>
    </row>
    <row r="38" spans="2:12" x14ac:dyDescent="0.3">
      <c r="B38" s="4"/>
      <c r="C38" s="55" t="s">
        <v>50</v>
      </c>
      <c r="D38" s="55"/>
      <c r="E38" s="55"/>
      <c r="F38" s="53" t="str">
        <f>VLOOKUP(F7,Данные!A3:I27,6,FALSE())</f>
        <v>25010.00173</v>
      </c>
      <c r="G38" s="55"/>
      <c r="H38" s="55"/>
      <c r="I38" s="55"/>
      <c r="J38" s="10"/>
      <c r="K38" s="59"/>
    </row>
    <row r="39" spans="2:12" x14ac:dyDescent="0.3">
      <c r="B39" s="4"/>
      <c r="C39" s="55" t="s">
        <v>52</v>
      </c>
      <c r="D39" s="55"/>
      <c r="E39" s="55"/>
      <c r="F39" s="53" t="s">
        <v>93</v>
      </c>
      <c r="G39" s="55"/>
      <c r="H39" s="55"/>
      <c r="I39" s="55"/>
      <c r="J39" s="10"/>
      <c r="K39" s="59"/>
    </row>
    <row r="40" spans="2:12" x14ac:dyDescent="0.3">
      <c r="B40" s="4"/>
      <c r="C40" s="55" t="s">
        <v>66</v>
      </c>
      <c r="D40" s="55"/>
      <c r="E40" s="17"/>
      <c r="F40" s="17" t="s">
        <v>67</v>
      </c>
      <c r="G40" s="55"/>
      <c r="H40" s="55"/>
      <c r="I40" s="55"/>
      <c r="J40" s="10"/>
      <c r="K40" s="59"/>
    </row>
    <row r="41" spans="2:12" ht="15" thickBot="1" x14ac:dyDescent="0.35">
      <c r="B41" s="4"/>
      <c r="C41" s="55" t="s">
        <v>94</v>
      </c>
      <c r="D41" s="55"/>
      <c r="E41" s="17"/>
      <c r="F41" s="17" t="s">
        <v>58</v>
      </c>
      <c r="G41" s="55"/>
      <c r="H41" s="55"/>
      <c r="I41" s="55"/>
      <c r="J41" s="10"/>
      <c r="K41" s="59"/>
    </row>
    <row r="42" spans="2:12" ht="15" thickBot="1" x14ac:dyDescent="0.35">
      <c r="B42" s="12"/>
      <c r="C42" s="5" t="s">
        <v>68</v>
      </c>
      <c r="D42" s="13"/>
      <c r="E42" s="37" t="s">
        <v>69</v>
      </c>
      <c r="F42" s="38" t="s">
        <v>68</v>
      </c>
      <c r="G42" s="13"/>
      <c r="H42" s="5" t="s">
        <v>70</v>
      </c>
      <c r="I42" s="5"/>
      <c r="J42" s="13"/>
      <c r="K42" s="59"/>
    </row>
    <row r="43" spans="2:12" ht="15" thickBot="1" x14ac:dyDescent="0.35">
      <c r="B43" s="1567">
        <f ca="1">TODAY()</f>
        <v>45414</v>
      </c>
      <c r="C43" s="1567"/>
      <c r="D43" s="3"/>
      <c r="E43" s="39"/>
      <c r="F43" s="1"/>
      <c r="G43" s="3"/>
      <c r="H43" s="2"/>
      <c r="I43" s="2"/>
      <c r="J43" s="3"/>
      <c r="K43" s="59"/>
    </row>
    <row r="44" spans="2:12" ht="15" thickBot="1" x14ac:dyDescent="0.35">
      <c r="B44" s="77"/>
      <c r="C44" s="20" t="s">
        <v>71</v>
      </c>
      <c r="D44" s="3"/>
      <c r="E44" s="21"/>
      <c r="F44" s="20"/>
      <c r="G44" s="20"/>
      <c r="H44" s="20"/>
      <c r="I44" s="20"/>
      <c r="J44" s="40"/>
      <c r="K44" s="55"/>
    </row>
    <row r="45" spans="2:12" ht="15" thickBot="1" x14ac:dyDescent="0.35">
      <c r="B45" s="4"/>
      <c r="C45" s="59"/>
      <c r="D45" s="59"/>
      <c r="E45" s="59"/>
      <c r="F45" s="59"/>
      <c r="G45" s="59"/>
      <c r="H45" s="59"/>
      <c r="I45" s="59"/>
      <c r="J45" s="10"/>
      <c r="K45" s="59"/>
    </row>
    <row r="46" spans="2:12" x14ac:dyDescent="0.3">
      <c r="B46" s="1569" t="s">
        <v>6</v>
      </c>
      <c r="C46" s="1570"/>
      <c r="D46" s="1571"/>
      <c r="E46" s="111" t="s">
        <v>297</v>
      </c>
      <c r="F46" s="112" t="s">
        <v>298</v>
      </c>
      <c r="G46" s="111" t="s">
        <v>298</v>
      </c>
      <c r="H46" s="111" t="s">
        <v>299</v>
      </c>
      <c r="I46" s="108" t="s">
        <v>300</v>
      </c>
      <c r="J46" s="110"/>
      <c r="K46" s="59"/>
    </row>
    <row r="47" spans="2:12" ht="15" thickBot="1" x14ac:dyDescent="0.35">
      <c r="B47" s="1538" t="s">
        <v>301</v>
      </c>
      <c r="C47" s="1572"/>
      <c r="D47" s="1539"/>
      <c r="E47" s="115" t="s">
        <v>302</v>
      </c>
      <c r="F47" s="115" t="s">
        <v>303</v>
      </c>
      <c r="G47" s="115" t="s">
        <v>304</v>
      </c>
      <c r="H47" s="115"/>
      <c r="I47" s="116" t="s">
        <v>305</v>
      </c>
      <c r="J47" s="199"/>
      <c r="K47" s="1312"/>
    </row>
    <row r="48" spans="2:12" ht="15" thickBot="1" x14ac:dyDescent="0.35">
      <c r="B48" s="1525" t="s">
        <v>405</v>
      </c>
      <c r="C48" s="1568"/>
      <c r="D48" s="1526"/>
      <c r="E48" s="200">
        <v>40</v>
      </c>
      <c r="F48" s="201">
        <v>1</v>
      </c>
      <c r="G48" s="200">
        <v>20</v>
      </c>
      <c r="H48" s="200">
        <v>3</v>
      </c>
      <c r="I48" s="1525">
        <f>ROUND($F$11/L48,3)</f>
        <v>10.590999999999999</v>
      </c>
      <c r="J48" s="1526"/>
      <c r="K48" s="1312"/>
      <c r="L48" s="389">
        <v>98.72</v>
      </c>
    </row>
    <row r="49" spans="2:13" x14ac:dyDescent="0.3">
      <c r="K49" s="1312"/>
      <c r="L49" s="389"/>
      <c r="M49" s="43"/>
    </row>
    <row r="55" spans="2:13" ht="15" thickBot="1" x14ac:dyDescent="0.35">
      <c r="B55" s="188"/>
      <c r="C55" s="43"/>
      <c r="D55" s="43"/>
      <c r="E55" s="43"/>
      <c r="F55" s="43"/>
      <c r="G55" s="43"/>
      <c r="H55" s="43"/>
      <c r="I55" s="43"/>
      <c r="J55" s="43"/>
      <c r="L55" s="43"/>
    </row>
    <row r="56" spans="2:13" ht="15" thickBot="1" x14ac:dyDescent="0.35">
      <c r="B56" s="188"/>
      <c r="F56" s="982" t="s">
        <v>1037</v>
      </c>
      <c r="G56" s="1626" t="s">
        <v>372</v>
      </c>
      <c r="H56" s="1627"/>
      <c r="I56" s="1628"/>
      <c r="J56" s="1003" t="s">
        <v>882</v>
      </c>
    </row>
    <row r="57" spans="2:13" ht="15" thickBot="1" x14ac:dyDescent="0.35">
      <c r="B57" s="977" t="s">
        <v>881</v>
      </c>
      <c r="C57" s="978" t="s">
        <v>870</v>
      </c>
      <c r="D57" s="978" t="s">
        <v>871</v>
      </c>
      <c r="E57" s="2" t="s">
        <v>8</v>
      </c>
      <c r="F57" s="979" t="s">
        <v>878</v>
      </c>
      <c r="G57" s="974" t="s">
        <v>1043</v>
      </c>
      <c r="H57" s="975" t="s">
        <v>1044</v>
      </c>
      <c r="I57" s="1002" t="s">
        <v>1045</v>
      </c>
      <c r="J57" s="1004" t="s">
        <v>1046</v>
      </c>
      <c r="K57" s="188"/>
    </row>
    <row r="58" spans="2:13" x14ac:dyDescent="0.3">
      <c r="B58" s="140" t="s">
        <v>363</v>
      </c>
      <c r="C58" s="44">
        <v>1240</v>
      </c>
      <c r="D58" s="44">
        <v>890</v>
      </c>
      <c r="E58" s="44">
        <v>105</v>
      </c>
      <c r="F58" s="976">
        <v>224</v>
      </c>
      <c r="G58" s="976">
        <v>530</v>
      </c>
      <c r="H58" s="976">
        <v>782</v>
      </c>
      <c r="I58" s="976">
        <v>813.3</v>
      </c>
      <c r="J58" s="702">
        <v>1</v>
      </c>
      <c r="K58" s="188"/>
    </row>
    <row r="59" spans="2:13" x14ac:dyDescent="0.3">
      <c r="B59" s="188" t="s">
        <v>872</v>
      </c>
      <c r="C59" s="44">
        <v>1660</v>
      </c>
      <c r="D59" s="44">
        <v>1230</v>
      </c>
      <c r="E59" s="44">
        <v>105</v>
      </c>
      <c r="F59" s="976">
        <v>340</v>
      </c>
      <c r="G59" s="983">
        <v>740</v>
      </c>
      <c r="H59" s="976">
        <v>1076</v>
      </c>
      <c r="I59" s="976">
        <v>1120</v>
      </c>
      <c r="J59">
        <v>1</v>
      </c>
      <c r="K59" s="702"/>
    </row>
    <row r="60" spans="2:13" x14ac:dyDescent="0.3">
      <c r="B60" s="188" t="s">
        <v>873</v>
      </c>
      <c r="C60" s="44">
        <v>1365</v>
      </c>
      <c r="D60" s="44">
        <v>1040</v>
      </c>
      <c r="E60" s="44">
        <v>105</v>
      </c>
      <c r="F60" s="976">
        <v>260</v>
      </c>
      <c r="G60" s="976">
        <v>550</v>
      </c>
      <c r="H60" s="976">
        <v>802</v>
      </c>
      <c r="I60" s="976">
        <v>834</v>
      </c>
      <c r="J60">
        <v>1</v>
      </c>
    </row>
    <row r="61" spans="2:13" x14ac:dyDescent="0.3">
      <c r="B61" s="188" t="s">
        <v>874</v>
      </c>
      <c r="C61" s="173">
        <v>1550</v>
      </c>
      <c r="D61" s="44">
        <v>1180</v>
      </c>
      <c r="E61" s="44">
        <v>105</v>
      </c>
      <c r="F61" s="44">
        <v>340</v>
      </c>
      <c r="G61" s="976">
        <v>730</v>
      </c>
      <c r="H61" s="976">
        <v>1045.5</v>
      </c>
      <c r="I61" s="976">
        <v>1087.4000000000001</v>
      </c>
      <c r="J61">
        <v>1</v>
      </c>
    </row>
    <row r="62" spans="2:13" x14ac:dyDescent="0.3">
      <c r="B62" s="188" t="s">
        <v>876</v>
      </c>
      <c r="C62" s="173">
        <v>2580</v>
      </c>
      <c r="D62" s="44">
        <v>2200</v>
      </c>
      <c r="E62" s="44">
        <v>150</v>
      </c>
      <c r="F62" s="44"/>
      <c r="G62" s="44"/>
      <c r="H62" s="44">
        <v>2502</v>
      </c>
      <c r="I62" s="44">
        <v>2603</v>
      </c>
      <c r="J62">
        <v>1</v>
      </c>
    </row>
    <row r="63" spans="2:13" x14ac:dyDescent="0.3">
      <c r="B63" s="188" t="s">
        <v>1038</v>
      </c>
      <c r="C63" s="981">
        <v>1040</v>
      </c>
      <c r="D63" s="44">
        <v>775</v>
      </c>
      <c r="E63" s="44">
        <v>95</v>
      </c>
      <c r="F63" s="44">
        <v>124</v>
      </c>
      <c r="G63" s="44">
        <v>315</v>
      </c>
      <c r="H63" s="44">
        <v>515</v>
      </c>
      <c r="I63" s="44">
        <v>540</v>
      </c>
      <c r="J63">
        <v>1</v>
      </c>
    </row>
    <row r="64" spans="2:13" x14ac:dyDescent="0.3">
      <c r="B64" s="188" t="s">
        <v>1039</v>
      </c>
      <c r="C64" s="981">
        <v>1010</v>
      </c>
      <c r="D64" s="44">
        <v>405</v>
      </c>
      <c r="E64" s="44">
        <v>100</v>
      </c>
      <c r="F64" s="44">
        <v>295</v>
      </c>
      <c r="G64" s="44">
        <v>590</v>
      </c>
      <c r="H64" s="44">
        <v>890</v>
      </c>
      <c r="I64" s="44">
        <v>926</v>
      </c>
      <c r="J64">
        <v>1</v>
      </c>
    </row>
    <row r="65" spans="2:3" x14ac:dyDescent="0.3">
      <c r="B65" s="188"/>
    </row>
    <row r="66" spans="2:3" x14ac:dyDescent="0.3">
      <c r="B66" s="619"/>
    </row>
    <row r="67" spans="2:3" x14ac:dyDescent="0.3">
      <c r="B67" s="188" t="s">
        <v>875</v>
      </c>
      <c r="C67" s="59"/>
    </row>
  </sheetData>
  <mergeCells count="7">
    <mergeCell ref="B43:C43"/>
    <mergeCell ref="I48:J48"/>
    <mergeCell ref="L2:M2"/>
    <mergeCell ref="G56:I56"/>
    <mergeCell ref="B46:D46"/>
    <mergeCell ref="B47:D47"/>
    <mergeCell ref="B48:D48"/>
  </mergeCells>
  <dataValidations disablePrompts="1" count="1">
    <dataValidation type="list" allowBlank="1" showInputMessage="1" showErrorMessage="1" sqref="I3" xr:uid="{EAF6A628-56B8-4B8D-9587-1A51E6962B8D}">
      <formula1>$B$58:$B$64</formula1>
    </dataValidation>
  </dataValidations>
  <hyperlinks>
    <hyperlink ref="J58" r:id="rId1" display="..\Scanned Documents\Литейные карты\1269.01.03.jpg" xr:uid="{6C4368BB-E961-455B-8B85-90916C88CDE0}"/>
  </hyperlink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143B1ECC-63B3-427B-974F-63DC3A7E5642}">
          <x14:formula1>
            <xm:f>Данные!$A$3:$A$25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E1D78-FE0F-41EB-B11F-7C8D1A40EEE8}">
  <sheetPr codeName="Лист13">
    <pageSetUpPr fitToPage="1"/>
  </sheetPr>
  <dimension ref="A1:Y52"/>
  <sheetViews>
    <sheetView topLeftCell="A19" zoomScale="85" zoomScaleNormal="85" workbookViewId="0">
      <selection activeCell="S44" sqref="S43:S44"/>
    </sheetView>
  </sheetViews>
  <sheetFormatPr defaultRowHeight="14.4" x14ac:dyDescent="0.3"/>
  <cols>
    <col min="1" max="1" width="2.77734375" customWidth="1"/>
    <col min="2" max="2" width="1.88671875" customWidth="1"/>
    <col min="3" max="3" width="6.21875" customWidth="1"/>
    <col min="4" max="4" width="7.5546875" customWidth="1"/>
    <col min="5" max="5" width="12.21875" customWidth="1"/>
    <col min="6" max="6" width="3.6640625" customWidth="1"/>
    <col min="7" max="7" width="2.88671875" style="43" customWidth="1"/>
    <col min="8" max="8" width="3.77734375" customWidth="1"/>
    <col min="9" max="9" width="7.77734375" style="43" customWidth="1"/>
    <col min="10" max="10" width="13.5546875" customWidth="1"/>
    <col min="11" max="11" width="3.21875" style="43" customWidth="1"/>
    <col min="12" max="12" width="10.109375" customWidth="1"/>
    <col min="13" max="13" width="9" customWidth="1"/>
    <col min="14" max="14" width="3.44140625" customWidth="1"/>
    <col min="15" max="15" width="13.33203125" customWidth="1"/>
    <col min="17" max="17" width="12.44140625" customWidth="1"/>
  </cols>
  <sheetData>
    <row r="1" spans="2:23" ht="15.6" customHeight="1" thickBot="1" x14ac:dyDescent="0.35">
      <c r="M1" t="s">
        <v>1225</v>
      </c>
      <c r="Q1" s="59"/>
    </row>
    <row r="2" spans="2:23" ht="15" thickBot="1" x14ac:dyDescent="0.35">
      <c r="B2" s="12"/>
      <c r="C2" s="71"/>
      <c r="D2" s="71"/>
      <c r="E2" s="85" t="s">
        <v>0</v>
      </c>
      <c r="F2" s="71"/>
      <c r="G2" s="71"/>
      <c r="H2" s="71"/>
      <c r="I2" s="71"/>
      <c r="J2" s="71"/>
      <c r="K2" s="71"/>
      <c r="L2" s="71"/>
      <c r="M2" s="1323" t="s">
        <v>1132</v>
      </c>
      <c r="O2" s="1624" t="s">
        <v>85</v>
      </c>
      <c r="P2" s="1625"/>
      <c r="Q2" s="1624" t="s">
        <v>1217</v>
      </c>
      <c r="R2" s="1625"/>
    </row>
    <row r="3" spans="2:23" x14ac:dyDescent="0.3">
      <c r="B3" s="12"/>
      <c r="C3" s="71" t="s">
        <v>2</v>
      </c>
      <c r="D3" s="5"/>
      <c r="E3" s="5"/>
      <c r="F3" s="71"/>
      <c r="G3" s="71"/>
      <c r="H3" s="71"/>
      <c r="I3" s="1189" t="s">
        <v>877</v>
      </c>
      <c r="J3" s="71"/>
      <c r="K3" s="71"/>
      <c r="L3" s="1313"/>
      <c r="M3" s="135"/>
      <c r="O3" s="969" t="s">
        <v>1040</v>
      </c>
      <c r="P3" s="61">
        <v>1790</v>
      </c>
      <c r="Q3" s="969" t="s">
        <v>1040</v>
      </c>
      <c r="R3" s="1321">
        <v>1860</v>
      </c>
      <c r="V3">
        <v>42</v>
      </c>
      <c r="W3">
        <f>V3/2</f>
        <v>21</v>
      </c>
    </row>
    <row r="4" spans="2:23" x14ac:dyDescent="0.3">
      <c r="B4" s="4"/>
      <c r="C4" s="59" t="s">
        <v>4</v>
      </c>
      <c r="D4" s="55"/>
      <c r="E4" s="55"/>
      <c r="F4" s="59"/>
      <c r="G4" s="59"/>
      <c r="H4" s="59"/>
      <c r="I4" s="1191" t="s">
        <v>363</v>
      </c>
      <c r="J4" s="55"/>
      <c r="K4" s="55"/>
      <c r="L4" s="59"/>
      <c r="M4" s="10"/>
      <c r="O4" s="969" t="s">
        <v>1041</v>
      </c>
      <c r="P4" s="61">
        <v>1570</v>
      </c>
      <c r="Q4" s="969" t="s">
        <v>1041</v>
      </c>
      <c r="R4" s="61">
        <v>1544</v>
      </c>
      <c r="V4">
        <v>51</v>
      </c>
      <c r="W4" s="43">
        <f t="shared" ref="W4:W5" si="0">V4/2</f>
        <v>25.5</v>
      </c>
    </row>
    <row r="5" spans="2:23" ht="15" thickBot="1" x14ac:dyDescent="0.35">
      <c r="B5" s="4"/>
      <c r="C5" s="59" t="s">
        <v>6</v>
      </c>
      <c r="D5" s="55"/>
      <c r="E5" s="55"/>
      <c r="F5" s="59"/>
      <c r="G5" s="59"/>
      <c r="H5" s="59"/>
      <c r="I5" s="478" t="s">
        <v>360</v>
      </c>
      <c r="J5" s="55"/>
      <c r="K5" s="55"/>
      <c r="L5" s="55"/>
      <c r="M5" s="10"/>
      <c r="O5" s="970" t="s">
        <v>8</v>
      </c>
      <c r="P5" s="70">
        <v>216</v>
      </c>
      <c r="Q5" s="970" t="s">
        <v>8</v>
      </c>
      <c r="R5" s="70">
        <v>260</v>
      </c>
      <c r="U5" s="59"/>
      <c r="V5">
        <v>41</v>
      </c>
      <c r="W5" s="43">
        <f t="shared" si="0"/>
        <v>20.5</v>
      </c>
    </row>
    <row r="6" spans="2:23" ht="15" thickBot="1" x14ac:dyDescent="0.35">
      <c r="B6" s="19"/>
      <c r="C6" s="65" t="s">
        <v>10</v>
      </c>
      <c r="D6" s="20"/>
      <c r="E6" s="20"/>
      <c r="F6" s="65"/>
      <c r="G6" s="65"/>
      <c r="H6" s="65"/>
      <c r="I6" s="1192">
        <v>1</v>
      </c>
      <c r="J6" s="20"/>
      <c r="K6" s="20"/>
      <c r="L6" s="20"/>
      <c r="M6" s="40"/>
      <c r="O6" s="967" t="s">
        <v>19</v>
      </c>
      <c r="P6" s="968">
        <f>ROUNDUP((P3*P3-P4*P4)*3.1415296*P5*P8/4000000,0)</f>
        <v>941</v>
      </c>
    </row>
    <row r="7" spans="2:23" ht="15" thickBot="1" x14ac:dyDescent="0.35">
      <c r="B7" s="4"/>
      <c r="C7" s="59" t="s">
        <v>16</v>
      </c>
      <c r="D7" s="55"/>
      <c r="E7" s="55"/>
      <c r="F7" s="59"/>
      <c r="G7" s="59"/>
      <c r="I7" s="1330" t="s">
        <v>28</v>
      </c>
      <c r="J7" s="59"/>
      <c r="K7" s="59"/>
      <c r="L7" s="55" t="s">
        <v>17</v>
      </c>
      <c r="M7" s="15">
        <f>I8/I9</f>
        <v>0.60709677419354835</v>
      </c>
      <c r="O7" s="485"/>
      <c r="P7" s="966"/>
    </row>
    <row r="8" spans="2:23" ht="15" thickBot="1" x14ac:dyDescent="0.35">
      <c r="B8" s="4"/>
      <c r="C8" s="59" t="s">
        <v>19</v>
      </c>
      <c r="D8" s="55"/>
      <c r="E8" s="55"/>
      <c r="F8" s="59"/>
      <c r="G8" s="59"/>
      <c r="I8" s="621">
        <f>IF(P7=0,P6,P7)</f>
        <v>941</v>
      </c>
      <c r="J8" s="59"/>
      <c r="K8" s="59"/>
      <c r="L8" s="55" t="s">
        <v>23</v>
      </c>
      <c r="M8" s="15">
        <f>I8/I13</f>
        <v>0.50210767835227577</v>
      </c>
      <c r="O8" s="972" t="s">
        <v>1042</v>
      </c>
      <c r="P8" s="973">
        <f>VLOOKUP(I7,Данные!A2:I21,9,FALSE)</f>
        <v>7.5</v>
      </c>
      <c r="S8" s="59"/>
    </row>
    <row r="9" spans="2:23" ht="15" thickBot="1" x14ac:dyDescent="0.35">
      <c r="B9" s="4"/>
      <c r="C9" s="59" t="s">
        <v>22</v>
      </c>
      <c r="D9" s="55"/>
      <c r="E9" s="55"/>
      <c r="F9" s="59"/>
      <c r="G9" s="59"/>
      <c r="I9" s="621">
        <f>P13</f>
        <v>1550</v>
      </c>
      <c r="J9" s="55"/>
      <c r="K9" s="55"/>
      <c r="L9" s="55"/>
      <c r="M9" s="18"/>
      <c r="O9" s="1637" t="s">
        <v>328</v>
      </c>
      <c r="P9" s="1638"/>
    </row>
    <row r="10" spans="2:23" x14ac:dyDescent="0.3">
      <c r="B10" s="4"/>
      <c r="C10" s="59" t="s">
        <v>24</v>
      </c>
      <c r="D10" s="55"/>
      <c r="E10" s="55"/>
      <c r="F10" s="59"/>
      <c r="G10" s="59"/>
      <c r="I10" s="621"/>
      <c r="J10" s="55"/>
      <c r="K10" s="55"/>
      <c r="L10" s="55"/>
      <c r="M10" s="18"/>
      <c r="O10" s="1320" t="s">
        <v>1040</v>
      </c>
      <c r="P10" s="1321">
        <f>ROUND(R3*0.985,0)</f>
        <v>1832</v>
      </c>
    </row>
    <row r="11" spans="2:23" x14ac:dyDescent="0.3">
      <c r="B11" s="4"/>
      <c r="C11" s="59" t="s">
        <v>342</v>
      </c>
      <c r="D11" s="55"/>
      <c r="E11" s="55"/>
      <c r="F11" s="59"/>
      <c r="G11" s="59"/>
      <c r="I11" s="621">
        <v>252</v>
      </c>
      <c r="J11" s="55"/>
      <c r="K11" s="55"/>
      <c r="L11" s="55"/>
      <c r="M11" s="18"/>
      <c r="O11" s="969" t="s">
        <v>1041</v>
      </c>
      <c r="P11" s="61">
        <f>ROUNDDOWN(R4*0.994,0)</f>
        <v>1534</v>
      </c>
    </row>
    <row r="12" spans="2:23" ht="15" thickBot="1" x14ac:dyDescent="0.35">
      <c r="B12" s="4"/>
      <c r="C12" s="59" t="s">
        <v>27</v>
      </c>
      <c r="D12" s="55"/>
      <c r="E12" s="55"/>
      <c r="F12" s="59"/>
      <c r="G12" s="59"/>
      <c r="I12" s="626">
        <f>SUM(I9:I11)</f>
        <v>1802</v>
      </c>
      <c r="J12" s="55"/>
      <c r="K12" s="55"/>
      <c r="L12" s="55"/>
      <c r="M12" s="18"/>
      <c r="O12" s="970" t="s">
        <v>8</v>
      </c>
      <c r="P12" s="70">
        <f>ROUNDUP(R5*0.985,0)</f>
        <v>257</v>
      </c>
    </row>
    <row r="13" spans="2:23" ht="15" thickBot="1" x14ac:dyDescent="0.35">
      <c r="B13" s="19"/>
      <c r="C13" s="65" t="s">
        <v>32</v>
      </c>
      <c r="D13" s="20"/>
      <c r="E13" s="20"/>
      <c r="F13" s="65"/>
      <c r="G13" s="65"/>
      <c r="I13" s="627">
        <f>ROUNDUP(I12*1.04,1)</f>
        <v>1874.1</v>
      </c>
      <c r="J13" s="20"/>
      <c r="K13" s="20"/>
      <c r="L13" s="20"/>
      <c r="M13" s="1308"/>
      <c r="O13" s="1314" t="s">
        <v>256</v>
      </c>
      <c r="P13" s="40">
        <f>ROUNDUP(((P10+K14)*(P10+K14)-(P11-K14)*(P11-K14))*P12*3.1415926*P8/4000000,0)</f>
        <v>1550</v>
      </c>
      <c r="Q13" s="4"/>
    </row>
    <row r="14" spans="2:23" ht="15" thickBot="1" x14ac:dyDescent="0.35">
      <c r="B14" s="12"/>
      <c r="C14" s="1325" t="s">
        <v>221</v>
      </c>
      <c r="D14" s="164"/>
      <c r="E14" s="45"/>
      <c r="F14" s="165"/>
      <c r="G14" s="165"/>
      <c r="H14" s="5"/>
      <c r="I14" s="5" t="str">
        <f>"Формовочный уклон:"</f>
        <v>Формовочный уклон:</v>
      </c>
      <c r="J14" s="5"/>
      <c r="K14" s="5">
        <f>Данные!R197</f>
        <v>3</v>
      </c>
      <c r="L14" s="1341" t="str">
        <f>" мм."</f>
        <v xml:space="preserve"> мм.</v>
      </c>
      <c r="M14" s="167"/>
      <c r="O14" s="1639" t="s">
        <v>822</v>
      </c>
      <c r="P14" s="1640"/>
    </row>
    <row r="15" spans="2:23" x14ac:dyDescent="0.3">
      <c r="B15" s="4"/>
      <c r="C15" s="126"/>
      <c r="D15" s="128"/>
      <c r="E15" s="46"/>
      <c r="F15" s="36"/>
      <c r="G15" s="36"/>
      <c r="H15" s="55"/>
      <c r="I15" s="55"/>
      <c r="J15" s="55"/>
      <c r="K15" s="55"/>
      <c r="L15" s="23"/>
      <c r="M15" s="24"/>
      <c r="O15" s="1322" t="s">
        <v>8</v>
      </c>
      <c r="P15">
        <f>P12</f>
        <v>257</v>
      </c>
    </row>
    <row r="16" spans="2:23" x14ac:dyDescent="0.3">
      <c r="B16" s="4"/>
      <c r="C16" s="126"/>
      <c r="D16" s="1344">
        <f>P15</f>
        <v>257</v>
      </c>
      <c r="E16" s="46"/>
      <c r="F16" s="36"/>
      <c r="G16" s="36"/>
      <c r="H16" s="55"/>
      <c r="I16" s="55"/>
      <c r="J16" s="55"/>
      <c r="K16" s="55"/>
      <c r="L16" s="23"/>
      <c r="M16" s="24"/>
    </row>
    <row r="17" spans="2:17" x14ac:dyDescent="0.3">
      <c r="B17" s="4"/>
      <c r="C17" s="1326" t="s">
        <v>435</v>
      </c>
      <c r="D17" s="59"/>
      <c r="E17" s="59"/>
      <c r="F17" s="55"/>
      <c r="G17" s="55"/>
      <c r="H17" s="55"/>
      <c r="I17" s="55"/>
      <c r="J17" s="55"/>
      <c r="K17" s="55"/>
      <c r="L17" s="23"/>
      <c r="M17" s="24"/>
    </row>
    <row r="18" spans="2:17" x14ac:dyDescent="0.3">
      <c r="B18" s="4"/>
      <c r="C18" s="59"/>
      <c r="D18" s="55"/>
      <c r="E18" s="55"/>
      <c r="F18" s="55"/>
      <c r="G18" s="55"/>
      <c r="H18" s="55"/>
      <c r="I18" s="55"/>
      <c r="J18" s="46"/>
      <c r="K18" s="46"/>
      <c r="L18" s="23"/>
      <c r="M18" s="364"/>
    </row>
    <row r="19" spans="2:17" x14ac:dyDescent="0.3">
      <c r="B19" s="4"/>
      <c r="C19" s="59"/>
      <c r="D19" s="55"/>
      <c r="E19" s="55"/>
      <c r="F19" s="55"/>
      <c r="G19" s="55"/>
      <c r="H19" s="55"/>
      <c r="I19" s="55"/>
      <c r="J19" s="55"/>
      <c r="K19" s="55"/>
      <c r="L19" s="28"/>
      <c r="M19" s="364"/>
    </row>
    <row r="20" spans="2:17" x14ac:dyDescent="0.3">
      <c r="B20" s="4"/>
      <c r="C20" s="59"/>
      <c r="D20" s="55"/>
      <c r="E20" s="55"/>
      <c r="F20" s="55"/>
      <c r="G20" s="55"/>
      <c r="H20" s="55"/>
      <c r="I20" s="55"/>
      <c r="J20" s="55"/>
      <c r="K20" s="55"/>
      <c r="L20" s="26"/>
      <c r="M20" s="163"/>
    </row>
    <row r="21" spans="2:17" x14ac:dyDescent="0.3">
      <c r="B21" s="4"/>
      <c r="C21" s="59"/>
      <c r="D21" s="55"/>
      <c r="E21" s="55"/>
      <c r="F21" s="55"/>
      <c r="G21" s="55"/>
      <c r="H21" s="55"/>
      <c r="I21" s="55"/>
      <c r="J21" s="1632">
        <v>200</v>
      </c>
      <c r="K21" s="1632"/>
      <c r="L21" s="1632"/>
      <c r="M21" s="441"/>
      <c r="Q21" s="59"/>
    </row>
    <row r="22" spans="2:17" x14ac:dyDescent="0.3">
      <c r="B22" s="4"/>
      <c r="C22" s="59"/>
      <c r="D22" s="55"/>
      <c r="E22" s="55"/>
      <c r="F22" s="55"/>
      <c r="G22" s="55"/>
      <c r="H22" s="55"/>
      <c r="I22" s="55"/>
      <c r="J22" s="1348"/>
      <c r="K22" s="1348"/>
      <c r="L22" s="1348"/>
      <c r="M22" s="441"/>
    </row>
    <row r="23" spans="2:17" x14ac:dyDescent="0.3">
      <c r="B23" s="4"/>
      <c r="C23" s="1327">
        <v>4.8611111111111112E-2</v>
      </c>
      <c r="D23" s="59"/>
      <c r="E23" s="55"/>
      <c r="F23" s="55"/>
      <c r="G23" s="55"/>
      <c r="H23" s="55"/>
      <c r="I23" s="55"/>
      <c r="J23" s="161"/>
      <c r="K23" s="161"/>
      <c r="L23" s="29"/>
      <c r="M23" s="163"/>
      <c r="P23" t="s">
        <v>1239</v>
      </c>
    </row>
    <row r="24" spans="2:17" x14ac:dyDescent="0.3">
      <c r="B24" s="4"/>
      <c r="C24" s="59"/>
      <c r="D24" s="1324">
        <v>20</v>
      </c>
      <c r="E24" s="1634">
        <f>P11</f>
        <v>1534</v>
      </c>
      <c r="F24" s="1633" t="str">
        <f>"( "&amp;P4&amp;" )"</f>
        <v>( 1570 )</v>
      </c>
      <c r="G24" s="1635">
        <f>P10</f>
        <v>1832</v>
      </c>
      <c r="H24" s="1636">
        <f>P3</f>
        <v>1790</v>
      </c>
      <c r="I24" s="55"/>
      <c r="J24" s="55"/>
      <c r="K24" s="55"/>
      <c r="L24" s="29"/>
      <c r="M24" s="27"/>
      <c r="P24" t="s">
        <v>1240</v>
      </c>
    </row>
    <row r="25" spans="2:17" ht="14.4" customHeight="1" x14ac:dyDescent="0.3">
      <c r="B25" s="4"/>
      <c r="C25" s="59"/>
      <c r="D25" s="55"/>
      <c r="E25" s="1634"/>
      <c r="F25" s="1633"/>
      <c r="G25" s="1635"/>
      <c r="H25" s="1636"/>
      <c r="I25" s="1329"/>
      <c r="J25" s="55"/>
      <c r="K25" s="55"/>
      <c r="L25" s="29"/>
      <c r="M25" s="27"/>
    </row>
    <row r="26" spans="2:17" ht="14.4" customHeight="1" x14ac:dyDescent="0.3">
      <c r="B26" s="4"/>
      <c r="C26" s="59"/>
      <c r="D26" s="55"/>
      <c r="E26" s="1634"/>
      <c r="F26" s="1633"/>
      <c r="G26" s="1635"/>
      <c r="H26" s="1636"/>
      <c r="I26" s="1329"/>
      <c r="J26" s="55"/>
      <c r="K26" s="55"/>
      <c r="L26" s="29"/>
      <c r="M26" s="27"/>
    </row>
    <row r="27" spans="2:17" x14ac:dyDescent="0.3">
      <c r="B27" s="4"/>
      <c r="C27" s="59"/>
      <c r="D27" s="33"/>
      <c r="E27" s="1332"/>
      <c r="F27" s="1333"/>
      <c r="G27" s="1635"/>
      <c r="H27" s="1636"/>
      <c r="I27" s="1329"/>
      <c r="J27" s="55"/>
      <c r="K27" s="55"/>
      <c r="L27" s="29"/>
      <c r="M27" s="27"/>
    </row>
    <row r="28" spans="2:17" x14ac:dyDescent="0.3">
      <c r="B28" s="4"/>
      <c r="C28" s="59"/>
      <c r="D28" s="59"/>
      <c r="E28" s="46" t="str">
        <f>"     "&amp;P12</f>
        <v xml:space="preserve">     257</v>
      </c>
      <c r="F28" s="162"/>
      <c r="G28" s="162"/>
      <c r="H28" s="55"/>
      <c r="I28" s="55"/>
      <c r="J28" s="55"/>
      <c r="K28" s="55"/>
      <c r="L28" s="29"/>
      <c r="M28" s="27"/>
    </row>
    <row r="29" spans="2:17" x14ac:dyDescent="0.3">
      <c r="B29" s="4"/>
      <c r="C29" s="59"/>
      <c r="D29" s="59"/>
      <c r="E29" s="46" t="str">
        <f>"   "&amp;"( "&amp;P5&amp;" )"</f>
        <v xml:space="preserve">   ( 216 )</v>
      </c>
      <c r="F29" s="971"/>
      <c r="G29" s="971"/>
      <c r="H29" s="55"/>
      <c r="I29" s="55"/>
      <c r="J29" s="55"/>
      <c r="K29" s="55"/>
      <c r="L29" s="29"/>
      <c r="M29" s="27"/>
    </row>
    <row r="30" spans="2:17" x14ac:dyDescent="0.3">
      <c r="B30" s="4"/>
      <c r="C30" s="59"/>
      <c r="D30" s="55"/>
      <c r="E30" s="55"/>
      <c r="F30" s="55"/>
      <c r="G30" s="55"/>
      <c r="H30" s="55"/>
      <c r="I30" s="55"/>
      <c r="J30" s="55"/>
      <c r="K30" s="55"/>
      <c r="L30" s="26"/>
      <c r="M30" s="27"/>
    </row>
    <row r="31" spans="2:17" x14ac:dyDescent="0.3">
      <c r="B31" s="4"/>
      <c r="C31" s="59"/>
      <c r="D31" s="55"/>
      <c r="E31" s="55"/>
      <c r="F31" s="55"/>
      <c r="G31" s="55"/>
      <c r="H31" s="55"/>
      <c r="I31" s="55"/>
      <c r="J31" s="55"/>
      <c r="K31" s="55"/>
      <c r="L31" s="23"/>
      <c r="M31" s="24"/>
    </row>
    <row r="32" spans="2:17" x14ac:dyDescent="0.3">
      <c r="B32" s="4"/>
      <c r="C32" s="59"/>
      <c r="D32" s="55"/>
      <c r="E32" s="55"/>
      <c r="F32" s="55"/>
      <c r="G32" s="55"/>
      <c r="H32" s="55"/>
      <c r="I32" s="55"/>
      <c r="J32" s="126"/>
      <c r="K32" s="126"/>
      <c r="L32" s="23"/>
      <c r="M32" s="24"/>
    </row>
    <row r="33" spans="2:25" x14ac:dyDescent="0.3">
      <c r="B33" s="4"/>
      <c r="C33" s="59"/>
      <c r="D33" s="55"/>
      <c r="E33" s="55"/>
      <c r="F33" s="55"/>
      <c r="G33" s="55"/>
      <c r="H33" s="55"/>
      <c r="I33" s="55"/>
      <c r="J33" s="55"/>
      <c r="K33" s="55"/>
      <c r="L33" s="23"/>
      <c r="M33" s="24"/>
    </row>
    <row r="34" spans="2:25" x14ac:dyDescent="0.3">
      <c r="B34" s="4"/>
      <c r="C34" s="55"/>
      <c r="D34" s="55"/>
      <c r="E34" s="55"/>
      <c r="F34" s="59"/>
      <c r="G34" s="59"/>
      <c r="H34" s="59"/>
      <c r="I34" s="59"/>
      <c r="J34" s="55"/>
      <c r="K34" s="55"/>
      <c r="L34" s="55"/>
      <c r="M34" s="24"/>
    </row>
    <row r="35" spans="2:25" ht="16.2" thickBot="1" x14ac:dyDescent="0.35">
      <c r="B35" s="19"/>
      <c r="C35" s="1331" t="s">
        <v>269</v>
      </c>
      <c r="D35" s="20"/>
      <c r="E35" s="134"/>
      <c r="F35" s="20"/>
      <c r="G35" s="20"/>
      <c r="H35" s="65"/>
      <c r="I35" s="65"/>
      <c r="J35" s="20"/>
      <c r="K35" s="20"/>
      <c r="L35" s="20"/>
      <c r="M35" s="76"/>
    </row>
    <row r="36" spans="2:25" x14ac:dyDescent="0.3">
      <c r="B36" s="4"/>
      <c r="C36" s="55" t="s">
        <v>264</v>
      </c>
      <c r="D36" s="55"/>
      <c r="E36" s="55"/>
      <c r="F36" s="46" t="s">
        <v>54</v>
      </c>
      <c r="G36" s="53"/>
      <c r="I36" s="55"/>
      <c r="J36" s="55"/>
      <c r="K36" s="55"/>
      <c r="L36" s="55"/>
      <c r="M36" s="10"/>
      <c r="W36" s="55"/>
      <c r="X36" s="55"/>
    </row>
    <row r="37" spans="2:25" x14ac:dyDescent="0.3">
      <c r="B37" s="4"/>
      <c r="C37" s="55" t="s">
        <v>55</v>
      </c>
      <c r="D37" s="55"/>
      <c r="E37" s="55"/>
      <c r="F37" s="46" t="s">
        <v>56</v>
      </c>
      <c r="K37" s="55"/>
      <c r="L37" s="55"/>
      <c r="M37" s="10"/>
    </row>
    <row r="38" spans="2:25" x14ac:dyDescent="0.3">
      <c r="B38" s="4"/>
      <c r="C38" s="126" t="s">
        <v>63</v>
      </c>
      <c r="D38" s="55"/>
      <c r="E38" s="55"/>
      <c r="F38" s="169" t="s">
        <v>147</v>
      </c>
      <c r="G38" s="53"/>
      <c r="I38" s="55"/>
      <c r="J38" s="55"/>
      <c r="K38" s="55"/>
      <c r="L38" s="55"/>
      <c r="M38" s="10"/>
    </row>
    <row r="39" spans="2:25" x14ac:dyDescent="0.3">
      <c r="B39" s="4"/>
      <c r="C39" s="55" t="s">
        <v>947</v>
      </c>
      <c r="D39" s="55"/>
      <c r="E39" s="55"/>
      <c r="F39" s="14" t="s">
        <v>117</v>
      </c>
      <c r="G39" s="169"/>
      <c r="I39" s="168"/>
      <c r="J39" s="55"/>
      <c r="K39" s="55"/>
      <c r="L39" s="55"/>
      <c r="M39" s="10"/>
      <c r="X39" s="55"/>
      <c r="Y39" s="55"/>
    </row>
    <row r="40" spans="2:25" x14ac:dyDescent="0.3">
      <c r="B40" s="4"/>
      <c r="C40" s="55" t="s">
        <v>50</v>
      </c>
      <c r="D40" s="55"/>
      <c r="E40" s="55"/>
      <c r="F40" s="46" t="str">
        <f>VLOOKUP(I7,Данные!A2:I26,6,FALSE())</f>
        <v>25010.00176</v>
      </c>
      <c r="G40" s="54"/>
      <c r="I40" s="17"/>
      <c r="J40" s="55"/>
      <c r="K40" s="55"/>
      <c r="L40" s="55"/>
      <c r="M40" s="10"/>
    </row>
    <row r="41" spans="2:25" x14ac:dyDescent="0.3">
      <c r="B41" s="4"/>
      <c r="C41" s="55" t="s">
        <v>52</v>
      </c>
      <c r="D41" s="55"/>
      <c r="E41" s="55"/>
      <c r="F41" s="46" t="str">
        <f>IF(I12&gt;1900,Данные!G4,Данные!G3)</f>
        <v>25011.00007</v>
      </c>
      <c r="G41" s="53"/>
      <c r="I41" s="55"/>
      <c r="J41" s="55"/>
      <c r="K41" s="55"/>
      <c r="L41" s="55"/>
      <c r="M41" s="10"/>
    </row>
    <row r="42" spans="2:25" x14ac:dyDescent="0.3">
      <c r="B42" s="4"/>
      <c r="C42" s="55" t="s">
        <v>94</v>
      </c>
      <c r="D42" s="55"/>
      <c r="E42" s="17"/>
      <c r="F42" s="17" t="s">
        <v>58</v>
      </c>
      <c r="G42" s="53"/>
      <c r="I42" s="55"/>
      <c r="J42" s="55"/>
      <c r="K42" s="55"/>
      <c r="L42" s="55"/>
      <c r="M42" s="10"/>
    </row>
    <row r="43" spans="2:25" x14ac:dyDescent="0.3">
      <c r="B43" s="4"/>
      <c r="G43" s="17"/>
      <c r="I43" s="55"/>
      <c r="L43" s="55"/>
      <c r="M43" s="10"/>
      <c r="P43" s="43"/>
    </row>
    <row r="44" spans="2:25" x14ac:dyDescent="0.3">
      <c r="B44" s="4"/>
      <c r="C44" s="55" t="s">
        <v>60</v>
      </c>
      <c r="D44" s="55"/>
      <c r="E44" s="55"/>
      <c r="F44" s="1213" t="s">
        <v>91</v>
      </c>
      <c r="G44" s="52"/>
      <c r="H44" t="s">
        <v>1218</v>
      </c>
      <c r="I44" s="55"/>
      <c r="J44" s="43"/>
      <c r="L44" s="55"/>
      <c r="M44" s="10"/>
    </row>
    <row r="45" spans="2:25" ht="15" thickBot="1" x14ac:dyDescent="0.35">
      <c r="B45" s="4"/>
      <c r="C45" s="55" t="s">
        <v>66</v>
      </c>
      <c r="D45" s="55"/>
      <c r="E45" s="17"/>
      <c r="G45" s="17"/>
      <c r="H45" s="17" t="s">
        <v>67</v>
      </c>
      <c r="J45" s="55"/>
      <c r="K45" s="55"/>
      <c r="L45" s="55"/>
      <c r="M45" s="10"/>
    </row>
    <row r="46" spans="2:25" ht="15" thickBot="1" x14ac:dyDescent="0.35">
      <c r="B46" s="1629" t="s">
        <v>68</v>
      </c>
      <c r="C46" s="1630"/>
      <c r="D46" s="1631"/>
      <c r="E46" s="37" t="s">
        <v>69</v>
      </c>
      <c r="F46" s="1629" t="s">
        <v>68</v>
      </c>
      <c r="G46" s="1630"/>
      <c r="H46" s="1631"/>
      <c r="I46" s="1629" t="s">
        <v>70</v>
      </c>
      <c r="J46" s="1631"/>
      <c r="K46" s="1629" t="s">
        <v>1219</v>
      </c>
      <c r="L46" s="1630"/>
      <c r="M46" s="1631"/>
    </row>
    <row r="47" spans="2:25" ht="15" thickBot="1" x14ac:dyDescent="0.35">
      <c r="B47" s="1551">
        <f ca="1">TODAY()</f>
        <v>45414</v>
      </c>
      <c r="C47" s="1573"/>
      <c r="D47" s="1501"/>
      <c r="E47" s="39"/>
      <c r="F47" s="1500"/>
      <c r="G47" s="1573"/>
      <c r="H47" s="1501"/>
      <c r="I47" s="1500"/>
      <c r="J47" s="1501"/>
      <c r="K47" s="1500"/>
      <c r="L47" s="1573"/>
      <c r="M47" s="1501"/>
    </row>
    <row r="48" spans="2:25" ht="15" customHeight="1" thickBot="1" x14ac:dyDescent="0.35">
      <c r="B48" s="1647" t="s">
        <v>71</v>
      </c>
      <c r="C48" s="1648"/>
      <c r="D48" s="1649"/>
      <c r="E48" s="78"/>
      <c r="F48" s="1342"/>
      <c r="G48" s="1343"/>
      <c r="H48" s="3"/>
      <c r="I48" s="1342"/>
      <c r="J48" s="3"/>
      <c r="K48" s="55"/>
      <c r="L48" s="55"/>
      <c r="M48" s="10"/>
    </row>
    <row r="49" spans="1:13" ht="14.4" customHeight="1" thickBot="1" x14ac:dyDescent="0.35">
      <c r="B49" s="1"/>
      <c r="C49" s="1328"/>
      <c r="D49" s="1328"/>
      <c r="E49" s="2"/>
      <c r="F49" s="71"/>
      <c r="G49" s="71"/>
      <c r="H49" s="2"/>
      <c r="I49" s="2"/>
      <c r="J49" s="2"/>
      <c r="K49" s="2"/>
      <c r="L49" s="2"/>
      <c r="M49" s="84"/>
    </row>
    <row r="50" spans="1:13" x14ac:dyDescent="0.3">
      <c r="A50" s="63"/>
      <c r="B50" s="1641" t="s">
        <v>1215</v>
      </c>
      <c r="C50" s="1642"/>
      <c r="D50" s="1643"/>
      <c r="E50" s="1307" t="s">
        <v>297</v>
      </c>
      <c r="F50" s="1650" t="s">
        <v>1216</v>
      </c>
      <c r="G50" s="1651"/>
      <c r="H50" s="1570" t="s">
        <v>298</v>
      </c>
      <c r="I50" s="1571"/>
      <c r="J50" s="111" t="s">
        <v>299</v>
      </c>
      <c r="K50" s="1569" t="s">
        <v>300</v>
      </c>
      <c r="L50" s="1570"/>
      <c r="M50" s="1571"/>
    </row>
    <row r="51" spans="1:13" ht="15" thickBot="1" x14ac:dyDescent="0.35">
      <c r="B51" s="1644"/>
      <c r="C51" s="1645"/>
      <c r="D51" s="1646"/>
      <c r="E51" s="1306" t="s">
        <v>302</v>
      </c>
      <c r="F51" s="1652"/>
      <c r="G51" s="1653"/>
      <c r="H51" s="1572" t="s">
        <v>304</v>
      </c>
      <c r="I51" s="1539"/>
      <c r="J51" s="115"/>
      <c r="K51" s="1538" t="s">
        <v>305</v>
      </c>
      <c r="L51" s="1572"/>
      <c r="M51" s="1539"/>
    </row>
    <row r="52" spans="1:13" ht="15" thickBot="1" x14ac:dyDescent="0.35">
      <c r="B52" s="1525" t="s">
        <v>405</v>
      </c>
      <c r="C52" s="1568"/>
      <c r="D52" s="1526"/>
      <c r="E52" s="200">
        <v>40</v>
      </c>
      <c r="F52" s="1525">
        <v>1</v>
      </c>
      <c r="G52" s="1526"/>
      <c r="H52" s="1525">
        <v>20</v>
      </c>
      <c r="I52" s="1526"/>
      <c r="J52" s="200">
        <v>3</v>
      </c>
      <c r="K52" s="1525" t="e">
        <f>ROUND($I$13/O49,3)</f>
        <v>#DIV/0!</v>
      </c>
      <c r="L52" s="1568"/>
      <c r="M52" s="1526"/>
    </row>
  </sheetData>
  <mergeCells count="28">
    <mergeCell ref="B48:D48"/>
    <mergeCell ref="B47:D47"/>
    <mergeCell ref="F47:H47"/>
    <mergeCell ref="F52:G52"/>
    <mergeCell ref="H52:I52"/>
    <mergeCell ref="F50:G51"/>
    <mergeCell ref="H50:I50"/>
    <mergeCell ref="H51:I51"/>
    <mergeCell ref="K50:M50"/>
    <mergeCell ref="K51:M51"/>
    <mergeCell ref="K52:M52"/>
    <mergeCell ref="B52:D52"/>
    <mergeCell ref="B50:D51"/>
    <mergeCell ref="Q2:R2"/>
    <mergeCell ref="B46:D46"/>
    <mergeCell ref="J21:L21"/>
    <mergeCell ref="I46:J46"/>
    <mergeCell ref="I47:J47"/>
    <mergeCell ref="K46:M46"/>
    <mergeCell ref="K47:M47"/>
    <mergeCell ref="F24:F26"/>
    <mergeCell ref="E24:E26"/>
    <mergeCell ref="G24:G27"/>
    <mergeCell ref="H24:H27"/>
    <mergeCell ref="O2:P2"/>
    <mergeCell ref="O9:P9"/>
    <mergeCell ref="O14:P14"/>
    <mergeCell ref="F46:H46"/>
  </mergeCells>
  <dataValidations count="1">
    <dataValidation type="list" allowBlank="1" showInputMessage="1" showErrorMessage="1" sqref="L3" xr:uid="{5F657F80-0AB6-436A-B75E-1097D71729F6}">
      <formula1>$B$62:$B$68</formula1>
    </dataValidation>
  </dataValidations>
  <pageMargins left="0" right="0" top="0" bottom="0" header="0" footer="0"/>
  <pageSetup paperSize="9" fitToWidth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704FC0-4DD6-43C6-A275-AC0B02DD1447}">
          <x14:formula1>
            <xm:f>Данные!$A$3:$A$25</xm:f>
          </x14:formula1>
          <x14:formula2>
            <xm:f>0</xm:f>
          </x14:formula2>
          <xm:sqref>I7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C5166-466A-45C4-A6CC-11D421F8AD2B}">
  <sheetPr codeName="Лист10">
    <pageSetUpPr fitToPage="1"/>
  </sheetPr>
  <dimension ref="A1:W82"/>
  <sheetViews>
    <sheetView topLeftCell="A28" zoomScale="85" zoomScaleNormal="85" workbookViewId="0">
      <selection activeCell="L44" sqref="L44"/>
    </sheetView>
  </sheetViews>
  <sheetFormatPr defaultRowHeight="14.4" x14ac:dyDescent="0.3"/>
  <cols>
    <col min="1" max="1" width="3.6640625" customWidth="1"/>
    <col min="2" max="2" width="4.5546875" customWidth="1"/>
    <col min="5" max="5" width="12.77734375" customWidth="1"/>
    <col min="6" max="6" width="14.109375" customWidth="1"/>
    <col min="7" max="7" width="9" customWidth="1"/>
    <col min="8" max="8" width="8" customWidth="1"/>
    <col min="9" max="9" width="9.44140625" customWidth="1"/>
    <col min="10" max="10" width="9.6640625" customWidth="1"/>
    <col min="11" max="11" width="5.21875" customWidth="1"/>
    <col min="12" max="12" width="20.44140625" customWidth="1"/>
    <col min="13" max="13" width="10.109375" customWidth="1"/>
    <col min="16" max="16" width="11.109375" customWidth="1"/>
    <col min="17" max="17" width="11.21875" style="43" customWidth="1"/>
    <col min="20" max="20" width="10.33203125" customWidth="1"/>
  </cols>
  <sheetData>
    <row r="1" spans="2:21" ht="15" thickBot="1" x14ac:dyDescent="0.35">
      <c r="J1" t="s">
        <v>1230</v>
      </c>
      <c r="N1" s="60"/>
    </row>
    <row r="2" spans="2:21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1132</v>
      </c>
      <c r="K2" s="43"/>
      <c r="L2" s="179" t="s">
        <v>768</v>
      </c>
      <c r="M2" s="412"/>
      <c r="N2" s="415"/>
      <c r="O2" s="44"/>
      <c r="P2" s="44"/>
      <c r="Q2" s="44"/>
      <c r="R2" s="60"/>
      <c r="S2" s="60"/>
      <c r="T2" s="60"/>
      <c r="U2" s="60"/>
    </row>
    <row r="3" spans="2:21" ht="15.6" x14ac:dyDescent="0.3">
      <c r="B3" s="12" t="s">
        <v>2</v>
      </c>
      <c r="C3" s="59"/>
      <c r="D3" s="5"/>
      <c r="E3" s="5"/>
      <c r="F3" s="1154" t="s">
        <v>1202</v>
      </c>
      <c r="G3" s="1155"/>
      <c r="H3" s="1156"/>
      <c r="I3" s="1157" t="s">
        <v>766</v>
      </c>
      <c r="J3" s="1158">
        <v>134</v>
      </c>
      <c r="K3" s="43"/>
      <c r="L3" s="42" t="s">
        <v>77</v>
      </c>
      <c r="M3" s="413">
        <f>VLOOKUP(J3,B62:W74,5)</f>
        <v>355</v>
      </c>
      <c r="N3" s="60"/>
      <c r="O3" s="43"/>
      <c r="R3" s="60"/>
      <c r="S3" s="60"/>
      <c r="T3" s="60"/>
      <c r="U3" s="60"/>
    </row>
    <row r="4" spans="2:21" ht="15.6" x14ac:dyDescent="0.3">
      <c r="B4" s="4" t="s">
        <v>4</v>
      </c>
      <c r="C4" s="59"/>
      <c r="D4" s="55"/>
      <c r="E4" s="55"/>
      <c r="F4" s="1159" t="s">
        <v>1203</v>
      </c>
      <c r="G4" s="1156"/>
      <c r="H4" s="1156"/>
      <c r="I4" s="1156"/>
      <c r="J4" s="1160"/>
      <c r="K4" s="43"/>
      <c r="L4" s="47" t="s">
        <v>78</v>
      </c>
      <c r="M4" s="413">
        <f>VLOOKUP(J3,B62:W74,6)</f>
        <v>380</v>
      </c>
      <c r="N4" s="60"/>
      <c r="O4" s="43"/>
      <c r="R4" s="60"/>
      <c r="S4" s="416"/>
      <c r="T4" s="60"/>
      <c r="U4" s="60"/>
    </row>
    <row r="5" spans="2:21" ht="15.6" x14ac:dyDescent="0.3">
      <c r="B5" s="4" t="s">
        <v>6</v>
      </c>
      <c r="C5" s="59"/>
      <c r="D5" s="55"/>
      <c r="E5" s="55"/>
      <c r="F5" s="1161" t="s">
        <v>1184</v>
      </c>
      <c r="G5" s="1156"/>
      <c r="H5" s="1156"/>
      <c r="I5" s="1156"/>
      <c r="J5" s="1160"/>
      <c r="K5" s="43"/>
      <c r="L5" s="42" t="s">
        <v>75</v>
      </c>
      <c r="M5" s="413">
        <f>VLOOKUP(J3,B62:W74,8)</f>
        <v>83</v>
      </c>
      <c r="N5" s="60"/>
      <c r="O5" s="43"/>
      <c r="R5" s="60"/>
      <c r="S5" s="423"/>
      <c r="T5" s="60"/>
      <c r="U5" s="60"/>
    </row>
    <row r="6" spans="2:21" ht="16.2" thickBot="1" x14ac:dyDescent="0.35">
      <c r="B6" s="19" t="s">
        <v>10</v>
      </c>
      <c r="C6" s="65"/>
      <c r="D6" s="20"/>
      <c r="E6" s="20"/>
      <c r="F6" s="1162">
        <v>4</v>
      </c>
      <c r="G6" s="358"/>
      <c r="H6" s="358"/>
      <c r="I6" s="358"/>
      <c r="J6" s="1163"/>
      <c r="K6" s="43"/>
      <c r="L6" s="47" t="s">
        <v>76</v>
      </c>
      <c r="M6" s="413">
        <f>VLOOKUP(J3,B62:W74,9)</f>
        <v>170</v>
      </c>
      <c r="N6" s="60"/>
      <c r="O6" s="43"/>
      <c r="R6" s="60"/>
      <c r="S6" s="416"/>
      <c r="T6" s="60"/>
      <c r="U6" s="60"/>
    </row>
    <row r="7" spans="2:21" ht="15.6" x14ac:dyDescent="0.3">
      <c r="B7" s="12" t="s">
        <v>16</v>
      </c>
      <c r="C7" s="5"/>
      <c r="D7" s="5"/>
      <c r="E7" s="5"/>
      <c r="F7" s="418" t="s">
        <v>28</v>
      </c>
      <c r="G7" s="5"/>
      <c r="H7" s="71"/>
      <c r="I7" s="5" t="s">
        <v>17</v>
      </c>
      <c r="J7" s="190">
        <f ca="1">F8/F9</f>
        <v>0.35763097949886102</v>
      </c>
      <c r="K7" s="43"/>
      <c r="L7" s="42" t="s">
        <v>82</v>
      </c>
      <c r="M7" s="413">
        <f>VLOOKUP(J3,B62:W74,10)</f>
        <v>190</v>
      </c>
      <c r="N7" s="60"/>
      <c r="O7" s="43"/>
      <c r="R7" s="60"/>
      <c r="S7" s="423"/>
      <c r="T7" s="60"/>
      <c r="U7" s="60"/>
    </row>
    <row r="8" spans="2:21" ht="15.6" x14ac:dyDescent="0.3">
      <c r="B8" s="4" t="s">
        <v>19</v>
      </c>
      <c r="C8" s="55"/>
      <c r="D8" s="55"/>
      <c r="E8" s="55"/>
      <c r="F8" s="16">
        <f>M17</f>
        <v>157</v>
      </c>
      <c r="G8" s="55"/>
      <c r="H8" s="59"/>
      <c r="I8" s="55" t="s">
        <v>23</v>
      </c>
      <c r="J8" s="15">
        <f ca="1">F8/F12</f>
        <v>0.2205056179775281</v>
      </c>
      <c r="K8" s="43"/>
      <c r="L8" s="42" t="s">
        <v>1115</v>
      </c>
      <c r="M8" s="1171">
        <f>VLOOKUP(J3,B62:W74,16)</f>
        <v>202.5</v>
      </c>
      <c r="N8" s="60"/>
      <c r="O8" s="43"/>
      <c r="R8" s="60"/>
      <c r="S8" s="416"/>
      <c r="T8" s="60"/>
      <c r="U8" s="60"/>
    </row>
    <row r="9" spans="2:21" ht="15.6" x14ac:dyDescent="0.3">
      <c r="B9" s="4" t="s">
        <v>22</v>
      </c>
      <c r="C9" s="55"/>
      <c r="D9" s="55"/>
      <c r="E9" s="55"/>
      <c r="F9" s="79">
        <f ca="1">IF(F9&lt;100,ROUND(VLOOKUP(J3,B62:V74,18)/7.5*M15,1),ROUNDUP(VLOOKUP(J3,B62:V74,18)/7.5*M15,0))</f>
        <v>439</v>
      </c>
      <c r="G9" s="55"/>
      <c r="H9" s="55"/>
      <c r="I9" s="55"/>
      <c r="J9" s="18"/>
      <c r="K9" s="43"/>
      <c r="L9" s="42" t="s">
        <v>781</v>
      </c>
      <c r="M9" s="413">
        <f>VLOOKUP(J3,B62:W74,4)</f>
        <v>1060</v>
      </c>
      <c r="N9" s="60"/>
      <c r="O9" s="43"/>
      <c r="P9" s="43"/>
      <c r="R9" s="60"/>
      <c r="S9" s="416"/>
      <c r="T9" s="60"/>
      <c r="U9" s="60"/>
    </row>
    <row r="10" spans="2:21" ht="15.6" x14ac:dyDescent="0.3">
      <c r="B10" s="4" t="s">
        <v>24</v>
      </c>
      <c r="C10" s="55"/>
      <c r="D10" s="55"/>
      <c r="E10" s="55"/>
      <c r="F10" s="79">
        <f ca="1">IF(F10&lt;100,ROUND(VLOOKUP(J3,B62:V74,19)/7.5*M15,1),ROUNDUP(VLOOKUP(J3,B62:V74,19)/7.5*M15,0))</f>
        <v>247</v>
      </c>
      <c r="G10" s="55"/>
      <c r="H10" s="55"/>
      <c r="I10" s="55"/>
      <c r="J10" s="18"/>
      <c r="K10" s="43"/>
      <c r="L10" s="179" t="s">
        <v>80</v>
      </c>
      <c r="M10" s="413"/>
      <c r="N10" s="60"/>
      <c r="O10" s="43"/>
      <c r="P10" s="43"/>
      <c r="R10" s="60"/>
      <c r="S10" s="424"/>
      <c r="T10" s="60"/>
      <c r="U10" s="60"/>
    </row>
    <row r="11" spans="2:21" ht="15.6" x14ac:dyDescent="0.3">
      <c r="B11" s="4" t="s">
        <v>27</v>
      </c>
      <c r="C11" s="55"/>
      <c r="D11" s="55"/>
      <c r="E11" s="55"/>
      <c r="F11" s="79">
        <f ca="1">IF(F11&lt;100,ROUND(VLOOKUP(J3,B62:V74,20)/7.5*M15,1),ROUNDUP(VLOOKUP(J3,B62:V74,20)/7.5*M15,0))</f>
        <v>685</v>
      </c>
      <c r="G11" s="55"/>
      <c r="H11" s="55"/>
      <c r="I11" s="55"/>
      <c r="J11" s="18"/>
      <c r="K11" s="43"/>
      <c r="L11" s="42" t="s">
        <v>782</v>
      </c>
      <c r="M11" s="413">
        <f>VLOOKUP(J3,B62:W74,11)</f>
        <v>180</v>
      </c>
      <c r="N11" s="60"/>
      <c r="O11" s="43"/>
      <c r="P11" s="43"/>
      <c r="R11" s="60"/>
      <c r="S11" s="416"/>
      <c r="T11" s="60"/>
      <c r="U11" s="60"/>
    </row>
    <row r="12" spans="2:21" ht="15.6" x14ac:dyDescent="0.3">
      <c r="B12" s="4" t="s">
        <v>32</v>
      </c>
      <c r="C12" s="55"/>
      <c r="D12" s="55"/>
      <c r="E12" s="55"/>
      <c r="F12" s="79">
        <f ca="1">ROUND(F11*1.04,0)</f>
        <v>712</v>
      </c>
      <c r="G12" s="55"/>
      <c r="H12" s="55"/>
      <c r="I12" s="55"/>
      <c r="J12" s="18"/>
      <c r="K12" s="43"/>
      <c r="L12" s="42" t="s">
        <v>783</v>
      </c>
      <c r="M12" s="413">
        <f>VLOOKUP(J3,B62:W74,12)</f>
        <v>260</v>
      </c>
      <c r="N12" s="60"/>
      <c r="O12" s="43"/>
      <c r="P12" s="43"/>
      <c r="R12" s="60"/>
      <c r="S12" s="416"/>
      <c r="T12" s="60"/>
      <c r="U12" s="60"/>
    </row>
    <row r="13" spans="2:21" ht="16.2" thickBot="1" x14ac:dyDescent="0.35">
      <c r="B13" s="19"/>
      <c r="C13" s="20"/>
      <c r="D13" s="419"/>
      <c r="E13" s="420"/>
      <c r="F13" s="421"/>
      <c r="G13" s="20"/>
      <c r="H13" s="20"/>
      <c r="I13" s="172"/>
      <c r="J13" s="76"/>
      <c r="K13" s="43"/>
      <c r="L13" s="42" t="s">
        <v>83</v>
      </c>
      <c r="M13" s="413">
        <f>VLOOKUP(J3,B62:W74,7)</f>
        <v>450</v>
      </c>
      <c r="N13" s="60"/>
      <c r="O13" s="43"/>
      <c r="P13" s="43"/>
      <c r="R13" s="60"/>
      <c r="S13" s="416"/>
      <c r="T13" s="60"/>
      <c r="U13" s="60"/>
    </row>
    <row r="14" spans="2:21" ht="15.6" x14ac:dyDescent="0.3">
      <c r="B14" s="12"/>
      <c r="C14" s="5"/>
      <c r="D14" s="5"/>
      <c r="E14" s="5"/>
      <c r="F14" s="5"/>
      <c r="G14" s="5"/>
      <c r="H14" s="71"/>
      <c r="I14" s="71"/>
      <c r="J14" s="13"/>
      <c r="K14" s="43"/>
      <c r="L14" s="42" t="s">
        <v>84</v>
      </c>
      <c r="M14" s="413">
        <f>VLOOKUP(J3,B62:W74,3)</f>
        <v>390</v>
      </c>
      <c r="N14" s="60"/>
      <c r="O14" s="43"/>
      <c r="P14" s="43"/>
      <c r="R14" s="60"/>
      <c r="S14" s="416"/>
      <c r="T14" s="60"/>
      <c r="U14" s="60"/>
    </row>
    <row r="15" spans="2:21" ht="15.6" x14ac:dyDescent="0.3">
      <c r="B15" s="4"/>
      <c r="C15" s="55"/>
      <c r="D15" s="55"/>
      <c r="E15" s="55"/>
      <c r="F15" s="55"/>
      <c r="G15" s="55"/>
      <c r="H15" s="1654" t="s">
        <v>784</v>
      </c>
      <c r="I15" s="1654"/>
      <c r="J15" s="1655"/>
      <c r="K15" s="43"/>
      <c r="L15" s="181" t="s">
        <v>12</v>
      </c>
      <c r="M15" s="414">
        <f>VLOOKUP(F7,Данные!A3:I27,9,FALSE())</f>
        <v>7.5</v>
      </c>
      <c r="N15" s="60"/>
      <c r="O15" s="43"/>
      <c r="P15" s="43"/>
      <c r="R15" s="60"/>
      <c r="S15" s="60"/>
      <c r="T15" s="60"/>
      <c r="U15" s="60"/>
    </row>
    <row r="16" spans="2:21" ht="15.6" x14ac:dyDescent="0.3">
      <c r="B16" s="4"/>
      <c r="C16" s="55"/>
      <c r="D16" s="55"/>
      <c r="E16" s="55"/>
      <c r="F16" s="55"/>
      <c r="G16" s="55"/>
      <c r="H16" s="479"/>
      <c r="I16" s="480" t="s">
        <v>785</v>
      </c>
      <c r="J16" s="481" t="s">
        <v>786</v>
      </c>
      <c r="K16" s="43"/>
      <c r="L16" s="50"/>
      <c r="M16" s="50"/>
      <c r="N16" s="60"/>
      <c r="O16" s="43"/>
      <c r="P16" s="43"/>
      <c r="R16" s="60"/>
      <c r="S16" s="60"/>
      <c r="T16" s="60"/>
      <c r="U16" s="60"/>
    </row>
    <row r="17" spans="2:21" ht="15.6" x14ac:dyDescent="0.3">
      <c r="B17" s="4"/>
      <c r="C17" s="55"/>
      <c r="D17" s="55"/>
      <c r="E17" s="55"/>
      <c r="F17" s="55"/>
      <c r="G17" s="55"/>
      <c r="H17" s="58" t="s">
        <v>468</v>
      </c>
      <c r="I17" s="422">
        <f t="shared" ref="I17" si="0">M3</f>
        <v>355</v>
      </c>
      <c r="J17" s="425">
        <f>ROUND(I17*0.985,0)</f>
        <v>350</v>
      </c>
      <c r="K17" s="43"/>
      <c r="L17" s="137" t="s">
        <v>311</v>
      </c>
      <c r="M17" s="51">
        <v>157</v>
      </c>
      <c r="N17" s="59"/>
      <c r="O17" s="43"/>
      <c r="P17" s="43"/>
      <c r="R17" s="60"/>
      <c r="S17" s="60"/>
      <c r="T17" s="60"/>
      <c r="U17" s="60"/>
    </row>
    <row r="18" spans="2:21" ht="15.6" x14ac:dyDescent="0.3">
      <c r="B18" s="4"/>
      <c r="C18" s="55"/>
      <c r="D18" s="55"/>
      <c r="E18" s="55"/>
      <c r="F18" s="55"/>
      <c r="G18" s="55"/>
      <c r="H18" s="58" t="s">
        <v>774</v>
      </c>
      <c r="I18" s="422">
        <f>M5</f>
        <v>83</v>
      </c>
      <c r="J18" s="425">
        <f>ROUND(I18*0.985,0)</f>
        <v>82</v>
      </c>
      <c r="K18" s="43"/>
      <c r="L18" s="411"/>
      <c r="M18" s="411"/>
      <c r="N18" s="43"/>
      <c r="O18" s="43"/>
      <c r="P18" s="43"/>
    </row>
    <row r="19" spans="2:21" ht="15.6" x14ac:dyDescent="0.3">
      <c r="B19" s="4"/>
      <c r="C19" s="55"/>
      <c r="D19" s="55"/>
      <c r="E19" s="55"/>
      <c r="F19" s="55"/>
      <c r="G19" s="55"/>
      <c r="H19" s="58" t="s">
        <v>1114</v>
      </c>
      <c r="I19" s="1172">
        <f>M8</f>
        <v>202.5</v>
      </c>
      <c r="J19" s="425">
        <f>ROUND(I19*0.985,0)</f>
        <v>199</v>
      </c>
      <c r="K19" s="43"/>
      <c r="L19" s="82" t="s">
        <v>276</v>
      </c>
      <c r="M19" s="62"/>
      <c r="N19" s="43"/>
      <c r="O19" s="43"/>
      <c r="P19" s="43"/>
    </row>
    <row r="20" spans="2:21" ht="15.6" x14ac:dyDescent="0.3">
      <c r="B20" s="4"/>
      <c r="C20" s="55"/>
      <c r="D20" s="55"/>
      <c r="E20" s="55"/>
      <c r="F20" s="55"/>
      <c r="G20" s="55"/>
      <c r="H20" s="58" t="s">
        <v>189</v>
      </c>
      <c r="I20" s="422">
        <f>M9</f>
        <v>1060</v>
      </c>
      <c r="J20" s="425">
        <f>ROUND(I20*0.985,0)</f>
        <v>1044</v>
      </c>
      <c r="K20" s="43"/>
      <c r="L20" s="416"/>
      <c r="M20" s="417"/>
      <c r="N20" s="43"/>
      <c r="O20" s="43"/>
      <c r="P20" s="43"/>
    </row>
    <row r="21" spans="2:21" ht="15.6" x14ac:dyDescent="0.3">
      <c r="B21" s="4"/>
      <c r="C21" s="55"/>
      <c r="D21" s="31"/>
      <c r="E21" s="32"/>
      <c r="F21" s="55"/>
      <c r="G21" s="55"/>
      <c r="H21" s="480" t="s">
        <v>787</v>
      </c>
      <c r="I21" s="480"/>
      <c r="J21" s="482"/>
      <c r="K21" s="43"/>
      <c r="L21" s="417"/>
      <c r="M21" s="417"/>
      <c r="N21" s="43"/>
      <c r="O21" s="43"/>
      <c r="P21" s="43"/>
    </row>
    <row r="22" spans="2:21" ht="15.6" x14ac:dyDescent="0.3">
      <c r="B22" s="4"/>
      <c r="C22" s="55"/>
      <c r="D22" s="59"/>
      <c r="E22" s="55"/>
      <c r="F22" s="55"/>
      <c r="G22" s="55"/>
      <c r="H22" s="58" t="s">
        <v>777</v>
      </c>
      <c r="I22" s="422">
        <f>M12</f>
        <v>260</v>
      </c>
      <c r="J22" s="425">
        <f>ROUND(I22*0.985,0)</f>
        <v>256</v>
      </c>
      <c r="K22" s="43"/>
      <c r="L22" s="1656" t="s">
        <v>344</v>
      </c>
      <c r="M22" s="1656"/>
      <c r="N22" s="1656"/>
      <c r="O22" s="1656"/>
      <c r="P22" s="1656"/>
      <c r="Q22" s="1164"/>
    </row>
    <row r="23" spans="2:21" ht="15.6" x14ac:dyDescent="0.3">
      <c r="B23" s="4"/>
      <c r="C23" s="33"/>
      <c r="D23" s="59"/>
      <c r="E23" s="34"/>
      <c r="F23" s="55"/>
      <c r="G23" s="55"/>
      <c r="H23" s="58" t="s">
        <v>773</v>
      </c>
      <c r="I23" s="422">
        <f>M13</f>
        <v>450</v>
      </c>
      <c r="J23" s="425">
        <f>ROUND(I23*0.985,0)</f>
        <v>443</v>
      </c>
      <c r="K23" s="43"/>
      <c r="L23" s="1657" t="s">
        <v>351</v>
      </c>
      <c r="M23" s="1657"/>
      <c r="N23" s="1657"/>
      <c r="O23" s="1657"/>
      <c r="P23" s="1657"/>
      <c r="Q23" s="1165"/>
    </row>
    <row r="24" spans="2:21" ht="15.6" x14ac:dyDescent="0.3">
      <c r="B24" s="4"/>
      <c r="C24" s="59"/>
      <c r="D24" s="55"/>
      <c r="E24" s="26"/>
      <c r="F24" s="31"/>
      <c r="G24" s="55"/>
      <c r="H24" s="58" t="s">
        <v>772</v>
      </c>
      <c r="I24" s="422">
        <f>M14</f>
        <v>390</v>
      </c>
      <c r="J24" s="425">
        <f>ROUND(I24*0.985,0)</f>
        <v>384</v>
      </c>
      <c r="K24" s="43"/>
      <c r="L24" s="1658" t="s">
        <v>352</v>
      </c>
      <c r="M24" s="1658"/>
      <c r="N24" s="1658"/>
      <c r="O24" s="1658"/>
      <c r="P24" s="1658"/>
      <c r="Q24" s="1166"/>
    </row>
    <row r="25" spans="2:21" x14ac:dyDescent="0.3">
      <c r="B25" s="4"/>
      <c r="C25" s="59"/>
      <c r="D25" s="55"/>
      <c r="E25" s="26"/>
      <c r="F25" s="31"/>
      <c r="G25" s="55"/>
      <c r="H25" s="59"/>
      <c r="I25" s="59"/>
      <c r="J25" s="10"/>
      <c r="K25" s="43"/>
      <c r="N25" s="43"/>
      <c r="O25" s="43"/>
      <c r="P25" s="43"/>
    </row>
    <row r="26" spans="2:21" x14ac:dyDescent="0.3">
      <c r="B26" s="4"/>
      <c r="C26" s="55"/>
      <c r="D26" s="55"/>
      <c r="E26" s="55"/>
      <c r="F26" s="55"/>
      <c r="G26" s="55"/>
      <c r="H26" s="59"/>
      <c r="I26" s="59"/>
      <c r="J26" s="10"/>
      <c r="K26" s="43"/>
      <c r="N26" s="140"/>
      <c r="O26" s="140"/>
      <c r="P26" s="140"/>
      <c r="Q26" s="140"/>
    </row>
    <row r="27" spans="2:21" x14ac:dyDescent="0.3">
      <c r="B27" s="4"/>
      <c r="C27" s="55"/>
      <c r="D27" s="55"/>
      <c r="E27" s="55"/>
      <c r="F27" s="55"/>
      <c r="G27" s="55"/>
      <c r="H27" s="59"/>
      <c r="I27" s="59"/>
      <c r="J27" s="10"/>
      <c r="K27" s="43"/>
      <c r="N27" s="43"/>
      <c r="O27" s="43"/>
      <c r="P27" s="43"/>
    </row>
    <row r="28" spans="2:21" x14ac:dyDescent="0.3">
      <c r="B28" s="4"/>
      <c r="C28" s="55"/>
      <c r="D28" s="55"/>
      <c r="E28" s="55"/>
      <c r="F28" s="55"/>
      <c r="G28" s="55"/>
      <c r="H28" s="55"/>
      <c r="I28" s="26"/>
      <c r="J28" s="27"/>
      <c r="K28" s="43"/>
      <c r="L28" s="43"/>
      <c r="M28" s="43"/>
      <c r="N28" s="43"/>
      <c r="O28" s="43"/>
      <c r="P28" s="43"/>
    </row>
    <row r="29" spans="2:21" x14ac:dyDescent="0.3">
      <c r="B29" s="4"/>
      <c r="C29" s="55"/>
      <c r="D29" s="55"/>
      <c r="E29" s="55"/>
      <c r="F29" s="55"/>
      <c r="G29" s="55"/>
      <c r="H29" s="55"/>
      <c r="I29" s="23"/>
      <c r="J29" s="24"/>
      <c r="K29" s="43"/>
    </row>
    <row r="30" spans="2:21" x14ac:dyDescent="0.3">
      <c r="B30" s="4"/>
      <c r="C30" s="55"/>
      <c r="D30" s="55"/>
      <c r="E30" s="55"/>
      <c r="F30" s="55"/>
      <c r="G30" s="55"/>
      <c r="H30" s="126"/>
      <c r="I30" s="23"/>
      <c r="J30" s="24"/>
      <c r="K30" s="43"/>
    </row>
    <row r="31" spans="2:21" x14ac:dyDescent="0.3">
      <c r="B31" s="4"/>
      <c r="C31" s="55"/>
      <c r="D31" s="55"/>
      <c r="E31" s="59"/>
      <c r="F31" s="55"/>
      <c r="G31" s="55"/>
      <c r="H31" s="55"/>
      <c r="I31" s="23"/>
      <c r="J31" s="24"/>
      <c r="K31" s="43"/>
    </row>
    <row r="32" spans="2:21" x14ac:dyDescent="0.3">
      <c r="B32" s="4"/>
      <c r="C32" s="357"/>
      <c r="D32" s="55"/>
      <c r="E32" s="55"/>
      <c r="F32" s="55"/>
      <c r="G32" s="55"/>
      <c r="H32" s="55"/>
      <c r="I32" s="23"/>
      <c r="J32" s="24"/>
      <c r="K32" s="43"/>
      <c r="L32" s="43"/>
      <c r="M32" s="43"/>
      <c r="N32" s="43"/>
      <c r="O32" s="43"/>
      <c r="P32" s="43"/>
    </row>
    <row r="33" spans="2:16" ht="15.6" x14ac:dyDescent="0.3">
      <c r="B33" s="4"/>
      <c r="C33" s="81" t="str">
        <f>IF(B77=TRUE,"* Использовать холодильники","")</f>
        <v>* Использовать холодильники</v>
      </c>
      <c r="D33" s="55"/>
      <c r="E33" s="55"/>
      <c r="F33" s="55"/>
      <c r="G33" s="59"/>
      <c r="H33" s="55"/>
      <c r="I33" s="55"/>
      <c r="J33" s="24"/>
      <c r="K33" s="43"/>
      <c r="L33" s="416"/>
      <c r="M33" s="417"/>
      <c r="N33" s="60"/>
      <c r="O33" s="43"/>
      <c r="P33" s="43"/>
    </row>
    <row r="34" spans="2:16" ht="16.2" thickBot="1" x14ac:dyDescent="0.35">
      <c r="B34" s="19"/>
      <c r="C34" s="65"/>
      <c r="D34" s="20"/>
      <c r="E34" s="358"/>
      <c r="F34" s="20"/>
      <c r="G34" s="65"/>
      <c r="H34" s="20"/>
      <c r="I34" s="20"/>
      <c r="J34" s="76"/>
      <c r="K34" s="43"/>
      <c r="L34" s="43"/>
      <c r="M34" s="43"/>
      <c r="N34" s="43"/>
      <c r="O34" s="43"/>
      <c r="P34" s="43"/>
    </row>
    <row r="35" spans="2:16" x14ac:dyDescent="0.3">
      <c r="B35" s="4"/>
      <c r="C35" s="55" t="s">
        <v>264</v>
      </c>
      <c r="D35" s="55"/>
      <c r="E35" s="55"/>
      <c r="F35" s="53" t="s">
        <v>54</v>
      </c>
      <c r="G35" s="55"/>
      <c r="H35" s="55"/>
      <c r="I35" s="55"/>
      <c r="J35" s="10"/>
      <c r="K35" s="43"/>
      <c r="L35" s="43"/>
      <c r="M35" s="43"/>
      <c r="N35" s="43"/>
      <c r="O35" s="43"/>
      <c r="P35" s="43"/>
    </row>
    <row r="36" spans="2:16" x14ac:dyDescent="0.3">
      <c r="B36" s="4"/>
      <c r="C36" s="55" t="s">
        <v>60</v>
      </c>
      <c r="D36" s="55"/>
      <c r="E36" s="55"/>
      <c r="F36" s="52" t="s">
        <v>91</v>
      </c>
      <c r="G36" s="55"/>
      <c r="H36" s="55"/>
      <c r="I36" s="55"/>
      <c r="J36" s="10"/>
      <c r="K36" s="43"/>
      <c r="L36" s="43"/>
      <c r="M36" s="43"/>
      <c r="N36" s="43"/>
      <c r="O36" s="43"/>
      <c r="P36" s="43"/>
    </row>
    <row r="37" spans="2:16" x14ac:dyDescent="0.3">
      <c r="B37" s="4"/>
      <c r="C37" s="55" t="s">
        <v>55</v>
      </c>
      <c r="D37" s="55"/>
      <c r="E37" s="55"/>
      <c r="F37" s="53" t="s">
        <v>56</v>
      </c>
      <c r="G37" s="55"/>
      <c r="H37" s="55"/>
      <c r="I37" s="55"/>
      <c r="J37" s="10"/>
      <c r="K37" s="43"/>
      <c r="L37" s="43"/>
      <c r="M37" s="43"/>
      <c r="N37" s="43"/>
      <c r="O37" s="43"/>
      <c r="P37" s="43"/>
    </row>
    <row r="38" spans="2:16" x14ac:dyDescent="0.3">
      <c r="B38" s="4"/>
      <c r="C38" s="55" t="s">
        <v>947</v>
      </c>
      <c r="D38" s="55"/>
      <c r="E38" s="55"/>
      <c r="F38" s="478" t="str">
        <f>C77</f>
        <v>1080-1100</v>
      </c>
      <c r="G38" s="17" t="s">
        <v>92</v>
      </c>
      <c r="H38" s="55"/>
      <c r="I38" s="55"/>
      <c r="J38" s="10"/>
      <c r="K38" s="43"/>
      <c r="L38" s="43"/>
      <c r="M38" s="43"/>
      <c r="N38" s="43"/>
      <c r="O38" s="43"/>
      <c r="P38" s="43"/>
    </row>
    <row r="39" spans="2:16" x14ac:dyDescent="0.3">
      <c r="B39" s="4"/>
      <c r="C39" s="43" t="s">
        <v>437</v>
      </c>
      <c r="D39" s="43"/>
      <c r="E39" s="43"/>
      <c r="F39" s="44" t="s">
        <v>438</v>
      </c>
      <c r="G39" s="55"/>
      <c r="H39" s="55"/>
      <c r="I39" s="43"/>
      <c r="J39" s="10"/>
      <c r="K39" s="43"/>
      <c r="L39" s="43"/>
      <c r="M39" s="43"/>
      <c r="N39" s="43"/>
      <c r="O39" s="43"/>
      <c r="P39" s="43"/>
    </row>
    <row r="40" spans="2:16" x14ac:dyDescent="0.3">
      <c r="B40" s="4"/>
      <c r="C40" s="55" t="s">
        <v>50</v>
      </c>
      <c r="D40" s="55"/>
      <c r="E40" s="55"/>
      <c r="F40" s="53" t="str">
        <f>VLOOKUP(F7,Данные!A3:I27,6,FALSE())</f>
        <v>25010.00176</v>
      </c>
      <c r="G40" s="55"/>
      <c r="H40" s="55"/>
      <c r="I40" s="55"/>
      <c r="J40" s="10"/>
      <c r="K40" s="43"/>
      <c r="L40" s="43"/>
      <c r="M40" s="43"/>
      <c r="N40" s="43"/>
      <c r="O40" s="43"/>
      <c r="P40" s="43"/>
    </row>
    <row r="41" spans="2:16" x14ac:dyDescent="0.3">
      <c r="B41" s="4"/>
      <c r="C41" s="55" t="s">
        <v>52</v>
      </c>
      <c r="D41" s="55"/>
      <c r="E41" s="55"/>
      <c r="F41" s="53" t="s">
        <v>93</v>
      </c>
      <c r="G41" s="55"/>
      <c r="H41" s="55"/>
      <c r="I41" s="55"/>
      <c r="J41" s="10"/>
      <c r="K41" s="43"/>
      <c r="L41" s="43"/>
      <c r="M41" s="43"/>
      <c r="N41" s="43"/>
      <c r="O41" s="43"/>
      <c r="P41" s="43"/>
    </row>
    <row r="42" spans="2:16" x14ac:dyDescent="0.3">
      <c r="B42" s="4"/>
      <c r="C42" s="55" t="s">
        <v>94</v>
      </c>
      <c r="D42" s="55"/>
      <c r="E42" s="17"/>
      <c r="F42" s="44" t="s">
        <v>58</v>
      </c>
      <c r="G42" s="55"/>
      <c r="H42" s="55"/>
      <c r="I42" s="55"/>
      <c r="J42" s="10"/>
      <c r="K42" s="43"/>
      <c r="L42" s="43"/>
      <c r="M42" s="43"/>
      <c r="N42" s="43"/>
      <c r="O42" s="43"/>
      <c r="P42" s="43"/>
    </row>
    <row r="43" spans="2:16" ht="15" thickBot="1" x14ac:dyDescent="0.35">
      <c r="B43" s="4"/>
      <c r="C43" s="55" t="s">
        <v>66</v>
      </c>
      <c r="D43" s="55"/>
      <c r="E43" s="17"/>
      <c r="F43" s="17" t="s">
        <v>67</v>
      </c>
      <c r="G43" s="55"/>
      <c r="H43" s="55"/>
      <c r="I43" s="55"/>
      <c r="J43" s="10"/>
      <c r="K43" s="43"/>
      <c r="L43" s="43"/>
      <c r="M43" s="43"/>
      <c r="N43" s="43"/>
      <c r="O43" s="43"/>
      <c r="P43" s="43"/>
    </row>
    <row r="44" spans="2:16" ht="15" thickBot="1" x14ac:dyDescent="0.35">
      <c r="B44" s="12"/>
      <c r="C44" s="5" t="s">
        <v>68</v>
      </c>
      <c r="D44" s="13"/>
      <c r="E44" s="37" t="s">
        <v>69</v>
      </c>
      <c r="F44" s="38" t="s">
        <v>68</v>
      </c>
      <c r="G44" s="13"/>
      <c r="H44" s="5" t="s">
        <v>70</v>
      </c>
      <c r="I44" s="5"/>
      <c r="J44" s="13"/>
      <c r="K44" s="43"/>
      <c r="L44" s="43"/>
      <c r="M44" s="43"/>
      <c r="N44" s="43"/>
      <c r="O44" s="43"/>
      <c r="P44" s="43"/>
    </row>
    <row r="45" spans="2:16" ht="15" thickBot="1" x14ac:dyDescent="0.35">
      <c r="B45" s="1567">
        <f ca="1">TODAY()</f>
        <v>45414</v>
      </c>
      <c r="C45" s="1567"/>
      <c r="D45" s="3"/>
      <c r="E45" s="39"/>
      <c r="F45" s="1"/>
      <c r="G45" s="3"/>
      <c r="H45" s="2"/>
      <c r="I45" s="2"/>
      <c r="J45" s="3"/>
      <c r="K45" s="43"/>
      <c r="L45" s="43"/>
      <c r="M45" s="43"/>
      <c r="N45" s="43"/>
      <c r="O45" s="43"/>
      <c r="P45" s="43"/>
    </row>
    <row r="46" spans="2:16" ht="15" thickBot="1" x14ac:dyDescent="0.35">
      <c r="B46" s="77"/>
      <c r="C46" s="20" t="s">
        <v>71</v>
      </c>
      <c r="D46" s="3"/>
      <c r="E46" s="21"/>
      <c r="F46" s="20"/>
      <c r="G46" s="20"/>
      <c r="H46" s="20"/>
      <c r="I46" s="20"/>
      <c r="J46" s="40"/>
      <c r="K46" s="43"/>
      <c r="L46" s="43"/>
      <c r="M46" s="43"/>
      <c r="N46" s="43"/>
      <c r="O46" s="43"/>
      <c r="P46" s="43"/>
    </row>
    <row r="47" spans="2:16" ht="15" thickBot="1" x14ac:dyDescent="0.35">
      <c r="B47" s="4"/>
      <c r="C47" s="59"/>
      <c r="D47" s="59"/>
      <c r="E47" s="59"/>
      <c r="F47" s="59"/>
      <c r="G47" s="59"/>
      <c r="H47" s="59"/>
      <c r="I47" s="59"/>
      <c r="J47" s="10"/>
      <c r="K47" s="43"/>
      <c r="L47" s="43"/>
      <c r="M47" s="43"/>
      <c r="N47" s="43"/>
      <c r="O47" s="43"/>
      <c r="P47" s="43"/>
    </row>
    <row r="48" spans="2:16" x14ac:dyDescent="0.3">
      <c r="B48" s="108" t="s">
        <v>6</v>
      </c>
      <c r="C48" s="407"/>
      <c r="D48" s="408"/>
      <c r="E48" s="111" t="s">
        <v>297</v>
      </c>
      <c r="F48" s="112" t="s">
        <v>298</v>
      </c>
      <c r="G48" s="111" t="s">
        <v>298</v>
      </c>
      <c r="H48" s="111" t="s">
        <v>299</v>
      </c>
      <c r="I48" s="108" t="s">
        <v>300</v>
      </c>
      <c r="J48" s="408"/>
      <c r="K48" s="43"/>
      <c r="L48" s="43"/>
      <c r="M48" s="43"/>
      <c r="N48" s="43"/>
      <c r="O48" s="43"/>
      <c r="P48" s="43"/>
    </row>
    <row r="49" spans="1:23" ht="15" thickBot="1" x14ac:dyDescent="0.35">
      <c r="B49" s="113"/>
      <c r="C49" s="409" t="s">
        <v>301</v>
      </c>
      <c r="D49" s="410"/>
      <c r="E49" s="115" t="s">
        <v>302</v>
      </c>
      <c r="F49" s="115" t="s">
        <v>303</v>
      </c>
      <c r="G49" s="115" t="s">
        <v>304</v>
      </c>
      <c r="H49" s="115"/>
      <c r="I49" s="116" t="s">
        <v>305</v>
      </c>
      <c r="J49" s="410"/>
      <c r="K49" s="43"/>
      <c r="L49" s="140"/>
      <c r="M49" s="43"/>
      <c r="N49" s="43"/>
      <c r="O49" s="43"/>
      <c r="P49" s="43"/>
    </row>
    <row r="50" spans="1:23" ht="15" thickBot="1" x14ac:dyDescent="0.35">
      <c r="B50" s="113"/>
      <c r="C50" s="409" t="s">
        <v>405</v>
      </c>
      <c r="D50" s="409"/>
      <c r="E50" s="200">
        <v>40</v>
      </c>
      <c r="F50" s="201">
        <v>1</v>
      </c>
      <c r="G50" s="200">
        <v>20</v>
      </c>
      <c r="H50" s="200">
        <v>3</v>
      </c>
      <c r="I50" s="1525">
        <f ca="1">IF(B77=TRUE,ROUND($F11/K51,3),ROUND($F11/K52,3))</f>
        <v>4.0289999999999999</v>
      </c>
      <c r="J50" s="1526"/>
      <c r="K50" s="43"/>
      <c r="L50" s="140"/>
      <c r="M50" s="43"/>
      <c r="N50" s="43"/>
      <c r="O50" s="43"/>
      <c r="P50" s="43"/>
    </row>
    <row r="51" spans="1:23" x14ac:dyDescent="0.3">
      <c r="K51" s="43">
        <v>170</v>
      </c>
      <c r="L51" s="140"/>
      <c r="M51" s="43"/>
      <c r="N51" s="43"/>
      <c r="O51" s="43"/>
      <c r="P51" s="43"/>
    </row>
    <row r="52" spans="1:23" x14ac:dyDescent="0.3">
      <c r="K52" s="43">
        <v>200</v>
      </c>
      <c r="L52" s="60"/>
      <c r="M52" s="140"/>
      <c r="N52" s="140"/>
      <c r="O52" s="43"/>
      <c r="P52" s="43"/>
    </row>
    <row r="53" spans="1:23" s="43" customFormat="1" x14ac:dyDescent="0.3">
      <c r="A53" s="140"/>
      <c r="B53" s="140"/>
      <c r="C53" s="140"/>
      <c r="D53" s="140"/>
      <c r="E53" s="140"/>
      <c r="F53" s="140"/>
      <c r="G53" s="140"/>
      <c r="H53" s="140"/>
      <c r="I53" s="140"/>
      <c r="J53" s="140"/>
      <c r="K53" s="140"/>
      <c r="L53" s="6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</row>
    <row r="54" spans="1:23" s="43" customFormat="1" x14ac:dyDescent="0.3">
      <c r="A54" s="140"/>
      <c r="B54" s="140"/>
      <c r="C54" s="140"/>
      <c r="D54" s="140"/>
      <c r="E54" s="140"/>
      <c r="F54" s="140"/>
      <c r="G54" s="140"/>
      <c r="H54" s="140"/>
      <c r="I54" s="140"/>
      <c r="J54" s="140"/>
      <c r="K54" s="140"/>
      <c r="L54" s="6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</row>
    <row r="55" spans="1:23" x14ac:dyDescent="0.3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</row>
    <row r="56" spans="1:23" hidden="1" x14ac:dyDescent="0.3">
      <c r="A56" s="140"/>
      <c r="B56" s="140"/>
      <c r="C56" s="140"/>
      <c r="D56" s="140"/>
      <c r="E56" s="140"/>
      <c r="F56" s="140"/>
      <c r="G56" s="140"/>
      <c r="H56" s="140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</row>
    <row r="57" spans="1:23" ht="15.6" hidden="1" customHeight="1" x14ac:dyDescent="0.3">
      <c r="A57" s="140"/>
      <c r="B57" s="140"/>
      <c r="C57" s="140"/>
      <c r="D57" s="140"/>
      <c r="E57" s="140"/>
      <c r="F57" s="140"/>
      <c r="G57" s="140"/>
      <c r="H57" s="140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</row>
    <row r="58" spans="1:23" hidden="1" x14ac:dyDescent="0.3">
      <c r="A58" s="140"/>
      <c r="B58" s="140" t="s">
        <v>769</v>
      </c>
      <c r="C58" s="140" t="s">
        <v>771</v>
      </c>
      <c r="D58" s="140" t="s">
        <v>772</v>
      </c>
      <c r="E58" s="140" t="s">
        <v>189</v>
      </c>
      <c r="F58" s="140" t="s">
        <v>468</v>
      </c>
      <c r="G58" s="140" t="s">
        <v>770</v>
      </c>
      <c r="H58" s="140" t="s">
        <v>773</v>
      </c>
      <c r="I58" s="140" t="s">
        <v>774</v>
      </c>
      <c r="J58" s="140" t="s">
        <v>349</v>
      </c>
      <c r="K58" s="140" t="s">
        <v>775</v>
      </c>
      <c r="L58" s="140" t="s">
        <v>776</v>
      </c>
      <c r="M58" s="140" t="s">
        <v>777</v>
      </c>
      <c r="N58" s="140" t="s">
        <v>778</v>
      </c>
      <c r="O58" s="140" t="s">
        <v>779</v>
      </c>
      <c r="P58" s="140" t="s">
        <v>780</v>
      </c>
      <c r="Q58" s="140"/>
      <c r="R58" s="140" t="s">
        <v>4</v>
      </c>
      <c r="S58" s="140"/>
      <c r="T58" s="140"/>
      <c r="U58" s="140"/>
      <c r="V58" s="140"/>
      <c r="W58" s="140"/>
    </row>
    <row r="59" spans="1:23" hidden="1" x14ac:dyDescent="0.3">
      <c r="A59" s="140"/>
      <c r="B59" s="140">
        <v>1</v>
      </c>
      <c r="C59" s="140">
        <v>2</v>
      </c>
      <c r="D59" s="140">
        <v>3</v>
      </c>
      <c r="E59" s="140">
        <v>4</v>
      </c>
      <c r="F59" s="140">
        <v>5</v>
      </c>
      <c r="G59" s="140">
        <v>6</v>
      </c>
      <c r="H59" s="140">
        <v>7</v>
      </c>
      <c r="I59" s="140">
        <v>8</v>
      </c>
      <c r="J59" s="140">
        <v>9</v>
      </c>
      <c r="K59" s="140">
        <v>10</v>
      </c>
      <c r="L59" s="140">
        <v>11</v>
      </c>
      <c r="M59" s="140">
        <v>12</v>
      </c>
      <c r="N59" s="140">
        <v>13</v>
      </c>
      <c r="O59" s="140">
        <v>14</v>
      </c>
      <c r="P59" s="140">
        <v>15</v>
      </c>
      <c r="Q59" s="140"/>
      <c r="R59" s="140">
        <v>16</v>
      </c>
      <c r="S59" s="140"/>
      <c r="T59" s="140"/>
      <c r="U59" s="140"/>
      <c r="V59" s="140"/>
      <c r="W59" s="140"/>
    </row>
    <row r="60" spans="1:23" x14ac:dyDescent="0.3">
      <c r="A60" s="1253"/>
      <c r="B60" s="1253" t="str">
        <f>[1]Сухари!B2</f>
        <v>Деревянные модели сухарей</v>
      </c>
      <c r="C60" s="1253"/>
      <c r="D60" s="1253"/>
      <c r="E60" s="1253"/>
      <c r="F60" s="1253"/>
      <c r="G60" s="1253"/>
      <c r="H60" s="1253"/>
      <c r="I60" s="1253"/>
      <c r="J60" s="1253"/>
      <c r="K60" s="1253"/>
      <c r="L60" s="1253"/>
      <c r="M60" s="1253"/>
      <c r="N60" s="1253"/>
      <c r="O60" s="1253"/>
      <c r="P60" s="1253"/>
      <c r="Q60" s="1253"/>
      <c r="R60" s="1253"/>
      <c r="S60" s="1253"/>
      <c r="T60" s="1253"/>
      <c r="U60" s="1253"/>
      <c r="V60" s="1253"/>
      <c r="W60" s="140"/>
    </row>
    <row r="61" spans="1:23" x14ac:dyDescent="0.3">
      <c r="A61" s="1253"/>
      <c r="B61" s="1253" t="str">
        <f>[1]Сухари!B3</f>
        <v>Номер модели</v>
      </c>
      <c r="C61" s="1253" t="str">
        <f>[1]Сухари!C3</f>
        <v>Высота, Н</v>
      </c>
      <c r="D61" s="1253" t="str">
        <f>[1]Сухари!D3</f>
        <v>Высота прибыли, h1</v>
      </c>
      <c r="E61" s="1253" t="str">
        <f>[1]Сухари!E3</f>
        <v>Высота модели, h2</v>
      </c>
      <c r="F61" s="1253" t="str">
        <f>[1]Сухари!F3</f>
        <v>Ширина, L1</v>
      </c>
      <c r="G61" s="1253" t="str">
        <f>[1]Сухари!G3</f>
        <v>Ширина, L2</v>
      </c>
      <c r="H61" s="1253" t="str">
        <f>[1]Сухари!H3</f>
        <v>Ширина, L3</v>
      </c>
      <c r="I61" s="1253" t="str">
        <f>[1]Сухари!I3</f>
        <v>Толщина, L4</v>
      </c>
      <c r="J61" s="1253" t="str">
        <f>[1]Сухари!J3</f>
        <v>Толщина, L5</v>
      </c>
      <c r="K61" s="1253" t="str">
        <f>[1]Сухари!K3</f>
        <v>Толщина, L6</v>
      </c>
      <c r="L61" s="1253" t="str">
        <f>[1]Сухари!L3</f>
        <v>Толщина, L7</v>
      </c>
      <c r="M61" s="1253" t="str">
        <f>[1]Сухари!M3</f>
        <v>Толщина, L8</v>
      </c>
      <c r="N61" s="1253" t="str">
        <f>[1]Сухари!N3</f>
        <v>Толщина, L9</v>
      </c>
      <c r="O61" s="1253" t="str">
        <f>[1]Сухари!O3</f>
        <v>Толщина, L10</v>
      </c>
      <c r="P61" s="1253" t="str">
        <f>[1]Сухари!P3</f>
        <v>Толщина, L11</v>
      </c>
      <c r="Q61" s="1253" t="str">
        <f>[1]Сухари!Q3</f>
        <v>Толщина, L12</v>
      </c>
      <c r="R61" s="1253" t="s">
        <v>4</v>
      </c>
      <c r="S61" s="1253"/>
      <c r="T61" s="1253"/>
      <c r="U61" s="1253"/>
      <c r="V61" s="1253"/>
      <c r="W61" s="140"/>
    </row>
    <row r="62" spans="1:23" x14ac:dyDescent="0.3">
      <c r="A62" s="1253"/>
      <c r="B62" s="1253">
        <f>[1]Сухари!B4</f>
        <v>125</v>
      </c>
      <c r="C62" s="1253">
        <f>[1]Сухари!C4</f>
        <v>890</v>
      </c>
      <c r="D62" s="1253">
        <f>[1]Сухари!D4</f>
        <v>255</v>
      </c>
      <c r="E62" s="1253">
        <f>[1]Сухари!E4</f>
        <v>635</v>
      </c>
      <c r="F62" s="1253">
        <f>[1]Сухари!F4</f>
        <v>243</v>
      </c>
      <c r="G62" s="1253">
        <f>[1]Сухари!G4</f>
        <v>260</v>
      </c>
      <c r="H62" s="1253">
        <f>[1]Сухари!H4</f>
        <v>310</v>
      </c>
      <c r="I62" s="1253">
        <f>[1]Сухари!I4</f>
        <v>30</v>
      </c>
      <c r="J62" s="1253">
        <f>[1]Сухари!J4</f>
        <v>55</v>
      </c>
      <c r="K62" s="1253">
        <f>[1]Сухари!K4</f>
        <v>63</v>
      </c>
      <c r="L62" s="1253">
        <f>[1]Сухари!L4</f>
        <v>100</v>
      </c>
      <c r="M62" s="1253">
        <f>[1]Сухари!M4</f>
        <v>160</v>
      </c>
      <c r="N62" s="1253">
        <f>[1]Сухари!N4</f>
        <v>90</v>
      </c>
      <c r="O62" s="1253">
        <f>[1]Сухари!O4</f>
        <v>220</v>
      </c>
      <c r="P62" s="1253">
        <f>[1]Сухари!P4</f>
        <v>180</v>
      </c>
      <c r="Q62" s="1253">
        <f>[1]Сухари!Q4</f>
        <v>106</v>
      </c>
      <c r="R62" s="1253" t="s">
        <v>767</v>
      </c>
      <c r="S62" s="1253">
        <f>[1]Сухари!T4</f>
        <v>110</v>
      </c>
      <c r="T62" s="1253">
        <f>[1]Сухари!U4</f>
        <v>65.650000000000006</v>
      </c>
      <c r="U62" s="1253">
        <f>[1]Сухари!V4</f>
        <v>175.65</v>
      </c>
      <c r="V62" s="1253">
        <f>[1]Сухари!W4</f>
        <v>182.67600000000002</v>
      </c>
      <c r="W62" s="140"/>
    </row>
    <row r="63" spans="1:23" x14ac:dyDescent="0.3">
      <c r="A63" s="1253"/>
      <c r="B63" s="1253">
        <f>[1]Сухари!B5</f>
        <v>126</v>
      </c>
      <c r="C63" s="1253">
        <f>[1]Сухари!C5</f>
        <v>895</v>
      </c>
      <c r="D63" s="1253">
        <f>[1]Сухари!D5</f>
        <v>250</v>
      </c>
      <c r="E63" s="1253">
        <f>[1]Сухари!E5</f>
        <v>645</v>
      </c>
      <c r="F63" s="1253">
        <f>[1]Сухари!F5</f>
        <v>245</v>
      </c>
      <c r="G63" s="1253">
        <f>[1]Сухари!G5</f>
        <v>260</v>
      </c>
      <c r="H63" s="1253">
        <f>[1]Сухари!H5</f>
        <v>310</v>
      </c>
      <c r="I63" s="1253">
        <f>[1]Сухари!I5</f>
        <v>30</v>
      </c>
      <c r="J63" s="1253">
        <f>[1]Сухари!J5</f>
        <v>60</v>
      </c>
      <c r="K63" s="1253">
        <f>[1]Сухари!K5</f>
        <v>65</v>
      </c>
      <c r="L63" s="1253">
        <f>[1]Сухари!L5</f>
        <v>100</v>
      </c>
      <c r="M63" s="1253">
        <f>[1]Сухари!M5</f>
        <v>170</v>
      </c>
      <c r="N63" s="1253">
        <f>[1]Сухари!N5</f>
        <v>90</v>
      </c>
      <c r="O63" s="1253">
        <f>[1]Сухари!O5</f>
        <v>220</v>
      </c>
      <c r="P63" s="1253">
        <f>[1]Сухари!P5</f>
        <v>180</v>
      </c>
      <c r="Q63" s="1253">
        <f>[1]Сухари!Q5</f>
        <v>110</v>
      </c>
      <c r="R63" s="1253"/>
      <c r="S63" s="1253">
        <f>[1]Сухари!T5</f>
        <v>110</v>
      </c>
      <c r="T63" s="1253">
        <f>[1]Сухари!U5</f>
        <v>65.650000000000006</v>
      </c>
      <c r="U63" s="1253">
        <f>[1]Сухари!V5</f>
        <v>175.65</v>
      </c>
      <c r="V63" s="1253">
        <f>[1]Сухари!W5</f>
        <v>182.67600000000002</v>
      </c>
      <c r="W63" s="140"/>
    </row>
    <row r="64" spans="1:23" x14ac:dyDescent="0.3">
      <c r="A64" s="1253"/>
      <c r="B64" s="1253">
        <f>[1]Сухари!B6</f>
        <v>127</v>
      </c>
      <c r="C64" s="1253">
        <f>[1]Сухари!C6</f>
        <v>1840</v>
      </c>
      <c r="D64" s="1253">
        <f>[1]Сухари!D6</f>
        <v>510</v>
      </c>
      <c r="E64" s="1253">
        <f>[1]Сухари!E6</f>
        <v>1330</v>
      </c>
      <c r="F64" s="1253">
        <f>[1]Сухари!F6</f>
        <v>440</v>
      </c>
      <c r="G64" s="1253">
        <f>[1]Сухари!G6</f>
        <v>455</v>
      </c>
      <c r="H64" s="1253">
        <f>[1]Сухари!H6</f>
        <v>555</v>
      </c>
      <c r="I64" s="1253">
        <f>[1]Сухари!I6</f>
        <v>80</v>
      </c>
      <c r="J64" s="1253">
        <f>[1]Сухари!J6</f>
        <v>155</v>
      </c>
      <c r="K64" s="1253">
        <f>[1]Сухари!K6</f>
        <v>165</v>
      </c>
      <c r="L64" s="1253">
        <f>[1]Сухари!L6</f>
        <v>240</v>
      </c>
      <c r="M64" s="1253">
        <f>[1]Сухари!M6</f>
        <v>340</v>
      </c>
      <c r="N64" s="1253">
        <f>[1]Сухари!N6</f>
        <v>170</v>
      </c>
      <c r="O64" s="1253">
        <f>[1]Сухари!O6</f>
        <v>540</v>
      </c>
      <c r="P64" s="1253">
        <f>[1]Сухари!P6</f>
        <v>500</v>
      </c>
      <c r="Q64" s="1253">
        <f>[1]Сухари!Q6</f>
        <v>234</v>
      </c>
      <c r="R64" s="1253"/>
      <c r="S64" s="1253">
        <f>[1]Сухари!T6</f>
        <v>874.6</v>
      </c>
      <c r="T64" s="1253">
        <f>[1]Сухари!U6</f>
        <v>507.1</v>
      </c>
      <c r="U64" s="1253">
        <f>[1]Сухари!V6</f>
        <v>1381.7</v>
      </c>
      <c r="V64" s="1253">
        <f>[1]Сухари!W6</f>
        <v>1436.9680000000001</v>
      </c>
      <c r="W64" s="140"/>
    </row>
    <row r="65" spans="1:23" x14ac:dyDescent="0.3">
      <c r="A65" s="1253"/>
      <c r="B65" s="1253">
        <f>[1]Сухари!B7</f>
        <v>128</v>
      </c>
      <c r="C65" s="1253">
        <f>[1]Сухари!C7</f>
        <v>1670</v>
      </c>
      <c r="D65" s="1253">
        <f>[1]Сухари!D7</f>
        <v>420</v>
      </c>
      <c r="E65" s="1253">
        <f>[1]Сухари!E7</f>
        <v>1250</v>
      </c>
      <c r="F65" s="1253">
        <f>[1]Сухари!F7</f>
        <v>425</v>
      </c>
      <c r="G65" s="1253">
        <f>[1]Сухари!G7</f>
        <v>440</v>
      </c>
      <c r="H65" s="1253">
        <f>[1]Сухари!H7</f>
        <v>520</v>
      </c>
      <c r="I65" s="1253">
        <f>[1]Сухари!I7</f>
        <v>45</v>
      </c>
      <c r="J65" s="1253">
        <f>[1]Сухари!J7</f>
        <v>90</v>
      </c>
      <c r="K65" s="1253">
        <f>[1]Сухари!K7</f>
        <v>95</v>
      </c>
      <c r="L65" s="1253">
        <f>[1]Сухари!L7</f>
        <v>155</v>
      </c>
      <c r="M65" s="1253">
        <f>[1]Сухари!M7</f>
        <v>260</v>
      </c>
      <c r="N65" s="1253">
        <f>[1]Сухари!N7</f>
        <v>145</v>
      </c>
      <c r="O65" s="1253">
        <f>[1]Сухари!O7</f>
        <v>420</v>
      </c>
      <c r="P65" s="1253">
        <f>[1]Сухари!P7</f>
        <v>420</v>
      </c>
      <c r="Q65" s="1253">
        <f>[1]Сухари!Q7</f>
        <v>240</v>
      </c>
      <c r="R65" s="1253"/>
      <c r="S65" s="1253">
        <f>[1]Сухари!T7</f>
        <v>690</v>
      </c>
      <c r="T65" s="1253">
        <f>[1]Сухари!U7</f>
        <v>489</v>
      </c>
      <c r="U65" s="1253">
        <f>[1]Сухари!V7</f>
        <v>1179</v>
      </c>
      <c r="V65" s="1253">
        <f>[1]Сухари!W7</f>
        <v>1226.1600000000001</v>
      </c>
      <c r="W65" s="140"/>
    </row>
    <row r="66" spans="1:23" x14ac:dyDescent="0.3">
      <c r="A66" s="1253"/>
      <c r="B66" s="1253">
        <f>[1]Сухари!B8</f>
        <v>129</v>
      </c>
      <c r="C66" s="1253">
        <f>[1]Сухари!C8</f>
        <v>1170</v>
      </c>
      <c r="D66" s="1253">
        <f>[1]Сухари!D8</f>
        <v>320</v>
      </c>
      <c r="E66" s="1253">
        <f>[1]Сухари!E8</f>
        <v>850</v>
      </c>
      <c r="F66" s="1253">
        <f>[1]Сухари!F8</f>
        <v>315</v>
      </c>
      <c r="G66" s="1253">
        <f>[1]Сухари!G8</f>
        <v>330</v>
      </c>
      <c r="H66" s="1253">
        <f>[1]Сухари!H8</f>
        <v>390</v>
      </c>
      <c r="I66" s="1253">
        <f>[1]Сухари!I8</f>
        <v>60</v>
      </c>
      <c r="J66" s="1253">
        <f>[1]Сухари!J8</f>
        <v>90</v>
      </c>
      <c r="K66" s="1253">
        <f>[1]Сухари!K8</f>
        <v>100</v>
      </c>
      <c r="L66" s="1253">
        <f>[1]Сухари!L8</f>
        <v>140</v>
      </c>
      <c r="M66" s="1253">
        <f>[1]Сухари!M8</f>
        <v>220</v>
      </c>
      <c r="N66" s="1253">
        <f>[1]Сухари!N8</f>
        <v>120</v>
      </c>
      <c r="O66" s="1253">
        <f>[1]Сухари!O8</f>
        <v>290</v>
      </c>
      <c r="P66" s="1253">
        <f>[1]Сухари!P8</f>
        <v>280</v>
      </c>
      <c r="Q66" s="1253">
        <f>[1]Сухари!Q8</f>
        <v>164</v>
      </c>
      <c r="R66" s="1253"/>
      <c r="S66" s="1253">
        <f>[1]Сухари!T8</f>
        <v>1</v>
      </c>
      <c r="T66" s="1253">
        <f>[1]Сухари!U8</f>
        <v>1</v>
      </c>
      <c r="U66" s="1253">
        <f>[1]Сухари!V8</f>
        <v>1</v>
      </c>
      <c r="V66" s="1253">
        <f>[1]Сухари!W8</f>
        <v>1</v>
      </c>
      <c r="W66" s="140"/>
    </row>
    <row r="67" spans="1:23" x14ac:dyDescent="0.3">
      <c r="A67" s="1253"/>
      <c r="B67" s="1253">
        <f>[1]Сухари!B9</f>
        <v>130</v>
      </c>
      <c r="C67" s="1253">
        <f>[1]Сухари!C9</f>
        <v>1150</v>
      </c>
      <c r="D67" s="1253">
        <f>[1]Сухари!D9</f>
        <v>350</v>
      </c>
      <c r="E67" s="1253">
        <f>[1]Сухари!E9</f>
        <v>800</v>
      </c>
      <c r="F67" s="1253">
        <f>[1]Сухари!F9</f>
        <v>300</v>
      </c>
      <c r="G67" s="1253">
        <f>[1]Сухари!G9</f>
        <v>310</v>
      </c>
      <c r="H67" s="1253">
        <f>[1]Сухари!H9</f>
        <v>390</v>
      </c>
      <c r="I67" s="1253">
        <f>[1]Сухари!I9</f>
        <v>15</v>
      </c>
      <c r="J67" s="1253">
        <f>[1]Сухари!J9</f>
        <v>95</v>
      </c>
      <c r="K67" s="1253">
        <f>[1]Сухари!K9</f>
        <v>100</v>
      </c>
      <c r="L67" s="1253">
        <f>[1]Сухари!L9</f>
        <v>115</v>
      </c>
      <c r="M67" s="1253">
        <f>[1]Сухари!M9</f>
        <v>190</v>
      </c>
      <c r="N67" s="1253">
        <f>[1]Сухари!N9</f>
        <v>120</v>
      </c>
      <c r="O67" s="1253">
        <f>[1]Сухари!O9</f>
        <v>260</v>
      </c>
      <c r="P67" s="1253">
        <f>[1]Сухари!P9</f>
        <v>255</v>
      </c>
      <c r="Q67" s="1253">
        <f>[1]Сухари!Q9</f>
        <v>152.5</v>
      </c>
      <c r="R67" s="1253"/>
      <c r="S67" s="1253">
        <f>[1]Сухари!T9</f>
        <v>228</v>
      </c>
      <c r="T67" s="1253">
        <f>[1]Сухари!U9</f>
        <v>160</v>
      </c>
      <c r="U67" s="1253">
        <f>[1]Сухари!V9</f>
        <v>388</v>
      </c>
      <c r="V67" s="1253">
        <f>[1]Сухари!W9</f>
        <v>403.52000000000004</v>
      </c>
      <c r="W67" s="140"/>
    </row>
    <row r="68" spans="1:23" x14ac:dyDescent="0.3">
      <c r="A68" s="1253"/>
      <c r="B68" s="1253">
        <f>[1]Сухари!B10</f>
        <v>131</v>
      </c>
      <c r="C68" s="1253">
        <f>[1]Сухари!C10</f>
        <v>1075</v>
      </c>
      <c r="D68" s="1253">
        <f>[1]Сухари!D10</f>
        <v>330</v>
      </c>
      <c r="E68" s="1253">
        <f>[1]Сухари!E10</f>
        <v>745</v>
      </c>
      <c r="F68" s="1253">
        <f>[1]Сухари!F10</f>
        <v>260</v>
      </c>
      <c r="G68" s="1253">
        <f>[1]Сухари!G10</f>
        <v>270</v>
      </c>
      <c r="H68" s="1253">
        <f>[1]Сухари!H10</f>
        <v>335</v>
      </c>
      <c r="I68" s="1253">
        <f>[1]Сухари!I10</f>
        <v>55</v>
      </c>
      <c r="J68" s="1253">
        <f>[1]Сухари!J10</f>
        <v>75</v>
      </c>
      <c r="K68" s="1253">
        <f>[1]Сухари!K10</f>
        <v>85</v>
      </c>
      <c r="L68" s="1253">
        <f>[1]Сухари!L10</f>
        <v>150</v>
      </c>
      <c r="M68" s="1253">
        <f>[1]Сухари!M10</f>
        <v>220</v>
      </c>
      <c r="N68" s="1253">
        <f>[1]Сухари!N10</f>
        <v>100</v>
      </c>
      <c r="O68" s="1253">
        <f>[1]Сухари!O10</f>
        <v>260</v>
      </c>
      <c r="P68" s="1253">
        <f>[1]Сухари!P10</f>
        <v>230</v>
      </c>
      <c r="Q68" s="1253">
        <f>[1]Сухари!Q10</f>
        <v>129</v>
      </c>
      <c r="R68" s="1253"/>
      <c r="S68" s="1253">
        <f>[1]Сухари!T10</f>
        <v>170</v>
      </c>
      <c r="T68" s="1253">
        <f>[1]Сухари!U10</f>
        <v>121.22</v>
      </c>
      <c r="U68" s="1253">
        <f>[1]Сухари!V10</f>
        <v>291.22000000000003</v>
      </c>
      <c r="V68" s="1253">
        <f>[1]Сухари!W10</f>
        <v>302.86880000000002</v>
      </c>
      <c r="W68" s="140"/>
    </row>
    <row r="69" spans="1:23" x14ac:dyDescent="0.3">
      <c r="A69" s="1253"/>
      <c r="B69" s="1253">
        <f>[1]Сухари!B11</f>
        <v>132</v>
      </c>
      <c r="C69" s="1253">
        <f>[1]Сухари!C11</f>
        <v>1045</v>
      </c>
      <c r="D69" s="1253">
        <f>[1]Сухари!D11</f>
        <v>330</v>
      </c>
      <c r="E69" s="1253">
        <f>[1]Сухари!E11</f>
        <v>715</v>
      </c>
      <c r="F69" s="1253">
        <f>[1]Сухари!F11</f>
        <v>325</v>
      </c>
      <c r="G69" s="1253">
        <f>[1]Сухари!G11</f>
        <v>340</v>
      </c>
      <c r="H69" s="1253">
        <f>[1]Сухари!H11</f>
        <v>410</v>
      </c>
      <c r="I69" s="1253">
        <f>[1]Сухари!I11</f>
        <v>75</v>
      </c>
      <c r="J69" s="1253">
        <f>[1]Сухари!J11</f>
        <v>105</v>
      </c>
      <c r="K69" s="1253">
        <f>[1]Сухари!K11</f>
        <v>105</v>
      </c>
      <c r="L69" s="1253">
        <f>[1]Сухари!L11</f>
        <v>180</v>
      </c>
      <c r="M69" s="1253">
        <f>[1]Сухари!M11</f>
        <v>240</v>
      </c>
      <c r="N69" s="1253">
        <f>[1]Сухари!N11</f>
        <v>125</v>
      </c>
      <c r="O69" s="1253">
        <f>[1]Сухари!O11</f>
        <v>175</v>
      </c>
      <c r="P69" s="1253">
        <f>[1]Сухари!P11</f>
        <v>160</v>
      </c>
      <c r="Q69" s="1253">
        <f>[1]Сухари!Q11</f>
        <v>0</v>
      </c>
      <c r="R69" s="1253"/>
      <c r="S69" s="1253">
        <f>[1]Сухари!T11</f>
        <v>1</v>
      </c>
      <c r="T69" s="1253">
        <f>[1]Сухари!U11</f>
        <v>1</v>
      </c>
      <c r="U69" s="1253">
        <f>[1]Сухари!V11</f>
        <v>1</v>
      </c>
      <c r="V69" s="1253">
        <f>[1]Сухари!W11</f>
        <v>1</v>
      </c>
      <c r="W69" s="140"/>
    </row>
    <row r="70" spans="1:23" x14ac:dyDescent="0.3">
      <c r="A70" s="1253"/>
      <c r="B70" s="1253">
        <f>[1]Сухари!B12</f>
        <v>133</v>
      </c>
      <c r="C70" s="1253">
        <f>[1]Сухари!C12</f>
        <v>1350</v>
      </c>
      <c r="D70" s="1253">
        <f>[1]Сухари!D12</f>
        <v>370</v>
      </c>
      <c r="E70" s="1253">
        <f>[1]Сухари!E12</f>
        <v>980</v>
      </c>
      <c r="F70" s="1253">
        <f>[1]Сухари!F12</f>
        <v>340</v>
      </c>
      <c r="G70" s="1253">
        <f>[1]Сухари!G12</f>
        <v>355</v>
      </c>
      <c r="H70" s="1253">
        <f>[1]Сухари!H12</f>
        <v>420</v>
      </c>
      <c r="I70" s="1253">
        <f>[1]Сухари!I12</f>
        <v>65</v>
      </c>
      <c r="J70" s="1253">
        <f>[1]Сухари!J12</f>
        <v>110</v>
      </c>
      <c r="K70" s="1253">
        <f>[1]Сухари!K12</f>
        <v>115</v>
      </c>
      <c r="L70" s="1253">
        <f>[1]Сухари!L12</f>
        <v>160</v>
      </c>
      <c r="M70" s="1253">
        <f>[1]Сухари!M12</f>
        <v>250</v>
      </c>
      <c r="N70" s="1253">
        <f>[1]Сухари!N12</f>
        <v>140</v>
      </c>
      <c r="O70" s="1253">
        <f>[1]Сухари!O12</f>
        <v>350</v>
      </c>
      <c r="P70" s="1253">
        <f>[1]Сухари!P12</f>
        <v>300</v>
      </c>
      <c r="Q70" s="1253">
        <f>[1]Сухари!Q12</f>
        <v>197.5</v>
      </c>
      <c r="R70" s="1253"/>
      <c r="S70" s="1253">
        <f>[1]Сухари!T12</f>
        <v>385.9</v>
      </c>
      <c r="T70" s="1253">
        <f>[1]Сухари!U12</f>
        <v>214.2</v>
      </c>
      <c r="U70" s="1253">
        <f>[1]Сухари!V12</f>
        <v>600.09999999999991</v>
      </c>
      <c r="V70" s="1253">
        <f>[1]Сухари!W12</f>
        <v>624.10399999999993</v>
      </c>
      <c r="W70" s="140"/>
    </row>
    <row r="71" spans="1:23" x14ac:dyDescent="0.3">
      <c r="A71" s="1253"/>
      <c r="B71" s="1253">
        <f>[1]Сухари!B13</f>
        <v>134</v>
      </c>
      <c r="C71" s="1253">
        <f>[1]Сухари!C13</f>
        <v>1450</v>
      </c>
      <c r="D71" s="1253">
        <f>[1]Сухари!D13</f>
        <v>390</v>
      </c>
      <c r="E71" s="1253">
        <f>[1]Сухари!E13</f>
        <v>1060</v>
      </c>
      <c r="F71" s="1253">
        <f>[1]Сухари!F13</f>
        <v>355</v>
      </c>
      <c r="G71" s="1253">
        <f>[1]Сухари!G13</f>
        <v>380</v>
      </c>
      <c r="H71" s="1253">
        <f>[1]Сухари!H13</f>
        <v>450</v>
      </c>
      <c r="I71" s="1253">
        <f>[1]Сухари!I13</f>
        <v>83</v>
      </c>
      <c r="J71" s="1253">
        <f>[1]Сухари!J13</f>
        <v>170</v>
      </c>
      <c r="K71" s="1253">
        <f>[1]Сухари!K13</f>
        <v>190</v>
      </c>
      <c r="L71" s="1253">
        <f>[1]Сухари!L13</f>
        <v>180</v>
      </c>
      <c r="M71" s="1253">
        <f>[1]Сухари!M13</f>
        <v>260</v>
      </c>
      <c r="N71" s="1253">
        <f>[1]Сухари!N13</f>
        <v>150</v>
      </c>
      <c r="O71" s="1253">
        <f>[1]Сухари!O13</f>
        <v>350</v>
      </c>
      <c r="P71" s="1253">
        <f>[1]Сухари!P13</f>
        <v>320</v>
      </c>
      <c r="Q71" s="1253">
        <f>[1]Сухари!Q13</f>
        <v>202.5</v>
      </c>
      <c r="R71" s="1253"/>
      <c r="S71" s="1253">
        <f>[1]Сухари!T13</f>
        <v>438.3</v>
      </c>
      <c r="T71" s="1253">
        <f>[1]Сухари!U13</f>
        <v>246.3</v>
      </c>
      <c r="U71" s="1253">
        <f>[1]Сухари!V13</f>
        <v>684.6</v>
      </c>
      <c r="V71" s="1253">
        <f>[1]Сухари!W13</f>
        <v>711.98400000000004</v>
      </c>
      <c r="W71" s="140"/>
    </row>
    <row r="72" spans="1:23" x14ac:dyDescent="0.3">
      <c r="A72" s="1253"/>
      <c r="B72" s="1253">
        <f>[1]Сухари!B14</f>
        <v>135</v>
      </c>
      <c r="C72" s="1253">
        <f>[1]Сухари!C14</f>
        <v>1350</v>
      </c>
      <c r="D72" s="1253">
        <f>[1]Сухари!D14</f>
        <v>380</v>
      </c>
      <c r="E72" s="1253">
        <f>[1]Сухари!E14</f>
        <v>970</v>
      </c>
      <c r="F72" s="1253">
        <f>[1]Сухари!F14</f>
        <v>340</v>
      </c>
      <c r="G72" s="1253">
        <f>[1]Сухари!G14</f>
        <v>360</v>
      </c>
      <c r="H72" s="1253">
        <f>[1]Сухари!H14</f>
        <v>430</v>
      </c>
      <c r="I72" s="1253">
        <f>[1]Сухари!I14</f>
        <v>63</v>
      </c>
      <c r="J72" s="1253">
        <f>[1]Сухари!J14</f>
        <v>108</v>
      </c>
      <c r="K72" s="1253">
        <f>[1]Сухари!K14</f>
        <v>118</v>
      </c>
      <c r="L72" s="1253">
        <f>[1]Сухари!L14</f>
        <v>158</v>
      </c>
      <c r="M72" s="1253">
        <f>[1]Сухари!M14</f>
        <v>248</v>
      </c>
      <c r="N72" s="1253">
        <f>[1]Сухари!N14</f>
        <v>130</v>
      </c>
      <c r="O72" s="1253">
        <f>[1]Сухари!O14</f>
        <v>350</v>
      </c>
      <c r="P72" s="1253">
        <f>[1]Сухари!P14</f>
        <v>320</v>
      </c>
      <c r="Q72" s="1253">
        <f>[1]Сухари!Q14</f>
        <v>168</v>
      </c>
      <c r="R72" s="1253"/>
      <c r="S72" s="1253">
        <f>[1]Сухари!T14</f>
        <v>349</v>
      </c>
      <c r="T72" s="1253">
        <f>[1]Сухари!U14</f>
        <v>209.7</v>
      </c>
      <c r="U72" s="1253">
        <f>[1]Сухари!V14</f>
        <v>558.70000000000005</v>
      </c>
      <c r="V72" s="1253">
        <f>[1]Сухари!W14</f>
        <v>581.04800000000012</v>
      </c>
      <c r="W72" s="140"/>
    </row>
    <row r="73" spans="1:23" x14ac:dyDescent="0.3">
      <c r="A73" s="1253"/>
      <c r="B73" s="1253">
        <f>[1]Сухари!B15</f>
        <v>136</v>
      </c>
      <c r="C73" s="1253">
        <f>[1]Сухари!C15</f>
        <v>1280</v>
      </c>
      <c r="D73" s="1253">
        <f>[1]Сухари!D15</f>
        <v>380</v>
      </c>
      <c r="E73" s="1253">
        <f>[1]Сухари!E15</f>
        <v>900</v>
      </c>
      <c r="F73" s="1253">
        <f>[1]Сухари!F15</f>
        <v>405</v>
      </c>
      <c r="G73" s="1253">
        <f>[1]Сухари!G15</f>
        <v>420</v>
      </c>
      <c r="H73" s="1253">
        <f>[1]Сухари!H15</f>
        <v>500</v>
      </c>
      <c r="I73" s="1253">
        <f>[1]Сухари!I15</f>
        <v>35</v>
      </c>
      <c r="J73" s="1253">
        <f>[1]Сухари!J15</f>
        <v>65</v>
      </c>
      <c r="K73" s="1253">
        <f>[1]Сухари!K15</f>
        <v>75</v>
      </c>
      <c r="L73" s="1253">
        <f>[1]Сухари!L15</f>
        <v>130</v>
      </c>
      <c r="M73" s="1253">
        <f>[1]Сухари!M15</f>
        <v>200</v>
      </c>
      <c r="N73" s="1253">
        <f>[1]Сухари!N15</f>
        <v>130</v>
      </c>
      <c r="O73" s="1253">
        <f>[1]Сухари!O15</f>
        <v>310</v>
      </c>
      <c r="P73" s="1253">
        <f>[1]Сухари!P15</f>
        <v>250</v>
      </c>
      <c r="Q73" s="1253">
        <f>[1]Сухари!Q15</f>
        <v>164</v>
      </c>
      <c r="R73" s="1253"/>
      <c r="S73" s="1253">
        <f>[1]Сухари!T15</f>
        <v>329</v>
      </c>
      <c r="T73" s="1253">
        <f>[1]Сухари!U15</f>
        <v>213</v>
      </c>
      <c r="U73" s="1253">
        <f>[1]Сухари!V15</f>
        <v>542</v>
      </c>
      <c r="V73" s="1253">
        <f>[1]Сухари!W15</f>
        <v>563.68000000000006</v>
      </c>
      <c r="W73" s="140"/>
    </row>
    <row r="74" spans="1:23" x14ac:dyDescent="0.3">
      <c r="A74" s="1253"/>
      <c r="B74" s="1253">
        <f>[1]Сухари!B16</f>
        <v>137</v>
      </c>
      <c r="C74" s="1253">
        <f>[1]Сухари!C16</f>
        <v>1770</v>
      </c>
      <c r="D74" s="1253">
        <f>[1]Сухари!D16</f>
        <v>470</v>
      </c>
      <c r="E74" s="1253">
        <f>[1]Сухари!E16</f>
        <v>1300</v>
      </c>
      <c r="F74" s="1253">
        <f>[1]Сухари!F16</f>
        <v>480</v>
      </c>
      <c r="G74" s="1253">
        <f>[1]Сухари!G16</f>
        <v>500</v>
      </c>
      <c r="H74" s="1253">
        <f>[1]Сухари!H16</f>
        <v>555</v>
      </c>
      <c r="I74" s="1253">
        <f>[1]Сухари!I16</f>
        <v>100</v>
      </c>
      <c r="J74" s="1253">
        <f>[1]Сухари!J16</f>
        <v>160</v>
      </c>
      <c r="K74" s="1253">
        <f>[1]Сухари!K16</f>
        <v>170</v>
      </c>
      <c r="L74" s="1253">
        <f>[1]Сухари!L16</f>
        <v>310</v>
      </c>
      <c r="M74" s="1253">
        <f>[1]Сухари!M16</f>
        <v>430</v>
      </c>
      <c r="N74" s="1253">
        <f>[1]Сухари!N16</f>
        <v>160</v>
      </c>
      <c r="O74" s="1253">
        <f>[1]Сухари!O16</f>
        <v>400</v>
      </c>
      <c r="P74" s="1253">
        <f>[1]Сухари!P16</f>
        <v>400</v>
      </c>
      <c r="Q74" s="1253">
        <f>[1]Сухари!Q16</f>
        <v>177.5</v>
      </c>
      <c r="R74" s="1253"/>
      <c r="S74" s="1253">
        <f>[1]Сухари!T16</f>
        <v>937.6</v>
      </c>
      <c r="T74" s="1253">
        <f>[1]Сухари!U16</f>
        <v>563.4</v>
      </c>
      <c r="U74" s="1253">
        <f>[1]Сухари!V16</f>
        <v>1501</v>
      </c>
      <c r="V74" s="1253">
        <f>[1]Сухари!W16</f>
        <v>1561.04</v>
      </c>
      <c r="W74" s="140"/>
    </row>
    <row r="75" spans="1:23" x14ac:dyDescent="0.3">
      <c r="A75" s="1253"/>
      <c r="B75" s="1253"/>
      <c r="C75" s="1253"/>
      <c r="D75" s="1253"/>
      <c r="E75" s="1253"/>
      <c r="F75" s="1253"/>
      <c r="G75" s="1253"/>
      <c r="H75" s="1253"/>
      <c r="I75" s="1253"/>
      <c r="J75" s="1253"/>
      <c r="K75" s="1253"/>
      <c r="L75" s="1253"/>
      <c r="M75" s="1253"/>
      <c r="N75" s="1253"/>
      <c r="O75" s="1253"/>
      <c r="P75" s="1253"/>
      <c r="Q75" s="1253"/>
      <c r="R75" s="1253"/>
      <c r="S75" s="1253"/>
      <c r="T75" s="1253"/>
      <c r="U75" s="1253"/>
      <c r="V75" s="1253"/>
      <c r="W75" s="140"/>
    </row>
    <row r="76" spans="1:23" x14ac:dyDescent="0.3">
      <c r="A76" s="1253"/>
      <c r="B76" s="1253"/>
      <c r="C76" s="1253"/>
      <c r="D76" s="1253"/>
      <c r="E76" s="1253"/>
      <c r="F76" s="1253"/>
      <c r="G76" s="1253"/>
      <c r="H76" s="1253"/>
      <c r="I76" s="1253"/>
      <c r="J76" s="1253"/>
      <c r="K76" s="1253"/>
      <c r="L76" s="1253"/>
      <c r="M76" s="1253"/>
      <c r="N76" s="1253"/>
      <c r="O76" s="1253"/>
      <c r="P76" s="1253"/>
      <c r="Q76" s="1253"/>
      <c r="R76" s="1253"/>
      <c r="S76" s="1253"/>
      <c r="T76" s="1253"/>
      <c r="U76" s="1253"/>
      <c r="V76" s="1253"/>
      <c r="W76" s="140"/>
    </row>
    <row r="77" spans="1:23" x14ac:dyDescent="0.3">
      <c r="A77" s="140"/>
      <c r="B77" s="140" t="b">
        <v>1</v>
      </c>
      <c r="C77" s="140" t="str">
        <f>_xlfn.IFS(B77=TRUE,VLOOKUP(F7,Данные!A3:E22,5),M5&lt;16,VLOOKUP(F7,Данные!A3:E22,2),OR(M5&gt;=16,M5&lt;40),VLOOKUP(F7,Данные!A3:E22,3),M5&gt;=40,VLOOKUP(F7,Данные!A3:E22,4))</f>
        <v>1080-1100</v>
      </c>
      <c r="D77" s="140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</row>
    <row r="78" spans="1:23" x14ac:dyDescent="0.3">
      <c r="A78" s="140"/>
      <c r="B78" s="140"/>
      <c r="C78" s="140"/>
      <c r="D78" s="140"/>
      <c r="E78" s="140"/>
      <c r="F78" s="140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</row>
    <row r="79" spans="1:23" x14ac:dyDescent="0.3">
      <c r="A79" s="140"/>
      <c r="B79" s="140"/>
      <c r="C79" s="140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1:23" x14ac:dyDescent="0.3">
      <c r="A80" s="140"/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</row>
    <row r="81" spans="1:23" x14ac:dyDescent="0.3">
      <c r="A81" s="140"/>
      <c r="B81" s="140"/>
      <c r="C81" s="140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1:23" x14ac:dyDescent="0.3">
      <c r="A82" s="140"/>
      <c r="B82" s="140"/>
      <c r="C82" s="140"/>
      <c r="D82" s="140"/>
      <c r="E82" s="140"/>
      <c r="F82" s="140"/>
      <c r="G82" s="140"/>
      <c r="H82" s="140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</row>
  </sheetData>
  <mergeCells count="6">
    <mergeCell ref="B45:C45"/>
    <mergeCell ref="I50:J50"/>
    <mergeCell ref="H15:J15"/>
    <mergeCell ref="L22:P22"/>
    <mergeCell ref="L23:P23"/>
    <mergeCell ref="L24:P24"/>
  </mergeCells>
  <dataValidations disablePrompts="1" count="1">
    <dataValidation type="list" allowBlank="1" showInputMessage="1" showErrorMessage="1" sqref="J3" xr:uid="{CCCBC1D9-1116-44FF-919C-6428CB9F81E0}">
      <formula1>$B$62:$B$74</formula1>
    </dataValidation>
  </dataValidations>
  <pageMargins left="0.7" right="0.7" top="0.75" bottom="0.75" header="0.3" footer="0.3"/>
  <pageSetup paperSize="9" scale="41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Check Box 1">
              <controlPr defaultSize="0" autoFill="0" autoLine="0" autoPict="0">
                <anchor moveWithCells="1">
                  <from>
                    <xdr:col>12</xdr:col>
                    <xdr:colOff>480060</xdr:colOff>
                    <xdr:row>18</xdr:row>
                    <xdr:rowOff>7620</xdr:rowOff>
                  </from>
                  <to>
                    <xdr:col>13</xdr:col>
                    <xdr:colOff>30480</xdr:colOff>
                    <xdr:row>19</xdr:row>
                    <xdr:rowOff>7620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790806EF-BB51-4387-AF50-93BBB42957B3}">
          <x14:formula1>
            <xm:f>Данные!$A$3:$A$25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F55D-B1E3-410E-B284-CDC5DF4A4DB7}">
  <sheetPr codeName="Лист1"/>
  <dimension ref="A1:BF100"/>
  <sheetViews>
    <sheetView showGridLines="0" zoomScale="85" zoomScaleNormal="85" workbookViewId="0">
      <selection activeCell="X24" sqref="X24"/>
    </sheetView>
  </sheetViews>
  <sheetFormatPr defaultRowHeight="14.4" x14ac:dyDescent="0.3"/>
  <cols>
    <col min="1" max="1" width="2.6640625" customWidth="1"/>
    <col min="2" max="2" width="2.6640625" style="43" customWidth="1"/>
    <col min="3" max="3" width="6.21875" style="43" customWidth="1"/>
    <col min="4" max="4" width="6.33203125" style="43" customWidth="1"/>
    <col min="5" max="5" width="10" style="43" customWidth="1"/>
    <col min="6" max="6" width="7" style="43" customWidth="1"/>
    <col min="7" max="8" width="11.21875" style="43" customWidth="1"/>
    <col min="9" max="9" width="14.6640625" style="43" customWidth="1"/>
    <col min="10" max="10" width="10.44140625" style="43" customWidth="1"/>
    <col min="11" max="11" width="3" style="43" customWidth="1"/>
    <col min="12" max="12" width="8.88671875" style="1413" customWidth="1"/>
    <col min="13" max="13" width="4.109375" style="1413" customWidth="1"/>
    <col min="14" max="14" width="11.44140625" style="1413" customWidth="1"/>
    <col min="15" max="15" width="3.21875" style="43" customWidth="1"/>
    <col min="16" max="16" width="2.109375" customWidth="1"/>
    <col min="18" max="18" width="5.88671875" customWidth="1"/>
    <col min="19" max="19" width="10.6640625" customWidth="1"/>
    <col min="20" max="20" width="8.88671875" customWidth="1"/>
    <col min="21" max="21" width="10.77734375" customWidth="1"/>
    <col min="22" max="22" width="3" style="43" customWidth="1"/>
    <col min="23" max="23" width="7.88671875" customWidth="1"/>
    <col min="24" max="24" width="13.88671875" customWidth="1"/>
    <col min="25" max="25" width="10.109375" customWidth="1"/>
    <col min="26" max="26" width="3" customWidth="1"/>
    <col min="27" max="27" width="12.44140625" customWidth="1"/>
    <col min="28" max="28" width="3.21875" customWidth="1"/>
    <col min="29" max="29" width="10.77734375" customWidth="1"/>
    <col min="30" max="30" width="3" customWidth="1"/>
    <col min="31" max="31" width="2.6640625" customWidth="1"/>
    <col min="34" max="34" width="9.6640625" customWidth="1"/>
    <col min="36" max="36" width="10.33203125" customWidth="1"/>
    <col min="37" max="37" width="7.21875" customWidth="1"/>
    <col min="38" max="38" width="7.5546875" customWidth="1"/>
    <col min="39" max="39" width="9.33203125" customWidth="1"/>
    <col min="40" max="40" width="2.44140625" customWidth="1"/>
    <col min="41" max="41" width="10.33203125" customWidth="1"/>
    <col min="42" max="42" width="2.33203125" customWidth="1"/>
    <col min="43" max="43" width="11.21875" customWidth="1"/>
    <col min="44" max="44" width="3" customWidth="1"/>
    <col min="45" max="45" width="4.33203125" customWidth="1"/>
    <col min="54" max="54" width="2.44140625" customWidth="1"/>
    <col min="56" max="56" width="3.109375" customWidth="1"/>
    <col min="57" max="57" width="10.77734375" customWidth="1"/>
  </cols>
  <sheetData>
    <row r="1" spans="1:57" ht="15.6" x14ac:dyDescent="0.3">
      <c r="A1" t="b">
        <v>1</v>
      </c>
      <c r="P1" s="43"/>
      <c r="Q1" s="43"/>
      <c r="R1" s="43"/>
      <c r="S1" s="43"/>
      <c r="T1" s="43"/>
      <c r="U1" s="43"/>
      <c r="W1" s="43"/>
      <c r="X1" s="43"/>
      <c r="Y1" s="43"/>
      <c r="AA1" s="1049" t="s">
        <v>281</v>
      </c>
      <c r="AC1" s="1049" t="s">
        <v>372</v>
      </c>
    </row>
    <row r="2" spans="1:57" ht="15.6" x14ac:dyDescent="0.3">
      <c r="C2" s="1447" t="s">
        <v>1273</v>
      </c>
      <c r="E2" s="1448" t="s">
        <v>1274</v>
      </c>
      <c r="Q2" s="531" t="s">
        <v>856</v>
      </c>
      <c r="Z2" s="486"/>
      <c r="AA2" s="1713" t="s">
        <v>842</v>
      </c>
      <c r="AB2" s="1713"/>
      <c r="AC2" s="1713"/>
      <c r="AE2" s="531" t="s">
        <v>848</v>
      </c>
      <c r="AF2" s="530"/>
      <c r="AG2" s="530"/>
      <c r="AI2" s="43"/>
      <c r="AJ2" s="43"/>
      <c r="AK2" s="531"/>
      <c r="AL2" s="530"/>
      <c r="AM2" s="530"/>
      <c r="AN2" s="530"/>
      <c r="AP2" s="530"/>
      <c r="AQ2" s="1040"/>
      <c r="AS2" s="531" t="s">
        <v>850</v>
      </c>
      <c r="AT2" s="530"/>
      <c r="AU2" s="530"/>
      <c r="AV2" s="43"/>
      <c r="AW2" s="43"/>
      <c r="AX2" s="43"/>
      <c r="AY2" s="531"/>
      <c r="AZ2" s="530"/>
      <c r="BA2" s="530"/>
      <c r="BB2" s="530"/>
      <c r="BC2" s="43"/>
      <c r="BD2" s="530"/>
      <c r="BE2" s="530"/>
    </row>
    <row r="3" spans="1:57" ht="15" thickBot="1" x14ac:dyDescent="0.35">
      <c r="H3" s="389"/>
      <c r="J3" s="487" t="s">
        <v>828</v>
      </c>
      <c r="P3" s="486"/>
      <c r="Q3" s="486"/>
      <c r="R3" s="486"/>
      <c r="S3" s="486"/>
      <c r="T3" s="486"/>
      <c r="U3" s="486"/>
      <c r="V3" s="486"/>
      <c r="W3" s="486"/>
      <c r="X3" s="43"/>
      <c r="Y3" s="487" t="s">
        <v>828</v>
      </c>
      <c r="Z3" s="59"/>
      <c r="AA3" s="43"/>
      <c r="AB3" s="43"/>
      <c r="AC3" s="43"/>
      <c r="AE3" s="486"/>
      <c r="AF3" s="486"/>
      <c r="AG3" s="486"/>
      <c r="AH3" s="486"/>
      <c r="AI3" s="486"/>
      <c r="AJ3" s="486"/>
      <c r="AK3" s="486"/>
      <c r="AL3" s="43"/>
      <c r="AM3" s="487" t="s">
        <v>828</v>
      </c>
      <c r="AN3" s="486"/>
      <c r="AO3" s="486"/>
      <c r="AP3" s="486"/>
      <c r="AQ3" s="43"/>
      <c r="AS3" s="486"/>
      <c r="AT3" s="486"/>
      <c r="AU3" s="486"/>
      <c r="AV3" s="486"/>
      <c r="AW3" s="486"/>
      <c r="AX3" s="486"/>
      <c r="AY3" s="486"/>
      <c r="AZ3" s="43"/>
      <c r="BA3" s="487" t="s">
        <v>828</v>
      </c>
      <c r="BB3" s="486"/>
      <c r="BC3" s="486"/>
      <c r="BD3" s="486"/>
      <c r="BE3" s="43"/>
    </row>
    <row r="4" spans="1:57" ht="15" thickBot="1" x14ac:dyDescent="0.35">
      <c r="B4" s="1"/>
      <c r="C4" s="1663" t="s">
        <v>0</v>
      </c>
      <c r="D4" s="1663"/>
      <c r="E4" s="1663"/>
      <c r="F4" s="1663"/>
      <c r="G4" s="1663"/>
      <c r="H4" s="2"/>
      <c r="I4" s="2"/>
      <c r="J4" s="1390" t="s">
        <v>1132</v>
      </c>
      <c r="K4" s="59"/>
      <c r="L4" s="1422" t="s">
        <v>829</v>
      </c>
      <c r="M4" s="1435"/>
      <c r="N4" s="1423" t="s">
        <v>829</v>
      </c>
      <c r="P4" s="1"/>
      <c r="Q4" s="1663" t="s">
        <v>0</v>
      </c>
      <c r="R4" s="1663"/>
      <c r="S4" s="1663"/>
      <c r="T4" s="1663"/>
      <c r="U4" s="1663"/>
      <c r="V4" s="1391"/>
      <c r="W4" s="2"/>
      <c r="X4" s="2"/>
      <c r="Y4" s="1390" t="s">
        <v>1132</v>
      </c>
      <c r="Z4" s="429"/>
      <c r="AA4" s="1411" t="s">
        <v>829</v>
      </c>
      <c r="AB4" s="549"/>
      <c r="AC4" s="1383" t="s">
        <v>829</v>
      </c>
      <c r="AE4" s="1"/>
      <c r="AF4" s="1663" t="s">
        <v>0</v>
      </c>
      <c r="AG4" s="1663"/>
      <c r="AH4" s="1663"/>
      <c r="AI4" s="1663"/>
      <c r="AJ4" s="1663"/>
      <c r="AK4" s="2"/>
      <c r="AL4" s="2"/>
      <c r="AM4" s="84" t="s">
        <v>1132</v>
      </c>
      <c r="AN4" s="59"/>
      <c r="AO4" s="557" t="s">
        <v>829</v>
      </c>
      <c r="AP4" s="558"/>
      <c r="AQ4" s="590" t="s">
        <v>829</v>
      </c>
      <c r="AS4" s="1"/>
      <c r="AT4" s="1663" t="s">
        <v>0</v>
      </c>
      <c r="AU4" s="1663"/>
      <c r="AV4" s="1663"/>
      <c r="AW4" s="1663"/>
      <c r="AX4" s="1663"/>
      <c r="AY4" s="2"/>
      <c r="AZ4" s="2"/>
      <c r="BA4" s="84" t="s">
        <v>1132</v>
      </c>
      <c r="BB4" s="59"/>
      <c r="BC4" s="557" t="s">
        <v>829</v>
      </c>
      <c r="BD4" s="558"/>
      <c r="BE4" s="559" t="s">
        <v>829</v>
      </c>
    </row>
    <row r="5" spans="1:57" ht="15" thickBot="1" x14ac:dyDescent="0.35">
      <c r="B5" s="4"/>
      <c r="C5" s="71" t="s">
        <v>2</v>
      </c>
      <c r="D5" s="71"/>
      <c r="E5" s="71"/>
      <c r="G5" s="538" t="s">
        <v>1258</v>
      </c>
      <c r="H5" s="488"/>
      <c r="I5" s="488"/>
      <c r="J5" s="8"/>
      <c r="K5" s="429"/>
      <c r="L5" s="1424" t="s">
        <v>830</v>
      </c>
      <c r="M5" s="1436"/>
      <c r="N5" s="1425" t="s">
        <v>831</v>
      </c>
      <c r="P5" s="4"/>
      <c r="Q5" s="71" t="s">
        <v>2</v>
      </c>
      <c r="R5" s="71"/>
      <c r="S5" s="71"/>
      <c r="T5" s="43"/>
      <c r="U5" s="7" t="s">
        <v>1295</v>
      </c>
      <c r="V5" s="547"/>
      <c r="W5" s="488"/>
      <c r="X5" s="488"/>
      <c r="Y5" s="8"/>
      <c r="Z5" s="4"/>
      <c r="AA5" s="1412" t="s">
        <v>830</v>
      </c>
      <c r="AB5" s="550"/>
      <c r="AC5" s="1384" t="s">
        <v>831</v>
      </c>
      <c r="AE5" s="4"/>
      <c r="AF5" s="71" t="s">
        <v>2</v>
      </c>
      <c r="AG5" s="71"/>
      <c r="AH5" s="71"/>
      <c r="AI5" s="43"/>
      <c r="AJ5" s="538" t="s">
        <v>1072</v>
      </c>
      <c r="AK5" s="488"/>
      <c r="AL5" s="488"/>
      <c r="AM5" s="8"/>
      <c r="AN5" s="429"/>
      <c r="AO5" s="560" t="s">
        <v>830</v>
      </c>
      <c r="AP5" s="561"/>
      <c r="AQ5" s="591" t="s">
        <v>844</v>
      </c>
      <c r="AS5" s="4"/>
      <c r="AT5" s="71" t="s">
        <v>2</v>
      </c>
      <c r="AU5" s="71"/>
      <c r="AV5" s="71"/>
      <c r="AW5" s="43"/>
      <c r="AX5" s="538" t="s">
        <v>1236</v>
      </c>
      <c r="AY5" s="488"/>
      <c r="AZ5" s="488"/>
      <c r="BA5" s="8"/>
      <c r="BB5" s="429"/>
      <c r="BC5" s="560" t="s">
        <v>830</v>
      </c>
      <c r="BD5" s="561"/>
      <c r="BE5" s="562" t="s">
        <v>844</v>
      </c>
    </row>
    <row r="6" spans="1:57" x14ac:dyDescent="0.3">
      <c r="B6" s="4"/>
      <c r="C6" s="59" t="s">
        <v>4</v>
      </c>
      <c r="D6" s="59"/>
      <c r="F6" s="489"/>
      <c r="G6" s="1455" t="s">
        <v>1259</v>
      </c>
      <c r="H6" s="59"/>
      <c r="I6" s="59"/>
      <c r="J6" s="10"/>
      <c r="K6" s="4"/>
      <c r="L6" s="1426">
        <v>0</v>
      </c>
      <c r="M6" s="1432"/>
      <c r="N6" s="1427">
        <v>0</v>
      </c>
      <c r="P6" s="4"/>
      <c r="Q6" s="59" t="s">
        <v>4</v>
      </c>
      <c r="R6" s="59"/>
      <c r="S6" s="43"/>
      <c r="T6" s="489"/>
      <c r="U6" s="1466" t="s">
        <v>1296</v>
      </c>
      <c r="V6" s="1060"/>
      <c r="W6" s="81"/>
      <c r="X6" s="59"/>
      <c r="Y6" s="10"/>
      <c r="Z6" s="4"/>
      <c r="AA6" s="551"/>
      <c r="AB6" s="552"/>
      <c r="AC6" s="587">
        <v>0</v>
      </c>
      <c r="AE6" s="4"/>
      <c r="AF6" s="59" t="s">
        <v>4</v>
      </c>
      <c r="AG6" s="59"/>
      <c r="AH6" s="43"/>
      <c r="AI6" s="489"/>
      <c r="AJ6" s="539" t="s">
        <v>1073</v>
      </c>
      <c r="AK6" s="59"/>
      <c r="AL6" s="59"/>
      <c r="AM6" s="10"/>
      <c r="AN6" s="4"/>
      <c r="AO6" s="563">
        <v>0</v>
      </c>
      <c r="AP6" s="564"/>
      <c r="AQ6" s="592">
        <v>0</v>
      </c>
      <c r="AS6" s="4"/>
      <c r="AT6" s="59" t="s">
        <v>4</v>
      </c>
      <c r="AU6" s="59"/>
      <c r="AV6" s="43"/>
      <c r="AW6" s="489"/>
      <c r="AX6" s="539" t="s">
        <v>1237</v>
      </c>
      <c r="AY6" s="59"/>
      <c r="AZ6" s="59"/>
      <c r="BA6" s="10"/>
      <c r="BB6" s="4"/>
      <c r="BC6" s="563">
        <v>0</v>
      </c>
      <c r="BD6" s="564"/>
      <c r="BE6" s="565">
        <v>0</v>
      </c>
    </row>
    <row r="7" spans="1:57" x14ac:dyDescent="0.3">
      <c r="B7" s="4"/>
      <c r="C7" s="59" t="s">
        <v>6</v>
      </c>
      <c r="D7" s="59"/>
      <c r="E7" s="59"/>
      <c r="G7" s="540" t="s">
        <v>1260</v>
      </c>
      <c r="H7" s="59"/>
      <c r="I7" s="59"/>
      <c r="J7" s="10"/>
      <c r="K7" s="4"/>
      <c r="L7" s="1426">
        <v>240</v>
      </c>
      <c r="M7" s="1432"/>
      <c r="N7" s="1428">
        <f>_xlfn.CEILING.MATH(L7+N19*2/0.985,5)</f>
        <v>250</v>
      </c>
      <c r="P7" s="4"/>
      <c r="Q7" s="59" t="s">
        <v>6</v>
      </c>
      <c r="R7" s="59"/>
      <c r="S7" s="59"/>
      <c r="T7" s="43"/>
      <c r="U7" s="1466" t="s">
        <v>1142</v>
      </c>
      <c r="V7" s="537"/>
      <c r="W7" s="81"/>
      <c r="X7" s="59"/>
      <c r="Y7" s="10"/>
      <c r="Z7" s="4"/>
      <c r="AA7" s="551">
        <v>120</v>
      </c>
      <c r="AB7" s="552"/>
      <c r="AC7" s="587">
        <f>AA18</f>
        <v>141.9</v>
      </c>
      <c r="AE7" s="4"/>
      <c r="AF7" s="59" t="s">
        <v>6</v>
      </c>
      <c r="AG7" s="59"/>
      <c r="AH7" s="59"/>
      <c r="AI7" s="43"/>
      <c r="AJ7" s="540" t="s">
        <v>7</v>
      </c>
      <c r="AK7" s="59"/>
      <c r="AL7" s="59"/>
      <c r="AM7" s="10"/>
      <c r="AN7" s="4"/>
      <c r="AO7" s="563">
        <v>435</v>
      </c>
      <c r="AP7" s="564"/>
      <c r="AQ7" s="593">
        <v>138</v>
      </c>
      <c r="AS7" s="4"/>
      <c r="AT7" s="59" t="s">
        <v>6</v>
      </c>
      <c r="AU7" s="59"/>
      <c r="AV7" s="59"/>
      <c r="AW7" s="43"/>
      <c r="AX7" s="540" t="s">
        <v>7</v>
      </c>
      <c r="AY7" s="59"/>
      <c r="AZ7" s="59"/>
      <c r="BA7" s="10"/>
      <c r="BB7" s="4"/>
      <c r="BC7" s="563">
        <v>150</v>
      </c>
      <c r="BD7" s="564"/>
      <c r="BE7" s="566">
        <f>BC18</f>
        <v>188.33333333333331</v>
      </c>
    </row>
    <row r="8" spans="1:57" ht="15" thickBot="1" x14ac:dyDescent="0.35">
      <c r="B8" s="4"/>
      <c r="C8" s="59" t="s">
        <v>10</v>
      </c>
      <c r="D8" s="59"/>
      <c r="E8" s="59"/>
      <c r="G8" s="541" t="s">
        <v>1223</v>
      </c>
      <c r="H8" s="59"/>
      <c r="I8" s="59"/>
      <c r="J8" s="10"/>
      <c r="K8" s="4"/>
      <c r="L8" s="1426">
        <v>0</v>
      </c>
      <c r="M8" s="1432"/>
      <c r="N8" s="1427">
        <v>0</v>
      </c>
      <c r="P8" s="4"/>
      <c r="Q8" s="59" t="s">
        <v>10</v>
      </c>
      <c r="R8" s="59"/>
      <c r="S8" s="59"/>
      <c r="T8" s="43"/>
      <c r="U8" s="1467">
        <v>1</v>
      </c>
      <c r="V8" s="1059"/>
      <c r="W8" s="1061"/>
      <c r="X8" s="59"/>
      <c r="Y8" s="10"/>
      <c r="Z8" s="59"/>
      <c r="AA8" s="551">
        <v>0</v>
      </c>
      <c r="AB8" s="552"/>
      <c r="AC8" s="587">
        <v>0</v>
      </c>
      <c r="AE8" s="4"/>
      <c r="AF8" s="59" t="s">
        <v>10</v>
      </c>
      <c r="AG8" s="59"/>
      <c r="AH8" s="59"/>
      <c r="AI8" s="43"/>
      <c r="AJ8" s="541" t="s">
        <v>11</v>
      </c>
      <c r="AK8" s="59"/>
      <c r="AL8" s="59"/>
      <c r="AM8" s="10"/>
      <c r="AN8" s="4"/>
      <c r="AO8" s="563">
        <v>0</v>
      </c>
      <c r="AP8" s="564"/>
      <c r="AQ8" s="592">
        <v>0</v>
      </c>
      <c r="AS8" s="4"/>
      <c r="AT8" s="59" t="s">
        <v>10</v>
      </c>
      <c r="AU8" s="59"/>
      <c r="AV8" s="59"/>
      <c r="AW8" s="43"/>
      <c r="AX8" s="541" t="s">
        <v>1238</v>
      </c>
      <c r="AY8" s="59"/>
      <c r="AZ8" s="59"/>
      <c r="BA8" s="10"/>
      <c r="BB8" s="4"/>
      <c r="BC8" s="563">
        <v>0</v>
      </c>
      <c r="BD8" s="564"/>
      <c r="BE8" s="565">
        <v>0</v>
      </c>
    </row>
    <row r="9" spans="1:57" x14ac:dyDescent="0.3">
      <c r="B9" s="12"/>
      <c r="C9" s="71" t="s">
        <v>16</v>
      </c>
      <c r="D9" s="71"/>
      <c r="E9" s="71"/>
      <c r="F9" s="71"/>
      <c r="G9" s="547" t="s">
        <v>15</v>
      </c>
      <c r="H9" s="71"/>
      <c r="I9" s="71" t="s">
        <v>17</v>
      </c>
      <c r="J9" s="490">
        <f>G10/G12</f>
        <v>0.49791778787530838</v>
      </c>
      <c r="K9" s="1088"/>
      <c r="L9" s="1426"/>
      <c r="M9" s="1432"/>
      <c r="N9" s="1427">
        <v>0</v>
      </c>
      <c r="P9" s="12"/>
      <c r="Q9" s="71" t="s">
        <v>16</v>
      </c>
      <c r="R9" s="71"/>
      <c r="S9" s="71"/>
      <c r="T9" s="71"/>
      <c r="U9" s="1293" t="s">
        <v>664</v>
      </c>
      <c r="V9" s="542"/>
      <c r="W9" s="71"/>
      <c r="X9" s="360" t="s">
        <v>17</v>
      </c>
      <c r="Y9" s="490">
        <f>U10/U12</f>
        <v>0.35263157894736841</v>
      </c>
      <c r="Z9" s="183"/>
      <c r="AA9" s="551"/>
      <c r="AB9" s="552"/>
      <c r="AC9" s="587">
        <v>0</v>
      </c>
      <c r="AE9" s="12"/>
      <c r="AF9" s="71" t="s">
        <v>16</v>
      </c>
      <c r="AG9" s="71"/>
      <c r="AH9" s="71"/>
      <c r="AI9" s="71"/>
      <c r="AJ9" s="542" t="s">
        <v>31</v>
      </c>
      <c r="AK9" s="71"/>
      <c r="AL9" s="71" t="s">
        <v>17</v>
      </c>
      <c r="AM9" s="490">
        <f>AJ10/AJ12</f>
        <v>6.3492063492063489</v>
      </c>
      <c r="AN9" s="59"/>
      <c r="AO9" s="563"/>
      <c r="AP9" s="564"/>
      <c r="AQ9" s="592">
        <v>0</v>
      </c>
      <c r="AS9" s="12"/>
      <c r="AT9" s="71" t="s">
        <v>16</v>
      </c>
      <c r="AU9" s="71"/>
      <c r="AV9" s="71"/>
      <c r="AW9" s="71"/>
      <c r="AX9" s="542" t="s">
        <v>37</v>
      </c>
      <c r="AY9" s="71"/>
      <c r="AZ9" s="71" t="s">
        <v>17</v>
      </c>
      <c r="BA9" s="490">
        <f>AX10/AX12</f>
        <v>0.57241379310344831</v>
      </c>
      <c r="BB9" s="59"/>
      <c r="BC9" s="563">
        <v>0</v>
      </c>
      <c r="BD9" s="564"/>
      <c r="BE9" s="565">
        <v>0</v>
      </c>
    </row>
    <row r="10" spans="1:57" x14ac:dyDescent="0.3">
      <c r="B10" s="4"/>
      <c r="C10" s="59" t="s">
        <v>19</v>
      </c>
      <c r="D10" s="59"/>
      <c r="E10" s="59"/>
      <c r="F10" s="59"/>
      <c r="G10" s="1351">
        <f>ROUNDUP(L12,1)</f>
        <v>24.200000000000003</v>
      </c>
      <c r="H10" s="492"/>
      <c r="I10" s="59" t="s">
        <v>23</v>
      </c>
      <c r="J10" s="493">
        <f>G10/G16</f>
        <v>0.32053636114470851</v>
      </c>
      <c r="K10" s="1394"/>
      <c r="L10" s="1426">
        <v>60</v>
      </c>
      <c r="M10" s="1432"/>
      <c r="N10" s="1427">
        <v>223</v>
      </c>
      <c r="P10" s="4"/>
      <c r="Q10" s="59" t="s">
        <v>19</v>
      </c>
      <c r="R10" s="59"/>
      <c r="S10" s="59"/>
      <c r="T10" s="59"/>
      <c r="U10" s="1054">
        <f>IF(AA13=0,IF(AA12&gt;=100,ROUNDUP(AA12,0),ROUNDUP(AA12,1)),AA13)</f>
        <v>6.7</v>
      </c>
      <c r="V10" s="1057"/>
      <c r="W10" s="492"/>
      <c r="X10" s="173" t="s">
        <v>23</v>
      </c>
      <c r="Y10" s="493">
        <f>U10/U16</f>
        <v>0.13987473903966599</v>
      </c>
      <c r="Z10" s="183"/>
      <c r="AA10" s="551">
        <v>105</v>
      </c>
      <c r="AB10" s="552"/>
      <c r="AC10" s="587">
        <f>X19</f>
        <v>270</v>
      </c>
      <c r="AE10" s="4"/>
      <c r="AF10" s="59" t="s">
        <v>19</v>
      </c>
      <c r="AG10" s="59"/>
      <c r="AH10" s="59"/>
      <c r="AI10" s="59"/>
      <c r="AJ10" s="491">
        <f>IF(AO13=0,IF(AO12&gt;=100,ROUNDUP(AO12,0),ROUNDUP(AO12,1)),AO13)</f>
        <v>400</v>
      </c>
      <c r="AK10" s="492"/>
      <c r="AL10" s="59" t="s">
        <v>23</v>
      </c>
      <c r="AM10" s="493">
        <f>AJ10/AJ16</f>
        <v>1.3422818791946309</v>
      </c>
      <c r="AN10" s="183"/>
      <c r="AO10" s="563">
        <v>345</v>
      </c>
      <c r="AP10" s="564"/>
      <c r="AQ10" s="592">
        <v>540</v>
      </c>
      <c r="AS10" s="4"/>
      <c r="AT10" s="59" t="s">
        <v>19</v>
      </c>
      <c r="AU10" s="59"/>
      <c r="AV10" s="59"/>
      <c r="AW10" s="59"/>
      <c r="AX10" s="491">
        <f>IF(BC13=0,IF(BC12&gt;=100,ROUNDUP(BC12,0),ROUNDUP(BC12,1)),BC13)</f>
        <v>33.200000000000003</v>
      </c>
      <c r="AY10" s="492"/>
      <c r="AZ10" s="59" t="s">
        <v>23</v>
      </c>
      <c r="BA10" s="493">
        <f>AX10/AX16</f>
        <v>0.39760479041916169</v>
      </c>
      <c r="BB10" s="183"/>
      <c r="BC10" s="563">
        <v>250</v>
      </c>
      <c r="BD10" s="564"/>
      <c r="BE10" s="565">
        <f>AZ19</f>
        <v>555</v>
      </c>
    </row>
    <row r="11" spans="1:57" x14ac:dyDescent="0.3">
      <c r="B11" s="4"/>
      <c r="C11" s="59" t="s">
        <v>22</v>
      </c>
      <c r="D11" s="59"/>
      <c r="E11" s="59"/>
      <c r="F11" s="59"/>
      <c r="G11" s="1351">
        <f>N12</f>
        <v>97.204802034750017</v>
      </c>
      <c r="H11" s="59"/>
      <c r="I11" s="59"/>
      <c r="J11" s="18"/>
      <c r="K11" s="183"/>
      <c r="L11" s="1440">
        <f>VLOOKUP(G9,Данные!A3:I27,9,FALSE())</f>
        <v>8.8800000000000008</v>
      </c>
      <c r="M11" s="1432"/>
      <c r="N11" s="1441">
        <f>L11</f>
        <v>8.8800000000000008</v>
      </c>
      <c r="P11" s="4"/>
      <c r="Q11" s="59" t="s">
        <v>22</v>
      </c>
      <c r="R11" s="59"/>
      <c r="S11" s="59"/>
      <c r="T11" s="59"/>
      <c r="U11" s="1054">
        <f>IF(AC12&lt;100,ROUNDUP(AC12,1),ROUNDUP(AC12,0))</f>
        <v>38</v>
      </c>
      <c r="V11" s="1057"/>
      <c r="W11" s="17"/>
      <c r="X11" s="59"/>
      <c r="Y11" s="18"/>
      <c r="Z11" s="524"/>
      <c r="AA11" s="554">
        <f>VLOOKUP(U9,Данные!A3:I27,9,FALSE())</f>
        <v>8.8800000000000008</v>
      </c>
      <c r="AB11" s="552"/>
      <c r="AC11" s="587">
        <f>AA11</f>
        <v>8.8800000000000008</v>
      </c>
      <c r="AE11" s="4"/>
      <c r="AF11" s="59" t="s">
        <v>22</v>
      </c>
      <c r="AG11" s="59"/>
      <c r="AH11" s="59"/>
      <c r="AI11" s="59"/>
      <c r="AJ11" s="491">
        <f>IF(AQ12&lt;100,ROUNDUP(AQ12,1),ROUNDUP(AQ12,0))</f>
        <v>63</v>
      </c>
      <c r="AK11" s="59"/>
      <c r="AL11" s="59"/>
      <c r="AM11" s="18"/>
      <c r="AN11" s="183"/>
      <c r="AO11" s="567">
        <f>VLOOKUP(AJ9,Данные!A3:I27,9,FALSE())</f>
        <v>7.8</v>
      </c>
      <c r="AP11" s="564"/>
      <c r="AQ11" s="594">
        <f>AO11</f>
        <v>7.8</v>
      </c>
      <c r="AS11" s="4"/>
      <c r="AT11" s="59" t="s">
        <v>22</v>
      </c>
      <c r="AU11" s="59"/>
      <c r="AV11" s="59"/>
      <c r="AW11" s="59"/>
      <c r="AX11" s="491">
        <f>ROUNDUP(BE12,1)</f>
        <v>116</v>
      </c>
      <c r="AY11" s="59"/>
      <c r="AZ11" s="59"/>
      <c r="BA11" s="18"/>
      <c r="BB11" s="183"/>
      <c r="BC11" s="567">
        <f>VLOOKUP(AX9,Данные!A3:I27,9,FALSE())</f>
        <v>7.5</v>
      </c>
      <c r="BD11" s="564"/>
      <c r="BE11" s="568">
        <f>BC11</f>
        <v>7.5</v>
      </c>
    </row>
    <row r="12" spans="1:57" ht="15" thickBot="1" x14ac:dyDescent="0.35">
      <c r="B12" s="4"/>
      <c r="C12" s="59" t="s">
        <v>81</v>
      </c>
      <c r="D12" s="59"/>
      <c r="E12" s="59"/>
      <c r="F12" s="59"/>
      <c r="G12" s="1351">
        <f>G11/G17</f>
        <v>48.602401017375009</v>
      </c>
      <c r="H12" s="59"/>
      <c r="I12" s="59"/>
      <c r="J12" s="18"/>
      <c r="K12" s="524"/>
      <c r="L12" s="1442">
        <f>((L7*L7-L8*L8)*3.1415926*L10*L11+(L6*L6-L7*L7)*L9*L11*3.14)/4000000</f>
        <v>24.103303736832</v>
      </c>
      <c r="M12" s="1437"/>
      <c r="N12" s="1443">
        <f>((N7*N7-N8*N8)*3.1415926*N10*N11+(N6*N6-N8*N8)*N9*N11*3.1415926)/4000000</f>
        <v>97.204802034750017</v>
      </c>
      <c r="P12" s="4"/>
      <c r="Q12" s="59" t="s">
        <v>81</v>
      </c>
      <c r="R12" s="59"/>
      <c r="S12" s="59"/>
      <c r="T12" s="59"/>
      <c r="U12" s="1054">
        <f>ROUNDUP(U11/U17,1)</f>
        <v>19</v>
      </c>
      <c r="V12" s="1058"/>
      <c r="W12" s="1061"/>
      <c r="X12" s="59"/>
      <c r="Y12" s="18"/>
      <c r="Z12" s="524"/>
      <c r="AA12" s="1461">
        <f>((AA7*AA7-AA8*AA8)*3.1415926*AA10*AA11+(AA6*AA6-AA7*AA7)*AA9*AA11*3.14)/4000000</f>
        <v>10.545195384864002</v>
      </c>
      <c r="AB12" s="555"/>
      <c r="AC12" s="588">
        <f>((AC7*AC7-AC8*AC8)*3.1415926*AC10*AC11+(AC6*AC6-AC7*AC7)*AC9*AC11*3.14)/4000000</f>
        <v>37.916775293468113</v>
      </c>
      <c r="AE12" s="4"/>
      <c r="AF12" s="59" t="s">
        <v>81</v>
      </c>
      <c r="AG12" s="59"/>
      <c r="AH12" s="59"/>
      <c r="AI12" s="59"/>
      <c r="AJ12" s="491">
        <f>AJ11/AJ17</f>
        <v>63</v>
      </c>
      <c r="AK12" s="59"/>
      <c r="AL12" s="59"/>
      <c r="AM12" s="18"/>
      <c r="AN12" s="524"/>
      <c r="AO12" s="569">
        <f>((AO7*AO7-AO8*AO8)*3.1415926*AO10*AO11+(AO6*AO6-AO7*AO7)*AO9*AO11*3.14)/4000000</f>
        <v>399.92825263672125</v>
      </c>
      <c r="AP12" s="570"/>
      <c r="AQ12" s="595">
        <f>((AQ7*AQ7-AQ8*AQ8)*3.1415926*AQ10*AQ11+(AQ6*AQ6-AQ7*AQ7)*AQ9*AQ11*3.14)/4000000</f>
        <v>62.999399416543199</v>
      </c>
      <c r="AS12" s="4"/>
      <c r="AT12" s="59" t="s">
        <v>81</v>
      </c>
      <c r="AU12" s="59"/>
      <c r="AV12" s="59"/>
      <c r="AW12" s="59"/>
      <c r="AX12" s="1351">
        <f>AX11/AX17</f>
        <v>58</v>
      </c>
      <c r="AY12" s="59"/>
      <c r="AZ12" s="59"/>
      <c r="BA12" s="18"/>
      <c r="BB12" s="524"/>
      <c r="BC12" s="569">
        <f>((BC7*BC7-BC8*BC8)*3.1415926*BC10*BC11+(BC6*BC6-BC7*BC7)*BC9*BC11*3.14)/4000000</f>
        <v>33.133984453125009</v>
      </c>
      <c r="BD12" s="570"/>
      <c r="BE12" s="571">
        <f>((BE7*BE7-BE8*BE8)*3.1415926*BE10*BE11+(BE6*BE6-BE7*BE7)*BE9*BE11*3.14)/4000000</f>
        <v>115.95741005060937</v>
      </c>
    </row>
    <row r="13" spans="1:57" ht="15" thickBot="1" x14ac:dyDescent="0.35">
      <c r="B13" s="4"/>
      <c r="C13" s="59" t="s">
        <v>27</v>
      </c>
      <c r="D13" s="59"/>
      <c r="E13" s="59"/>
      <c r="F13" s="59"/>
      <c r="G13" s="1351">
        <f>N25+N34</f>
        <v>145.18933631199306</v>
      </c>
      <c r="H13" s="59"/>
      <c r="I13" s="59"/>
      <c r="J13" s="18"/>
      <c r="K13" s="17"/>
      <c r="L13" s="1414"/>
      <c r="M13" s="1414"/>
      <c r="N13" s="1414"/>
      <c r="P13" s="4"/>
      <c r="Q13" s="59" t="s">
        <v>27</v>
      </c>
      <c r="R13" s="59"/>
      <c r="S13" s="59"/>
      <c r="T13" s="59"/>
      <c r="U13" s="1135">
        <f>IF(AC36&lt;100,ROUNDUP(AC36,1),ROUNDUP(AC36,0))</f>
        <v>92.199999999999989</v>
      </c>
      <c r="V13" s="1058"/>
      <c r="W13" s="1061"/>
      <c r="X13" s="59"/>
      <c r="Y13" s="18"/>
      <c r="Z13" s="524"/>
      <c r="AA13" s="551">
        <v>6.7</v>
      </c>
      <c r="AB13" s="552"/>
      <c r="AC13" s="553"/>
      <c r="AE13" s="4"/>
      <c r="AF13" s="59" t="s">
        <v>27</v>
      </c>
      <c r="AG13" s="59"/>
      <c r="AH13" s="59"/>
      <c r="AI13" s="59"/>
      <c r="AJ13" s="491">
        <f>IF(AQ34&lt;100,ROUNDUP(AQ34,1),ROUNDUP(AQ34,0))</f>
        <v>286</v>
      </c>
      <c r="AK13" s="59"/>
      <c r="AL13" s="59"/>
      <c r="AM13" s="18"/>
      <c r="AN13" s="524"/>
      <c r="AO13" s="563"/>
      <c r="AP13" s="564"/>
      <c r="AQ13" s="568"/>
      <c r="AS13" s="4"/>
      <c r="AT13" s="59" t="s">
        <v>27</v>
      </c>
      <c r="AU13" s="59"/>
      <c r="AV13" s="59"/>
      <c r="AW13" s="59"/>
      <c r="AX13" s="491">
        <f>IF(BE34&lt;100,ROUNDUP(BE34,1),ROUNDUP(BE34,0))</f>
        <v>160</v>
      </c>
      <c r="AY13" s="59"/>
      <c r="AZ13" s="59"/>
      <c r="BA13" s="18"/>
      <c r="BB13" s="524"/>
      <c r="BC13" s="563"/>
      <c r="BD13" s="564"/>
      <c r="BE13" s="568"/>
    </row>
    <row r="14" spans="1:57" ht="15" thickBot="1" x14ac:dyDescent="0.35">
      <c r="B14" s="4"/>
      <c r="C14" s="59" t="s">
        <v>29</v>
      </c>
      <c r="D14" s="59"/>
      <c r="E14" s="59"/>
      <c r="F14" s="59"/>
      <c r="G14" s="1351">
        <f>G13/G17</f>
        <v>72.59466815599653</v>
      </c>
      <c r="H14" s="59"/>
      <c r="I14" s="59"/>
      <c r="J14" s="18"/>
      <c r="K14" s="524"/>
      <c r="L14" s="1429"/>
      <c r="M14" s="1430"/>
      <c r="N14" s="1417" t="s">
        <v>829</v>
      </c>
      <c r="P14" s="4"/>
      <c r="Q14" s="59" t="s">
        <v>29</v>
      </c>
      <c r="R14" s="59"/>
      <c r="S14" s="59"/>
      <c r="T14" s="59"/>
      <c r="U14" s="1054">
        <f>ROUNDUP(U13/U17,1)</f>
        <v>46.1</v>
      </c>
      <c r="V14" s="1058"/>
      <c r="W14" s="1061"/>
      <c r="X14" s="59"/>
      <c r="Y14" s="18"/>
      <c r="Z14" s="524"/>
      <c r="AA14" s="548"/>
      <c r="AB14" s="552"/>
      <c r="AC14" s="1383" t="s">
        <v>829</v>
      </c>
      <c r="AE14" s="4"/>
      <c r="AF14" s="59" t="s">
        <v>29</v>
      </c>
      <c r="AG14" s="59"/>
      <c r="AH14" s="59"/>
      <c r="AI14" s="59"/>
      <c r="AJ14" s="491">
        <f>AJ13/AJ17</f>
        <v>286</v>
      </c>
      <c r="AK14" s="59"/>
      <c r="AL14" s="59"/>
      <c r="AM14" s="18"/>
      <c r="AN14" s="524"/>
      <c r="AO14" s="1042"/>
      <c r="AP14" s="573"/>
      <c r="AQ14" s="574"/>
      <c r="AS14" s="4"/>
      <c r="AT14" s="59" t="s">
        <v>29</v>
      </c>
      <c r="AU14" s="59"/>
      <c r="AV14" s="59"/>
      <c r="AW14" s="59"/>
      <c r="AX14" s="491">
        <f>AX13/AX17</f>
        <v>80</v>
      </c>
      <c r="AY14" s="59"/>
      <c r="AZ14" s="59"/>
      <c r="BA14" s="18"/>
      <c r="BB14" s="524"/>
      <c r="BC14" s="572"/>
      <c r="BD14" s="573"/>
      <c r="BE14" s="574"/>
    </row>
    <row r="15" spans="1:57" ht="15" thickBot="1" x14ac:dyDescent="0.35">
      <c r="B15" s="4"/>
      <c r="C15" s="59" t="s">
        <v>32</v>
      </c>
      <c r="D15" s="59"/>
      <c r="E15" s="59"/>
      <c r="F15" s="59"/>
      <c r="G15" s="1351">
        <f>G13*1.04</f>
        <v>150.99690976447278</v>
      </c>
      <c r="H15" s="59"/>
      <c r="I15" s="59"/>
      <c r="J15" s="18"/>
      <c r="K15" s="524"/>
      <c r="L15" s="1431"/>
      <c r="M15" s="1432"/>
      <c r="N15" s="1418" t="s">
        <v>786</v>
      </c>
      <c r="P15" s="4"/>
      <c r="Q15" s="59" t="s">
        <v>32</v>
      </c>
      <c r="R15" s="59"/>
      <c r="S15" s="59"/>
      <c r="T15" s="59"/>
      <c r="U15" s="1054">
        <f>IF(U13&lt;96,ROUNDUP(AC36*1.04,1),ROUNDUP(AC36*1.04,0))</f>
        <v>95.8</v>
      </c>
      <c r="V15" s="1057"/>
      <c r="W15" s="1061"/>
      <c r="X15" s="59"/>
      <c r="Y15" s="18"/>
      <c r="Z15" s="524"/>
      <c r="AA15" s="615">
        <f>S32</f>
        <v>137.5</v>
      </c>
      <c r="AB15" s="552"/>
      <c r="AC15" s="1384" t="s">
        <v>832</v>
      </c>
      <c r="AE15" s="4"/>
      <c r="AF15" s="59" t="s">
        <v>32</v>
      </c>
      <c r="AG15" s="59"/>
      <c r="AH15" s="59"/>
      <c r="AI15" s="59"/>
      <c r="AJ15" s="491">
        <f>IF(AQ34&lt;96,ROUNDUP(AJ13*1.04,1),ROUNDUP(AJ13*1.04,0))</f>
        <v>298</v>
      </c>
      <c r="AK15" s="59"/>
      <c r="AL15" s="59"/>
      <c r="AM15" s="18"/>
      <c r="AN15" s="524"/>
      <c r="AO15" s="1041">
        <f>AH32</f>
        <v>200</v>
      </c>
      <c r="AP15" s="568"/>
      <c r="AQ15" s="590" t="s">
        <v>829</v>
      </c>
      <c r="AS15" s="4"/>
      <c r="AT15" s="59" t="s">
        <v>32</v>
      </c>
      <c r="AU15" s="59"/>
      <c r="AV15" s="59"/>
      <c r="AW15" s="59"/>
      <c r="AX15" s="491">
        <f>IF(BE34&lt;96,ROUNDUP(AX13*1.04,1),ROUNDUP(AX13*1.04,0))</f>
        <v>167</v>
      </c>
      <c r="AY15" s="59"/>
      <c r="AZ15" s="59"/>
      <c r="BA15" s="18"/>
      <c r="BB15" s="524"/>
      <c r="BC15" s="575"/>
      <c r="BD15" s="564"/>
      <c r="BE15" s="574" t="s">
        <v>829</v>
      </c>
    </row>
    <row r="16" spans="1:57" x14ac:dyDescent="0.3">
      <c r="B16" s="4"/>
      <c r="C16" s="59" t="s">
        <v>34</v>
      </c>
      <c r="D16" s="59"/>
      <c r="E16" s="59"/>
      <c r="F16" s="59"/>
      <c r="G16" s="1351">
        <f>G15/G17</f>
        <v>75.498454882236388</v>
      </c>
      <c r="H16" s="59"/>
      <c r="I16" s="59"/>
      <c r="J16" s="18"/>
      <c r="K16" s="524"/>
      <c r="L16" s="1431" t="s">
        <v>1261</v>
      </c>
      <c r="M16" s="1432"/>
      <c r="N16" s="1438">
        <f>(N7+(N7+N18*2))/2</f>
        <v>252</v>
      </c>
      <c r="P16" s="4"/>
      <c r="Q16" s="59" t="s">
        <v>34</v>
      </c>
      <c r="R16" s="59"/>
      <c r="S16" s="59"/>
      <c r="T16" s="59"/>
      <c r="U16" s="1054">
        <f>ROUNDUP(U15/U17,1)</f>
        <v>47.9</v>
      </c>
      <c r="V16" s="1058"/>
      <c r="W16" s="1061"/>
      <c r="X16" s="59"/>
      <c r="Y16" s="18"/>
      <c r="Z16" s="524"/>
      <c r="AA16" s="1098">
        <v>146.30000000000001</v>
      </c>
      <c r="AB16" s="552"/>
      <c r="AC16" s="587">
        <v>0</v>
      </c>
      <c r="AE16" s="4"/>
      <c r="AF16" s="59" t="s">
        <v>34</v>
      </c>
      <c r="AG16" s="59"/>
      <c r="AH16" s="59"/>
      <c r="AI16" s="59"/>
      <c r="AJ16" s="491">
        <f>AJ15/AJ17</f>
        <v>298</v>
      </c>
      <c r="AK16" s="59"/>
      <c r="AL16" s="59"/>
      <c r="AM16" s="18"/>
      <c r="AN16" s="524"/>
      <c r="AO16" s="1458">
        <v>226</v>
      </c>
      <c r="AP16" s="568"/>
      <c r="AQ16" s="591" t="s">
        <v>845</v>
      </c>
      <c r="AS16" s="4"/>
      <c r="AT16" s="59" t="s">
        <v>34</v>
      </c>
      <c r="AU16" s="59"/>
      <c r="AV16" s="59"/>
      <c r="AW16" s="59"/>
      <c r="AX16" s="491">
        <f>AX15/AX17</f>
        <v>83.5</v>
      </c>
      <c r="AY16" s="59"/>
      <c r="AZ16" s="59"/>
      <c r="BA16" s="18"/>
      <c r="BB16" s="524"/>
      <c r="BC16" s="576">
        <f>AV32</f>
        <v>180</v>
      </c>
      <c r="BD16" s="564"/>
      <c r="BE16" s="562" t="s">
        <v>845</v>
      </c>
    </row>
    <row r="17" spans="2:57" ht="15" thickBot="1" x14ac:dyDescent="0.35">
      <c r="B17" s="19"/>
      <c r="C17" s="65" t="s">
        <v>36</v>
      </c>
      <c r="D17" s="65"/>
      <c r="E17" s="65"/>
      <c r="F17" s="65"/>
      <c r="G17" s="543">
        <v>2</v>
      </c>
      <c r="H17" s="65"/>
      <c r="I17" s="65"/>
      <c r="J17" s="1393"/>
      <c r="K17" s="524"/>
      <c r="L17" s="1431" t="s">
        <v>825</v>
      </c>
      <c r="M17" s="1432"/>
      <c r="N17" s="1439">
        <f>N10</f>
        <v>223</v>
      </c>
      <c r="P17" s="19"/>
      <c r="Q17" s="65" t="s">
        <v>36</v>
      </c>
      <c r="R17" s="65"/>
      <c r="S17" s="65"/>
      <c r="T17" s="65"/>
      <c r="U17" s="1055">
        <v>2</v>
      </c>
      <c r="V17" s="1055"/>
      <c r="W17" s="65"/>
      <c r="X17" s="65"/>
      <c r="Y17" s="1393"/>
      <c r="Z17" s="23"/>
      <c r="AA17" s="1254" t="e">
        <f>VLOOKUP(AA15,Стац.Болваны,2,FALSE)</f>
        <v>#N/A</v>
      </c>
      <c r="AB17" s="552"/>
      <c r="AC17" s="587">
        <f>AA18</f>
        <v>141.9</v>
      </c>
      <c r="AE17" s="19"/>
      <c r="AF17" s="65" t="s">
        <v>36</v>
      </c>
      <c r="AG17" s="65"/>
      <c r="AH17" s="65"/>
      <c r="AI17" s="65"/>
      <c r="AJ17" s="543">
        <v>1</v>
      </c>
      <c r="AK17" s="65"/>
      <c r="AL17" s="65"/>
      <c r="AM17" s="22"/>
      <c r="AN17" s="524"/>
      <c r="AO17" s="1041">
        <f>VLOOKUP(AH32,Стац.Болваны,2,FALSE)</f>
        <v>213</v>
      </c>
      <c r="AP17" s="564"/>
      <c r="AQ17" s="592">
        <v>0</v>
      </c>
      <c r="AS17" s="19"/>
      <c r="AT17" s="65" t="s">
        <v>36</v>
      </c>
      <c r="AU17" s="65"/>
      <c r="AV17" s="65"/>
      <c r="AW17" s="65"/>
      <c r="AX17" s="543">
        <v>2</v>
      </c>
      <c r="AY17" s="65"/>
      <c r="AZ17" s="65"/>
      <c r="BA17" s="22"/>
      <c r="BB17" s="524"/>
      <c r="BC17" s="576">
        <f>BC21/30+BC16</f>
        <v>196.66666666666666</v>
      </c>
      <c r="BD17" s="564"/>
      <c r="BE17" s="565">
        <v>0</v>
      </c>
    </row>
    <row r="18" spans="2:57" x14ac:dyDescent="0.3">
      <c r="B18" s="12"/>
      <c r="C18" s="60" t="s">
        <v>221</v>
      </c>
      <c r="D18" s="59"/>
      <c r="E18" s="59"/>
      <c r="F18" s="59"/>
      <c r="G18" s="59"/>
      <c r="H18" s="59"/>
      <c r="I18" s="23"/>
      <c r="J18" s="24"/>
      <c r="K18" s="23"/>
      <c r="L18" s="607" t="s">
        <v>1262</v>
      </c>
      <c r="M18" s="1432"/>
      <c r="N18" s="1439">
        <f>Данные!R199</f>
        <v>2</v>
      </c>
      <c r="P18" s="12"/>
      <c r="Q18" s="60" t="s">
        <v>221</v>
      </c>
      <c r="R18" s="59"/>
      <c r="S18" s="59"/>
      <c r="T18" s="59"/>
      <c r="U18" s="59"/>
      <c r="V18" s="59"/>
      <c r="W18" s="59"/>
      <c r="X18" s="23"/>
      <c r="Y18" s="24"/>
      <c r="Z18" s="23"/>
      <c r="AA18" s="589">
        <f>IF(AA16=0,(AA15+AA17)/2,(AA15+AA16)/2)</f>
        <v>141.9</v>
      </c>
      <c r="AB18" s="552"/>
      <c r="AC18" s="587">
        <v>0</v>
      </c>
      <c r="AE18" s="12"/>
      <c r="AF18" s="60" t="s">
        <v>221</v>
      </c>
      <c r="AG18" s="59"/>
      <c r="AH18" s="59"/>
      <c r="AI18" s="59"/>
      <c r="AJ18" s="59"/>
      <c r="AK18" s="59"/>
      <c r="AL18" s="23"/>
      <c r="AM18" s="24"/>
      <c r="AN18" s="23"/>
      <c r="AO18" s="1044">
        <f>(AO15+IF(AO16=0,AO17,AO16))/2</f>
        <v>213</v>
      </c>
      <c r="AP18" s="564"/>
      <c r="AQ18" s="593">
        <f>AO18</f>
        <v>213</v>
      </c>
      <c r="AS18" s="12"/>
      <c r="AT18" s="60" t="s">
        <v>221</v>
      </c>
      <c r="AU18" s="59"/>
      <c r="AV18" s="59"/>
      <c r="AW18" s="59"/>
      <c r="AX18" s="59"/>
      <c r="AY18" s="59"/>
      <c r="AZ18" s="23"/>
      <c r="BA18" s="24"/>
      <c r="BB18" s="23"/>
      <c r="BC18" s="575">
        <f>(BC16+BC17)/2</f>
        <v>188.33333333333331</v>
      </c>
      <c r="BD18" s="564"/>
      <c r="BE18" s="566">
        <f>BC18</f>
        <v>188.33333333333331</v>
      </c>
    </row>
    <row r="19" spans="2:57" ht="15" thickBot="1" x14ac:dyDescent="0.35">
      <c r="B19" s="4"/>
      <c r="C19" s="60" t="str">
        <f>"Максимальное количество деталей в отливке:   "&amp;G17&amp;",   L="</f>
        <v>Максимальное количество деталей в отливке:   2,   L=</v>
      </c>
      <c r="D19" s="59"/>
      <c r="E19" s="59"/>
      <c r="F19" s="59"/>
      <c r="G19" s="59"/>
      <c r="H19" s="1410">
        <f>N32</f>
        <v>210</v>
      </c>
      <c r="I19" s="494"/>
      <c r="J19" s="24"/>
      <c r="K19" s="23"/>
      <c r="L19" s="1433" t="s">
        <v>1263</v>
      </c>
      <c r="M19" s="1432"/>
      <c r="N19" s="1420">
        <v>3.5</v>
      </c>
      <c r="P19" s="4"/>
      <c r="Q19" s="60" t="str">
        <f>"Максимальное количество деталей в отливке:   "&amp;U17&amp;",   L="</f>
        <v>Максимальное количество деталей в отливке:   2,   L=</v>
      </c>
      <c r="R19" s="59"/>
      <c r="S19" s="59"/>
      <c r="T19" s="59"/>
      <c r="U19" s="59"/>
      <c r="V19" s="59"/>
      <c r="W19" s="43"/>
      <c r="X19" s="537">
        <f>IF(AC44=0,AC43,AC44)</f>
        <v>270</v>
      </c>
      <c r="Y19" s="24"/>
      <c r="Z19" s="23"/>
      <c r="AA19" s="587"/>
      <c r="AB19" s="552"/>
      <c r="AC19" s="587">
        <v>0</v>
      </c>
      <c r="AE19" s="4"/>
      <c r="AF19" s="60" t="str">
        <f>"Максимальное количество деталей в отливке:   "&amp;AJ17&amp;",   L="</f>
        <v>Максимальное количество деталей в отливке:   1,   L=</v>
      </c>
      <c r="AG19" s="59"/>
      <c r="AH19" s="59"/>
      <c r="AI19" s="59"/>
      <c r="AJ19" s="59"/>
      <c r="AK19" s="43"/>
      <c r="AL19" s="537">
        <f>AQ43</f>
        <v>390</v>
      </c>
      <c r="AM19" s="24"/>
      <c r="AN19" s="23"/>
      <c r="AO19" s="1043"/>
      <c r="AP19" s="564"/>
      <c r="AQ19" s="592">
        <v>0</v>
      </c>
      <c r="AS19" s="4"/>
      <c r="AT19" s="60" t="str">
        <f>"Максимальное количество деталей в отливке:   "&amp;AX17&amp;",   L="</f>
        <v>Максимальное количество деталей в отливке:   2,   L=</v>
      </c>
      <c r="AU19" s="59"/>
      <c r="AV19" s="59"/>
      <c r="AW19" s="59"/>
      <c r="AX19" s="59"/>
      <c r="AY19" s="43"/>
      <c r="AZ19" s="537">
        <f>BE43</f>
        <v>555</v>
      </c>
      <c r="BA19" s="24"/>
      <c r="BB19" s="23"/>
      <c r="BC19" s="575"/>
      <c r="BD19" s="564"/>
      <c r="BE19" s="565">
        <v>0</v>
      </c>
    </row>
    <row r="20" spans="2:57" ht="15" customHeight="1" thickBot="1" x14ac:dyDescent="0.35">
      <c r="B20" s="4"/>
      <c r="C20" s="59"/>
      <c r="D20" s="59"/>
      <c r="E20" s="59"/>
      <c r="F20" s="59"/>
      <c r="G20" s="59"/>
      <c r="H20" s="59"/>
      <c r="I20" s="59"/>
      <c r="J20" s="10"/>
      <c r="K20" s="23"/>
      <c r="L20" s="607"/>
      <c r="M20" s="1432"/>
      <c r="N20" s="1419" t="s">
        <v>382</v>
      </c>
      <c r="P20" s="4"/>
      <c r="Q20" s="59"/>
      <c r="R20" s="59"/>
      <c r="S20" s="59"/>
      <c r="T20" s="59"/>
      <c r="U20" s="59"/>
      <c r="V20" s="59"/>
      <c r="W20" s="59"/>
      <c r="X20" s="59"/>
      <c r="Y20" s="10"/>
      <c r="Z20" s="23"/>
      <c r="AA20" s="587">
        <f>T32</f>
        <v>265</v>
      </c>
      <c r="AB20" s="552"/>
      <c r="AC20" s="587">
        <f>IF(OR(AA22=0,A1=TRUE),AA20,AA22)</f>
        <v>265</v>
      </c>
      <c r="AE20" s="4"/>
      <c r="AF20" s="59"/>
      <c r="AG20" s="59"/>
      <c r="AH20" s="59"/>
      <c r="AI20" s="59"/>
      <c r="AJ20" s="59"/>
      <c r="AK20" s="59"/>
      <c r="AL20" s="59"/>
      <c r="AM20" s="10"/>
      <c r="AN20" s="23"/>
      <c r="AO20" s="1043"/>
      <c r="AP20" s="564"/>
      <c r="AQ20" s="592">
        <v>0</v>
      </c>
      <c r="AS20" s="4"/>
      <c r="AT20" s="59"/>
      <c r="AU20" s="59"/>
      <c r="AV20" s="59"/>
      <c r="AW20" s="59"/>
      <c r="AX20" s="59"/>
      <c r="AY20" s="59"/>
      <c r="AZ20" s="59"/>
      <c r="BA20" s="10"/>
      <c r="BB20" s="23"/>
      <c r="BC20" s="575"/>
      <c r="BD20" s="564"/>
      <c r="BE20" s="565">
        <v>0</v>
      </c>
    </row>
    <row r="21" spans="2:57" ht="15" thickBot="1" x14ac:dyDescent="0.35">
      <c r="B21" s="4"/>
      <c r="C21" s="59"/>
      <c r="D21" s="59"/>
      <c r="E21" s="59"/>
      <c r="F21" s="59"/>
      <c r="G21" s="59"/>
      <c r="H21" s="59"/>
      <c r="I21" s="23"/>
      <c r="J21" s="24"/>
      <c r="K21" s="23"/>
      <c r="L21" s="607" t="s">
        <v>1265</v>
      </c>
      <c r="M21" s="1434"/>
      <c r="N21" s="1439">
        <f>N18*2</f>
        <v>4</v>
      </c>
      <c r="P21" s="4"/>
      <c r="Q21" s="59"/>
      <c r="R21" s="59"/>
      <c r="S21" s="59"/>
      <c r="T21" s="59"/>
      <c r="U21" s="59"/>
      <c r="V21" s="59"/>
      <c r="W21" s="59"/>
      <c r="X21" s="23"/>
      <c r="Y21" s="24"/>
      <c r="Z21" s="187"/>
      <c r="AA21" s="1468" t="s">
        <v>1196</v>
      </c>
      <c r="AB21" s="552"/>
      <c r="AC21" s="587">
        <f>AA11</f>
        <v>8.8800000000000008</v>
      </c>
      <c r="AE21" s="4"/>
      <c r="AF21" s="59"/>
      <c r="AG21" s="59"/>
      <c r="AH21" s="59"/>
      <c r="AI21" s="59"/>
      <c r="AJ21" s="59"/>
      <c r="AK21" s="59"/>
      <c r="AL21" s="23"/>
      <c r="AM21" s="24"/>
      <c r="AN21" s="23"/>
      <c r="AO21" s="1043">
        <f>AI32</f>
        <v>780</v>
      </c>
      <c r="AP21" s="564"/>
      <c r="AQ21" s="592">
        <f>AI32</f>
        <v>780</v>
      </c>
      <c r="AS21" s="4"/>
      <c r="AT21" s="59"/>
      <c r="AU21" s="59"/>
      <c r="AV21" s="59"/>
      <c r="AW21" s="59"/>
      <c r="AX21" s="59"/>
      <c r="AY21" s="59"/>
      <c r="AZ21" s="23"/>
      <c r="BA21" s="24"/>
      <c r="BB21" s="23"/>
      <c r="BC21" s="575">
        <f>AW32</f>
        <v>500</v>
      </c>
      <c r="BD21" s="564"/>
      <c r="BE21" s="565">
        <f>AW32</f>
        <v>500</v>
      </c>
    </row>
    <row r="22" spans="2:57" ht="15" thickBot="1" x14ac:dyDescent="0.35">
      <c r="B22" s="4"/>
      <c r="C22" s="59"/>
      <c r="D22" s="59"/>
      <c r="E22" s="59"/>
      <c r="F22" s="59"/>
      <c r="G22" s="59"/>
      <c r="H22" s="59"/>
      <c r="I22" s="28"/>
      <c r="J22" s="27"/>
      <c r="K22" s="187"/>
      <c r="L22" s="1431" t="s">
        <v>1264</v>
      </c>
      <c r="M22" s="1432"/>
      <c r="N22" s="1444">
        <f>((N7+N18*2)+((N7+N18*2)+N21*2))/2</f>
        <v>258</v>
      </c>
      <c r="P22" s="4"/>
      <c r="Q22" s="59"/>
      <c r="R22" s="59"/>
      <c r="S22" s="59"/>
      <c r="T22" s="59"/>
      <c r="U22" s="59"/>
      <c r="V22" s="59"/>
      <c r="W22" s="59"/>
      <c r="X22" s="28"/>
      <c r="Y22" s="27"/>
      <c r="Z22" s="187"/>
      <c r="AA22" s="1255"/>
      <c r="AB22" s="556"/>
      <c r="AC22" s="588">
        <f>((AC17*AC17-AC18*AC18)*3.1415926*AC20*AC21+(AC16*AC16-AC17*AC17)*AC19*AC21*3.14)/4000000</f>
        <v>37.214612788033513</v>
      </c>
      <c r="AE22" s="4"/>
      <c r="AF22" s="59"/>
      <c r="AG22" s="59"/>
      <c r="AH22" s="59"/>
      <c r="AI22" s="59"/>
      <c r="AJ22" s="59"/>
      <c r="AK22" s="59"/>
      <c r="AL22" s="28"/>
      <c r="AM22" s="27"/>
      <c r="AN22" s="187"/>
      <c r="AO22" s="1043"/>
      <c r="AP22" s="564"/>
      <c r="AQ22" s="594">
        <f>AO11</f>
        <v>7.8</v>
      </c>
      <c r="AS22" s="4"/>
      <c r="AT22" s="59"/>
      <c r="AU22" s="59"/>
      <c r="AV22" s="59"/>
      <c r="AW22" s="59"/>
      <c r="AX22" s="59"/>
      <c r="AY22" s="59"/>
      <c r="AZ22" s="28"/>
      <c r="BA22" s="27"/>
      <c r="BB22" s="187"/>
      <c r="BC22" s="575"/>
      <c r="BD22" s="564"/>
      <c r="BE22" s="568">
        <f>BC11</f>
        <v>7.5</v>
      </c>
    </row>
    <row r="23" spans="2:57" ht="15" thickBot="1" x14ac:dyDescent="0.35">
      <c r="B23" s="4"/>
      <c r="C23" s="495" t="s">
        <v>833</v>
      </c>
      <c r="D23" s="546">
        <f>ROUND(N7*0.985,0)</f>
        <v>246</v>
      </c>
      <c r="E23" s="59"/>
      <c r="F23" s="59"/>
      <c r="G23" s="59"/>
      <c r="H23" s="59"/>
      <c r="I23" s="29"/>
      <c r="J23" s="27"/>
      <c r="K23" s="187"/>
      <c r="L23" s="1431" t="s">
        <v>8</v>
      </c>
      <c r="M23" s="1432"/>
      <c r="N23" s="1421">
        <v>100</v>
      </c>
      <c r="P23" s="4"/>
      <c r="Q23" s="495" t="s">
        <v>833</v>
      </c>
      <c r="R23" s="496">
        <f>S32-S32/100*1.5</f>
        <v>135.4375</v>
      </c>
      <c r="S23" s="59"/>
      <c r="T23" s="59"/>
      <c r="U23" s="59"/>
      <c r="V23" s="59"/>
      <c r="W23" s="59"/>
      <c r="X23" s="29"/>
      <c r="Y23" s="1257"/>
      <c r="Z23" s="187"/>
      <c r="AA23" s="43"/>
      <c r="AB23" s="43"/>
      <c r="AC23" s="43"/>
      <c r="AE23" s="4"/>
      <c r="AF23" s="495" t="s">
        <v>833</v>
      </c>
      <c r="AG23" s="496">
        <f>AH32-AH32/100*1.5</f>
        <v>197</v>
      </c>
      <c r="AH23" s="59"/>
      <c r="AI23" s="59"/>
      <c r="AJ23" s="59"/>
      <c r="AK23" s="59"/>
      <c r="AL23" s="29"/>
      <c r="AM23" s="1257"/>
      <c r="AN23" s="187"/>
      <c r="AO23" s="1043"/>
      <c r="AP23" s="564"/>
      <c r="AQ23" s="595">
        <f>((AQ18*AQ18-AQ19*AQ19)*3.1415926*AQ21*AQ22+(AQ17*AQ17-AQ18*AQ18)*AQ20*AQ22*3.1415926)/4000000</f>
        <v>216.78952121215741</v>
      </c>
      <c r="AS23" s="4"/>
      <c r="AT23" s="495" t="s">
        <v>833</v>
      </c>
      <c r="AU23" s="496">
        <f>AV32-AV32/100*1.5</f>
        <v>177.3</v>
      </c>
      <c r="AV23" s="59"/>
      <c r="AW23" s="59"/>
      <c r="AX23" s="59"/>
      <c r="AY23" s="59"/>
      <c r="AZ23" s="29"/>
      <c r="BA23" s="27"/>
      <c r="BB23" s="187"/>
      <c r="BC23" s="575"/>
      <c r="BD23" s="564"/>
      <c r="BE23" s="571">
        <f>((BE18*BE18-BE19*BE19)*3.1415926*BE21*BE22+(BE17*BE17-BE18*BE18)*BE20*BE22*3.1415926)/4000000</f>
        <v>104.46613518072915</v>
      </c>
    </row>
    <row r="24" spans="2:57" ht="15" customHeight="1" thickBot="1" x14ac:dyDescent="0.35">
      <c r="B24" s="4"/>
      <c r="C24" s="59"/>
      <c r="D24" s="545" t="str">
        <f>"( "&amp;L7&amp;" )"</f>
        <v>( 240 )</v>
      </c>
      <c r="E24" s="497"/>
      <c r="F24" s="59"/>
      <c r="G24" s="59"/>
      <c r="H24" s="59"/>
      <c r="I24" s="29"/>
      <c r="J24" s="27"/>
      <c r="K24" s="187"/>
      <c r="L24" s="1431"/>
      <c r="M24" s="1432"/>
      <c r="N24" s="1445">
        <f>L11</f>
        <v>8.8800000000000008</v>
      </c>
      <c r="P24" s="4"/>
      <c r="Q24" s="59"/>
      <c r="R24" s="545" t="str">
        <f>"( "&amp;IF(AA6=0,AA7,AA6)&amp;" )"</f>
        <v>( 120 )</v>
      </c>
      <c r="S24" s="497"/>
      <c r="T24" s="59"/>
      <c r="U24" s="59"/>
      <c r="V24" s="59"/>
      <c r="W24" s="59"/>
      <c r="X24" s="29"/>
      <c r="Y24" s="27"/>
      <c r="Z24" s="187"/>
      <c r="AA24" s="1130" t="s">
        <v>857</v>
      </c>
      <c r="AB24" s="1112"/>
      <c r="AC24" s="1470" t="s">
        <v>860</v>
      </c>
      <c r="AE24" s="4"/>
      <c r="AF24" s="59"/>
      <c r="AG24" s="545" t="str">
        <f>"( "&amp;AO7&amp;" )"</f>
        <v>( 435 )</v>
      </c>
      <c r="AH24" s="497"/>
      <c r="AI24" s="59"/>
      <c r="AJ24" s="59"/>
      <c r="AK24" s="59"/>
      <c r="AL24" s="29"/>
      <c r="AM24" s="27"/>
      <c r="AN24" s="187"/>
      <c r="AO24" s="1042"/>
      <c r="AP24" s="573"/>
      <c r="AQ24" s="577"/>
      <c r="AS24" s="4"/>
      <c r="AT24" s="59"/>
      <c r="AU24" s="545" t="str">
        <f>"( "&amp;BC7&amp;" )"</f>
        <v>( 150 )</v>
      </c>
      <c r="AV24" s="497"/>
      <c r="AW24" s="59"/>
      <c r="AX24" s="59"/>
      <c r="AY24" s="59"/>
      <c r="AZ24" s="29"/>
      <c r="BA24" s="27"/>
      <c r="BB24" s="187"/>
      <c r="BC24" s="572"/>
      <c r="BD24" s="573"/>
      <c r="BE24" s="577"/>
    </row>
    <row r="25" spans="2:57" ht="15" thickBot="1" x14ac:dyDescent="0.35">
      <c r="B25" s="4"/>
      <c r="C25" s="59"/>
      <c r="D25" s="173"/>
      <c r="E25" s="59"/>
      <c r="F25" s="59"/>
      <c r="G25" s="59"/>
      <c r="H25" s="59"/>
      <c r="I25" s="29"/>
      <c r="J25" s="27"/>
      <c r="K25" s="187"/>
      <c r="L25" s="1672"/>
      <c r="M25" s="1673"/>
      <c r="N25" s="1446">
        <f>((N16*N16)*3.1415926*N17*N24+(N22*N22)*N23*N24*3.1415296)/4000000</f>
        <v>145.18933631199306</v>
      </c>
      <c r="P25" s="4"/>
      <c r="Q25" s="59"/>
      <c r="R25" s="344"/>
      <c r="S25" s="59"/>
      <c r="T25" s="59"/>
      <c r="U25" s="59"/>
      <c r="V25" s="59"/>
      <c r="W25" s="59"/>
      <c r="X25" s="29"/>
      <c r="Y25" s="27"/>
      <c r="Z25" s="187"/>
      <c r="AA25" s="610" t="s">
        <v>1285</v>
      </c>
      <c r="AB25" s="611" t="b">
        <v>0</v>
      </c>
      <c r="AC25" s="612"/>
      <c r="AE25" s="4"/>
      <c r="AF25" s="59"/>
      <c r="AG25" s="173"/>
      <c r="AH25" s="59"/>
      <c r="AI25" s="59"/>
      <c r="AJ25" s="59"/>
      <c r="AK25" s="59"/>
      <c r="AL25" s="29"/>
      <c r="AM25" s="27"/>
      <c r="AN25" s="187"/>
      <c r="AO25" s="596"/>
      <c r="AP25" s="573"/>
      <c r="AQ25" s="590" t="s">
        <v>829</v>
      </c>
      <c r="AS25" s="4"/>
      <c r="AT25" s="59"/>
      <c r="AU25" s="173"/>
      <c r="AV25" s="59"/>
      <c r="AW25" s="59"/>
      <c r="AX25" s="59"/>
      <c r="AY25" s="59"/>
      <c r="AZ25" s="29"/>
      <c r="BA25" s="27"/>
      <c r="BB25" s="187"/>
      <c r="BC25" s="572"/>
      <c r="BD25" s="573"/>
      <c r="BE25" s="574" t="s">
        <v>829</v>
      </c>
    </row>
    <row r="26" spans="2:57" ht="15" customHeight="1" x14ac:dyDescent="0.3">
      <c r="B26" s="4"/>
      <c r="C26" s="59"/>
      <c r="D26" s="59"/>
      <c r="E26" s="59"/>
      <c r="F26" s="59"/>
      <c r="G26" s="499">
        <f>N10*0.985</f>
        <v>219.655</v>
      </c>
      <c r="H26" s="59"/>
      <c r="I26" s="1395" t="str">
        <f>"         "&amp;ROUND(N23*0.985,0)</f>
        <v xml:space="preserve">         99</v>
      </c>
      <c r="J26" s="27"/>
      <c r="K26" s="187"/>
      <c r="P26" s="4"/>
      <c r="Q26" s="59"/>
      <c r="R26" s="59"/>
      <c r="S26" s="59"/>
      <c r="T26" s="59"/>
      <c r="U26" s="499">
        <f>X19</f>
        <v>270</v>
      </c>
      <c r="V26" s="499"/>
      <c r="W26" s="59"/>
      <c r="X26" s="29"/>
      <c r="Y26" s="27"/>
      <c r="Z26" s="187"/>
      <c r="AA26" s="600"/>
      <c r="AB26" s="601"/>
      <c r="AC26" s="1383" t="s">
        <v>829</v>
      </c>
      <c r="AE26" s="4"/>
      <c r="AF26" s="59"/>
      <c r="AG26" s="59"/>
      <c r="AH26" s="59"/>
      <c r="AI26" s="59"/>
      <c r="AJ26" s="499">
        <f>AI34*0.985</f>
        <v>1024.4000000000001</v>
      </c>
      <c r="AK26" s="59"/>
      <c r="AL26" s="29"/>
      <c r="AM26" s="27"/>
      <c r="AN26" s="187"/>
      <c r="AO26" s="597">
        <f>AH33</f>
        <v>205</v>
      </c>
      <c r="AP26" s="573"/>
      <c r="AQ26" s="591" t="s">
        <v>847</v>
      </c>
      <c r="AS26" s="4"/>
      <c r="AT26" s="59"/>
      <c r="AU26" s="59"/>
      <c r="AV26" s="59"/>
      <c r="AW26" s="59"/>
      <c r="AX26" s="499">
        <f>AW34*0.985</f>
        <v>753.52499999999998</v>
      </c>
      <c r="AY26" s="59"/>
      <c r="AZ26" s="29"/>
      <c r="BA26" s="27"/>
      <c r="BB26" s="187"/>
      <c r="BC26" s="578">
        <f>AV33</f>
        <v>182.5</v>
      </c>
      <c r="BD26" s="573"/>
      <c r="BE26" s="562" t="s">
        <v>847</v>
      </c>
    </row>
    <row r="27" spans="2:57" ht="15" thickBot="1" x14ac:dyDescent="0.35">
      <c r="B27" s="4"/>
      <c r="C27" s="59"/>
      <c r="D27" s="31"/>
      <c r="E27" s="32"/>
      <c r="G27" s="545" t="str">
        <f>"( "&amp;L10&amp;" )"</f>
        <v>( 60 )</v>
      </c>
      <c r="H27" s="59"/>
      <c r="I27" s="30"/>
      <c r="J27" s="27"/>
      <c r="K27" s="187"/>
      <c r="L27" s="1591" t="s">
        <v>332</v>
      </c>
      <c r="M27" s="1669"/>
      <c r="N27" s="1592"/>
      <c r="P27" s="4"/>
      <c r="Q27" s="59"/>
      <c r="R27" s="31"/>
      <c r="S27" s="32"/>
      <c r="T27" s="43"/>
      <c r="U27" s="546" t="str">
        <f>"( "&amp;AA10&amp;" )"</f>
        <v>( 105 )</v>
      </c>
      <c r="V27" s="546"/>
      <c r="W27" s="171"/>
      <c r="X27" s="30"/>
      <c r="Y27" s="27"/>
      <c r="Z27" s="187"/>
      <c r="AA27" s="602">
        <f>VLOOKUP(AC24,Q57:W62,4,FALSE())</f>
        <v>170</v>
      </c>
      <c r="AB27" s="603"/>
      <c r="AC27" s="1384" t="s">
        <v>868</v>
      </c>
      <c r="AE27" s="4"/>
      <c r="AF27" s="59"/>
      <c r="AG27" s="31"/>
      <c r="AH27" s="32"/>
      <c r="AI27" s="43"/>
      <c r="AJ27" s="546" t="str">
        <f>"( "&amp;AO10&amp;" )"</f>
        <v>( 345 )</v>
      </c>
      <c r="AK27" s="59"/>
      <c r="AL27" s="30"/>
      <c r="AM27" s="27"/>
      <c r="AN27" s="187"/>
      <c r="AO27" s="597">
        <f>AO31/60+AO26</f>
        <v>209.33333333333334</v>
      </c>
      <c r="AP27" s="573"/>
      <c r="AQ27" s="592">
        <v>0</v>
      </c>
      <c r="AS27" s="4"/>
      <c r="AT27" s="59"/>
      <c r="AU27" s="31"/>
      <c r="AV27" s="32"/>
      <c r="AW27" s="43"/>
      <c r="AX27" s="546" t="str">
        <f>"( "&amp;BC10&amp;" )"</f>
        <v>( 250 )</v>
      </c>
      <c r="AY27" s="59"/>
      <c r="AZ27" s="30"/>
      <c r="BA27" s="27"/>
      <c r="BB27" s="187"/>
      <c r="BC27" s="578">
        <f>BC31/30+BC26</f>
        <v>191.33333333333334</v>
      </c>
      <c r="BD27" s="573"/>
      <c r="BE27" s="565">
        <v>0</v>
      </c>
    </row>
    <row r="28" spans="2:57" x14ac:dyDescent="0.3">
      <c r="B28" s="4"/>
      <c r="C28" s="59"/>
      <c r="E28" s="59"/>
      <c r="F28" s="173"/>
      <c r="J28" s="27"/>
      <c r="K28" s="187"/>
      <c r="L28" s="1670" t="s">
        <v>1129</v>
      </c>
      <c r="M28" s="1671"/>
      <c r="N28" s="1193">
        <f>L10</f>
        <v>60</v>
      </c>
      <c r="P28" s="4"/>
      <c r="Q28" s="59"/>
      <c r="R28" s="43"/>
      <c r="S28" s="59"/>
      <c r="T28" s="173"/>
      <c r="U28" s="43" t="s">
        <v>834</v>
      </c>
      <c r="W28" s="59"/>
      <c r="X28" s="494">
        <f>AC39+AC42</f>
        <v>145</v>
      </c>
      <c r="Y28" s="27"/>
      <c r="Z28" s="187"/>
      <c r="AA28" s="602">
        <f>VLOOKUP(AC24,Q57:W62,3,FALSE())</f>
        <v>200</v>
      </c>
      <c r="AB28" s="603"/>
      <c r="AC28" s="605">
        <v>0</v>
      </c>
      <c r="AE28" s="4"/>
      <c r="AF28" s="59"/>
      <c r="AG28" s="43"/>
      <c r="AH28" s="59"/>
      <c r="AI28" s="173"/>
      <c r="AJ28" s="43" t="s">
        <v>834</v>
      </c>
      <c r="AK28" s="59"/>
      <c r="AL28" s="494">
        <f>AQ39+AQ42</f>
        <v>380</v>
      </c>
      <c r="AM28" s="27"/>
      <c r="AN28" s="187"/>
      <c r="AO28" s="594">
        <f>(AO26+AO27)/2</f>
        <v>207.16666666666669</v>
      </c>
      <c r="AP28" s="573"/>
      <c r="AQ28" s="593">
        <f>AO28</f>
        <v>207.16666666666669</v>
      </c>
      <c r="AS28" s="4"/>
      <c r="AT28" s="59"/>
      <c r="AU28" s="43"/>
      <c r="AV28" s="59"/>
      <c r="AW28" s="173"/>
      <c r="AX28" s="43" t="s">
        <v>834</v>
      </c>
      <c r="AY28" s="59"/>
      <c r="AZ28" s="494">
        <f>BE39+BE42</f>
        <v>285</v>
      </c>
      <c r="BA28" s="27"/>
      <c r="BB28" s="187"/>
      <c r="BC28" s="575">
        <f>(BC26+BC27)/2</f>
        <v>186.91666666666669</v>
      </c>
      <c r="BD28" s="573"/>
      <c r="BE28" s="566">
        <f>BC28</f>
        <v>186.91666666666669</v>
      </c>
    </row>
    <row r="29" spans="2:57" ht="15" thickBot="1" x14ac:dyDescent="0.35">
      <c r="B29" s="4"/>
      <c r="C29" s="59"/>
      <c r="D29" s="498"/>
      <c r="G29" s="498" t="s">
        <v>834</v>
      </c>
      <c r="H29" s="59"/>
      <c r="I29" s="494">
        <f>L10+N31</f>
        <v>110</v>
      </c>
      <c r="J29" s="10"/>
      <c r="K29" s="187"/>
      <c r="L29" s="1670" t="s">
        <v>1130</v>
      </c>
      <c r="M29" s="1671"/>
      <c r="N29" s="1193">
        <f>G17</f>
        <v>2</v>
      </c>
      <c r="P29" s="4"/>
      <c r="Q29" s="81" t="str">
        <f>IF(AB25=TRUE,"Заливка прибыли на 1/2","")</f>
        <v/>
      </c>
      <c r="R29" s="498"/>
      <c r="S29" s="43"/>
      <c r="T29" s="43"/>
      <c r="U29" s="43"/>
      <c r="W29" s="43"/>
      <c r="X29" s="43"/>
      <c r="Y29" s="10"/>
      <c r="Z29" s="187"/>
      <c r="AA29" s="606">
        <f>(AA27+AA28)/2</f>
        <v>185</v>
      </c>
      <c r="AB29" s="603"/>
      <c r="AC29" s="605">
        <f>AA29</f>
        <v>185</v>
      </c>
      <c r="AE29" s="4"/>
      <c r="AF29" s="59"/>
      <c r="AG29" s="498"/>
      <c r="AH29" s="43"/>
      <c r="AI29" s="43"/>
      <c r="AJ29" s="43"/>
      <c r="AK29" s="43"/>
      <c r="AL29" s="43"/>
      <c r="AM29" s="10"/>
      <c r="AN29" s="187"/>
      <c r="AO29" s="594"/>
      <c r="AP29" s="573"/>
      <c r="AQ29" s="592">
        <v>0</v>
      </c>
      <c r="AS29" s="4"/>
      <c r="AT29" s="59"/>
      <c r="AU29" s="498"/>
      <c r="AV29" s="43"/>
      <c r="AW29" s="43"/>
      <c r="AX29" s="43"/>
      <c r="AY29" s="43"/>
      <c r="AZ29" s="43"/>
      <c r="BA29" s="10"/>
      <c r="BB29" s="187"/>
      <c r="BC29" s="575"/>
      <c r="BD29" s="573"/>
      <c r="BE29" s="565">
        <v>0</v>
      </c>
    </row>
    <row r="30" spans="2:57" ht="15" thickBot="1" x14ac:dyDescent="0.35">
      <c r="B30" s="1500" t="s">
        <v>835</v>
      </c>
      <c r="C30" s="1573"/>
      <c r="D30" s="1573"/>
      <c r="E30" s="1573"/>
      <c r="F30" s="1573"/>
      <c r="G30" s="1573"/>
      <c r="H30" s="1573"/>
      <c r="I30" s="1573"/>
      <c r="J30" s="1501"/>
      <c r="K30" s="187"/>
      <c r="L30" s="1670" t="s">
        <v>1131</v>
      </c>
      <c r="M30" s="1671"/>
      <c r="N30" s="1193">
        <f>IF(D23&lt;100,8,IF(AND(D23&gt;=100,D23&lt;200),10,20))</f>
        <v>20</v>
      </c>
      <c r="P30" s="1500" t="s">
        <v>835</v>
      </c>
      <c r="Q30" s="1573"/>
      <c r="R30" s="1573"/>
      <c r="S30" s="1573"/>
      <c r="T30" s="1573"/>
      <c r="U30" s="1573"/>
      <c r="V30" s="1573"/>
      <c r="W30" s="1573"/>
      <c r="X30" s="1573"/>
      <c r="Y30" s="1501"/>
      <c r="Z30" s="187"/>
      <c r="AA30" s="607"/>
      <c r="AB30" s="603"/>
      <c r="AC30" s="605">
        <v>0</v>
      </c>
      <c r="AE30" s="1500" t="s">
        <v>835</v>
      </c>
      <c r="AF30" s="1573"/>
      <c r="AG30" s="1573"/>
      <c r="AH30" s="1573"/>
      <c r="AI30" s="1573"/>
      <c r="AJ30" s="1573"/>
      <c r="AK30" s="1573"/>
      <c r="AL30" s="1573"/>
      <c r="AM30" s="1501"/>
      <c r="AN30" s="187"/>
      <c r="AO30" s="594"/>
      <c r="AP30" s="573"/>
      <c r="AQ30" s="592">
        <v>0</v>
      </c>
      <c r="AS30" s="1500" t="s">
        <v>835</v>
      </c>
      <c r="AT30" s="1573"/>
      <c r="AU30" s="1573"/>
      <c r="AV30" s="1573"/>
      <c r="AW30" s="1573"/>
      <c r="AX30" s="1573"/>
      <c r="AY30" s="1573"/>
      <c r="AZ30" s="1573"/>
      <c r="BA30" s="1501"/>
      <c r="BB30" s="187"/>
      <c r="BC30" s="575"/>
      <c r="BD30" s="573"/>
      <c r="BE30" s="565">
        <v>0</v>
      </c>
    </row>
    <row r="31" spans="2:57" ht="15" thickBot="1" x14ac:dyDescent="0.35">
      <c r="B31" s="536"/>
      <c r="C31" s="1396" t="s">
        <v>50</v>
      </c>
      <c r="D31" s="55"/>
      <c r="E31" s="925"/>
      <c r="F31" s="1397"/>
      <c r="G31" s="60" t="str">
        <f>VLOOKUP(G9,Данные!A3:I27,6,FALSE())</f>
        <v>25010.00174</v>
      </c>
      <c r="H31" s="59"/>
      <c r="I31" s="55"/>
      <c r="J31" s="1398"/>
      <c r="K31" s="187"/>
      <c r="L31" s="1670" t="s">
        <v>1050</v>
      </c>
      <c r="M31" s="1671"/>
      <c r="N31" s="1193">
        <f>IF(D23&lt;100,35,IF(AND(D23&gt;=100,D23&lt;200),40,50))</f>
        <v>50</v>
      </c>
      <c r="P31" s="536"/>
      <c r="Q31" s="55" t="s">
        <v>281</v>
      </c>
      <c r="R31" s="55"/>
      <c r="S31" s="581" t="s">
        <v>204</v>
      </c>
      <c r="T31" s="501" t="s">
        <v>89</v>
      </c>
      <c r="U31" s="502" t="s">
        <v>4</v>
      </c>
      <c r="V31" s="1056"/>
      <c r="W31" s="84"/>
      <c r="X31" s="503" t="s">
        <v>836</v>
      </c>
      <c r="Y31" s="535" t="s">
        <v>282</v>
      </c>
      <c r="Z31" s="187"/>
      <c r="AA31" s="607"/>
      <c r="AB31" s="603"/>
      <c r="AC31" s="605">
        <v>0</v>
      </c>
      <c r="AE31" s="536"/>
      <c r="AF31" s="55" t="s">
        <v>281</v>
      </c>
      <c r="AG31" s="55"/>
      <c r="AH31" s="500" t="s">
        <v>204</v>
      </c>
      <c r="AI31" s="501" t="s">
        <v>89</v>
      </c>
      <c r="AJ31" s="1692" t="s">
        <v>849</v>
      </c>
      <c r="AK31" s="1693"/>
      <c r="AL31" s="1694"/>
      <c r="AM31" s="535" t="s">
        <v>282</v>
      </c>
      <c r="AN31" s="187"/>
      <c r="AO31" s="594">
        <f>AI33</f>
        <v>260</v>
      </c>
      <c r="AP31" s="573"/>
      <c r="AQ31" s="592">
        <f>AO31</f>
        <v>260</v>
      </c>
      <c r="AS31" s="536"/>
      <c r="AT31" s="55" t="s">
        <v>281</v>
      </c>
      <c r="AU31" s="55"/>
      <c r="AV31" s="500" t="s">
        <v>204</v>
      </c>
      <c r="AW31" s="501" t="s">
        <v>89</v>
      </c>
      <c r="AX31" s="1692" t="s">
        <v>849</v>
      </c>
      <c r="AY31" s="1693"/>
      <c r="AZ31" s="1694"/>
      <c r="BA31" s="535" t="s">
        <v>282</v>
      </c>
      <c r="BB31" s="187"/>
      <c r="BC31" s="575">
        <f>AW33</f>
        <v>265</v>
      </c>
      <c r="BD31" s="573"/>
      <c r="BE31" s="565">
        <f>BC31</f>
        <v>265</v>
      </c>
    </row>
    <row r="32" spans="2:57" x14ac:dyDescent="0.3">
      <c r="B32" s="1399"/>
      <c r="C32" s="1396" t="s">
        <v>52</v>
      </c>
      <c r="D32" s="46"/>
      <c r="E32" s="1400"/>
      <c r="F32" s="1401"/>
      <c r="G32" s="59" t="s">
        <v>838</v>
      </c>
      <c r="H32" s="1402"/>
      <c r="I32" s="30"/>
      <c r="J32" s="1398"/>
      <c r="K32" s="187"/>
      <c r="L32" s="43"/>
      <c r="M32" s="43"/>
      <c r="N32" s="1194">
        <f>IF(N29=1,N28+N31,N28*N29+N30*N29+N31)</f>
        <v>210</v>
      </c>
      <c r="P32" s="504"/>
      <c r="Q32" s="582" t="s">
        <v>837</v>
      </c>
      <c r="R32" s="436"/>
      <c r="S32" s="544">
        <v>137.5</v>
      </c>
      <c r="T32" s="505">
        <v>265</v>
      </c>
      <c r="U32" s="1710" t="str">
        <f>VLOOKUP(S32,Данные!AD79:AH1155,5,FALSE)</f>
        <v>72.11868 - 16</v>
      </c>
      <c r="V32" s="1711"/>
      <c r="W32" s="1712"/>
      <c r="X32" s="63"/>
      <c r="Y32" s="506"/>
      <c r="Z32" s="187"/>
      <c r="AA32" s="607">
        <f>VLOOKUP(AC24,Q57:W62,7,FALSE())</f>
        <v>230</v>
      </c>
      <c r="AB32" s="603"/>
      <c r="AC32" s="605">
        <f>AA32</f>
        <v>230</v>
      </c>
      <c r="AE32" s="504"/>
      <c r="AF32" s="103" t="s">
        <v>837</v>
      </c>
      <c r="AG32" s="436"/>
      <c r="AH32" s="544">
        <v>200</v>
      </c>
      <c r="AI32" s="532">
        <v>780</v>
      </c>
      <c r="AJ32" s="1695"/>
      <c r="AK32" s="1696"/>
      <c r="AL32" s="1697"/>
      <c r="AM32" s="506"/>
      <c r="AN32" s="187"/>
      <c r="AO32" s="598"/>
      <c r="AP32" s="573"/>
      <c r="AQ32" s="594">
        <f>AO11</f>
        <v>7.8</v>
      </c>
      <c r="AS32" s="504"/>
      <c r="AT32" s="71" t="s">
        <v>846</v>
      </c>
      <c r="AU32" s="436"/>
      <c r="AV32" s="544">
        <v>180</v>
      </c>
      <c r="AW32" s="532">
        <v>500</v>
      </c>
      <c r="AX32" s="1695" t="str">
        <f>VLOOKUP(AV32,Данные!AD79:AH1155,5,FALSE())</f>
        <v>72.11870 - 17</v>
      </c>
      <c r="AY32" s="1696"/>
      <c r="AZ32" s="1697"/>
      <c r="BA32" s="506"/>
      <c r="BB32" s="187"/>
      <c r="BC32" s="572"/>
      <c r="BD32" s="573"/>
      <c r="BE32" s="568">
        <f>BC11</f>
        <v>7.5</v>
      </c>
    </row>
    <row r="33" spans="2:58" ht="15" thickBot="1" x14ac:dyDescent="0.35">
      <c r="B33" s="4"/>
      <c r="C33" s="1396" t="s">
        <v>1266</v>
      </c>
      <c r="D33" s="55"/>
      <c r="E33" s="1403"/>
      <c r="F33" s="1401"/>
      <c r="G33" s="1404"/>
      <c r="H33" s="55" t="s">
        <v>1267</v>
      </c>
      <c r="I33" s="30"/>
      <c r="J33" s="163"/>
      <c r="K33" s="187"/>
      <c r="P33" s="19"/>
      <c r="Q33" s="507" t="str">
        <f>IF(A1=FALSE,"Без приб.надставки","Прибыль ")</f>
        <v xml:space="preserve">Прибыль </v>
      </c>
      <c r="R33" s="40"/>
      <c r="S33" s="583"/>
      <c r="T33" s="811"/>
      <c r="U33" s="1718" t="str">
        <f>IF(A1=TRUE,AC24,"")</f>
        <v>242.71.642</v>
      </c>
      <c r="V33" s="1593"/>
      <c r="W33" s="1719"/>
      <c r="X33" s="508"/>
      <c r="Y33" s="509"/>
      <c r="Z33" s="187"/>
      <c r="AA33" s="607"/>
      <c r="AB33" s="603"/>
      <c r="AC33" s="604">
        <f>AA11</f>
        <v>8.8800000000000008</v>
      </c>
      <c r="AE33" s="19"/>
      <c r="AF33" s="65" t="s">
        <v>846</v>
      </c>
      <c r="AG33" s="40"/>
      <c r="AH33" s="533">
        <v>205</v>
      </c>
      <c r="AI33" s="533">
        <v>260</v>
      </c>
      <c r="AJ33" s="1698" t="str">
        <f>VLOOKUP(AH33,Данные!AD79:AH1155,5,FALSE)</f>
        <v>72.11870 - 27</v>
      </c>
      <c r="AK33" s="1699"/>
      <c r="AL33" s="1700"/>
      <c r="AM33" s="534"/>
      <c r="AN33" s="187"/>
      <c r="AO33" s="599"/>
      <c r="AP33" s="579"/>
      <c r="AQ33" s="595">
        <f>((AQ28*AQ28-AQ29*AQ29)*3.1415926*AQ31*AQ32+(AQ27*AQ27-AQ28*AQ28)*AQ30*AQ32*3.14)/4000000</f>
        <v>68.359295945943401</v>
      </c>
      <c r="AS33" s="19"/>
      <c r="AT33" s="65" t="s">
        <v>846</v>
      </c>
      <c r="AU33" s="40"/>
      <c r="AV33" s="533">
        <v>182.5</v>
      </c>
      <c r="AW33" s="533">
        <v>265</v>
      </c>
      <c r="AX33" s="1698" t="str">
        <f>VLOOKUP(AV33,Данные!AD79:AH1155,5,FALSE)</f>
        <v>72.11870 - 18</v>
      </c>
      <c r="AY33" s="1699"/>
      <c r="AZ33" s="1700"/>
      <c r="BA33" s="534"/>
      <c r="BB33" s="187"/>
      <c r="BC33" s="572"/>
      <c r="BD33" s="573"/>
      <c r="BE33" s="571">
        <f>((BE28*BE28-BE29*BE29)*3.1415926*BE31*BE32+(BE27*BE27-BE28*BE28)*BE30*BE32*3.14)/4000000</f>
        <v>54.537228799334791</v>
      </c>
    </row>
    <row r="34" spans="2:58" ht="15" thickBot="1" x14ac:dyDescent="0.35">
      <c r="B34" s="4"/>
      <c r="C34" s="1396" t="s">
        <v>57</v>
      </c>
      <c r="D34" s="55"/>
      <c r="E34" s="55"/>
      <c r="F34" s="489"/>
      <c r="G34" s="60" t="s">
        <v>58</v>
      </c>
      <c r="H34" s="59"/>
      <c r="I34" s="29"/>
      <c r="J34" s="27"/>
      <c r="K34" s="187"/>
      <c r="N34" s="1416"/>
      <c r="P34" s="1"/>
      <c r="Q34" s="2" t="s">
        <v>287</v>
      </c>
      <c r="R34" s="2"/>
      <c r="S34" s="2"/>
      <c r="T34" s="510">
        <f>AC20</f>
        <v>265</v>
      </c>
      <c r="U34" s="2"/>
      <c r="V34" s="2"/>
      <c r="W34" s="2"/>
      <c r="X34" s="511"/>
      <c r="Y34" s="512"/>
      <c r="Z34" s="187"/>
      <c r="AA34" s="608"/>
      <c r="AB34" s="603"/>
      <c r="AC34" s="609">
        <f>((AC29*AC29-AC30*AC30)*3.1415926*AC32*AC33+(AC28*AC28-AC29*AC29)*AC31*AC33*3.14)/4000000</f>
        <v>54.900226038891006</v>
      </c>
      <c r="AE34" s="1"/>
      <c r="AF34" s="2" t="s">
        <v>287</v>
      </c>
      <c r="AG34" s="2"/>
      <c r="AH34" s="2"/>
      <c r="AI34" s="510">
        <f>AI32+AI33</f>
        <v>1040</v>
      </c>
      <c r="AJ34" s="2"/>
      <c r="AK34" s="2"/>
      <c r="AL34" s="511"/>
      <c r="AM34" s="512"/>
      <c r="AN34" s="187"/>
      <c r="AO34" s="1037" t="s">
        <v>1074</v>
      </c>
      <c r="AP34" s="1038"/>
      <c r="AQ34" s="1039">
        <f>AQ23+AQ33</f>
        <v>285.14881715810083</v>
      </c>
      <c r="AS34" s="1"/>
      <c r="AT34" s="2" t="s">
        <v>287</v>
      </c>
      <c r="AU34" s="2"/>
      <c r="AV34" s="2"/>
      <c r="AW34" s="510">
        <f>AW32+AW33</f>
        <v>765</v>
      </c>
      <c r="AX34" s="2"/>
      <c r="AY34" s="2"/>
      <c r="AZ34" s="511"/>
      <c r="BA34" s="512"/>
      <c r="BB34" s="187"/>
      <c r="BC34" s="1037" t="s">
        <v>1074</v>
      </c>
      <c r="BD34" s="1038"/>
      <c r="BE34" s="1039">
        <f>BE23+BE33</f>
        <v>159.00336398006394</v>
      </c>
      <c r="BF34" s="59"/>
    </row>
    <row r="35" spans="2:58" ht="15" thickBot="1" x14ac:dyDescent="0.35">
      <c r="B35" s="4"/>
      <c r="C35" s="1396" t="s">
        <v>60</v>
      </c>
      <c r="D35" s="55"/>
      <c r="E35" s="55"/>
      <c r="F35" s="59"/>
      <c r="G35" s="1405">
        <v>1.4999999999999999E-2</v>
      </c>
      <c r="H35" s="59"/>
      <c r="I35" s="28"/>
      <c r="J35" s="27"/>
      <c r="K35" s="187"/>
      <c r="P35" s="12"/>
      <c r="Q35" s="513" t="s">
        <v>50</v>
      </c>
      <c r="R35" s="71"/>
      <c r="S35" s="71"/>
      <c r="T35" s="71"/>
      <c r="U35" s="513" t="str">
        <f>VLOOKUP(U9,Данные!A3:I27,6,FALSE())</f>
        <v>25010.00174</v>
      </c>
      <c r="V35" s="513"/>
      <c r="W35" s="71"/>
      <c r="X35" s="514"/>
      <c r="Y35" s="515"/>
      <c r="Z35" s="23"/>
      <c r="AA35" s="610" t="s">
        <v>1284</v>
      </c>
      <c r="AB35" s="611"/>
      <c r="AC35" s="1469">
        <f>AC34/2</f>
        <v>27.450113019445503</v>
      </c>
      <c r="AE35" s="12"/>
      <c r="AF35" s="513" t="s">
        <v>50</v>
      </c>
      <c r="AG35" s="71"/>
      <c r="AH35" s="71"/>
      <c r="AI35" s="71"/>
      <c r="AJ35" s="513" t="str">
        <f>VLOOKUP(AJ9,Данные!A3:I27,6,FALSE())</f>
        <v>25010.00176</v>
      </c>
      <c r="AK35" s="71"/>
      <c r="AL35" s="514"/>
      <c r="AM35" s="515"/>
      <c r="AN35" s="187"/>
      <c r="AO35" s="60"/>
      <c r="AP35" s="60"/>
      <c r="AQ35" s="1231"/>
      <c r="AS35" s="12"/>
      <c r="AT35" s="513" t="s">
        <v>50</v>
      </c>
      <c r="AU35" s="71"/>
      <c r="AV35" s="71"/>
      <c r="AW35" s="71"/>
      <c r="AX35" s="513" t="str">
        <f>VLOOKUP(AX9,Данные!A3:I27,6,FALSE())</f>
        <v>25010.00176</v>
      </c>
      <c r="AY35" s="71"/>
      <c r="AZ35" s="514"/>
      <c r="BA35" s="515"/>
      <c r="BB35" s="187"/>
      <c r="BC35" s="43"/>
      <c r="BD35" s="43"/>
      <c r="BE35" s="59"/>
    </row>
    <row r="36" spans="2:58" ht="15" thickBot="1" x14ac:dyDescent="0.35">
      <c r="B36" s="4"/>
      <c r="C36" s="55" t="s">
        <v>53</v>
      </c>
      <c r="D36" s="55"/>
      <c r="E36" s="55"/>
      <c r="F36" s="59"/>
      <c r="G36" s="60" t="s">
        <v>54</v>
      </c>
      <c r="H36" s="59"/>
      <c r="I36" s="28"/>
      <c r="J36" s="27"/>
      <c r="K36" s="23"/>
      <c r="P36" s="19"/>
      <c r="Q36" s="516" t="s">
        <v>52</v>
      </c>
      <c r="R36" s="65"/>
      <c r="S36" s="65"/>
      <c r="T36" s="65"/>
      <c r="U36" s="65" t="s">
        <v>838</v>
      </c>
      <c r="V36" s="65"/>
      <c r="W36" s="65"/>
      <c r="X36" s="517"/>
      <c r="Y36" s="202"/>
      <c r="Z36" s="23"/>
      <c r="AA36" s="43" t="s">
        <v>203</v>
      </c>
      <c r="AB36" s="43"/>
      <c r="AC36" s="1477">
        <f>IF(A1=TRUE,AC22+IF(AB25=TRUE,AC35,AC34),AC22)</f>
        <v>92.114838826924512</v>
      </c>
      <c r="AE36" s="19"/>
      <c r="AF36" s="516" t="s">
        <v>52</v>
      </c>
      <c r="AG36" s="65"/>
      <c r="AH36" s="65"/>
      <c r="AI36" s="65"/>
      <c r="AJ36" s="65" t="s">
        <v>838</v>
      </c>
      <c r="AK36" s="65"/>
      <c r="AL36" s="517"/>
      <c r="AM36" s="202"/>
      <c r="AN36" s="187"/>
      <c r="AO36" s="60"/>
      <c r="AP36" s="60"/>
      <c r="AQ36" s="1231"/>
      <c r="AS36" s="19"/>
      <c r="AT36" s="516" t="s">
        <v>52</v>
      </c>
      <c r="AU36" s="65"/>
      <c r="AV36" s="65"/>
      <c r="AW36" s="65"/>
      <c r="AX36" s="65" t="s">
        <v>838</v>
      </c>
      <c r="AY36" s="65"/>
      <c r="AZ36" s="517"/>
      <c r="BA36" s="202"/>
      <c r="BB36" s="187"/>
      <c r="BC36" s="43"/>
      <c r="BD36" s="43"/>
      <c r="BE36" s="43"/>
    </row>
    <row r="37" spans="2:58" ht="15" thickBot="1" x14ac:dyDescent="0.35">
      <c r="B37" s="4"/>
      <c r="C37" s="1396" t="s">
        <v>55</v>
      </c>
      <c r="D37" s="55"/>
      <c r="E37" s="55"/>
      <c r="F37" s="59"/>
      <c r="G37" s="60" t="s">
        <v>56</v>
      </c>
      <c r="H37" s="59"/>
      <c r="I37" s="29"/>
      <c r="J37" s="27"/>
      <c r="K37" s="23"/>
      <c r="P37" s="4"/>
      <c r="Q37" s="60" t="s">
        <v>289</v>
      </c>
      <c r="R37" s="59"/>
      <c r="S37" s="59"/>
      <c r="T37" s="59"/>
      <c r="U37" s="59"/>
      <c r="V37" s="59"/>
      <c r="W37" s="59"/>
      <c r="X37" s="23"/>
      <c r="Y37" s="24"/>
      <c r="Z37" s="23"/>
      <c r="AA37" s="43"/>
      <c r="AB37" s="43"/>
      <c r="AC37" s="43"/>
      <c r="AE37" s="4"/>
      <c r="AF37" s="60" t="s">
        <v>289</v>
      </c>
      <c r="AG37" s="59"/>
      <c r="AH37" s="59"/>
      <c r="AI37" s="59"/>
      <c r="AJ37" s="59"/>
      <c r="AK37" s="59"/>
      <c r="AL37" s="23"/>
      <c r="AM37" s="24"/>
      <c r="AN37" s="23"/>
      <c r="AS37" s="4"/>
      <c r="AT37" s="60" t="s">
        <v>289</v>
      </c>
      <c r="AU37" s="59"/>
      <c r="AV37" s="59"/>
      <c r="AW37" s="59"/>
      <c r="AX37" s="59"/>
      <c r="AY37" s="59"/>
      <c r="AZ37" s="23"/>
      <c r="BA37" s="24"/>
      <c r="BB37" s="23"/>
      <c r="BC37" s="43"/>
      <c r="BD37" s="43"/>
      <c r="BE37" s="43"/>
    </row>
    <row r="38" spans="2:58" x14ac:dyDescent="0.3">
      <c r="B38" s="12"/>
      <c r="C38" s="513" t="s">
        <v>289</v>
      </c>
      <c r="D38" s="71"/>
      <c r="E38" s="71"/>
      <c r="F38" s="71"/>
      <c r="G38" s="71"/>
      <c r="H38" s="71"/>
      <c r="I38" s="166"/>
      <c r="J38" s="167"/>
      <c r="K38" s="23"/>
      <c r="P38" s="4"/>
      <c r="Q38" s="60" t="s">
        <v>290</v>
      </c>
      <c r="R38" s="59"/>
      <c r="S38" s="59"/>
      <c r="T38" s="59"/>
      <c r="U38" s="59"/>
      <c r="V38" s="59"/>
      <c r="W38" s="59"/>
      <c r="X38" s="23"/>
      <c r="Y38" s="24"/>
      <c r="Z38" s="59"/>
      <c r="AA38" s="1715" t="s">
        <v>332</v>
      </c>
      <c r="AB38" s="1716"/>
      <c r="AC38" s="1717"/>
      <c r="AE38" s="4"/>
      <c r="AF38" s="60" t="s">
        <v>290</v>
      </c>
      <c r="AG38" s="59"/>
      <c r="AH38" s="59"/>
      <c r="AI38" s="59"/>
      <c r="AJ38" s="59"/>
      <c r="AK38" s="59"/>
      <c r="AL38" s="23"/>
      <c r="AM38" s="24"/>
      <c r="AN38" s="23"/>
      <c r="AO38" s="1714" t="s">
        <v>332</v>
      </c>
      <c r="AP38" s="1714"/>
      <c r="AQ38" s="1714"/>
      <c r="AS38" s="4"/>
      <c r="AT38" s="60" t="s">
        <v>290</v>
      </c>
      <c r="AU38" s="59"/>
      <c r="AV38" s="59"/>
      <c r="AW38" s="59"/>
      <c r="AX38" s="59"/>
      <c r="AY38" s="59"/>
      <c r="AZ38" s="23"/>
      <c r="BA38" s="24"/>
      <c r="BB38" s="23"/>
      <c r="BC38" s="1714" t="s">
        <v>332</v>
      </c>
      <c r="BD38" s="1714"/>
      <c r="BE38" s="1714"/>
    </row>
    <row r="39" spans="2:58" ht="15" thickBot="1" x14ac:dyDescent="0.35">
      <c r="B39" s="4"/>
      <c r="C39" s="60" t="s">
        <v>290</v>
      </c>
      <c r="D39" s="59"/>
      <c r="E39" s="59"/>
      <c r="F39" s="59"/>
      <c r="G39" s="59"/>
      <c r="H39" s="59"/>
      <c r="I39" s="23"/>
      <c r="J39" s="24"/>
      <c r="K39" s="59"/>
      <c r="P39" s="4"/>
      <c r="Q39" s="60" t="s">
        <v>839</v>
      </c>
      <c r="R39" s="59"/>
      <c r="S39" s="59"/>
      <c r="T39" s="59"/>
      <c r="U39" s="59"/>
      <c r="V39" s="59"/>
      <c r="W39" s="59"/>
      <c r="X39" s="23"/>
      <c r="Y39" s="24"/>
      <c r="Z39" s="59"/>
      <c r="AA39" s="1677" t="s">
        <v>1129</v>
      </c>
      <c r="AB39" s="1671"/>
      <c r="AC39" s="1471">
        <f>AA10</f>
        <v>105</v>
      </c>
      <c r="AE39" s="4"/>
      <c r="AF39" s="60" t="s">
        <v>839</v>
      </c>
      <c r="AG39" s="59"/>
      <c r="AH39" s="59"/>
      <c r="AI39" s="59"/>
      <c r="AJ39" s="59"/>
      <c r="AK39" s="59"/>
      <c r="AL39" s="23"/>
      <c r="AM39" s="24"/>
      <c r="AN39" s="23"/>
      <c r="AO39" s="1676" t="s">
        <v>1129</v>
      </c>
      <c r="AP39" s="1676"/>
      <c r="AQ39" s="1193">
        <f>AO10</f>
        <v>345</v>
      </c>
      <c r="AS39" s="4"/>
      <c r="AT39" s="60" t="s">
        <v>839</v>
      </c>
      <c r="AU39" s="59"/>
      <c r="AV39" s="59"/>
      <c r="AW39" s="59"/>
      <c r="AX39" s="59"/>
      <c r="AY39" s="59"/>
      <c r="AZ39" s="23"/>
      <c r="BA39" s="24"/>
      <c r="BB39" s="23"/>
      <c r="BC39" s="1676" t="s">
        <v>1129</v>
      </c>
      <c r="BD39" s="1676"/>
      <c r="BE39" s="1193">
        <f>BC10</f>
        <v>250</v>
      </c>
    </row>
    <row r="40" spans="2:58" ht="15" thickBot="1" x14ac:dyDescent="0.35">
      <c r="B40" s="19"/>
      <c r="C40" s="516" t="s">
        <v>839</v>
      </c>
      <c r="D40" s="65"/>
      <c r="E40" s="65"/>
      <c r="F40" s="65"/>
      <c r="G40" s="65"/>
      <c r="H40" s="65"/>
      <c r="I40" s="172"/>
      <c r="J40" s="76"/>
      <c r="K40" s="59"/>
      <c r="P40" s="1500" t="s">
        <v>292</v>
      </c>
      <c r="Q40" s="1573"/>
      <c r="R40" s="1501"/>
      <c r="S40" s="107" t="s">
        <v>840</v>
      </c>
      <c r="T40" s="107" t="s">
        <v>295</v>
      </c>
      <c r="U40" s="107" t="s">
        <v>841</v>
      </c>
      <c r="V40" s="1500" t="s">
        <v>295</v>
      </c>
      <c r="W40" s="1501"/>
      <c r="X40" s="107" t="s">
        <v>296</v>
      </c>
      <c r="Y40" s="107" t="s">
        <v>295</v>
      </c>
      <c r="Z40" s="59"/>
      <c r="AA40" s="1677" t="s">
        <v>1130</v>
      </c>
      <c r="AB40" s="1671"/>
      <c r="AC40" s="1471">
        <f>U17</f>
        <v>2</v>
      </c>
      <c r="AE40" s="1"/>
      <c r="AF40" s="84" t="s">
        <v>292</v>
      </c>
      <c r="AG40" s="107"/>
      <c r="AH40" s="107" t="s">
        <v>840</v>
      </c>
      <c r="AI40" s="107" t="s">
        <v>295</v>
      </c>
      <c r="AJ40" s="107" t="s">
        <v>841</v>
      </c>
      <c r="AK40" s="107" t="s">
        <v>295</v>
      </c>
      <c r="AL40" s="107" t="s">
        <v>296</v>
      </c>
      <c r="AM40" s="107" t="s">
        <v>295</v>
      </c>
      <c r="AN40" s="59"/>
      <c r="AO40" s="1676" t="s">
        <v>1130</v>
      </c>
      <c r="AP40" s="1676"/>
      <c r="AQ40" s="1193">
        <f>AJ17</f>
        <v>1</v>
      </c>
      <c r="AS40" s="1"/>
      <c r="AT40" s="84" t="s">
        <v>292</v>
      </c>
      <c r="AU40" s="107"/>
      <c r="AV40" s="107" t="s">
        <v>840</v>
      </c>
      <c r="AW40" s="107" t="s">
        <v>295</v>
      </c>
      <c r="AX40" s="107" t="s">
        <v>841</v>
      </c>
      <c r="AY40" s="107" t="s">
        <v>295</v>
      </c>
      <c r="AZ40" s="107" t="s">
        <v>296</v>
      </c>
      <c r="BA40" s="107" t="s">
        <v>295</v>
      </c>
      <c r="BB40" s="59"/>
      <c r="BC40" s="1676" t="s">
        <v>1130</v>
      </c>
      <c r="BD40" s="1676"/>
      <c r="BE40" s="1193">
        <f>AX17</f>
        <v>2</v>
      </c>
    </row>
    <row r="41" spans="2:58" ht="15" thickBot="1" x14ac:dyDescent="0.35">
      <c r="B41" s="1"/>
      <c r="C41" s="84" t="s">
        <v>292</v>
      </c>
      <c r="D41" s="107"/>
      <c r="E41" s="107" t="s">
        <v>840</v>
      </c>
      <c r="F41" s="107" t="s">
        <v>295</v>
      </c>
      <c r="G41" s="107" t="s">
        <v>841</v>
      </c>
      <c r="H41" s="107" t="s">
        <v>295</v>
      </c>
      <c r="I41" s="107" t="s">
        <v>296</v>
      </c>
      <c r="J41" s="107" t="s">
        <v>295</v>
      </c>
      <c r="K41" s="59"/>
      <c r="P41" s="1664">
        <f ca="1">TODAY()</f>
        <v>45414</v>
      </c>
      <c r="Q41" s="1681"/>
      <c r="R41" s="1682"/>
      <c r="S41" s="107" t="s">
        <v>265</v>
      </c>
      <c r="T41" s="518"/>
      <c r="U41" s="107" t="s">
        <v>266</v>
      </c>
      <c r="V41" s="1500"/>
      <c r="W41" s="1501"/>
      <c r="X41" s="107"/>
      <c r="Y41" s="107"/>
      <c r="Z41" s="59"/>
      <c r="AA41" s="1677" t="s">
        <v>1131</v>
      </c>
      <c r="AB41" s="1671"/>
      <c r="AC41" s="1471">
        <f>IF(R23&lt;100,8,IF(AND(R23&gt;=100,R23&lt;200),10,20))</f>
        <v>10</v>
      </c>
      <c r="AE41" s="1664">
        <f ca="1">TODAY()</f>
        <v>45414</v>
      </c>
      <c r="AF41" s="1665"/>
      <c r="AG41" s="1666"/>
      <c r="AH41" s="107" t="s">
        <v>265</v>
      </c>
      <c r="AI41" s="518"/>
      <c r="AJ41" s="107" t="s">
        <v>266</v>
      </c>
      <c r="AK41" s="107"/>
      <c r="AL41" s="107"/>
      <c r="AM41" s="107"/>
      <c r="AN41" s="59"/>
      <c r="AO41" s="1676" t="s">
        <v>1131</v>
      </c>
      <c r="AP41" s="1676"/>
      <c r="AQ41" s="1193">
        <f>IF(AG23&lt;100,8,IF(AND(AG23&gt;=100,AG23&lt;200),10,20))</f>
        <v>10</v>
      </c>
      <c r="AS41" s="1664">
        <f ca="1">TODAY()</f>
        <v>45414</v>
      </c>
      <c r="AT41" s="1665"/>
      <c r="AU41" s="1666"/>
      <c r="AV41" s="107" t="s">
        <v>265</v>
      </c>
      <c r="AW41" s="518"/>
      <c r="AX41" s="107" t="s">
        <v>266</v>
      </c>
      <c r="AY41" s="107"/>
      <c r="AZ41" s="107"/>
      <c r="BA41" s="107"/>
      <c r="BB41" s="59"/>
      <c r="BC41" s="1676" t="s">
        <v>1131</v>
      </c>
      <c r="BD41" s="1676"/>
      <c r="BE41" s="1193">
        <f>IF(AU23&lt;100,8,IF(AND(AU23&gt;=100,AU23&lt;200),10,20))</f>
        <v>10</v>
      </c>
    </row>
    <row r="42" spans="2:58" ht="15" thickBot="1" x14ac:dyDescent="0.35">
      <c r="B42" s="1664">
        <f ca="1">TODAY()</f>
        <v>45414</v>
      </c>
      <c r="C42" s="1665"/>
      <c r="D42" s="1666"/>
      <c r="E42" s="107" t="s">
        <v>265</v>
      </c>
      <c r="F42" s="518"/>
      <c r="G42" s="107" t="s">
        <v>266</v>
      </c>
      <c r="H42" s="107"/>
      <c r="I42" s="107" t="s">
        <v>265</v>
      </c>
      <c r="J42" s="107"/>
      <c r="K42" s="59"/>
      <c r="P42" s="1678" t="s">
        <v>71</v>
      </c>
      <c r="Q42" s="1679"/>
      <c r="R42" s="1680"/>
      <c r="S42" s="107"/>
      <c r="T42" s="78"/>
      <c r="U42" s="107"/>
      <c r="V42" s="1500"/>
      <c r="W42" s="1501"/>
      <c r="X42" s="107"/>
      <c r="Y42" s="107"/>
      <c r="Z42" s="43"/>
      <c r="AA42" s="1677" t="s">
        <v>1050</v>
      </c>
      <c r="AB42" s="1671"/>
      <c r="AC42" s="1471">
        <f>IF(R23&lt;100,35,IF(AND(R23&gt;=100,R23&lt;200),40,50))</f>
        <v>40</v>
      </c>
      <c r="AE42" s="1"/>
      <c r="AF42" s="1679" t="s">
        <v>71</v>
      </c>
      <c r="AG42" s="1680"/>
      <c r="AH42" s="107"/>
      <c r="AI42" s="78"/>
      <c r="AJ42" s="107"/>
      <c r="AK42" s="107"/>
      <c r="AL42" s="107"/>
      <c r="AM42" s="107"/>
      <c r="AN42" s="59"/>
      <c r="AO42" s="1676" t="s">
        <v>1050</v>
      </c>
      <c r="AP42" s="1676"/>
      <c r="AQ42" s="1193">
        <f>IF(AF21&lt;100,35,IF(AND(AF21&gt;=100,AF21&lt;200),40,50))</f>
        <v>35</v>
      </c>
      <c r="AS42" s="1"/>
      <c r="AT42" s="519" t="s">
        <v>71</v>
      </c>
      <c r="AU42" s="107"/>
      <c r="AV42" s="107"/>
      <c r="AW42" s="78"/>
      <c r="AX42" s="107"/>
      <c r="AY42" s="107"/>
      <c r="AZ42" s="107"/>
      <c r="BA42" s="107"/>
      <c r="BB42" s="59"/>
      <c r="BC42" s="1676" t="s">
        <v>1050</v>
      </c>
      <c r="BD42" s="1676"/>
      <c r="BE42" s="1193">
        <f>IF(AT21&lt;100,35,IF(AND(AT21&gt;=100,AT21&lt;200),40,50))</f>
        <v>35</v>
      </c>
    </row>
    <row r="43" spans="2:58" ht="15" thickBot="1" x14ac:dyDescent="0.35">
      <c r="B43" s="1"/>
      <c r="C43" s="519" t="s">
        <v>71</v>
      </c>
      <c r="D43" s="107"/>
      <c r="E43" s="107"/>
      <c r="F43" s="78"/>
      <c r="G43" s="107"/>
      <c r="H43" s="107"/>
      <c r="I43" s="107"/>
      <c r="J43" s="107"/>
      <c r="K43" s="59"/>
      <c r="P43" s="43"/>
      <c r="Q43" s="43"/>
      <c r="R43" s="43"/>
      <c r="S43" s="43"/>
      <c r="T43" s="43"/>
      <c r="U43" s="43"/>
      <c r="W43" s="43"/>
      <c r="X43" s="43"/>
      <c r="Y43" s="43"/>
      <c r="Z43" s="43"/>
      <c r="AA43" s="1473"/>
      <c r="AB43" s="1474"/>
      <c r="AC43" s="1472">
        <f>IF(AC40=1,X28,AC39*AC40+AC41*AC40+AC42)</f>
        <v>270</v>
      </c>
      <c r="AN43" s="59"/>
      <c r="AO43" s="43"/>
      <c r="AP43" s="43"/>
      <c r="AQ43" s="1194">
        <f>AQ39*AQ40+AQ41*AQ40+AQ42</f>
        <v>390</v>
      </c>
      <c r="BC43" s="43"/>
      <c r="BD43" s="43"/>
      <c r="BE43" s="1194">
        <f>BE39*BE40+BE41*BE40+BE42</f>
        <v>555</v>
      </c>
    </row>
    <row r="44" spans="2:58" ht="15" thickBot="1" x14ac:dyDescent="0.35">
      <c r="B44" s="4"/>
      <c r="C44" s="59"/>
      <c r="D44" s="59"/>
      <c r="E44" s="59"/>
      <c r="F44" s="17"/>
      <c r="G44" s="59"/>
      <c r="H44" s="59"/>
      <c r="I44" s="59"/>
      <c r="J44" s="10"/>
      <c r="K44" s="59"/>
      <c r="P44" s="43"/>
      <c r="Q44" s="1591" t="s">
        <v>90</v>
      </c>
      <c r="R44" s="1669"/>
      <c r="S44" s="1669"/>
      <c r="T44" s="1669"/>
      <c r="U44" s="1669"/>
      <c r="V44" s="1669"/>
      <c r="W44" s="1669"/>
      <c r="X44" s="1669"/>
      <c r="Y44" s="1592"/>
      <c r="Z44" s="43"/>
      <c r="AA44" s="610"/>
      <c r="AB44" s="1475"/>
      <c r="AC44" s="70"/>
      <c r="AE44" s="1591" t="s">
        <v>90</v>
      </c>
      <c r="AF44" s="1669"/>
      <c r="AG44" s="1669"/>
      <c r="AH44" s="1669"/>
      <c r="AI44" s="1669"/>
      <c r="AJ44" s="1669"/>
      <c r="AK44" s="1669"/>
      <c r="AL44" s="1669"/>
      <c r="AM44" s="1592"/>
      <c r="AS44" s="1101"/>
      <c r="AT44" s="1101"/>
      <c r="AU44" s="1101"/>
      <c r="AV44" s="1101"/>
      <c r="AW44" s="1101"/>
      <c r="AX44" s="1101"/>
      <c r="AY44" s="1101"/>
      <c r="AZ44" s="1101"/>
      <c r="BA44" s="1101"/>
    </row>
    <row r="45" spans="2:58" ht="14.4" customHeight="1" x14ac:dyDescent="0.3">
      <c r="B45" s="12"/>
      <c r="C45" s="71" t="s">
        <v>1268</v>
      </c>
      <c r="D45" s="71"/>
      <c r="E45" s="1406" t="s">
        <v>297</v>
      </c>
      <c r="F45" s="1392" t="s">
        <v>298</v>
      </c>
      <c r="G45" s="1407" t="s">
        <v>298</v>
      </c>
      <c r="H45" s="513" t="s">
        <v>299</v>
      </c>
      <c r="I45" s="1674" t="s">
        <v>300</v>
      </c>
      <c r="J45" s="1675"/>
      <c r="K45" s="59"/>
      <c r="P45" s="43"/>
      <c r="Q45" s="1701" t="e">
        <f>VLOOKUP(AA15,Стац.Болваны,5,FALSE)</f>
        <v>#N/A</v>
      </c>
      <c r="R45" s="1702"/>
      <c r="S45" s="1702"/>
      <c r="T45" s="1702"/>
      <c r="U45" s="1702"/>
      <c r="V45" s="1702"/>
      <c r="W45" s="1702"/>
      <c r="X45" s="1702"/>
      <c r="Y45" s="1703"/>
      <c r="Z45" s="43"/>
      <c r="AA45" s="43"/>
      <c r="AB45" s="43"/>
      <c r="AE45" s="1683" t="str">
        <f>IF(VLOOKUP(AH32,Стац.Болваны,5,FALSE)=0,"",VLOOKUP(AH32,Стац.Болваны,5,FALSE))</f>
        <v/>
      </c>
      <c r="AF45" s="1684"/>
      <c r="AG45" s="1684"/>
      <c r="AH45" s="1684"/>
      <c r="AI45" s="1684"/>
      <c r="AJ45" s="1684"/>
      <c r="AK45" s="1684"/>
      <c r="AL45" s="1684"/>
      <c r="AM45" s="1685"/>
      <c r="AO45" s="43"/>
      <c r="AP45" s="43"/>
      <c r="AQ45" s="43"/>
      <c r="AS45" s="1263"/>
      <c r="AT45" s="1263"/>
      <c r="AU45" s="1263"/>
      <c r="AV45" s="1263"/>
      <c r="AW45" s="1263"/>
      <c r="AX45" s="1263"/>
      <c r="AY45" s="1263"/>
      <c r="AZ45" s="1263"/>
      <c r="BA45" s="1263"/>
    </row>
    <row r="46" spans="2:58" ht="14.4" customHeight="1" thickBot="1" x14ac:dyDescent="0.35">
      <c r="B46" s="4"/>
      <c r="C46" s="60" t="s">
        <v>301</v>
      </c>
      <c r="D46" s="59"/>
      <c r="E46" s="1408" t="s">
        <v>302</v>
      </c>
      <c r="F46" s="524" t="s">
        <v>303</v>
      </c>
      <c r="G46" s="1409" t="s">
        <v>1269</v>
      </c>
      <c r="H46" s="59"/>
      <c r="I46" s="1667" t="s">
        <v>1270</v>
      </c>
      <c r="J46" s="1668"/>
      <c r="K46" s="59"/>
      <c r="P46" s="43"/>
      <c r="Q46" s="1704"/>
      <c r="R46" s="1705"/>
      <c r="S46" s="1705"/>
      <c r="T46" s="1705"/>
      <c r="U46" s="1705"/>
      <c r="V46" s="1705"/>
      <c r="W46" s="1705"/>
      <c r="X46" s="1705"/>
      <c r="Y46" s="1706"/>
      <c r="Z46" s="43"/>
      <c r="AA46" s="43"/>
      <c r="AB46" s="43"/>
      <c r="AC46" s="43"/>
      <c r="AE46" s="1686"/>
      <c r="AF46" s="1687"/>
      <c r="AG46" s="1687"/>
      <c r="AH46" s="1687"/>
      <c r="AI46" s="1687"/>
      <c r="AJ46" s="1687"/>
      <c r="AK46" s="1687"/>
      <c r="AL46" s="1687"/>
      <c r="AM46" s="1688"/>
      <c r="AS46" s="1263"/>
      <c r="AT46" s="1263"/>
      <c r="AU46" s="1263"/>
      <c r="AV46" s="1263"/>
      <c r="AW46" s="1263"/>
      <c r="AX46" s="1263"/>
      <c r="AY46" s="1263"/>
      <c r="AZ46" s="1263"/>
      <c r="BA46" s="1263"/>
    </row>
    <row r="47" spans="2:58" ht="14.4" customHeight="1" x14ac:dyDescent="0.3">
      <c r="B47" s="12"/>
      <c r="C47" s="513" t="s">
        <v>1271</v>
      </c>
      <c r="D47" s="71"/>
      <c r="E47" s="1527">
        <v>40</v>
      </c>
      <c r="F47" s="1527">
        <v>1</v>
      </c>
      <c r="G47" s="1527">
        <v>20</v>
      </c>
      <c r="H47" s="1527">
        <v>3</v>
      </c>
      <c r="I47" s="1659">
        <f>1.152/G17</f>
        <v>0.57599999999999996</v>
      </c>
      <c r="J47" s="1660"/>
      <c r="K47" s="59"/>
      <c r="P47" s="43"/>
      <c r="Q47" s="1704"/>
      <c r="R47" s="1705"/>
      <c r="S47" s="1705"/>
      <c r="T47" s="1705"/>
      <c r="U47" s="1705"/>
      <c r="V47" s="1705"/>
      <c r="W47" s="1705"/>
      <c r="X47" s="1705"/>
      <c r="Y47" s="1706"/>
      <c r="Z47" s="43"/>
      <c r="AA47" s="43"/>
      <c r="AB47" s="43"/>
      <c r="AC47" s="43"/>
      <c r="AE47" s="1686"/>
      <c r="AF47" s="1687"/>
      <c r="AG47" s="1687"/>
      <c r="AH47" s="1687"/>
      <c r="AI47" s="1687"/>
      <c r="AJ47" s="1687"/>
      <c r="AK47" s="1687"/>
      <c r="AL47" s="1687"/>
      <c r="AM47" s="1688"/>
      <c r="AS47" s="1263"/>
      <c r="AT47" s="1263"/>
      <c r="AU47" s="1263"/>
      <c r="AV47" s="1263"/>
      <c r="AW47" s="1263"/>
      <c r="AX47" s="1263"/>
      <c r="AY47" s="1263"/>
      <c r="AZ47" s="1263"/>
      <c r="BA47" s="1263"/>
    </row>
    <row r="48" spans="2:58" ht="14.4" customHeight="1" thickBot="1" x14ac:dyDescent="0.35">
      <c r="B48" s="19"/>
      <c r="C48" s="516" t="s">
        <v>1272</v>
      </c>
      <c r="D48" s="65"/>
      <c r="E48" s="1529"/>
      <c r="F48" s="1529"/>
      <c r="G48" s="1529"/>
      <c r="H48" s="1529"/>
      <c r="I48" s="1661"/>
      <c r="J48" s="1662"/>
      <c r="K48" s="59"/>
      <c r="P48" s="43"/>
      <c r="Q48" s="1707"/>
      <c r="R48" s="1708"/>
      <c r="S48" s="1708"/>
      <c r="T48" s="1708"/>
      <c r="U48" s="1708"/>
      <c r="V48" s="1708"/>
      <c r="W48" s="1708"/>
      <c r="X48" s="1708"/>
      <c r="Y48" s="1709"/>
      <c r="Z48" s="43"/>
      <c r="AA48" s="43"/>
      <c r="AB48" s="43"/>
      <c r="AC48" s="43"/>
      <c r="AE48" s="1689"/>
      <c r="AF48" s="1690"/>
      <c r="AG48" s="1690"/>
      <c r="AH48" s="1690"/>
      <c r="AI48" s="1690"/>
      <c r="AJ48" s="1690"/>
      <c r="AK48" s="1690"/>
      <c r="AL48" s="1690"/>
      <c r="AM48" s="1691"/>
      <c r="AS48" s="1263"/>
      <c r="AT48" s="1263"/>
      <c r="AU48" s="1263"/>
      <c r="AV48" s="1263"/>
      <c r="AW48" s="1263"/>
      <c r="AX48" s="1263"/>
      <c r="AY48" s="1263"/>
      <c r="AZ48" s="1263"/>
      <c r="BA48" s="1263"/>
    </row>
    <row r="49" spans="2:31" x14ac:dyDescent="0.3">
      <c r="L49" s="1413">
        <f>(0.7*0.7*0.5*2.045)*2.3</f>
        <v>1.1523574999999997</v>
      </c>
      <c r="AE49" s="1258"/>
    </row>
    <row r="50" spans="2:31" x14ac:dyDescent="0.3">
      <c r="S50">
        <f>SQRT(85*85+84*84)</f>
        <v>119.50313803411188</v>
      </c>
    </row>
    <row r="55" spans="2:31" ht="15" thickBot="1" x14ac:dyDescent="0.35">
      <c r="B55" s="83"/>
      <c r="C55" s="83"/>
      <c r="D55" s="83"/>
      <c r="E55" s="83"/>
      <c r="F55" s="83"/>
      <c r="G55" s="83"/>
      <c r="H55" s="83"/>
      <c r="I55" s="83"/>
      <c r="J55" s="83"/>
      <c r="K55" s="83"/>
      <c r="P55" s="59"/>
    </row>
    <row r="56" spans="2:31" s="83" customFormat="1" ht="43.2" x14ac:dyDescent="0.3"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1413"/>
      <c r="M56" s="1413"/>
      <c r="N56" s="1413"/>
      <c r="Q56" s="1221" t="s">
        <v>439</v>
      </c>
      <c r="R56" s="1220" t="s">
        <v>1157</v>
      </c>
      <c r="S56" s="1220" t="s">
        <v>1158</v>
      </c>
      <c r="T56" s="1220" t="s">
        <v>1159</v>
      </c>
      <c r="U56" s="1220" t="s">
        <v>1160</v>
      </c>
      <c r="V56" s="1220"/>
      <c r="W56" s="1220" t="s">
        <v>858</v>
      </c>
      <c r="X56" s="1222" t="s">
        <v>859</v>
      </c>
      <c r="Y56" s="43"/>
      <c r="Z56"/>
      <c r="AA56"/>
      <c r="AB56"/>
      <c r="AC56"/>
      <c r="AD56"/>
      <c r="AE56"/>
    </row>
    <row r="57" spans="2:31" x14ac:dyDescent="0.3">
      <c r="Q57" s="1223" t="s">
        <v>860</v>
      </c>
      <c r="R57" s="1224" t="s">
        <v>1161</v>
      </c>
      <c r="S57" s="1224">
        <v>200</v>
      </c>
      <c r="T57" s="1224">
        <f>U57*2-S57</f>
        <v>170</v>
      </c>
      <c r="U57" s="1224">
        <v>185</v>
      </c>
      <c r="V57" s="1224"/>
      <c r="W57" s="1224">
        <v>230</v>
      </c>
      <c r="X57" s="1225">
        <f t="shared" ref="X57:X62" si="0">U57*U57*3.1415926*7.5*W57/4000000</f>
        <v>46.368434154468751</v>
      </c>
      <c r="Y57" s="43"/>
    </row>
    <row r="58" spans="2:31" x14ac:dyDescent="0.3">
      <c r="L58" s="1415"/>
      <c r="M58" s="1415"/>
      <c r="N58" s="1415"/>
      <c r="Q58" s="1223" t="s">
        <v>861</v>
      </c>
      <c r="R58" s="1224" t="s">
        <v>1162</v>
      </c>
      <c r="S58" s="1224">
        <v>250</v>
      </c>
      <c r="T58" s="1224">
        <f>U58*2-S58</f>
        <v>210</v>
      </c>
      <c r="U58" s="1224">
        <v>230</v>
      </c>
      <c r="V58" s="1224"/>
      <c r="W58" s="1224">
        <v>300</v>
      </c>
      <c r="X58" s="1225">
        <f t="shared" si="0"/>
        <v>93.482014803749991</v>
      </c>
      <c r="Y58" s="43" t="s">
        <v>862</v>
      </c>
    </row>
    <row r="59" spans="2:31" x14ac:dyDescent="0.3">
      <c r="Q59" s="1223" t="s">
        <v>863</v>
      </c>
      <c r="R59" s="1224" t="s">
        <v>1163</v>
      </c>
      <c r="S59" s="1226">
        <v>350</v>
      </c>
      <c r="T59" s="1224">
        <f>U59*2-S59</f>
        <v>300</v>
      </c>
      <c r="U59" s="1224">
        <v>325</v>
      </c>
      <c r="V59" s="1224"/>
      <c r="W59" s="1224">
        <v>350</v>
      </c>
      <c r="X59" s="1225">
        <f t="shared" si="0"/>
        <v>217.76390893359374</v>
      </c>
      <c r="Y59" s="43"/>
    </row>
    <row r="60" spans="2:31" x14ac:dyDescent="0.3">
      <c r="Q60" s="1223" t="s">
        <v>864</v>
      </c>
      <c r="R60" s="1224" t="s">
        <v>1164</v>
      </c>
      <c r="S60" s="1224">
        <v>430</v>
      </c>
      <c r="T60" s="1224">
        <f>U60*2-S60</f>
        <v>335</v>
      </c>
      <c r="U60" s="1227">
        <v>382.5</v>
      </c>
      <c r="V60" s="1227"/>
      <c r="W60" s="1224">
        <v>380</v>
      </c>
      <c r="X60" s="1225">
        <f t="shared" si="0"/>
        <v>327.48967553779693</v>
      </c>
      <c r="Y60" s="43" t="s">
        <v>865</v>
      </c>
    </row>
    <row r="61" spans="2:31" x14ac:dyDescent="0.3">
      <c r="Q61" s="1223" t="s">
        <v>866</v>
      </c>
      <c r="R61" s="1224" t="s">
        <v>1165</v>
      </c>
      <c r="S61" s="1224">
        <v>620</v>
      </c>
      <c r="T61" s="1224">
        <f>U61*2-S61</f>
        <v>360</v>
      </c>
      <c r="U61" s="1224">
        <v>490</v>
      </c>
      <c r="V61" s="1224"/>
      <c r="W61" s="1224">
        <v>525</v>
      </c>
      <c r="X61" s="1225">
        <f t="shared" si="0"/>
        <v>742.51050227156247</v>
      </c>
      <c r="Y61" s="43"/>
    </row>
    <row r="62" spans="2:31" ht="15" thickBot="1" x14ac:dyDescent="0.35">
      <c r="Q62" s="1228" t="s">
        <v>867</v>
      </c>
      <c r="R62" s="1229" t="s">
        <v>1166</v>
      </c>
      <c r="S62" s="1229">
        <v>805</v>
      </c>
      <c r="T62" s="1229">
        <v>624</v>
      </c>
      <c r="U62" s="1229">
        <f>S62/2+T62/2</f>
        <v>714.5</v>
      </c>
      <c r="V62" s="1229"/>
      <c r="W62" s="1229">
        <v>305</v>
      </c>
      <c r="X62" s="1230">
        <f t="shared" si="0"/>
        <v>917.18183101006082</v>
      </c>
      <c r="Y62" s="43"/>
    </row>
    <row r="63" spans="2:31" x14ac:dyDescent="0.3">
      <c r="Q63" s="812" t="s">
        <v>967</v>
      </c>
    </row>
    <row r="64" spans="2:31" x14ac:dyDescent="0.3">
      <c r="V64"/>
    </row>
    <row r="65" spans="22:22" x14ac:dyDescent="0.3">
      <c r="V65"/>
    </row>
    <row r="66" spans="22:22" x14ac:dyDescent="0.3">
      <c r="V66"/>
    </row>
    <row r="67" spans="22:22" x14ac:dyDescent="0.3">
      <c r="V67"/>
    </row>
    <row r="68" spans="22:22" x14ac:dyDescent="0.3">
      <c r="V68"/>
    </row>
    <row r="69" spans="22:22" x14ac:dyDescent="0.3">
      <c r="V69"/>
    </row>
    <row r="70" spans="22:22" x14ac:dyDescent="0.3">
      <c r="V70"/>
    </row>
    <row r="71" spans="22:22" x14ac:dyDescent="0.3">
      <c r="V71"/>
    </row>
    <row r="72" spans="22:22" x14ac:dyDescent="0.3">
      <c r="V72"/>
    </row>
    <row r="73" spans="22:22" x14ac:dyDescent="0.3">
      <c r="V73"/>
    </row>
    <row r="74" spans="22:22" x14ac:dyDescent="0.3">
      <c r="V74"/>
    </row>
    <row r="75" spans="22:22" x14ac:dyDescent="0.3">
      <c r="V75"/>
    </row>
    <row r="76" spans="22:22" x14ac:dyDescent="0.3">
      <c r="V76"/>
    </row>
    <row r="77" spans="22:22" x14ac:dyDescent="0.3">
      <c r="V77"/>
    </row>
    <row r="78" spans="22:22" x14ac:dyDescent="0.3">
      <c r="V78"/>
    </row>
    <row r="79" spans="22:22" x14ac:dyDescent="0.3">
      <c r="V79"/>
    </row>
    <row r="80" spans="22:22" x14ac:dyDescent="0.3">
      <c r="V80"/>
    </row>
    <row r="81" spans="22:22" x14ac:dyDescent="0.3">
      <c r="V81"/>
    </row>
    <row r="82" spans="22:22" x14ac:dyDescent="0.3">
      <c r="V82"/>
    </row>
    <row r="83" spans="22:22" x14ac:dyDescent="0.3">
      <c r="V83"/>
    </row>
    <row r="84" spans="22:22" x14ac:dyDescent="0.3">
      <c r="V84"/>
    </row>
    <row r="85" spans="22:22" x14ac:dyDescent="0.3">
      <c r="V85"/>
    </row>
    <row r="86" spans="22:22" x14ac:dyDescent="0.3">
      <c r="V86"/>
    </row>
    <row r="87" spans="22:22" x14ac:dyDescent="0.3">
      <c r="V87"/>
    </row>
    <row r="88" spans="22:22" x14ac:dyDescent="0.3">
      <c r="V88"/>
    </row>
    <row r="89" spans="22:22" x14ac:dyDescent="0.3">
      <c r="V89"/>
    </row>
    <row r="90" spans="22:22" x14ac:dyDescent="0.3">
      <c r="V90"/>
    </row>
    <row r="91" spans="22:22" x14ac:dyDescent="0.3">
      <c r="V91"/>
    </row>
    <row r="92" spans="22:22" x14ac:dyDescent="0.3">
      <c r="V92"/>
    </row>
    <row r="93" spans="22:22" x14ac:dyDescent="0.3">
      <c r="V93"/>
    </row>
    <row r="94" spans="22:22" x14ac:dyDescent="0.3">
      <c r="V94"/>
    </row>
    <row r="95" spans="22:22" x14ac:dyDescent="0.3">
      <c r="V95"/>
    </row>
    <row r="96" spans="22:22" x14ac:dyDescent="0.3">
      <c r="V96"/>
    </row>
    <row r="97" spans="22:22" x14ac:dyDescent="0.3">
      <c r="V97"/>
    </row>
    <row r="98" spans="22:22" x14ac:dyDescent="0.3">
      <c r="V98"/>
    </row>
    <row r="99" spans="22:22" x14ac:dyDescent="0.3">
      <c r="V99"/>
    </row>
    <row r="100" spans="22:22" x14ac:dyDescent="0.3">
      <c r="V100"/>
    </row>
  </sheetData>
  <mergeCells count="59">
    <mergeCell ref="BC39:BD39"/>
    <mergeCell ref="BC40:BD40"/>
    <mergeCell ref="U33:W33"/>
    <mergeCell ref="BC38:BE38"/>
    <mergeCell ref="AX33:AZ33"/>
    <mergeCell ref="AA39:AB39"/>
    <mergeCell ref="AA40:AB40"/>
    <mergeCell ref="AA2:AC2"/>
    <mergeCell ref="AO38:AQ38"/>
    <mergeCell ref="AF4:AJ4"/>
    <mergeCell ref="AE30:AM30"/>
    <mergeCell ref="AA38:AC38"/>
    <mergeCell ref="P40:R40"/>
    <mergeCell ref="AE45:AM48"/>
    <mergeCell ref="AT4:AX4"/>
    <mergeCell ref="AS30:BA30"/>
    <mergeCell ref="AX31:AZ31"/>
    <mergeCell ref="AX32:AZ32"/>
    <mergeCell ref="AE41:AG41"/>
    <mergeCell ref="AJ31:AL31"/>
    <mergeCell ref="AJ32:AL32"/>
    <mergeCell ref="AJ33:AL33"/>
    <mergeCell ref="AO39:AP39"/>
    <mergeCell ref="Q45:Y48"/>
    <mergeCell ref="Q4:U4"/>
    <mergeCell ref="P30:Y30"/>
    <mergeCell ref="U32:W32"/>
    <mergeCell ref="BC41:BD41"/>
    <mergeCell ref="BC42:BD42"/>
    <mergeCell ref="Q44:Y44"/>
    <mergeCell ref="AE44:AM44"/>
    <mergeCell ref="AO40:AP40"/>
    <mergeCell ref="AO41:AP41"/>
    <mergeCell ref="AO42:AP42"/>
    <mergeCell ref="AA42:AB42"/>
    <mergeCell ref="P42:R42"/>
    <mergeCell ref="AF42:AG42"/>
    <mergeCell ref="V42:W42"/>
    <mergeCell ref="AS41:AU41"/>
    <mergeCell ref="P41:R41"/>
    <mergeCell ref="V40:W40"/>
    <mergeCell ref="V41:W41"/>
    <mergeCell ref="AA41:AB41"/>
    <mergeCell ref="C4:G4"/>
    <mergeCell ref="B30:J30"/>
    <mergeCell ref="B42:D42"/>
    <mergeCell ref="I46:J46"/>
    <mergeCell ref="L27:N27"/>
    <mergeCell ref="L28:M28"/>
    <mergeCell ref="L29:M29"/>
    <mergeCell ref="L30:M30"/>
    <mergeCell ref="L31:M31"/>
    <mergeCell ref="L25:M25"/>
    <mergeCell ref="I45:J45"/>
    <mergeCell ref="E47:E48"/>
    <mergeCell ref="F47:F48"/>
    <mergeCell ref="G47:G48"/>
    <mergeCell ref="H47:H48"/>
    <mergeCell ref="I47:J48"/>
  </mergeCells>
  <conditionalFormatting sqref="Q45:Y48">
    <cfRule type="cellIs" dxfId="2" priority="3" operator="greaterThan">
      <formula>0</formula>
    </cfRule>
  </conditionalFormatting>
  <conditionalFormatting sqref="AE45:AM48">
    <cfRule type="cellIs" dxfId="1" priority="2" operator="greaterThan">
      <formula>0</formula>
    </cfRule>
  </conditionalFormatting>
  <conditionalFormatting sqref="H19">
    <cfRule type="cellIs" dxfId="0" priority="1" operator="greaterThan">
      <formula>$G$26</formula>
    </cfRule>
  </conditionalFormatting>
  <dataValidations count="1">
    <dataValidation type="list" showInputMessage="1" showErrorMessage="1" sqref="AC24" xr:uid="{3D30F293-C2DA-47BD-B75D-E1F46674FC7F}">
      <formula1>$Q$57:$Q$63</formula1>
    </dataValidation>
  </dataValidations>
  <hyperlinks>
    <hyperlink ref="AA2" r:id="rId1" display="Другие виды кокилей." xr:uid="{C7E1FEB5-5535-4B05-8F59-2532F548D7EE}"/>
    <hyperlink ref="AA1" r:id="rId2" xr:uid="{6C3E9065-F576-432F-AF08-2F1D96D25D7B}"/>
    <hyperlink ref="AA2:AC2" r:id="rId3" display="Другие виды болванов." xr:uid="{705C3917-C499-4D56-98DC-C9F4418CB2E9}"/>
    <hyperlink ref="AC1" r:id="rId4" xr:uid="{6D0E08F3-0983-4EC7-A882-24B20E01B9BF}"/>
  </hyperlinks>
  <printOptions horizontalCentered="1"/>
  <pageMargins left="0.25" right="0.25" top="0.75" bottom="0.75" header="0.3" footer="0.3"/>
  <pageSetup paperSize="9" orientation="portrait" r:id="rId5"/>
  <drawing r:id="rId6"/>
  <legacyDrawing r:id="rId7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0" r:id="rId8" name="Check Box 2">
              <controlPr defaultSize="0" autoFill="0" autoLine="0" autoPict="0">
                <anchor moveWithCells="1">
                  <from>
                    <xdr:col>27</xdr:col>
                    <xdr:colOff>0</xdr:colOff>
                    <xdr:row>22</xdr:row>
                    <xdr:rowOff>175260</xdr:rowOff>
                  </from>
                  <to>
                    <xdr:col>28</xdr:col>
                    <xdr:colOff>30480</xdr:colOff>
                    <xdr:row>24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2" r:id="rId9" name="Check Box 4">
              <controlPr defaultSize="0" autoFill="0" autoLine="0" autoPict="0">
                <anchor moveWithCells="1">
                  <from>
                    <xdr:col>27</xdr:col>
                    <xdr:colOff>7620</xdr:colOff>
                    <xdr:row>23</xdr:row>
                    <xdr:rowOff>182880</xdr:rowOff>
                  </from>
                  <to>
                    <xdr:col>27</xdr:col>
                    <xdr:colOff>213360</xdr:colOff>
                    <xdr:row>24</xdr:row>
                    <xdr:rowOff>175260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E325D-F23B-48BD-9A3A-0DA6C2E6175F}">
          <x14:formula1>
            <xm:f>Данные!$A$3:$A$27</xm:f>
          </x14:formula1>
          <xm:sqref>AJ9 AX9 U9 G9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7">
    <tabColor theme="4" tint="-0.249977111117893"/>
    <pageSetUpPr fitToPage="1"/>
  </sheetPr>
  <dimension ref="A1:BH1157"/>
  <sheetViews>
    <sheetView topLeftCell="S1114" zoomScale="70" zoomScaleNormal="70" workbookViewId="0">
      <selection activeCell="G41" sqref="G41"/>
    </sheetView>
  </sheetViews>
  <sheetFormatPr defaultColWidth="8.5546875" defaultRowHeight="13.8" x14ac:dyDescent="0.25"/>
  <cols>
    <col min="1" max="1" width="16.33203125" style="56" customWidth="1"/>
    <col min="2" max="2" width="18.109375" style="246" customWidth="1"/>
    <col min="3" max="3" width="16.5546875" style="56" customWidth="1"/>
    <col min="4" max="4" width="13.6640625" style="56" customWidth="1"/>
    <col min="5" max="5" width="16" style="56" customWidth="1"/>
    <col min="6" max="6" width="21.21875" style="56" customWidth="1"/>
    <col min="7" max="7" width="17.44140625" style="56" customWidth="1"/>
    <col min="8" max="8" width="19.88671875" style="56" customWidth="1"/>
    <col min="9" max="9" width="15.109375" style="56" customWidth="1"/>
    <col min="10" max="10" width="15.5546875" style="56" customWidth="1"/>
    <col min="11" max="11" width="19.44140625" style="56" customWidth="1"/>
    <col min="12" max="12" width="19.21875" style="56" customWidth="1"/>
    <col min="13" max="13" width="15.88671875" style="56" customWidth="1"/>
    <col min="14" max="14" width="14.109375" style="56" customWidth="1"/>
    <col min="15" max="15" width="14.44140625" style="56" customWidth="1"/>
    <col min="16" max="16" width="12.6640625" style="56" customWidth="1"/>
    <col min="17" max="17" width="16.88671875" style="56" customWidth="1"/>
    <col min="18" max="18" width="10.6640625" style="56" customWidth="1"/>
    <col min="19" max="19" width="11.88671875" style="56" customWidth="1"/>
    <col min="20" max="20" width="12.109375" style="56" customWidth="1"/>
    <col min="21" max="21" width="11.5546875" style="56" customWidth="1"/>
    <col min="22" max="22" width="8.6640625" style="56" customWidth="1"/>
    <col min="23" max="23" width="10.33203125" style="56" customWidth="1"/>
    <col min="24" max="24" width="9.88671875" style="56" customWidth="1"/>
    <col min="25" max="25" width="8.21875" style="56" customWidth="1"/>
    <col min="26" max="29" width="8.5546875" style="56"/>
    <col min="30" max="30" width="14.6640625" style="220" customWidth="1"/>
    <col min="31" max="31" width="8.5546875" style="220"/>
    <col min="32" max="32" width="21.109375" style="56" customWidth="1"/>
    <col min="33" max="33" width="14.33203125" style="56" customWidth="1"/>
    <col min="34" max="34" width="19.88671875" style="56" customWidth="1"/>
    <col min="35" max="35" width="15.33203125" style="56" customWidth="1"/>
    <col min="36" max="36" width="15.77734375" style="56" customWidth="1"/>
    <col min="37" max="37" width="12.5546875" style="56" customWidth="1"/>
    <col min="38" max="38" width="22.21875" style="56" customWidth="1"/>
    <col min="39" max="40" width="8.5546875" style="56"/>
    <col min="41" max="41" width="11.109375" style="56" customWidth="1"/>
    <col min="42" max="42" width="13" style="56" customWidth="1"/>
    <col min="43" max="43" width="17.5546875" style="56" customWidth="1"/>
    <col min="44" max="44" width="19.33203125" style="56" customWidth="1"/>
    <col min="45" max="45" width="19.6640625" style="56" customWidth="1"/>
    <col min="46" max="49" width="8.5546875" style="56"/>
    <col min="50" max="50" width="14.77734375" style="56" customWidth="1"/>
    <col min="51" max="51" width="8.5546875" style="56"/>
    <col min="52" max="52" width="8.21875" style="56" customWidth="1"/>
    <col min="53" max="55" width="8.5546875" style="56"/>
    <col min="56" max="56" width="18.6640625" style="56" customWidth="1"/>
    <col min="57" max="57" width="9.77734375" style="56" customWidth="1"/>
    <col min="58" max="16384" width="8.5546875" style="56"/>
  </cols>
  <sheetData>
    <row r="1" spans="1:60" ht="14.4" thickBot="1" x14ac:dyDescent="0.3">
      <c r="A1" s="1730" t="s">
        <v>95</v>
      </c>
      <c r="B1" s="1730"/>
      <c r="C1" s="215"/>
      <c r="D1" s="215" t="s">
        <v>96</v>
      </c>
      <c r="E1" s="215"/>
      <c r="F1" s="215" t="s">
        <v>97</v>
      </c>
      <c r="G1" s="215" t="s">
        <v>98</v>
      </c>
      <c r="H1" s="216" t="s">
        <v>99</v>
      </c>
      <c r="L1" s="217" t="s">
        <v>100</v>
      </c>
      <c r="M1" s="218"/>
      <c r="N1" s="218"/>
      <c r="O1" s="218"/>
      <c r="P1" s="218"/>
      <c r="Q1" s="218"/>
      <c r="R1" s="218"/>
      <c r="S1" s="218"/>
      <c r="T1" s="218"/>
      <c r="U1" s="218"/>
      <c r="V1" s="219"/>
      <c r="AB1" s="220"/>
      <c r="AC1" s="220" t="s">
        <v>333</v>
      </c>
    </row>
    <row r="2" spans="1:60" ht="37.5" customHeight="1" thickBot="1" x14ac:dyDescent="0.35">
      <c r="A2" s="221"/>
      <c r="B2" s="222" t="s">
        <v>101</v>
      </c>
      <c r="C2" s="222" t="s">
        <v>102</v>
      </c>
      <c r="D2" s="222" t="s">
        <v>103</v>
      </c>
      <c r="E2" s="222" t="s">
        <v>104</v>
      </c>
      <c r="F2" s="222"/>
      <c r="G2" s="222" t="s">
        <v>105</v>
      </c>
      <c r="H2" s="222"/>
      <c r="I2" s="223"/>
      <c r="J2" s="224"/>
      <c r="L2" s="72" t="s">
        <v>106</v>
      </c>
      <c r="M2" s="73" t="s">
        <v>107</v>
      </c>
      <c r="N2" s="73" t="s">
        <v>108</v>
      </c>
      <c r="O2" s="74" t="s">
        <v>109</v>
      </c>
      <c r="P2" s="74" t="s">
        <v>110</v>
      </c>
      <c r="Q2" s="73" t="s">
        <v>111</v>
      </c>
      <c r="R2" s="73" t="s">
        <v>112</v>
      </c>
      <c r="S2" s="74" t="s">
        <v>113</v>
      </c>
      <c r="T2" s="73" t="s">
        <v>114</v>
      </c>
      <c r="U2" s="73" t="s">
        <v>115</v>
      </c>
      <c r="V2" s="75" t="s">
        <v>116</v>
      </c>
      <c r="AB2" s="220"/>
      <c r="AC2" s="220">
        <f>'[2]Изложницы без бурта'!A2</f>
        <v>0</v>
      </c>
      <c r="AD2" s="220" t="str">
        <f>'[2]Изложницы без бурта'!B2</f>
        <v>Изложницы без бурта</v>
      </c>
      <c r="AE2" s="220">
        <f>'[2]Изложницы без бурта'!C2</f>
        <v>0</v>
      </c>
      <c r="AF2" s="56">
        <f>'[2]Изложницы без бурта'!D2</f>
        <v>0</v>
      </c>
      <c r="AG2" s="56">
        <f>'[2]Изложницы без бурта'!E2</f>
        <v>0</v>
      </c>
      <c r="AH2" s="56">
        <f>'[2]Изложницы без бурта'!F2</f>
        <v>0</v>
      </c>
      <c r="AI2" s="56">
        <f>'[2]Изложницы без бурта'!G2</f>
        <v>0</v>
      </c>
      <c r="AJ2" s="56">
        <f>'[2]Изложницы без бурта'!H2</f>
        <v>0</v>
      </c>
      <c r="AK2" s="56">
        <f>'[2]Изложницы без бурта'!I2</f>
        <v>0</v>
      </c>
      <c r="AL2" s="56">
        <f>'[2]Изложницы без бурта'!J2</f>
        <v>0</v>
      </c>
      <c r="AM2" s="56">
        <f>'[2]Изложницы без бурта'!K2</f>
        <v>0</v>
      </c>
      <c r="AR2" s="1727" t="s">
        <v>465</v>
      </c>
      <c r="AS2" s="1728"/>
      <c r="AT2" s="1728"/>
      <c r="AU2" s="1728"/>
      <c r="AV2" s="1728"/>
      <c r="AW2" s="1728"/>
      <c r="AX2" s="1729"/>
      <c r="AZ2" s="1720" t="s">
        <v>1197</v>
      </c>
      <c r="BA2" s="1721"/>
      <c r="BB2" s="1721"/>
      <c r="BC2" s="1721"/>
      <c r="BD2" s="1721"/>
      <c r="BE2" s="1721"/>
      <c r="BF2" s="1721"/>
      <c r="BG2" s="1721"/>
      <c r="BH2" s="1722"/>
    </row>
    <row r="3" spans="1:60" ht="58.2" thickBot="1" x14ac:dyDescent="0.35">
      <c r="A3" s="225" t="s">
        <v>9</v>
      </c>
      <c r="B3" s="226" t="s">
        <v>117</v>
      </c>
      <c r="C3" s="226" t="s">
        <v>117</v>
      </c>
      <c r="D3" s="226" t="s">
        <v>117</v>
      </c>
      <c r="E3" s="226" t="s">
        <v>117</v>
      </c>
      <c r="F3" s="226" t="s">
        <v>118</v>
      </c>
      <c r="G3" s="226" t="s">
        <v>93</v>
      </c>
      <c r="H3" s="226" t="s">
        <v>119</v>
      </c>
      <c r="I3" s="227">
        <v>9.1</v>
      </c>
      <c r="L3" s="228" t="str">
        <f>[1]Планки!H3</f>
        <v>б/н (Арконик)</v>
      </c>
      <c r="M3" s="138">
        <f>[1]Планки!I3</f>
        <v>480</v>
      </c>
      <c r="N3" s="138">
        <f>[1]Планки!J3</f>
        <v>100</v>
      </c>
      <c r="O3" s="229">
        <f>[1]Планки!K3</f>
        <v>380</v>
      </c>
      <c r="P3" s="229">
        <f>[1]Планки!L3</f>
        <v>1720</v>
      </c>
      <c r="Q3" s="138">
        <f>[1]Планки!M3</f>
        <v>1740</v>
      </c>
      <c r="R3" s="138">
        <f>[1]Планки!N3</f>
        <v>1760</v>
      </c>
      <c r="S3" s="229">
        <f>[1]Планки!O3</f>
        <v>26</v>
      </c>
      <c r="T3" s="138">
        <f>[1]Планки!P3</f>
        <v>40</v>
      </c>
      <c r="U3" s="138">
        <f>[1]Планки!Q3</f>
        <v>65</v>
      </c>
      <c r="V3" s="230" t="str">
        <f>[1]Планки!R3</f>
        <v>новая модель для Арконик, изготовитель: МЦ Гарант</v>
      </c>
      <c r="AB3" s="220"/>
      <c r="AC3" s="220">
        <f>'[2]Изложницы без бурта'!A3</f>
        <v>0</v>
      </c>
      <c r="AD3" s="220" t="str">
        <f>'[2]Изложницы без бурта'!B3</f>
        <v>Dвн (внутренний)</v>
      </c>
      <c r="AE3" s="220" t="str">
        <f>'[2]Изложницы без бурта'!C3</f>
        <v>L (длина)</v>
      </c>
      <c r="AF3" s="56" t="str">
        <f>'[2]Изложницы без бурта'!D3</f>
        <v>Dпос (посадочный)</v>
      </c>
      <c r="AG3" s="56" t="str">
        <f>'[2]Изложницы без бурта'!E3</f>
        <v>Dц (посадка на ц/б машину)</v>
      </c>
      <c r="AH3" s="56" t="str">
        <f>'[2]Изложницы без бурта'!F3</f>
        <v>Инв. Номер</v>
      </c>
      <c r="AI3" s="56" t="str">
        <f>'[2]Изложницы без бурта'!G3</f>
        <v>Старый присвоенный номер</v>
      </c>
      <c r="AJ3" s="56">
        <f>'[2]Изложницы без бурта'!H3</f>
        <v>0</v>
      </c>
      <c r="AK3" s="56">
        <f>'[2]Изложницы без бурта'!I3</f>
        <v>0</v>
      </c>
      <c r="AL3" s="56">
        <f>'[2]Изложницы без бурта'!J3</f>
        <v>0</v>
      </c>
      <c r="AM3" s="56">
        <f>'[2]Изложницы без бурта'!K3</f>
        <v>0</v>
      </c>
      <c r="AO3" s="366" t="s">
        <v>440</v>
      </c>
      <c r="AP3" s="366" t="s">
        <v>439</v>
      </c>
      <c r="AR3" s="370" t="s">
        <v>188</v>
      </c>
      <c r="AS3" s="371" t="s">
        <v>466</v>
      </c>
      <c r="AT3" s="371" t="s">
        <v>467</v>
      </c>
      <c r="AU3" s="371" t="s">
        <v>468</v>
      </c>
      <c r="AV3" s="372" t="s">
        <v>469</v>
      </c>
      <c r="AW3" s="373" t="s">
        <v>470</v>
      </c>
      <c r="AX3" s="374" t="s">
        <v>471</v>
      </c>
      <c r="AZ3" s="1259" t="s">
        <v>1191</v>
      </c>
      <c r="BA3" s="1260" t="s">
        <v>1192</v>
      </c>
      <c r="BB3" s="1261" t="s">
        <v>1193</v>
      </c>
      <c r="BC3" s="1260" t="s">
        <v>1194</v>
      </c>
      <c r="BD3" s="1260" t="s">
        <v>1195</v>
      </c>
      <c r="BE3" s="1260" t="s">
        <v>1188</v>
      </c>
      <c r="BF3" s="1260" t="s">
        <v>1189</v>
      </c>
      <c r="BG3" s="1260" t="s">
        <v>439</v>
      </c>
      <c r="BH3" s="1262" t="s">
        <v>1190</v>
      </c>
    </row>
    <row r="4" spans="1:60" ht="15" x14ac:dyDescent="0.25">
      <c r="A4" s="225" t="s">
        <v>25</v>
      </c>
      <c r="B4" s="226" t="s">
        <v>120</v>
      </c>
      <c r="C4" s="226" t="s">
        <v>120</v>
      </c>
      <c r="D4" s="226" t="s">
        <v>120</v>
      </c>
      <c r="E4" s="226" t="s">
        <v>120</v>
      </c>
      <c r="F4" s="226" t="s">
        <v>118</v>
      </c>
      <c r="G4" s="226" t="s">
        <v>121</v>
      </c>
      <c r="H4" s="226" t="s">
        <v>119</v>
      </c>
      <c r="I4" s="227">
        <v>9.3000000000000007</v>
      </c>
      <c r="L4" s="228">
        <f>[1]Планки!H4</f>
        <v>5</v>
      </c>
      <c r="M4" s="138">
        <f>[1]Планки!I4</f>
        <v>730</v>
      </c>
      <c r="N4" s="138">
        <f>[1]Планки!J4</f>
        <v>270</v>
      </c>
      <c r="O4" s="229">
        <f>[1]Планки!K4</f>
        <v>460</v>
      </c>
      <c r="P4" s="229">
        <f>[1]Планки!L4</f>
        <v>100</v>
      </c>
      <c r="Q4" s="138">
        <f>[1]Планки!M4</f>
        <v>110</v>
      </c>
      <c r="R4" s="138">
        <f>[1]Планки!N4</f>
        <v>166</v>
      </c>
      <c r="S4" s="229">
        <f>[1]Планки!O4</f>
        <v>115</v>
      </c>
      <c r="T4" s="138">
        <f>[1]Планки!P4</f>
        <v>125</v>
      </c>
      <c r="U4" s="138">
        <f>[1]Планки!Q4</f>
        <v>180</v>
      </c>
      <c r="V4" s="230">
        <f>[1]Планки!R4</f>
        <v>0</v>
      </c>
      <c r="AB4" s="220"/>
      <c r="AC4" s="220">
        <f>'[2]Изложницы без бурта'!A4</f>
        <v>0</v>
      </c>
      <c r="AD4" s="220">
        <f>'[2]Изложницы без бурта'!B4</f>
        <v>55</v>
      </c>
      <c r="AE4" s="220">
        <f>'[2]Изложницы без бурта'!C4</f>
        <v>245</v>
      </c>
      <c r="AF4" s="56">
        <f>'[2]Изложницы без бурта'!D4</f>
        <v>140</v>
      </c>
      <c r="AG4" s="56">
        <f>'[2]Изложницы без бурта'!E4</f>
        <v>115</v>
      </c>
      <c r="AH4" s="56">
        <f>'[2]Изложницы без бурта'!F4</f>
        <v>7211867</v>
      </c>
      <c r="AI4" s="56">
        <f>'[2]Изложницы без бурта'!G4</f>
        <v>7260001</v>
      </c>
      <c r="AJ4" s="56">
        <f>'[2]Изложницы без бурта'!H4</f>
        <v>0</v>
      </c>
      <c r="AK4" s="56">
        <f>'[2]Изложницы без бурта'!I4</f>
        <v>0</v>
      </c>
      <c r="AL4" s="56">
        <f>'[2]Изложницы без бурта'!J4</f>
        <v>0</v>
      </c>
      <c r="AM4" s="56">
        <f>'[2]Изложницы без бурта'!K4</f>
        <v>0</v>
      </c>
      <c r="AO4" s="366">
        <v>140</v>
      </c>
      <c r="AP4" s="366" t="s">
        <v>441</v>
      </c>
      <c r="AR4" s="367">
        <v>132</v>
      </c>
      <c r="AS4" s="367">
        <v>85</v>
      </c>
      <c r="AT4" s="367">
        <v>200</v>
      </c>
      <c r="AU4" s="367">
        <v>155</v>
      </c>
      <c r="AV4" s="367">
        <v>185</v>
      </c>
      <c r="AW4" s="367">
        <v>320</v>
      </c>
      <c r="AX4" s="394" t="s">
        <v>477</v>
      </c>
      <c r="AZ4" s="56">
        <f>[3]Изложницы!A2</f>
        <v>800</v>
      </c>
      <c r="BA4" s="56">
        <f>[3]Изложницы!B2</f>
        <v>825</v>
      </c>
      <c r="BB4" s="56">
        <f>[3]Изложницы!C2</f>
        <v>550</v>
      </c>
      <c r="BC4" s="56">
        <f>[3]Изложницы!D2</f>
        <v>920</v>
      </c>
      <c r="BD4" s="56">
        <f>[3]Изложницы!E2</f>
        <v>0</v>
      </c>
      <c r="BE4" s="56">
        <f>[3]Изложницы!F2</f>
        <v>0</v>
      </c>
      <c r="BF4" s="56">
        <f>[3]Изложницы!G2</f>
        <v>0</v>
      </c>
      <c r="BG4" s="56">
        <f>[3]Изложницы!H2</f>
        <v>0</v>
      </c>
      <c r="BH4" s="56">
        <f>[3]Изложницы!I2</f>
        <v>0</v>
      </c>
    </row>
    <row r="5" spans="1:60" ht="15.6" thickBot="1" x14ac:dyDescent="0.3">
      <c r="A5" s="225" t="s">
        <v>21</v>
      </c>
      <c r="B5" s="226" t="s">
        <v>120</v>
      </c>
      <c r="C5" s="226" t="s">
        <v>120</v>
      </c>
      <c r="D5" s="226" t="s">
        <v>120</v>
      </c>
      <c r="E5" s="226" t="s">
        <v>120</v>
      </c>
      <c r="F5" s="226" t="s">
        <v>122</v>
      </c>
      <c r="G5" s="226"/>
      <c r="H5" s="226" t="b">
        <f>G37</f>
        <v>0</v>
      </c>
      <c r="I5" s="227">
        <v>8.8800000000000008</v>
      </c>
      <c r="L5" s="228">
        <f>[1]Планки!H5</f>
        <v>3</v>
      </c>
      <c r="M5" s="138">
        <f>[1]Планки!I5</f>
        <v>750</v>
      </c>
      <c r="N5" s="138">
        <f>[1]Планки!J5</f>
        <v>280</v>
      </c>
      <c r="O5" s="229">
        <f>[1]Планки!K5</f>
        <v>470</v>
      </c>
      <c r="P5" s="229">
        <f>[1]Планки!L5</f>
        <v>130</v>
      </c>
      <c r="Q5" s="138">
        <f>[1]Планки!M5</f>
        <v>140</v>
      </c>
      <c r="R5" s="138">
        <f>[1]Планки!N5</f>
        <v>200</v>
      </c>
      <c r="S5" s="229">
        <f>[1]Планки!O5</f>
        <v>105</v>
      </c>
      <c r="T5" s="138">
        <f>[1]Планки!P5</f>
        <v>110</v>
      </c>
      <c r="U5" s="138">
        <f>[1]Планки!Q5</f>
        <v>175</v>
      </c>
      <c r="V5" s="230">
        <f>[1]Планки!R5</f>
        <v>0</v>
      </c>
      <c r="AB5" s="220"/>
      <c r="AC5" s="220">
        <f>'[2]Изложницы без бурта'!A5</f>
        <v>0</v>
      </c>
      <c r="AD5" s="220">
        <f>'[2]Изложницы без бурта'!B5</f>
        <v>55</v>
      </c>
      <c r="AE5" s="220">
        <f>'[2]Изложницы без бурта'!C5</f>
        <v>245</v>
      </c>
      <c r="AF5" s="56">
        <f>'[2]Изложницы без бурта'!D5</f>
        <v>140</v>
      </c>
      <c r="AG5" s="56">
        <f>'[2]Изложницы без бурта'!E5</f>
        <v>115</v>
      </c>
      <c r="AH5" s="56">
        <f>'[2]Изложницы без бурта'!F5</f>
        <v>7211867</v>
      </c>
      <c r="AI5" s="56">
        <f>'[2]Изложницы без бурта'!G5</f>
        <v>7260001</v>
      </c>
      <c r="AJ5" s="56">
        <f>'[2]Изложницы без бурта'!H5</f>
        <v>0</v>
      </c>
      <c r="AK5" s="56">
        <f>'[2]Изложницы без бурта'!I5</f>
        <v>0</v>
      </c>
      <c r="AL5" s="56">
        <f>'[2]Изложницы без бурта'!J5</f>
        <v>0</v>
      </c>
      <c r="AM5" s="56">
        <f>'[2]Изложницы без бурта'!K5</f>
        <v>0</v>
      </c>
      <c r="AO5" s="366">
        <v>185</v>
      </c>
      <c r="AP5" s="366" t="s">
        <v>442</v>
      </c>
      <c r="AR5" s="368">
        <v>110</v>
      </c>
      <c r="AS5" s="369">
        <v>92.5</v>
      </c>
      <c r="AT5" s="368">
        <v>200</v>
      </c>
      <c r="AU5" s="368">
        <v>155</v>
      </c>
      <c r="AV5" s="367">
        <v>185</v>
      </c>
      <c r="AW5" s="367">
        <v>320</v>
      </c>
      <c r="AX5" s="393" t="s">
        <v>483</v>
      </c>
      <c r="AZ5" s="56">
        <f>[3]Изложницы!A3</f>
        <v>650</v>
      </c>
      <c r="BA5" s="56">
        <f>[3]Изложницы!B3</f>
        <v>670</v>
      </c>
      <c r="BB5" s="56">
        <f>[3]Изложницы!C3</f>
        <v>860</v>
      </c>
      <c r="BC5" s="56">
        <f>[3]Изложницы!D3</f>
        <v>775</v>
      </c>
      <c r="BD5" s="56">
        <f>[3]Изложницы!E3</f>
        <v>0</v>
      </c>
      <c r="BE5" s="56">
        <f>[3]Изложницы!F3</f>
        <v>0</v>
      </c>
      <c r="BF5" s="56">
        <f>[3]Изложницы!G3</f>
        <v>0</v>
      </c>
      <c r="BG5" s="56">
        <f>[3]Изложницы!H3</f>
        <v>0</v>
      </c>
      <c r="BH5" s="56">
        <f>[3]Изложницы!I3</f>
        <v>0</v>
      </c>
    </row>
    <row r="6" spans="1:60" ht="15.6" thickBot="1" x14ac:dyDescent="0.3">
      <c r="A6" s="225" t="s">
        <v>124</v>
      </c>
      <c r="B6" s="226" t="s">
        <v>125</v>
      </c>
      <c r="C6" s="226" t="s">
        <v>125</v>
      </c>
      <c r="D6" s="226" t="s">
        <v>125</v>
      </c>
      <c r="E6" s="226" t="s">
        <v>125</v>
      </c>
      <c r="F6" s="226" t="s">
        <v>126</v>
      </c>
      <c r="G6" s="226"/>
      <c r="H6" s="226" t="s">
        <v>123</v>
      </c>
      <c r="I6" s="227">
        <v>8.6999999999999993</v>
      </c>
      <c r="L6" s="228">
        <f>[1]Планки!H6</f>
        <v>61</v>
      </c>
      <c r="M6" s="138">
        <f>[1]Планки!I6</f>
        <v>590</v>
      </c>
      <c r="N6" s="138">
        <f>[1]Планки!J6</f>
        <v>100</v>
      </c>
      <c r="O6" s="229">
        <f>[1]Планки!K6</f>
        <v>490</v>
      </c>
      <c r="P6" s="229">
        <f>[1]Планки!L6</f>
        <v>270</v>
      </c>
      <c r="Q6" s="138">
        <f>[1]Планки!M6</f>
        <v>285</v>
      </c>
      <c r="R6" s="138">
        <f>[1]Планки!N6</f>
        <v>310</v>
      </c>
      <c r="S6" s="229">
        <f>[1]Планки!O6</f>
        <v>25</v>
      </c>
      <c r="T6" s="138">
        <f>[1]Планки!P6</f>
        <v>33</v>
      </c>
      <c r="U6" s="138">
        <f>[1]Планки!Q6</f>
        <v>75</v>
      </c>
      <c r="V6" s="230">
        <f>[1]Планки!R6</f>
        <v>0</v>
      </c>
      <c r="AB6" s="220"/>
      <c r="AC6" s="220">
        <f>'[2]Изложницы без бурта'!A6</f>
        <v>0</v>
      </c>
      <c r="AD6" s="220">
        <f>'[2]Изложницы без бурта'!B6</f>
        <v>55</v>
      </c>
      <c r="AE6" s="220">
        <f>'[2]Изложницы без бурта'!C6</f>
        <v>245</v>
      </c>
      <c r="AF6" s="56">
        <f>'[2]Изложницы без бурта'!D6</f>
        <v>140</v>
      </c>
      <c r="AG6" s="56">
        <f>'[2]Изложницы без бурта'!E6</f>
        <v>115</v>
      </c>
      <c r="AH6" s="56">
        <f>'[2]Изложницы без бурта'!F6</f>
        <v>7211867</v>
      </c>
      <c r="AI6" s="56">
        <f>'[2]Изложницы без бурта'!G6</f>
        <v>7260001</v>
      </c>
      <c r="AJ6" s="56">
        <f>'[2]Изложницы без бурта'!H6</f>
        <v>0</v>
      </c>
      <c r="AK6" s="56">
        <f>'[2]Изложницы без бурта'!I6</f>
        <v>0</v>
      </c>
      <c r="AL6" s="56">
        <f>'[2]Изложницы без бурта'!J6</f>
        <v>0</v>
      </c>
      <c r="AM6" s="56">
        <f>'[2]Изложницы без бурта'!K6</f>
        <v>0</v>
      </c>
      <c r="AO6" s="366">
        <v>285</v>
      </c>
      <c r="AP6" s="366" t="s">
        <v>443</v>
      </c>
      <c r="AR6" s="375">
        <v>115</v>
      </c>
      <c r="AS6" s="376">
        <v>100</v>
      </c>
      <c r="AT6" s="377">
        <v>200</v>
      </c>
      <c r="AU6" s="368">
        <v>155</v>
      </c>
      <c r="AV6" s="367">
        <v>185</v>
      </c>
      <c r="AW6" s="367">
        <v>320</v>
      </c>
      <c r="AX6" s="393" t="s">
        <v>484</v>
      </c>
      <c r="AZ6" s="56">
        <f>[3]Изложницы!A4</f>
        <v>510</v>
      </c>
      <c r="BA6" s="56">
        <f>[3]Изложницы!B4</f>
        <v>530</v>
      </c>
      <c r="BB6" s="56">
        <f>[3]Изложницы!C4</f>
        <v>330</v>
      </c>
      <c r="BC6" s="56">
        <f>[3]Изложницы!D4</f>
        <v>566</v>
      </c>
      <c r="BD6" s="56" t="str">
        <f>[3]Изложницы!E4</f>
        <v>Н.Н.-29.11.2021</v>
      </c>
      <c r="BE6" s="56">
        <f>[3]Изложницы!F4</f>
        <v>0</v>
      </c>
      <c r="BF6" s="56">
        <f>[3]Изложницы!G4</f>
        <v>0</v>
      </c>
      <c r="BG6" s="56">
        <f>[3]Изложницы!H4</f>
        <v>0</v>
      </c>
      <c r="BH6" s="56">
        <f>[3]Изложницы!I4</f>
        <v>0</v>
      </c>
    </row>
    <row r="7" spans="1:60" ht="15.6" thickBot="1" x14ac:dyDescent="0.3">
      <c r="A7" s="231" t="s">
        <v>979</v>
      </c>
      <c r="B7" s="226" t="s">
        <v>125</v>
      </c>
      <c r="C7" s="226" t="s">
        <v>125</v>
      </c>
      <c r="D7" s="226" t="s">
        <v>125</v>
      </c>
      <c r="E7" s="226" t="s">
        <v>125</v>
      </c>
      <c r="F7" s="226" t="s">
        <v>118</v>
      </c>
      <c r="G7" s="226"/>
      <c r="H7" s="226" t="s">
        <v>119</v>
      </c>
      <c r="I7" s="227">
        <v>9.1999999999999993</v>
      </c>
      <c r="L7" s="228">
        <f>[1]Планки!H7</f>
        <v>23</v>
      </c>
      <c r="M7" s="138">
        <f>[1]Планки!I7</f>
        <v>590</v>
      </c>
      <c r="N7" s="138">
        <f>[1]Планки!J7</f>
        <v>100</v>
      </c>
      <c r="O7" s="229">
        <f>[1]Планки!K7</f>
        <v>490</v>
      </c>
      <c r="P7" s="229">
        <f>[1]Планки!L7</f>
        <v>420</v>
      </c>
      <c r="Q7" s="138">
        <f>[1]Планки!M7</f>
        <v>432</v>
      </c>
      <c r="R7" s="138">
        <f>[1]Планки!N7</f>
        <v>455</v>
      </c>
      <c r="S7" s="229">
        <f>[1]Планки!O7</f>
        <v>90</v>
      </c>
      <c r="T7" s="138">
        <f>[1]Планки!P7</f>
        <v>100</v>
      </c>
      <c r="U7" s="138">
        <f>[1]Планки!Q7</f>
        <v>140</v>
      </c>
      <c r="V7" s="230" t="str">
        <f>[1]Планки!R7</f>
        <v>модель нашита  (L4=25 L5=35 L6=75)</v>
      </c>
      <c r="AB7" s="220"/>
      <c r="AC7" s="220">
        <f>'[2]Изложницы без бурта'!A7</f>
        <v>0</v>
      </c>
      <c r="AD7" s="220">
        <f>'[2]Изложницы без бурта'!B7</f>
        <v>55</v>
      </c>
      <c r="AE7" s="220">
        <f>'[2]Изложницы без бурта'!C7</f>
        <v>245</v>
      </c>
      <c r="AF7" s="56">
        <f>'[2]Изложницы без бурта'!D7</f>
        <v>140</v>
      </c>
      <c r="AG7" s="56">
        <f>'[2]Изложницы без бурта'!E7</f>
        <v>115</v>
      </c>
      <c r="AH7" s="56">
        <f>'[2]Изложницы без бурта'!F7</f>
        <v>7211867</v>
      </c>
      <c r="AI7" s="56">
        <f>'[2]Изложницы без бурта'!G7</f>
        <v>7260001</v>
      </c>
      <c r="AJ7" s="56">
        <f>'[2]Изложницы без бурта'!H7</f>
        <v>0</v>
      </c>
      <c r="AK7" s="56">
        <f>'[2]Изложницы без бурта'!I7</f>
        <v>0</v>
      </c>
      <c r="AL7" s="56">
        <f>'[2]Изложницы без бурта'!J7</f>
        <v>0</v>
      </c>
      <c r="AM7" s="56">
        <f>'[2]Изложницы без бурта'!K7</f>
        <v>0</v>
      </c>
      <c r="AO7" s="366">
        <v>312</v>
      </c>
      <c r="AP7" s="366" t="s">
        <v>444</v>
      </c>
      <c r="AR7" s="378">
        <v>115</v>
      </c>
      <c r="AS7" s="376">
        <v>105</v>
      </c>
      <c r="AT7" s="377">
        <v>200</v>
      </c>
      <c r="AU7" s="368">
        <v>155</v>
      </c>
      <c r="AV7" s="367">
        <v>185</v>
      </c>
      <c r="AW7" s="367">
        <v>320</v>
      </c>
      <c r="AX7" s="393" t="s">
        <v>484</v>
      </c>
      <c r="AZ7" s="56">
        <f>[3]Изложницы!A5</f>
        <v>480</v>
      </c>
      <c r="BA7" s="56">
        <f>[3]Изложницы!B5</f>
        <v>510</v>
      </c>
      <c r="BB7" s="56">
        <f>[3]Изложницы!C5</f>
        <v>1100</v>
      </c>
      <c r="BC7" s="56">
        <f>[3]Изложницы!D5</f>
        <v>566</v>
      </c>
      <c r="BD7" s="56" t="str">
        <f>[3]Изложницы!E5</f>
        <v>есть нарощалки на низ кокиля Ø470х120, на верх кокиля Ø440х360 ВолгаСтальПроект</v>
      </c>
      <c r="BE7" s="56">
        <f>[3]Изложницы!F5</f>
        <v>650</v>
      </c>
      <c r="BF7" s="56">
        <f>[3]Изложницы!G5</f>
        <v>1750</v>
      </c>
      <c r="BG7" s="56" t="str">
        <f>[3]Изложницы!H5</f>
        <v>102.56.452</v>
      </c>
      <c r="BH7" s="56">
        <f>[3]Изложницы!I5</f>
        <v>0</v>
      </c>
    </row>
    <row r="8" spans="1:60" ht="16.5" customHeight="1" thickBot="1" x14ac:dyDescent="0.3">
      <c r="A8" s="231" t="s">
        <v>18</v>
      </c>
      <c r="B8" s="226" t="s">
        <v>125</v>
      </c>
      <c r="C8" s="226" t="s">
        <v>125</v>
      </c>
      <c r="D8" s="226" t="s">
        <v>125</v>
      </c>
      <c r="E8" s="226" t="s">
        <v>125</v>
      </c>
      <c r="F8" s="226" t="s">
        <v>869</v>
      </c>
      <c r="G8" s="226"/>
      <c r="H8" s="226" t="s">
        <v>123</v>
      </c>
      <c r="I8" s="227">
        <v>9.1999999999999993</v>
      </c>
      <c r="L8" s="228">
        <f>[1]Планки!H8</f>
        <v>25</v>
      </c>
      <c r="M8" s="138">
        <f>[1]Планки!I8</f>
        <v>670</v>
      </c>
      <c r="N8" s="138">
        <f>[1]Планки!J8</f>
        <v>150</v>
      </c>
      <c r="O8" s="229">
        <f>[1]Планки!K8</f>
        <v>520</v>
      </c>
      <c r="P8" s="229">
        <f>[1]Планки!L8</f>
        <v>150</v>
      </c>
      <c r="Q8" s="138">
        <f>[1]Планки!M8</f>
        <v>157</v>
      </c>
      <c r="R8" s="138">
        <f>[1]Планки!N8</f>
        <v>190</v>
      </c>
      <c r="S8" s="229">
        <f>[1]Планки!O8</f>
        <v>65</v>
      </c>
      <c r="T8" s="138">
        <f>[1]Планки!P8</f>
        <v>77</v>
      </c>
      <c r="U8" s="138">
        <f>[1]Планки!Q8</f>
        <v>135</v>
      </c>
      <c r="V8" s="230">
        <f>[1]Планки!R8</f>
        <v>0</v>
      </c>
      <c r="AB8" s="220"/>
      <c r="AC8" s="220">
        <f>'[2]Изложницы без бурта'!A8</f>
        <v>0</v>
      </c>
      <c r="AD8" s="220">
        <f>'[2]Изложницы без бурта'!B8</f>
        <v>57.5</v>
      </c>
      <c r="AE8" s="220">
        <f>'[2]Изложницы без бурта'!C8</f>
        <v>245</v>
      </c>
      <c r="AF8" s="56">
        <f>'[2]Изложницы без бурта'!D8</f>
        <v>140</v>
      </c>
      <c r="AG8" s="56">
        <f>'[2]Изложницы без бурта'!E8</f>
        <v>115</v>
      </c>
      <c r="AH8" s="56" t="str">
        <f>'[2]Изложницы без бурта'!F8</f>
        <v>7211867-1а</v>
      </c>
      <c r="AI8" s="56">
        <f>'[2]Изложницы без бурта'!G8</f>
        <v>0</v>
      </c>
      <c r="AJ8" s="56">
        <f>'[2]Изложницы без бурта'!H8</f>
        <v>0</v>
      </c>
      <c r="AK8" s="56">
        <f>'[2]Изложницы без бурта'!I8</f>
        <v>0</v>
      </c>
      <c r="AL8" s="56">
        <f>'[2]Изложницы без бурта'!J8</f>
        <v>0</v>
      </c>
      <c r="AM8" s="56">
        <f>'[2]Изложницы без бурта'!K8</f>
        <v>0</v>
      </c>
      <c r="AO8" s="366">
        <v>375</v>
      </c>
      <c r="AP8" s="366" t="s">
        <v>445</v>
      </c>
      <c r="AR8" s="376">
        <v>135</v>
      </c>
      <c r="AS8" s="376">
        <v>115</v>
      </c>
      <c r="AT8" s="377">
        <v>203</v>
      </c>
      <c r="AU8" s="368">
        <v>160</v>
      </c>
      <c r="AV8" s="367">
        <v>185</v>
      </c>
      <c r="AW8" s="367">
        <v>320</v>
      </c>
      <c r="AX8" s="393" t="s">
        <v>485</v>
      </c>
      <c r="AZ8" s="56">
        <f>[3]Изложницы!A6</f>
        <v>430</v>
      </c>
      <c r="BA8" s="56">
        <f>[3]Изложницы!B6</f>
        <v>450</v>
      </c>
      <c r="BB8" s="56">
        <f>[3]Изложницы!C6</f>
        <v>1250</v>
      </c>
      <c r="BC8" s="56">
        <f>[3]Изложницы!D6</f>
        <v>566</v>
      </c>
      <c r="BD8" s="56" t="str">
        <f>[3]Изложницы!E6</f>
        <v xml:space="preserve">есть нарощалки на верх Ø480х330, Ø515х85*, Ø500х62*, Ø600х150*   *- изготовлены под совместное применение (РЧЗ 34.2020.09.04,-1,-2), з-з ОНСС  </v>
      </c>
      <c r="BE8" s="56">
        <f>[3]Изложницы!F6</f>
        <v>650</v>
      </c>
      <c r="BF8" s="56">
        <f>[3]Изложницы!G6</f>
        <v>1750</v>
      </c>
      <c r="BG8" s="56" t="str">
        <f>[3]Изложницы!H6</f>
        <v>102.56.452</v>
      </c>
      <c r="BH8" s="56" t="str">
        <f>[3]Изложницы!I6</f>
        <v>расточили с 427/445 в июне 2020</v>
      </c>
    </row>
    <row r="9" spans="1:60" ht="15.6" thickBot="1" x14ac:dyDescent="0.3">
      <c r="A9" s="231" t="s">
        <v>13</v>
      </c>
      <c r="B9" s="226" t="s">
        <v>125</v>
      </c>
      <c r="C9" s="226" t="s">
        <v>125</v>
      </c>
      <c r="D9" s="226" t="s">
        <v>125</v>
      </c>
      <c r="E9" s="226" t="s">
        <v>125</v>
      </c>
      <c r="F9" s="226" t="s">
        <v>118</v>
      </c>
      <c r="G9" s="226"/>
      <c r="H9" s="226" t="s">
        <v>119</v>
      </c>
      <c r="I9" s="227">
        <v>9.1</v>
      </c>
      <c r="L9" s="228">
        <f>[1]Планки!H9</f>
        <v>64</v>
      </c>
      <c r="M9" s="138">
        <f>[1]Планки!I9</f>
        <v>600</v>
      </c>
      <c r="N9" s="138">
        <f>[1]Планки!J9</f>
        <v>75</v>
      </c>
      <c r="O9" s="229">
        <f>[1]Планки!K9</f>
        <v>525</v>
      </c>
      <c r="P9" s="229">
        <f>[1]Планки!L9</f>
        <v>200</v>
      </c>
      <c r="Q9" s="138">
        <f>[1]Планки!M9</f>
        <v>215</v>
      </c>
      <c r="R9" s="138">
        <f>[1]Планки!N9</f>
        <v>235</v>
      </c>
      <c r="S9" s="229">
        <f>[1]Планки!O9</f>
        <v>20</v>
      </c>
      <c r="T9" s="138">
        <f>[1]Планки!P9</f>
        <v>26</v>
      </c>
      <c r="U9" s="138">
        <f>[1]Планки!Q9</f>
        <v>60</v>
      </c>
      <c r="V9" s="230">
        <f>[1]Планки!R9</f>
        <v>0</v>
      </c>
      <c r="AB9" s="220"/>
      <c r="AC9" s="220">
        <f>'[2]Изложницы без бурта'!A9</f>
        <v>0</v>
      </c>
      <c r="AD9" s="220">
        <f>'[2]Изложницы без бурта'!B9</f>
        <v>57.5</v>
      </c>
      <c r="AE9" s="220">
        <f>'[2]Изложницы без бурта'!C9</f>
        <v>245</v>
      </c>
      <c r="AF9" s="56">
        <f>'[2]Изложницы без бурта'!D9</f>
        <v>140</v>
      </c>
      <c r="AG9" s="56">
        <f>'[2]Изложницы без бурта'!E9</f>
        <v>115</v>
      </c>
      <c r="AH9" s="56" t="str">
        <f>'[2]Изложницы без бурта'!F9</f>
        <v>7211867-1а</v>
      </c>
      <c r="AI9" s="56">
        <f>'[2]Изложницы без бурта'!G9</f>
        <v>0</v>
      </c>
      <c r="AJ9" s="56">
        <f>'[2]Изложницы без бурта'!H9</f>
        <v>0</v>
      </c>
      <c r="AK9" s="56">
        <f>'[2]Изложницы без бурта'!I9</f>
        <v>0</v>
      </c>
      <c r="AL9" s="56">
        <f>'[2]Изложницы без бурта'!J9</f>
        <v>0</v>
      </c>
      <c r="AM9" s="56">
        <f>'[2]Изложницы без бурта'!K9</f>
        <v>0</v>
      </c>
      <c r="AO9" s="366">
        <v>339</v>
      </c>
      <c r="AP9" s="366" t="s">
        <v>459</v>
      </c>
      <c r="AR9" s="379">
        <v>160</v>
      </c>
      <c r="AS9" s="376">
        <v>117.5</v>
      </c>
      <c r="AT9" s="377">
        <v>200</v>
      </c>
      <c r="AU9" s="368">
        <v>150</v>
      </c>
      <c r="AV9" s="368">
        <v>285</v>
      </c>
      <c r="AW9" s="367">
        <v>320</v>
      </c>
      <c r="AX9" s="393" t="s">
        <v>532</v>
      </c>
      <c r="AZ9" s="56">
        <f>[3]Изложницы!A7</f>
        <v>370</v>
      </c>
      <c r="BA9" s="56">
        <f>[3]Изложницы!B7</f>
        <v>400</v>
      </c>
      <c r="BB9" s="56">
        <f>[3]Изложницы!C7</f>
        <v>800</v>
      </c>
      <c r="BC9" s="56">
        <f>[3]Изложницы!D7</f>
        <v>470</v>
      </c>
      <c r="BD9" s="56">
        <f>[3]Изложницы!E7</f>
        <v>0</v>
      </c>
      <c r="BE9" s="56">
        <f>[3]Изложницы!F7</f>
        <v>610</v>
      </c>
      <c r="BF9" s="56">
        <f>[3]Изложницы!G7</f>
        <v>1300</v>
      </c>
      <c r="BG9" s="56" t="str">
        <f>[3]Изложницы!H7</f>
        <v>242.71.638</v>
      </c>
      <c r="BH9" s="56">
        <f>[3]Изложницы!I7</f>
        <v>0</v>
      </c>
    </row>
    <row r="10" spans="1:60" ht="15.6" thickBot="1" x14ac:dyDescent="0.3">
      <c r="A10" s="225" t="s">
        <v>15</v>
      </c>
      <c r="B10" s="226" t="s">
        <v>120</v>
      </c>
      <c r="C10" s="226" t="s">
        <v>120</v>
      </c>
      <c r="D10" s="226" t="s">
        <v>120</v>
      </c>
      <c r="E10" s="226" t="s">
        <v>120</v>
      </c>
      <c r="F10" s="226" t="s">
        <v>127</v>
      </c>
      <c r="G10" s="226"/>
      <c r="H10" s="226" t="b">
        <f>G37</f>
        <v>0</v>
      </c>
      <c r="I10" s="227">
        <v>8.8800000000000008</v>
      </c>
      <c r="L10" s="228">
        <f>[1]Планки!H10</f>
        <v>84</v>
      </c>
      <c r="M10" s="138">
        <f>[1]Планки!I10</f>
        <v>680</v>
      </c>
      <c r="N10" s="138">
        <f>[1]Планки!J10</f>
        <v>135</v>
      </c>
      <c r="O10" s="229">
        <f>[1]Планки!K10</f>
        <v>545</v>
      </c>
      <c r="P10" s="229">
        <f>[1]Планки!L10</f>
        <v>200</v>
      </c>
      <c r="Q10" s="138">
        <f>[1]Планки!M10</f>
        <v>212</v>
      </c>
      <c r="R10" s="138">
        <f>[1]Планки!N10</f>
        <v>250</v>
      </c>
      <c r="S10" s="229">
        <f>[1]Планки!O10</f>
        <v>78</v>
      </c>
      <c r="T10" s="138">
        <f>[1]Планки!P10</f>
        <v>80</v>
      </c>
      <c r="U10" s="138">
        <f>[1]Планки!Q10</f>
        <v>135</v>
      </c>
      <c r="V10" s="230" t="str">
        <f>[1]Планки!R10</f>
        <v>модель нашита  (L4=30 L5=35 L6=90)</v>
      </c>
      <c r="AB10" s="220"/>
      <c r="AC10" s="220">
        <f>'[2]Изложницы без бурта'!A10</f>
        <v>0</v>
      </c>
      <c r="AD10" s="220">
        <f>'[2]Изложницы без бурта'!B10</f>
        <v>60</v>
      </c>
      <c r="AE10" s="220">
        <f>'[2]Изложницы без бурта'!C10</f>
        <v>245</v>
      </c>
      <c r="AF10" s="56">
        <f>'[2]Изложницы без бурта'!D10</f>
        <v>140</v>
      </c>
      <c r="AG10" s="56">
        <f>'[2]Изложницы без бурта'!E10</f>
        <v>115</v>
      </c>
      <c r="AH10" s="56" t="str">
        <f>'[2]Изложницы без бурта'!F10</f>
        <v>7211867-1</v>
      </c>
      <c r="AI10" s="56">
        <f>'[2]Изложницы без бурта'!G10</f>
        <v>0</v>
      </c>
      <c r="AJ10" s="56">
        <f>'[2]Изложницы без бурта'!H10</f>
        <v>0</v>
      </c>
      <c r="AK10" s="56">
        <f>'[2]Изложницы без бурта'!I10</f>
        <v>0</v>
      </c>
      <c r="AL10" s="56">
        <f>'[2]Изложницы без бурта'!J10</f>
        <v>0</v>
      </c>
      <c r="AM10" s="56">
        <f>'[2]Изложницы без бурта'!K10</f>
        <v>0</v>
      </c>
      <c r="AO10" s="366">
        <v>360</v>
      </c>
      <c r="AP10" s="366" t="s">
        <v>446</v>
      </c>
      <c r="AR10" s="368">
        <v>140</v>
      </c>
      <c r="AS10" s="380">
        <v>120</v>
      </c>
      <c r="AT10" s="368">
        <v>200</v>
      </c>
      <c r="AU10" s="368">
        <v>155</v>
      </c>
      <c r="AV10" s="367">
        <v>185</v>
      </c>
      <c r="AW10" s="367">
        <v>320</v>
      </c>
      <c r="AX10" s="393" t="s">
        <v>486</v>
      </c>
      <c r="AZ10" s="56">
        <f>[3]Изложницы!A8</f>
        <v>350</v>
      </c>
      <c r="BA10" s="56">
        <f>[3]Изложницы!B8</f>
        <v>356</v>
      </c>
      <c r="BB10" s="56">
        <f>[3]Изложницы!C8</f>
        <v>560</v>
      </c>
      <c r="BC10" s="56">
        <f>[3]Изложницы!D8</f>
        <v>400</v>
      </c>
      <c r="BD10" s="56" t="str">
        <f>[3]Изложницы!E8</f>
        <v>Из цб кокиля Приварили, разрезали июль 2021</v>
      </c>
      <c r="BE10" s="56">
        <f>[3]Изложницы!F8</f>
        <v>0</v>
      </c>
      <c r="BF10" s="56">
        <f>[3]Изложницы!G8</f>
        <v>0</v>
      </c>
      <c r="BG10" s="56">
        <f>[3]Изложницы!H8</f>
        <v>0</v>
      </c>
      <c r="BH10" s="56">
        <f>[3]Изложницы!I8</f>
        <v>0</v>
      </c>
    </row>
    <row r="11" spans="1:60" ht="15.6" thickBot="1" x14ac:dyDescent="0.3">
      <c r="A11" s="396" t="s">
        <v>664</v>
      </c>
      <c r="B11" s="226" t="s">
        <v>120</v>
      </c>
      <c r="C11" s="226" t="s">
        <v>120</v>
      </c>
      <c r="D11" s="226" t="s">
        <v>120</v>
      </c>
      <c r="E11" s="226" t="s">
        <v>120</v>
      </c>
      <c r="F11" s="226" t="s">
        <v>127</v>
      </c>
      <c r="G11" s="226"/>
      <c r="H11" s="226" t="b">
        <f>G37</f>
        <v>0</v>
      </c>
      <c r="I11" s="227">
        <v>8.8800000000000008</v>
      </c>
      <c r="L11" s="228">
        <f>[1]Планки!H11</f>
        <v>141</v>
      </c>
      <c r="M11" s="138">
        <f>[1]Планки!I11</f>
        <v>710</v>
      </c>
      <c r="N11" s="138">
        <f>[1]Планки!J11</f>
        <v>150</v>
      </c>
      <c r="O11" s="229">
        <f>[1]Планки!K11</f>
        <v>560</v>
      </c>
      <c r="P11" s="229">
        <f>[1]Планки!L11</f>
        <v>1880</v>
      </c>
      <c r="Q11" s="138">
        <f>[1]Планки!M11</f>
        <v>1900</v>
      </c>
      <c r="R11" s="138">
        <f>[1]Планки!N11</f>
        <v>1920</v>
      </c>
      <c r="S11" s="229">
        <f>[1]Планки!O11</f>
        <v>43</v>
      </c>
      <c r="T11" s="138">
        <f>[1]Планки!P11</f>
        <v>60</v>
      </c>
      <c r="U11" s="138">
        <f>[1]Планки!Q11</f>
        <v>90</v>
      </c>
      <c r="V11" s="230" t="str">
        <f>[1]Планки!R11</f>
        <v>не нашивать - Костерин 11.09.2020</v>
      </c>
      <c r="AB11" s="220"/>
      <c r="AC11" s="220">
        <f>'[2]Изложницы без бурта'!A11</f>
        <v>0</v>
      </c>
      <c r="AD11" s="220">
        <f>'[2]Изложницы без бурта'!B11</f>
        <v>60</v>
      </c>
      <c r="AE11" s="220">
        <f>'[2]Изложницы без бурта'!C11</f>
        <v>245</v>
      </c>
      <c r="AF11" s="56">
        <f>'[2]Изложницы без бурта'!D11</f>
        <v>140</v>
      </c>
      <c r="AG11" s="56">
        <f>'[2]Изложницы без бурта'!E11</f>
        <v>115</v>
      </c>
      <c r="AH11" s="56" t="str">
        <f>'[2]Изложницы без бурта'!F11</f>
        <v>7211867-1</v>
      </c>
      <c r="AI11" s="56">
        <f>'[2]Изложницы без бурта'!G11</f>
        <v>0</v>
      </c>
      <c r="AJ11" s="56">
        <f>'[2]Изложницы без бурта'!H11</f>
        <v>0</v>
      </c>
      <c r="AK11" s="56">
        <f>'[2]Изложницы без бурта'!I11</f>
        <v>0</v>
      </c>
      <c r="AL11" s="56">
        <f>'[2]Изложницы без бурта'!J11</f>
        <v>0</v>
      </c>
      <c r="AM11" s="56">
        <f>'[2]Изложницы без бурта'!K11</f>
        <v>0</v>
      </c>
      <c r="AO11" s="366">
        <v>400</v>
      </c>
      <c r="AP11" s="366" t="s">
        <v>447</v>
      </c>
      <c r="AR11" s="375">
        <v>183</v>
      </c>
      <c r="AS11" s="376">
        <v>130</v>
      </c>
      <c r="AT11" s="377">
        <v>200</v>
      </c>
      <c r="AU11" s="368">
        <v>150</v>
      </c>
      <c r="AV11" s="368">
        <v>285</v>
      </c>
      <c r="AW11" s="367">
        <v>320</v>
      </c>
      <c r="AX11" s="393" t="s">
        <v>478</v>
      </c>
      <c r="AZ11" s="56">
        <f>[3]Изложницы!A9</f>
        <v>330</v>
      </c>
      <c r="BA11" s="56">
        <f>[3]Изложницы!B9</f>
        <v>370</v>
      </c>
      <c r="BB11" s="56">
        <f>[3]Изложницы!C9</f>
        <v>850</v>
      </c>
      <c r="BC11" s="56">
        <f>[3]Изложницы!D9</f>
        <v>470</v>
      </c>
      <c r="BD11" s="56">
        <f>[3]Изложницы!E9</f>
        <v>0</v>
      </c>
      <c r="BE11" s="56">
        <f>[3]Изложницы!F9</f>
        <v>610</v>
      </c>
      <c r="BF11" s="56">
        <f>[3]Изложницы!G9</f>
        <v>1300</v>
      </c>
      <c r="BG11" s="56" t="str">
        <f>[3]Изложницы!H9</f>
        <v>242.71.638</v>
      </c>
      <c r="BH11" s="56">
        <f>[3]Изложницы!I9</f>
        <v>0</v>
      </c>
    </row>
    <row r="12" spans="1:60" ht="15" x14ac:dyDescent="0.25">
      <c r="A12" s="225" t="s">
        <v>33</v>
      </c>
      <c r="B12" s="226" t="s">
        <v>130</v>
      </c>
      <c r="C12" s="226" t="s">
        <v>130</v>
      </c>
      <c r="D12" s="226" t="s">
        <v>130</v>
      </c>
      <c r="E12" s="226" t="s">
        <v>130</v>
      </c>
      <c r="F12" s="226" t="s">
        <v>132</v>
      </c>
      <c r="G12" s="226"/>
      <c r="H12" s="226" t="s">
        <v>133</v>
      </c>
      <c r="I12" s="227">
        <v>8.1</v>
      </c>
      <c r="L12" s="228">
        <f>[1]Планки!H12</f>
        <v>97</v>
      </c>
      <c r="M12" s="138">
        <f>[1]Планки!I12</f>
        <v>680</v>
      </c>
      <c r="N12" s="138">
        <f>[1]Планки!J12</f>
        <v>110</v>
      </c>
      <c r="O12" s="229">
        <f>[1]Планки!K12</f>
        <v>570</v>
      </c>
      <c r="P12" s="229">
        <f>[1]Планки!L12</f>
        <v>295</v>
      </c>
      <c r="Q12" s="138">
        <f>[1]Планки!M12</f>
        <v>305</v>
      </c>
      <c r="R12" s="138">
        <f>[1]Планки!N12</f>
        <v>355</v>
      </c>
      <c r="S12" s="229">
        <f>[1]Планки!O12</f>
        <v>27</v>
      </c>
      <c r="T12" s="138">
        <f>[1]Планки!P12</f>
        <v>38</v>
      </c>
      <c r="U12" s="138">
        <f>[1]Планки!Q12</f>
        <v>60</v>
      </c>
      <c r="V12" s="230">
        <f>[1]Планки!R12</f>
        <v>0</v>
      </c>
      <c r="AB12" s="220"/>
      <c r="AC12" s="220">
        <f>'[2]Изложницы без бурта'!A12</f>
        <v>0</v>
      </c>
      <c r="AD12" s="220">
        <f>'[2]Изложницы без бурта'!B12</f>
        <v>60</v>
      </c>
      <c r="AE12" s="220">
        <f>'[2]Изложницы без бурта'!C12</f>
        <v>245</v>
      </c>
      <c r="AF12" s="56">
        <f>'[2]Изложницы без бурта'!D12</f>
        <v>140</v>
      </c>
      <c r="AG12" s="56">
        <f>'[2]Изложницы без бурта'!E12</f>
        <v>115</v>
      </c>
      <c r="AH12" s="56" t="str">
        <f>'[2]Изложницы без бурта'!F12</f>
        <v>7211867-1</v>
      </c>
      <c r="AI12" s="56">
        <f>'[2]Изложницы без бурта'!G12</f>
        <v>0</v>
      </c>
      <c r="AJ12" s="56">
        <f>'[2]Изложницы без бурта'!H12</f>
        <v>0</v>
      </c>
      <c r="AK12" s="56">
        <f>'[2]Изложницы без бурта'!I12</f>
        <v>0</v>
      </c>
      <c r="AL12" s="56">
        <f>'[2]Изложницы без бурта'!J12</f>
        <v>0</v>
      </c>
      <c r="AM12" s="56">
        <f>'[2]Изложницы без бурта'!K12</f>
        <v>0</v>
      </c>
      <c r="AO12" s="366">
        <v>420</v>
      </c>
      <c r="AP12" s="366" t="s">
        <v>448</v>
      </c>
      <c r="AR12" s="368">
        <v>150</v>
      </c>
      <c r="AS12" s="367">
        <v>135</v>
      </c>
      <c r="AT12" s="368">
        <v>193</v>
      </c>
      <c r="AU12" s="368">
        <v>150</v>
      </c>
      <c r="AV12" s="367">
        <v>185</v>
      </c>
      <c r="AW12" s="367">
        <v>320</v>
      </c>
      <c r="AX12" s="393" t="s">
        <v>487</v>
      </c>
      <c r="AZ12" s="56">
        <f>[3]Изложницы!A10</f>
        <v>325</v>
      </c>
      <c r="BA12" s="56">
        <f>[3]Изложницы!B10</f>
        <v>370</v>
      </c>
      <c r="BB12" s="56">
        <f>[3]Изложницы!C10</f>
        <v>1000</v>
      </c>
      <c r="BC12" s="56">
        <f>[3]Изложницы!D10</f>
        <v>470</v>
      </c>
      <c r="BD12" s="56">
        <f>[3]Изложницы!E10</f>
        <v>0</v>
      </c>
      <c r="BE12" s="56">
        <f>[3]Изложницы!F10</f>
        <v>610</v>
      </c>
      <c r="BF12" s="56">
        <f>[3]Изложницы!G10</f>
        <v>1400</v>
      </c>
      <c r="BG12" s="56" t="str">
        <f>[3]Изложницы!H10</f>
        <v>242.71.638-1</v>
      </c>
      <c r="BH12" s="56">
        <f>[3]Изложницы!I10</f>
        <v>0</v>
      </c>
    </row>
    <row r="13" spans="1:60" ht="15.6" thickBot="1" x14ac:dyDescent="0.3">
      <c r="A13" s="225" t="s">
        <v>31</v>
      </c>
      <c r="B13" s="226" t="s">
        <v>130</v>
      </c>
      <c r="C13" s="226" t="s">
        <v>130</v>
      </c>
      <c r="D13" s="226" t="s">
        <v>130</v>
      </c>
      <c r="E13" s="226" t="s">
        <v>130</v>
      </c>
      <c r="F13" s="226" t="s">
        <v>132</v>
      </c>
      <c r="G13" s="226"/>
      <c r="H13" s="226" t="s">
        <v>133</v>
      </c>
      <c r="I13" s="227">
        <v>7.8</v>
      </c>
      <c r="L13" s="228">
        <f>[1]Планки!H13</f>
        <v>53</v>
      </c>
      <c r="M13" s="138">
        <f>[1]Планки!I13</f>
        <v>690</v>
      </c>
      <c r="N13" s="138">
        <f>[1]Планки!J13</f>
        <v>110</v>
      </c>
      <c r="O13" s="229">
        <f>[1]Планки!K13</f>
        <v>580</v>
      </c>
      <c r="P13" s="229">
        <f>[1]Планки!L13</f>
        <v>235</v>
      </c>
      <c r="Q13" s="138">
        <f>[1]Планки!M13</f>
        <v>247</v>
      </c>
      <c r="R13" s="138">
        <f>[1]Планки!N13</f>
        <v>265</v>
      </c>
      <c r="S13" s="229">
        <f>[1]Планки!O13</f>
        <v>64</v>
      </c>
      <c r="T13" s="138">
        <f>[1]Планки!P13</f>
        <v>74</v>
      </c>
      <c r="U13" s="138">
        <f>[1]Планки!Q13</f>
        <v>120</v>
      </c>
      <c r="V13" s="230" t="str">
        <f>[1]Планки!R13</f>
        <v>модель нашита  (L1=218 L2=229 L3=247 L4=27 L5=40 L6=80)</v>
      </c>
      <c r="AB13" s="220"/>
      <c r="AC13" s="220">
        <f>'[2]Изложницы без бурта'!A13</f>
        <v>0</v>
      </c>
      <c r="AD13" s="220">
        <f>'[2]Изложницы без бурта'!B13</f>
        <v>60</v>
      </c>
      <c r="AE13" s="220">
        <f>'[2]Изложницы без бурта'!C13</f>
        <v>245</v>
      </c>
      <c r="AF13" s="56">
        <f>'[2]Изложницы без бурта'!D13</f>
        <v>140</v>
      </c>
      <c r="AG13" s="56">
        <f>'[2]Изложницы без бурта'!E13</f>
        <v>115</v>
      </c>
      <c r="AH13" s="56" t="str">
        <f>'[2]Изложницы без бурта'!F13</f>
        <v>7211867-1</v>
      </c>
      <c r="AI13" s="56">
        <f>'[2]Изложницы без бурта'!G13</f>
        <v>0</v>
      </c>
      <c r="AJ13" s="56">
        <f>'[2]Изложницы без бурта'!H13</f>
        <v>0</v>
      </c>
      <c r="AK13" s="56">
        <f>'[2]Изложницы без бурта'!I13</f>
        <v>0</v>
      </c>
      <c r="AL13" s="56">
        <f>'[2]Изложницы без бурта'!J13</f>
        <v>0</v>
      </c>
      <c r="AM13" s="56">
        <f>'[2]Изложницы без бурта'!K13</f>
        <v>0</v>
      </c>
      <c r="AO13" s="366">
        <v>450</v>
      </c>
      <c r="AP13" s="366" t="s">
        <v>449</v>
      </c>
      <c r="AR13" s="369">
        <v>180</v>
      </c>
      <c r="AS13" s="368">
        <v>135</v>
      </c>
      <c r="AT13" s="368">
        <v>200</v>
      </c>
      <c r="AU13" s="368">
        <v>150</v>
      </c>
      <c r="AV13" s="368">
        <v>285</v>
      </c>
      <c r="AW13" s="367">
        <v>320</v>
      </c>
      <c r="AX13" s="393" t="s">
        <v>478</v>
      </c>
      <c r="AZ13" s="56">
        <f>[3]Изложницы!A11</f>
        <v>310</v>
      </c>
      <c r="BA13" s="56">
        <f>[3]Изложницы!B11</f>
        <v>330</v>
      </c>
      <c r="BB13" s="56">
        <f>[3]Изложницы!C11</f>
        <v>800</v>
      </c>
      <c r="BC13" s="56">
        <f>[3]Изложницы!D11</f>
        <v>400</v>
      </c>
      <c r="BD13" s="56" t="str">
        <f>[3]Изложницы!E11</f>
        <v>Внутри раковины, не используется</v>
      </c>
      <c r="BE13" s="56">
        <f>[3]Изложницы!F11</f>
        <v>0</v>
      </c>
      <c r="BF13" s="56">
        <f>[3]Изложницы!G11</f>
        <v>0</v>
      </c>
      <c r="BG13" s="56">
        <f>[3]Изложницы!H11</f>
        <v>0</v>
      </c>
      <c r="BH13" s="56">
        <f>[3]Изложницы!I11</f>
        <v>0</v>
      </c>
    </row>
    <row r="14" spans="1:60" ht="15.6" thickBot="1" x14ac:dyDescent="0.3">
      <c r="A14" s="231" t="s">
        <v>39</v>
      </c>
      <c r="B14" s="226" t="s">
        <v>130</v>
      </c>
      <c r="C14" s="226" t="s">
        <v>130</v>
      </c>
      <c r="D14" s="226" t="s">
        <v>130</v>
      </c>
      <c r="E14" s="226" t="s">
        <v>130</v>
      </c>
      <c r="F14" s="226" t="s">
        <v>132</v>
      </c>
      <c r="G14" s="226"/>
      <c r="H14" s="226" t="s">
        <v>133</v>
      </c>
      <c r="I14" s="227">
        <v>7.8</v>
      </c>
      <c r="L14" s="228">
        <f>[1]Планки!H14</f>
        <v>113</v>
      </c>
      <c r="M14" s="138">
        <f>[1]Планки!I14</f>
        <v>735</v>
      </c>
      <c r="N14" s="138">
        <f>[1]Планки!J14</f>
        <v>150</v>
      </c>
      <c r="O14" s="229">
        <f>[1]Планки!K14</f>
        <v>585</v>
      </c>
      <c r="P14" s="229">
        <f>[1]Планки!L14</f>
        <v>115</v>
      </c>
      <c r="Q14" s="138">
        <f>[1]Планки!M14</f>
        <v>120</v>
      </c>
      <c r="R14" s="138">
        <f>[1]Планки!N14</f>
        <v>160</v>
      </c>
      <c r="S14" s="229">
        <f>[1]Планки!O14</f>
        <v>70</v>
      </c>
      <c r="T14" s="138">
        <f>[1]Планки!P14</f>
        <v>75</v>
      </c>
      <c r="U14" s="138">
        <f>[1]Планки!Q14</f>
        <v>140</v>
      </c>
      <c r="V14" s="230" t="str">
        <f>[1]Планки!R14</f>
        <v>модель нашита  (L4=44 L5=50 L6=100)</v>
      </c>
      <c r="AB14" s="220"/>
      <c r="AC14" s="220">
        <f>'[2]Изложницы без бурта'!A14</f>
        <v>0</v>
      </c>
      <c r="AD14" s="220">
        <f>'[2]Изложницы без бурта'!B14</f>
        <v>60</v>
      </c>
      <c r="AE14" s="220">
        <f>'[2]Изложницы без бурта'!C14</f>
        <v>245</v>
      </c>
      <c r="AF14" s="56">
        <f>'[2]Изложницы без бурта'!D14</f>
        <v>140</v>
      </c>
      <c r="AG14" s="56">
        <f>'[2]Изложницы без бурта'!E14</f>
        <v>115</v>
      </c>
      <c r="AH14" s="56" t="str">
        <f>'[2]Изложницы без бурта'!F14</f>
        <v>7211867-1</v>
      </c>
      <c r="AI14" s="56">
        <f>'[2]Изложницы без бурта'!G14</f>
        <v>0</v>
      </c>
      <c r="AJ14" s="56">
        <f>'[2]Изложницы без бурта'!H14</f>
        <v>0</v>
      </c>
      <c r="AK14" s="56">
        <f>'[2]Изложницы без бурта'!I14</f>
        <v>0</v>
      </c>
      <c r="AL14" s="56">
        <f>'[2]Изложницы без бурта'!J14</f>
        <v>0</v>
      </c>
      <c r="AM14" s="56">
        <f>'[2]Изложницы без бурта'!K14</f>
        <v>0</v>
      </c>
      <c r="AO14" s="366">
        <v>470</v>
      </c>
      <c r="AP14" s="366" t="s">
        <v>450</v>
      </c>
      <c r="AR14" s="376">
        <v>220</v>
      </c>
      <c r="AS14" s="381">
        <v>135</v>
      </c>
      <c r="AT14" s="368">
        <v>320</v>
      </c>
      <c r="AU14" s="368">
        <v>260</v>
      </c>
      <c r="AV14" s="368">
        <v>285</v>
      </c>
      <c r="AW14" s="367">
        <v>320</v>
      </c>
      <c r="AX14" s="393" t="s">
        <v>533</v>
      </c>
      <c r="AZ14" s="56">
        <f>[3]Изложницы!A12</f>
        <v>330</v>
      </c>
      <c r="BA14" s="56">
        <f>[3]Изложницы!B12</f>
        <v>330</v>
      </c>
      <c r="BB14" s="56">
        <f>[3]Изложницы!C12</f>
        <v>240</v>
      </c>
      <c r="BC14" s="56">
        <f>[3]Изложницы!D12</f>
        <v>0</v>
      </c>
      <c r="BD14" s="56">
        <f>[3]Изложницы!E12</f>
        <v>0</v>
      </c>
      <c r="BE14" s="56">
        <f>[3]Изложницы!F12</f>
        <v>0</v>
      </c>
      <c r="BF14" s="56">
        <f>[3]Изложницы!G12</f>
        <v>0</v>
      </c>
      <c r="BG14" s="56">
        <f>[3]Изложницы!H12</f>
        <v>0</v>
      </c>
      <c r="BH14" s="56">
        <f>[3]Изложницы!I12</f>
        <v>0</v>
      </c>
    </row>
    <row r="15" spans="1:60" ht="15.6" thickBot="1" x14ac:dyDescent="0.3">
      <c r="A15" s="231" t="s">
        <v>35</v>
      </c>
      <c r="B15" s="226" t="s">
        <v>130</v>
      </c>
      <c r="C15" s="226" t="s">
        <v>130</v>
      </c>
      <c r="D15" s="226" t="s">
        <v>130</v>
      </c>
      <c r="E15" s="226" t="s">
        <v>130</v>
      </c>
      <c r="F15" s="226" t="s">
        <v>132</v>
      </c>
      <c r="G15" s="226"/>
      <c r="H15" s="226" t="s">
        <v>133</v>
      </c>
      <c r="I15" s="227">
        <v>7.6</v>
      </c>
      <c r="L15" s="228">
        <f>[1]Планки!H15</f>
        <v>96</v>
      </c>
      <c r="M15" s="138">
        <f>[1]Планки!I15</f>
        <v>735</v>
      </c>
      <c r="N15" s="138">
        <f>[1]Планки!J15</f>
        <v>150</v>
      </c>
      <c r="O15" s="229">
        <f>[1]Планки!K15</f>
        <v>585</v>
      </c>
      <c r="P15" s="229">
        <f>[1]Планки!L15</f>
        <v>185</v>
      </c>
      <c r="Q15" s="138">
        <f>[1]Планки!M15</f>
        <v>195</v>
      </c>
      <c r="R15" s="138">
        <f>[1]Планки!N15</f>
        <v>235</v>
      </c>
      <c r="S15" s="229">
        <f>[1]Планки!O15</f>
        <v>37</v>
      </c>
      <c r="T15" s="138">
        <f>[1]Планки!P15</f>
        <v>45</v>
      </c>
      <c r="U15" s="138">
        <f>[1]Планки!Q15</f>
        <v>115</v>
      </c>
      <c r="V15" s="230">
        <f>[1]Планки!R15</f>
        <v>0</v>
      </c>
      <c r="AB15" s="220"/>
      <c r="AC15" s="220">
        <f>'[2]Изложницы без бурта'!A15</f>
        <v>0</v>
      </c>
      <c r="AD15" s="220">
        <f>'[2]Изложницы без бурта'!B15</f>
        <v>60</v>
      </c>
      <c r="AE15" s="220">
        <f>'[2]Изложницы без бурта'!C15</f>
        <v>245</v>
      </c>
      <c r="AF15" s="56">
        <f>'[2]Изложницы без бурта'!D15</f>
        <v>140</v>
      </c>
      <c r="AG15" s="56">
        <f>'[2]Изложницы без бурта'!E15</f>
        <v>115</v>
      </c>
      <c r="AH15" s="56" t="str">
        <f>'[2]Изложницы без бурта'!F15</f>
        <v>7211867-1</v>
      </c>
      <c r="AI15" s="56">
        <f>'[2]Изложницы без бурта'!G15</f>
        <v>0</v>
      </c>
      <c r="AJ15" s="56">
        <f>'[2]Изложницы без бурта'!H15</f>
        <v>0</v>
      </c>
      <c r="AK15" s="56">
        <f>'[2]Изложницы без бурта'!I15</f>
        <v>0</v>
      </c>
      <c r="AL15" s="56">
        <f>'[2]Изложницы без бурта'!J15</f>
        <v>0</v>
      </c>
      <c r="AM15" s="56">
        <f>'[2]Изложницы без бурта'!K15</f>
        <v>0</v>
      </c>
      <c r="AO15" s="366">
        <v>500</v>
      </c>
      <c r="AP15" s="366" t="s">
        <v>451</v>
      </c>
      <c r="AR15" s="379">
        <v>226</v>
      </c>
      <c r="AS15" s="376">
        <v>140</v>
      </c>
      <c r="AT15" s="377">
        <v>265</v>
      </c>
      <c r="AU15" s="368">
        <v>203</v>
      </c>
      <c r="AV15" s="368">
        <v>285</v>
      </c>
      <c r="AW15" s="367">
        <v>320</v>
      </c>
      <c r="AX15" s="393" t="s">
        <v>488</v>
      </c>
      <c r="AZ15" s="56">
        <f>[3]Изложницы!A13</f>
        <v>275</v>
      </c>
      <c r="BA15" s="56">
        <f>[3]Изложницы!B13</f>
        <v>290</v>
      </c>
      <c r="BB15" s="56">
        <f>[3]Изложницы!C13</f>
        <v>800</v>
      </c>
      <c r="BC15" s="56">
        <f>[3]Изложницы!D13</f>
        <v>315</v>
      </c>
      <c r="BD15" s="56" t="str">
        <f>[3]Изложницы!E13</f>
        <v>Большая трещина</v>
      </c>
      <c r="BE15" s="56">
        <f>[3]Изложницы!F13</f>
        <v>0</v>
      </c>
      <c r="BF15" s="56">
        <f>[3]Изложницы!G13</f>
        <v>0</v>
      </c>
      <c r="BG15" s="56">
        <f>[3]Изложницы!H13</f>
        <v>0</v>
      </c>
      <c r="BH15" s="56">
        <f>[3]Изложницы!I13</f>
        <v>0</v>
      </c>
    </row>
    <row r="16" spans="1:60" ht="15" x14ac:dyDescent="0.25">
      <c r="A16" s="225" t="s">
        <v>134</v>
      </c>
      <c r="B16" s="226" t="s">
        <v>135</v>
      </c>
      <c r="C16" s="226" t="s">
        <v>135</v>
      </c>
      <c r="D16" s="226" t="s">
        <v>135</v>
      </c>
      <c r="E16" s="226" t="s">
        <v>135</v>
      </c>
      <c r="F16" s="226" t="s">
        <v>136</v>
      </c>
      <c r="G16" s="226"/>
      <c r="H16" s="226" t="s">
        <v>123</v>
      </c>
      <c r="I16" s="227">
        <v>8.5</v>
      </c>
      <c r="L16" s="228">
        <f>[1]Планки!H16</f>
        <v>50</v>
      </c>
      <c r="M16" s="138">
        <f>[1]Планки!I16</f>
        <v>690</v>
      </c>
      <c r="N16" s="138">
        <f>[1]Планки!J16</f>
        <v>100</v>
      </c>
      <c r="O16" s="229">
        <f>[1]Планки!K16</f>
        <v>590</v>
      </c>
      <c r="P16" s="229">
        <f>[1]Планки!L16</f>
        <v>227</v>
      </c>
      <c r="Q16" s="138">
        <f>[1]Планки!M16</f>
        <v>240</v>
      </c>
      <c r="R16" s="138">
        <f>[1]Планки!N16</f>
        <v>270</v>
      </c>
      <c r="S16" s="229">
        <f>[1]Планки!O16</f>
        <v>28</v>
      </c>
      <c r="T16" s="138">
        <f>[1]Планки!P16</f>
        <v>38</v>
      </c>
      <c r="U16" s="138">
        <f>[1]Планки!Q16</f>
        <v>80</v>
      </c>
      <c r="V16" s="230">
        <f>[1]Планки!R16</f>
        <v>0</v>
      </c>
      <c r="AB16" s="220"/>
      <c r="AC16" s="220">
        <f>'[2]Изложницы без бурта'!A16</f>
        <v>0</v>
      </c>
      <c r="AD16" s="220">
        <f>'[2]Изложницы без бурта'!B16</f>
        <v>60</v>
      </c>
      <c r="AE16" s="220">
        <f>'[2]Изложницы без бурта'!C16</f>
        <v>245</v>
      </c>
      <c r="AF16" s="56">
        <f>'[2]Изложницы без бурта'!D16</f>
        <v>140</v>
      </c>
      <c r="AG16" s="56">
        <f>'[2]Изложницы без бурта'!E16</f>
        <v>115</v>
      </c>
      <c r="AH16" s="56" t="str">
        <f>'[2]Изложницы без бурта'!F16</f>
        <v>7211867-1</v>
      </c>
      <c r="AI16" s="56">
        <f>'[2]Изложницы без бурта'!G16</f>
        <v>0</v>
      </c>
      <c r="AJ16" s="56">
        <f>'[2]Изложницы без бурта'!H16</f>
        <v>0</v>
      </c>
      <c r="AK16" s="56">
        <f>'[2]Изложницы без бурта'!I16</f>
        <v>0</v>
      </c>
      <c r="AL16" s="56">
        <f>'[2]Изложницы без бурта'!J16</f>
        <v>0</v>
      </c>
      <c r="AM16" s="56">
        <f>'[2]Изложницы без бурта'!K16</f>
        <v>0</v>
      </c>
      <c r="AO16" s="366">
        <v>520</v>
      </c>
      <c r="AP16" s="366" t="s">
        <v>452</v>
      </c>
      <c r="AR16" s="368">
        <v>160</v>
      </c>
      <c r="AS16" s="367">
        <v>142.5</v>
      </c>
      <c r="AT16" s="368">
        <v>200</v>
      </c>
      <c r="AU16" s="368">
        <v>150</v>
      </c>
      <c r="AV16" s="368">
        <v>285</v>
      </c>
      <c r="AW16" s="367">
        <v>320</v>
      </c>
      <c r="AX16" s="393" t="s">
        <v>489</v>
      </c>
      <c r="AZ16" s="56">
        <f>[3]Изложницы!A14</f>
        <v>250</v>
      </c>
      <c r="BA16" s="56">
        <f>[3]Изложницы!B14</f>
        <v>270</v>
      </c>
      <c r="BB16" s="56">
        <f>[3]Изложницы!C14</f>
        <v>800</v>
      </c>
      <c r="BC16" s="56">
        <f>[3]Изложницы!D14</f>
        <v>400</v>
      </c>
      <c r="BD16" s="56">
        <f>[3]Изложницы!E14</f>
        <v>0</v>
      </c>
      <c r="BE16" s="56">
        <f>[3]Изложницы!F14</f>
        <v>450</v>
      </c>
      <c r="BF16" s="56">
        <f>[3]Изложницы!G14</f>
        <v>600</v>
      </c>
      <c r="BG16" s="56" t="str">
        <f>[3]Изложницы!H14</f>
        <v>242.71.635</v>
      </c>
      <c r="BH16" s="56">
        <f>[3]Изложницы!I14</f>
        <v>0</v>
      </c>
    </row>
    <row r="17" spans="1:60" ht="15" x14ac:dyDescent="0.25">
      <c r="A17" s="225" t="s">
        <v>128</v>
      </c>
      <c r="B17" s="226" t="s">
        <v>129</v>
      </c>
      <c r="C17" s="226" t="s">
        <v>130</v>
      </c>
      <c r="D17" s="226" t="s">
        <v>120</v>
      </c>
      <c r="E17" s="226" t="s">
        <v>131</v>
      </c>
      <c r="F17" s="226" t="s">
        <v>132</v>
      </c>
      <c r="G17" s="226"/>
      <c r="H17" s="226" t="s">
        <v>133</v>
      </c>
      <c r="I17" s="227">
        <v>7.5</v>
      </c>
      <c r="L17" s="228">
        <f>[1]Планки!H17</f>
        <v>49</v>
      </c>
      <c r="M17" s="138">
        <f>[1]Планки!I17</f>
        <v>780</v>
      </c>
      <c r="N17" s="138">
        <f>[1]Планки!J17</f>
        <v>190</v>
      </c>
      <c r="O17" s="229">
        <f>[1]Планки!K17</f>
        <v>590</v>
      </c>
      <c r="P17" s="229">
        <f>[1]Планки!L17</f>
        <v>265</v>
      </c>
      <c r="Q17" s="138">
        <f>[1]Планки!M17</f>
        <v>270</v>
      </c>
      <c r="R17" s="138">
        <f>[1]Планки!N17</f>
        <v>320</v>
      </c>
      <c r="S17" s="229">
        <f>[1]Планки!O17</f>
        <v>50</v>
      </c>
      <c r="T17" s="138">
        <f>[1]Планки!P17</f>
        <v>60</v>
      </c>
      <c r="U17" s="138">
        <f>[1]Планки!Q17</f>
        <v>140</v>
      </c>
      <c r="V17" s="230" t="str">
        <f>[1]Планки!R17</f>
        <v>модель нашита  (L4=45 L5=55 L6=135) +2 бурта</v>
      </c>
      <c r="AB17" s="220"/>
      <c r="AC17" s="220">
        <f>'[2]Изложницы без бурта'!A17</f>
        <v>0</v>
      </c>
      <c r="AD17" s="220">
        <f>'[2]Изложницы без бурта'!B17</f>
        <v>60</v>
      </c>
      <c r="AE17" s="220">
        <f>'[2]Изложницы без бурта'!C17</f>
        <v>245</v>
      </c>
      <c r="AF17" s="56">
        <f>'[2]Изложницы без бурта'!D17</f>
        <v>140</v>
      </c>
      <c r="AG17" s="56">
        <f>'[2]Изложницы без бурта'!E17</f>
        <v>115</v>
      </c>
      <c r="AH17" s="56" t="str">
        <f>'[2]Изложницы без бурта'!F17</f>
        <v>7211867-1</v>
      </c>
      <c r="AI17" s="56">
        <f>'[2]Изложницы без бурта'!G17</f>
        <v>0</v>
      </c>
      <c r="AJ17" s="56">
        <f>'[2]Изложницы без бурта'!H17</f>
        <v>0</v>
      </c>
      <c r="AK17" s="56">
        <f>'[2]Изложницы без бурта'!I17</f>
        <v>0</v>
      </c>
      <c r="AL17" s="56">
        <f>'[2]Изложницы без бурта'!J17</f>
        <v>0</v>
      </c>
      <c r="AM17" s="56">
        <f>'[2]Изложницы без бурта'!K17</f>
        <v>0</v>
      </c>
      <c r="AO17" s="366">
        <v>550</v>
      </c>
      <c r="AP17" s="366" t="s">
        <v>453</v>
      </c>
      <c r="AR17" s="368">
        <v>161</v>
      </c>
      <c r="AS17" s="368">
        <v>145</v>
      </c>
      <c r="AT17" s="368">
        <v>200</v>
      </c>
      <c r="AU17" s="368">
        <v>150</v>
      </c>
      <c r="AV17" s="368">
        <v>285</v>
      </c>
      <c r="AW17" s="367">
        <v>320</v>
      </c>
      <c r="AX17" s="393" t="s">
        <v>489</v>
      </c>
      <c r="AZ17" s="56">
        <f>[3]Изложницы!A15</f>
        <v>250</v>
      </c>
      <c r="BA17" s="56">
        <f>[3]Изложницы!B15</f>
        <v>270</v>
      </c>
      <c r="BB17" s="56">
        <f>[3]Изложницы!C15</f>
        <v>800</v>
      </c>
      <c r="BC17" s="56">
        <f>[3]Изложницы!D15</f>
        <v>400</v>
      </c>
      <c r="BD17" s="56" t="str">
        <f>[3]Изложницы!E15</f>
        <v>есть нарощалка Ø340х250</v>
      </c>
      <c r="BE17" s="56">
        <f>[3]Изложницы!F15</f>
        <v>450</v>
      </c>
      <c r="BF17" s="56">
        <f>[3]Изложницы!G15</f>
        <v>600</v>
      </c>
      <c r="BG17" s="56" t="str">
        <f>[3]Изложницы!H15</f>
        <v>242.71.635</v>
      </c>
      <c r="BH17" s="56">
        <f>[3]Изложницы!I15</f>
        <v>0</v>
      </c>
    </row>
    <row r="18" spans="1:60" ht="15" x14ac:dyDescent="0.25">
      <c r="A18" s="225" t="s">
        <v>37</v>
      </c>
      <c r="B18" s="226" t="s">
        <v>129</v>
      </c>
      <c r="C18" s="226" t="s">
        <v>130</v>
      </c>
      <c r="D18" s="226" t="s">
        <v>120</v>
      </c>
      <c r="E18" s="226" t="s">
        <v>131</v>
      </c>
      <c r="F18" s="226" t="s">
        <v>132</v>
      </c>
      <c r="G18" s="226"/>
      <c r="H18" s="226" t="s">
        <v>133</v>
      </c>
      <c r="I18" s="227">
        <v>7.5</v>
      </c>
      <c r="L18" s="228">
        <f>[1]Планки!H18</f>
        <v>52</v>
      </c>
      <c r="M18" s="138">
        <f>[1]Планки!I18</f>
        <v>690</v>
      </c>
      <c r="N18" s="138">
        <f>[1]Планки!J18</f>
        <v>100</v>
      </c>
      <c r="O18" s="229">
        <f>[1]Планки!K18</f>
        <v>590</v>
      </c>
      <c r="P18" s="229">
        <f>[1]Планки!L18</f>
        <v>272</v>
      </c>
      <c r="Q18" s="138">
        <f>[1]Планки!M18</f>
        <v>285</v>
      </c>
      <c r="R18" s="138">
        <f>[1]Планки!N18</f>
        <v>295</v>
      </c>
      <c r="S18" s="229">
        <f>[1]Планки!O18</f>
        <v>125</v>
      </c>
      <c r="T18" s="138">
        <f>[1]Планки!P18</f>
        <v>130</v>
      </c>
      <c r="U18" s="138">
        <f>[1]Планки!Q18</f>
        <v>175</v>
      </c>
      <c r="V18" s="230" t="str">
        <f>[1]Планки!R18</f>
        <v>модель нашита  (L4=27 L5=35 L6=100)</v>
      </c>
      <c r="AB18" s="220"/>
      <c r="AC18" s="220">
        <f>'[2]Изложницы без бурта'!A18</f>
        <v>0</v>
      </c>
      <c r="AD18" s="220">
        <f>'[2]Изложницы без бурта'!B18</f>
        <v>60</v>
      </c>
      <c r="AE18" s="220">
        <f>'[2]Изложницы без бурта'!C18</f>
        <v>242</v>
      </c>
      <c r="AF18" s="56">
        <f>'[2]Изложницы без бурта'!D18</f>
        <v>140</v>
      </c>
      <c r="AG18" s="56">
        <f>'[2]Изложницы без бурта'!E18</f>
        <v>115</v>
      </c>
      <c r="AH18" s="56" t="str">
        <f>'[2]Изложницы без бурта'!F18</f>
        <v>7211867-1</v>
      </c>
      <c r="AI18" s="56">
        <f>'[2]Изложницы без бурта'!G18</f>
        <v>0</v>
      </c>
      <c r="AJ18" s="56">
        <f>'[2]Изложницы без бурта'!H18</f>
        <v>0</v>
      </c>
      <c r="AK18" s="56">
        <f>'[2]Изложницы без бурта'!I18</f>
        <v>0</v>
      </c>
      <c r="AL18" s="56">
        <f>'[2]Изложницы без бурта'!J18</f>
        <v>0</v>
      </c>
      <c r="AM18" s="56">
        <f>'[2]Изложницы без бурта'!K18</f>
        <v>0</v>
      </c>
      <c r="AO18" s="366">
        <v>570</v>
      </c>
      <c r="AP18" s="366" t="s">
        <v>454</v>
      </c>
      <c r="AR18" s="368">
        <v>161</v>
      </c>
      <c r="AS18" s="368">
        <v>145</v>
      </c>
      <c r="AT18" s="368">
        <v>200</v>
      </c>
      <c r="AU18" s="368">
        <v>148</v>
      </c>
      <c r="AV18" s="368">
        <v>285</v>
      </c>
      <c r="AW18" s="367">
        <v>320</v>
      </c>
      <c r="AX18" s="393" t="s">
        <v>489</v>
      </c>
      <c r="AZ18" s="56">
        <f>[3]Изложницы!A16</f>
        <v>240</v>
      </c>
      <c r="BA18" s="56">
        <f>[3]Изложницы!B16</f>
        <v>250</v>
      </c>
      <c r="BB18" s="56">
        <f>[3]Изложницы!C16</f>
        <v>800</v>
      </c>
      <c r="BC18" s="56">
        <f>[3]Изложницы!D16</f>
        <v>315</v>
      </c>
      <c r="BD18" s="56" t="str">
        <f>[3]Изложницы!E16</f>
        <v>переточен с 220/230  Большая трещина</v>
      </c>
      <c r="BE18" s="56">
        <f>[3]Изложницы!F16</f>
        <v>0</v>
      </c>
      <c r="BF18" s="56" t="str">
        <f>[3]Изложницы!G16</f>
        <v>Костерин С.П. 22.03.2021</v>
      </c>
      <c r="BG18" s="56">
        <f>[3]Изложницы!H16</f>
        <v>0</v>
      </c>
      <c r="BH18" s="56" t="str">
        <f>[3]Изложницы!I16</f>
        <v>Ковалев</v>
      </c>
    </row>
    <row r="19" spans="1:60" ht="15" x14ac:dyDescent="0.25">
      <c r="A19" s="225" t="s">
        <v>28</v>
      </c>
      <c r="B19" s="226" t="s">
        <v>129</v>
      </c>
      <c r="C19" s="226" t="s">
        <v>130</v>
      </c>
      <c r="D19" s="226" t="s">
        <v>120</v>
      </c>
      <c r="E19" s="226" t="s">
        <v>131</v>
      </c>
      <c r="F19" s="226" t="s">
        <v>132</v>
      </c>
      <c r="G19" s="226"/>
      <c r="H19" s="226" t="s">
        <v>133</v>
      </c>
      <c r="I19" s="227">
        <v>7.5</v>
      </c>
      <c r="L19" s="228">
        <f>[1]Планки!H19</f>
        <v>83</v>
      </c>
      <c r="M19" s="138">
        <f>[1]Планки!I19</f>
        <v>715</v>
      </c>
      <c r="N19" s="138">
        <f>[1]Планки!J19</f>
        <v>120</v>
      </c>
      <c r="O19" s="229">
        <f>[1]Планки!K19</f>
        <v>595</v>
      </c>
      <c r="P19" s="229">
        <f>[1]Планки!L19</f>
        <v>280</v>
      </c>
      <c r="Q19" s="138">
        <f>[1]Планки!M19</f>
        <v>290</v>
      </c>
      <c r="R19" s="138">
        <f>[1]Планки!N19</f>
        <v>325</v>
      </c>
      <c r="S19" s="229">
        <f>[1]Планки!O19</f>
        <v>32</v>
      </c>
      <c r="T19" s="138">
        <f>[1]Планки!P19</f>
        <v>41</v>
      </c>
      <c r="U19" s="138">
        <f>[1]Планки!Q19</f>
        <v>95</v>
      </c>
      <c r="V19" s="230">
        <f>[1]Планки!R19</f>
        <v>0</v>
      </c>
      <c r="AB19" s="220"/>
      <c r="AC19" s="220">
        <f>'[2]Изложницы без бурта'!A19</f>
        <v>0</v>
      </c>
      <c r="AD19" s="220">
        <f>'[2]Изложницы без бурта'!B19</f>
        <v>62.5</v>
      </c>
      <c r="AE19" s="220">
        <f>'[2]Изложницы без бурта'!C19</f>
        <v>245</v>
      </c>
      <c r="AF19" s="56">
        <f>'[2]Изложницы без бурта'!D19</f>
        <v>140</v>
      </c>
      <c r="AG19" s="56">
        <f>'[2]Изложницы без бурта'!E19</f>
        <v>115</v>
      </c>
      <c r="AH19" s="56" t="str">
        <f>'[2]Изложницы без бурта'!F19</f>
        <v>7211867-2</v>
      </c>
      <c r="AI19" s="56">
        <f>'[2]Изложницы без бурта'!G19</f>
        <v>0</v>
      </c>
      <c r="AJ19" s="56">
        <f>'[2]Изложницы без бурта'!H19</f>
        <v>0</v>
      </c>
      <c r="AK19" s="56">
        <f>'[2]Изложницы без бурта'!I19</f>
        <v>0</v>
      </c>
      <c r="AL19" s="56">
        <f>'[2]Изложницы без бурта'!J19</f>
        <v>0</v>
      </c>
      <c r="AM19" s="56">
        <f>'[2]Изложницы без бурта'!K19</f>
        <v>0</v>
      </c>
      <c r="AO19" s="366">
        <v>610</v>
      </c>
      <c r="AP19" s="366" t="s">
        <v>455</v>
      </c>
      <c r="AR19" s="368">
        <v>160</v>
      </c>
      <c r="AS19" s="368">
        <v>145</v>
      </c>
      <c r="AT19" s="368">
        <v>200</v>
      </c>
      <c r="AU19" s="368">
        <v>150</v>
      </c>
      <c r="AV19" s="368">
        <v>285</v>
      </c>
      <c r="AW19" s="367">
        <v>320</v>
      </c>
      <c r="AX19" s="393" t="s">
        <v>489</v>
      </c>
      <c r="AZ19" s="56">
        <f>[3]Изложницы!A17</f>
        <v>220</v>
      </c>
      <c r="BA19" s="56">
        <f>[3]Изложницы!B17</f>
        <v>235</v>
      </c>
      <c r="BB19" s="56">
        <f>[3]Изложницы!C17</f>
        <v>420</v>
      </c>
      <c r="BC19" s="56">
        <f>[3]Изложницы!D17</f>
        <v>305</v>
      </c>
      <c r="BD19" s="56">
        <f>[3]Изложницы!E17</f>
        <v>0</v>
      </c>
      <c r="BE19" s="56">
        <f>[3]Изложницы!F17</f>
        <v>0</v>
      </c>
      <c r="BF19" s="56">
        <f>[3]Изложницы!G17</f>
        <v>0</v>
      </c>
      <c r="BG19" s="56">
        <f>[3]Изложницы!H17</f>
        <v>0</v>
      </c>
      <c r="BH19" s="56">
        <f>[3]Изложницы!I17</f>
        <v>0</v>
      </c>
    </row>
    <row r="20" spans="1:60" ht="15.6" thickBot="1" x14ac:dyDescent="0.3">
      <c r="A20" s="396" t="s">
        <v>1204</v>
      </c>
      <c r="B20" s="226" t="s">
        <v>129</v>
      </c>
      <c r="C20" s="226" t="s">
        <v>130</v>
      </c>
      <c r="D20" s="226" t="s">
        <v>120</v>
      </c>
      <c r="E20" s="226" t="s">
        <v>131</v>
      </c>
      <c r="F20" s="226" t="s">
        <v>132</v>
      </c>
      <c r="G20" s="226"/>
      <c r="H20" s="226" t="s">
        <v>133</v>
      </c>
      <c r="I20" s="227">
        <v>7.5</v>
      </c>
      <c r="L20" s="228">
        <f>[1]Планки!H20</f>
        <v>80</v>
      </c>
      <c r="M20" s="138">
        <f>[1]Планки!I20</f>
        <v>755</v>
      </c>
      <c r="N20" s="138">
        <f>[1]Планки!J20</f>
        <v>150</v>
      </c>
      <c r="O20" s="229">
        <f>[1]Планки!K20</f>
        <v>605</v>
      </c>
      <c r="P20" s="229">
        <f>[1]Планки!L20</f>
        <v>160</v>
      </c>
      <c r="Q20" s="138">
        <f>[1]Планки!M20</f>
        <v>175</v>
      </c>
      <c r="R20" s="138">
        <f>[1]Планки!N20</f>
        <v>210</v>
      </c>
      <c r="S20" s="229">
        <f>[1]Планки!O20</f>
        <v>52</v>
      </c>
      <c r="T20" s="138">
        <f>[1]Планки!P20</f>
        <v>60</v>
      </c>
      <c r="U20" s="138">
        <f>[1]Планки!Q20</f>
        <v>115</v>
      </c>
      <c r="V20" s="230" t="str">
        <f>[1]Планки!R20</f>
        <v>модель нашита  (L4=35 L5=42 L6=100)</v>
      </c>
      <c r="AB20" s="220"/>
      <c r="AC20" s="220">
        <f>'[2]Изложницы без бурта'!A20</f>
        <v>0</v>
      </c>
      <c r="AD20" s="220">
        <f>'[2]Изложницы без бурта'!B20</f>
        <v>62.5</v>
      </c>
      <c r="AE20" s="220">
        <f>'[2]Изложницы без бурта'!C20</f>
        <v>245</v>
      </c>
      <c r="AF20" s="56">
        <f>'[2]Изложницы без бурта'!D20</f>
        <v>140</v>
      </c>
      <c r="AG20" s="56">
        <f>'[2]Изложницы без бурта'!E20</f>
        <v>115</v>
      </c>
      <c r="AH20" s="56" t="str">
        <f>'[2]Изложницы без бурта'!F20</f>
        <v>7211867-2</v>
      </c>
      <c r="AI20" s="56">
        <f>'[2]Изложницы без бурта'!G20</f>
        <v>0</v>
      </c>
      <c r="AJ20" s="56">
        <f>'[2]Изложницы без бурта'!H20</f>
        <v>0</v>
      </c>
      <c r="AK20" s="56">
        <f>'[2]Изложницы без бурта'!I20</f>
        <v>0</v>
      </c>
      <c r="AL20" s="56">
        <f>'[2]Изложницы без бурта'!J20</f>
        <v>0</v>
      </c>
      <c r="AM20" s="56">
        <f>'[2]Изложницы без бурта'!K20</f>
        <v>0</v>
      </c>
      <c r="AO20" s="366">
        <v>640</v>
      </c>
      <c r="AP20" s="366" t="s">
        <v>456</v>
      </c>
      <c r="AR20" s="368">
        <v>181</v>
      </c>
      <c r="AS20" s="368">
        <v>150</v>
      </c>
      <c r="AT20" s="368">
        <v>200</v>
      </c>
      <c r="AU20" s="369">
        <v>147</v>
      </c>
      <c r="AV20" s="368">
        <v>285</v>
      </c>
      <c r="AW20" s="367">
        <v>320</v>
      </c>
      <c r="AX20" s="393" t="s">
        <v>490</v>
      </c>
      <c r="AZ20" s="56">
        <f>[3]Изложницы!A18</f>
        <v>200</v>
      </c>
      <c r="BA20" s="56">
        <f>[3]Изложницы!B18</f>
        <v>213</v>
      </c>
      <c r="BB20" s="56">
        <f>[3]Изложницы!C18</f>
        <v>400</v>
      </c>
      <c r="BC20" s="56">
        <f>[3]Изложницы!D18</f>
        <v>310</v>
      </c>
      <c r="BD20" s="56">
        <f>[3]Изложницы!E18</f>
        <v>0</v>
      </c>
      <c r="BE20" s="56">
        <f>[3]Изложницы!F18</f>
        <v>0</v>
      </c>
      <c r="BF20" s="56">
        <f>[3]Изложницы!G18</f>
        <v>0</v>
      </c>
      <c r="BG20" s="56">
        <f>[3]Изложницы!H18</f>
        <v>0</v>
      </c>
      <c r="BH20" s="56">
        <f>[3]Изложницы!I18</f>
        <v>0</v>
      </c>
    </row>
    <row r="21" spans="1:60" ht="15.6" thickBot="1" x14ac:dyDescent="0.3">
      <c r="A21" s="225" t="s">
        <v>137</v>
      </c>
      <c r="B21" s="226" t="s">
        <v>138</v>
      </c>
      <c r="C21" s="226" t="s">
        <v>139</v>
      </c>
      <c r="D21" s="226" t="s">
        <v>140</v>
      </c>
      <c r="E21" s="226" t="s">
        <v>140</v>
      </c>
      <c r="F21" s="226" t="s">
        <v>141</v>
      </c>
      <c r="G21" s="226"/>
      <c r="H21" s="226" t="s">
        <v>123</v>
      </c>
      <c r="I21" s="227">
        <v>8.5</v>
      </c>
      <c r="L21" s="228">
        <f>[1]Планки!H21</f>
        <v>95</v>
      </c>
      <c r="M21" s="138">
        <f>[1]Планки!I21</f>
        <v>825</v>
      </c>
      <c r="N21" s="138">
        <f>[1]Планки!J21</f>
        <v>220</v>
      </c>
      <c r="O21" s="229">
        <f>[1]Планки!K21</f>
        <v>605</v>
      </c>
      <c r="P21" s="229">
        <f>[1]Планки!L21</f>
        <v>325</v>
      </c>
      <c r="Q21" s="138">
        <f>[1]Планки!M21</f>
        <v>340</v>
      </c>
      <c r="R21" s="138">
        <f>[1]Планки!N21</f>
        <v>385</v>
      </c>
      <c r="S21" s="229">
        <f>[1]Планки!O21</f>
        <v>55</v>
      </c>
      <c r="T21" s="138">
        <f>[1]Планки!P21</f>
        <v>65</v>
      </c>
      <c r="U21" s="138">
        <f>[1]Планки!Q21</f>
        <v>140</v>
      </c>
      <c r="V21" s="230">
        <f>[1]Планки!R21</f>
        <v>0</v>
      </c>
      <c r="AB21" s="220"/>
      <c r="AC21" s="220">
        <f>'[2]Изложницы без бурта'!A21</f>
        <v>0</v>
      </c>
      <c r="AD21" s="220">
        <f>'[2]Изложницы без бурта'!B21</f>
        <v>62.5</v>
      </c>
      <c r="AE21" s="220">
        <f>'[2]Изложницы без бурта'!C21</f>
        <v>240</v>
      </c>
      <c r="AF21" s="56">
        <f>'[2]Изложницы без бурта'!D21</f>
        <v>140</v>
      </c>
      <c r="AG21" s="56">
        <f>'[2]Изложницы без бурта'!E21</f>
        <v>115</v>
      </c>
      <c r="AH21" s="56" t="str">
        <f>'[2]Изложницы без бурта'!F21</f>
        <v>7211867-2</v>
      </c>
      <c r="AI21" s="56">
        <f>'[2]Изложницы без бурта'!G21</f>
        <v>0</v>
      </c>
      <c r="AJ21" s="56">
        <f>'[2]Изложницы без бурта'!H21</f>
        <v>0</v>
      </c>
      <c r="AK21" s="56">
        <f>'[2]Изложницы без бурта'!I21</f>
        <v>0</v>
      </c>
      <c r="AL21" s="56">
        <f>'[2]Изложницы без бурта'!J21</f>
        <v>0</v>
      </c>
      <c r="AM21" s="56">
        <f>'[2]Изложницы без бурта'!K21</f>
        <v>0</v>
      </c>
      <c r="AO21" s="366">
        <v>670</v>
      </c>
      <c r="AP21" s="366" t="s">
        <v>457</v>
      </c>
      <c r="AR21" s="368">
        <v>180</v>
      </c>
      <c r="AS21" s="368">
        <v>157.5</v>
      </c>
      <c r="AT21" s="375">
        <v>200</v>
      </c>
      <c r="AU21" s="376">
        <v>143</v>
      </c>
      <c r="AV21" s="368">
        <v>285</v>
      </c>
      <c r="AW21" s="367">
        <v>320</v>
      </c>
      <c r="AX21" s="393" t="s">
        <v>491</v>
      </c>
      <c r="AZ21" s="56">
        <f>[3]Изложницы!A19</f>
        <v>200</v>
      </c>
      <c r="BA21" s="56">
        <f>[3]Изложницы!B19</f>
        <v>226</v>
      </c>
      <c r="BB21" s="56">
        <f>[3]Изложницы!C19</f>
        <v>780</v>
      </c>
      <c r="BC21" s="56">
        <f>[3]Изложницы!D19</f>
        <v>315</v>
      </c>
      <c r="BD21" s="56" t="str">
        <f>[3]Изложницы!E19</f>
        <v>есть нарощалки Ø260х410, Ø220/230х465 (5694.392.0105)</v>
      </c>
      <c r="BE21" s="56">
        <f>[3]Изложницы!F19</f>
        <v>350</v>
      </c>
      <c r="BF21" s="56">
        <f>[3]Изложницы!G19</f>
        <v>245</v>
      </c>
      <c r="BG21" s="56" t="str">
        <f>[3]Изложницы!H19</f>
        <v>102.46.285-3</v>
      </c>
      <c r="BH21" s="56">
        <f>[3]Изложницы!I19</f>
        <v>0</v>
      </c>
    </row>
    <row r="22" spans="1:60" ht="15" x14ac:dyDescent="0.25">
      <c r="A22" s="225" t="s">
        <v>142</v>
      </c>
      <c r="B22" s="226" t="s">
        <v>138</v>
      </c>
      <c r="C22" s="226" t="s">
        <v>139</v>
      </c>
      <c r="D22" s="226" t="s">
        <v>140</v>
      </c>
      <c r="E22" s="226" t="s">
        <v>140</v>
      </c>
      <c r="F22" s="226" t="s">
        <v>143</v>
      </c>
      <c r="G22" s="226"/>
      <c r="H22" s="226" t="s">
        <v>123</v>
      </c>
      <c r="I22" s="227">
        <v>8.5</v>
      </c>
      <c r="L22" s="228">
        <f>[1]Планки!H22</f>
        <v>30</v>
      </c>
      <c r="M22" s="138">
        <f>[1]Планки!I22</f>
        <v>745</v>
      </c>
      <c r="N22" s="138">
        <f>[1]Планки!J22</f>
        <v>130</v>
      </c>
      <c r="O22" s="229">
        <f>[1]Планки!K22</f>
        <v>615</v>
      </c>
      <c r="P22" s="229">
        <f>[1]Планки!L22</f>
        <v>295</v>
      </c>
      <c r="Q22" s="138">
        <f>[1]Планки!M22</f>
        <v>305</v>
      </c>
      <c r="R22" s="138">
        <f>[1]Планки!N22</f>
        <v>340</v>
      </c>
      <c r="S22" s="229">
        <f>[1]Планки!O22</f>
        <v>30</v>
      </c>
      <c r="T22" s="138">
        <f>[1]Планки!P22</f>
        <v>40</v>
      </c>
      <c r="U22" s="138">
        <f>[1]Планки!Q22</f>
        <v>95</v>
      </c>
      <c r="V22" s="230">
        <f>[1]Планки!R22</f>
        <v>0</v>
      </c>
      <c r="AB22" s="220"/>
      <c r="AC22" s="220">
        <f>'[2]Изложницы без бурта'!A22</f>
        <v>0</v>
      </c>
      <c r="AD22" s="220">
        <f>'[2]Изложницы без бурта'!B22</f>
        <v>65</v>
      </c>
      <c r="AE22" s="220">
        <f>'[2]Изложницы без бурта'!C22</f>
        <v>245</v>
      </c>
      <c r="AF22" s="56">
        <f>'[2]Изложницы без бурта'!D22</f>
        <v>140</v>
      </c>
      <c r="AG22" s="56">
        <f>'[2]Изложницы без бурта'!E22</f>
        <v>115</v>
      </c>
      <c r="AH22" s="56" t="str">
        <f>'[2]Изложницы без бурта'!F22</f>
        <v>7211867-3</v>
      </c>
      <c r="AI22" s="56">
        <f>'[2]Изложницы без бурта'!G22</f>
        <v>0</v>
      </c>
      <c r="AJ22" s="56">
        <f>'[2]Изложницы без бурта'!H22</f>
        <v>0</v>
      </c>
      <c r="AK22" s="56">
        <f>'[2]Изложницы без бурта'!I22</f>
        <v>0</v>
      </c>
      <c r="AL22" s="56">
        <f>'[2]Изложницы без бурта'!J22</f>
        <v>0</v>
      </c>
      <c r="AM22" s="56">
        <f>'[2]Изложницы без бурта'!K22</f>
        <v>0</v>
      </c>
      <c r="AO22" s="366">
        <v>700</v>
      </c>
      <c r="AP22" s="366" t="s">
        <v>458</v>
      </c>
      <c r="AR22" s="368">
        <v>182</v>
      </c>
      <c r="AS22" s="368">
        <v>160</v>
      </c>
      <c r="AT22" s="368">
        <v>200</v>
      </c>
      <c r="AU22" s="367">
        <v>145</v>
      </c>
      <c r="AV22" s="368">
        <v>285</v>
      </c>
      <c r="AW22" s="367">
        <v>320</v>
      </c>
      <c r="AX22" s="393" t="s">
        <v>491</v>
      </c>
      <c r="AZ22" s="56">
        <f>[3]Изложницы!A20</f>
        <v>195</v>
      </c>
      <c r="BA22" s="56">
        <f>[3]Изложницы!B20</f>
        <v>213</v>
      </c>
      <c r="BB22" s="56">
        <f>[3]Изложницы!C20</f>
        <v>785</v>
      </c>
      <c r="BC22" s="56">
        <f>[3]Изложницы!D20</f>
        <v>310</v>
      </c>
      <c r="BD22" s="56">
        <f>[3]Изложницы!E20</f>
        <v>0</v>
      </c>
      <c r="BE22" s="56">
        <f>[3]Изложницы!F20</f>
        <v>450</v>
      </c>
      <c r="BF22" s="56">
        <f>[3]Изложницы!G20</f>
        <v>680</v>
      </c>
      <c r="BG22" s="56" t="str">
        <f>[3]Изложницы!H20</f>
        <v>242.71.012</v>
      </c>
      <c r="BH22" s="56" t="str">
        <f>[3]Изложницы!I20</f>
        <v>Ковалев</v>
      </c>
    </row>
    <row r="23" spans="1:60" ht="15.6" thickBot="1" x14ac:dyDescent="0.3">
      <c r="A23" s="231" t="s">
        <v>42</v>
      </c>
      <c r="B23" s="232" t="s">
        <v>144</v>
      </c>
      <c r="C23" s="232" t="s">
        <v>144</v>
      </c>
      <c r="D23" s="232" t="s">
        <v>144</v>
      </c>
      <c r="E23" s="232" t="s">
        <v>144</v>
      </c>
      <c r="F23" s="226" t="s">
        <v>145</v>
      </c>
      <c r="G23" s="233"/>
      <c r="H23" s="226" t="s">
        <v>146</v>
      </c>
      <c r="I23" s="227">
        <v>7</v>
      </c>
      <c r="L23" s="228" t="str">
        <f>[1]Планки!H23</f>
        <v>б/н (АГВЕРС)</v>
      </c>
      <c r="M23" s="138">
        <f>[1]Планки!I23</f>
        <v>825</v>
      </c>
      <c r="N23" s="138">
        <f>[1]Планки!J23</f>
        <v>205</v>
      </c>
      <c r="O23" s="229">
        <f>[1]Планки!K23</f>
        <v>620</v>
      </c>
      <c r="P23" s="229">
        <f>[1]Планки!L23</f>
        <v>1300</v>
      </c>
      <c r="Q23" s="138">
        <f>[1]Планки!M23</f>
        <v>1325</v>
      </c>
      <c r="R23" s="138">
        <f>[1]Планки!N23</f>
        <v>1335</v>
      </c>
      <c r="S23" s="229">
        <f>[1]Планки!O23</f>
        <v>65</v>
      </c>
      <c r="T23" s="138">
        <f>[1]Планки!P23</f>
        <v>75</v>
      </c>
      <c r="U23" s="138">
        <f>[1]Планки!Q23</f>
        <v>130</v>
      </c>
      <c r="V23" s="230" t="str">
        <f>[1]Планки!R23</f>
        <v>новая модель для заказа 341684-004</v>
      </c>
      <c r="AB23" s="220"/>
      <c r="AC23" s="220">
        <f>'[2]Изложницы без бурта'!A23</f>
        <v>0</v>
      </c>
      <c r="AD23" s="220">
        <f>'[2]Изложницы без бурта'!B23</f>
        <v>65</v>
      </c>
      <c r="AE23" s="220">
        <f>'[2]Изложницы без бурта'!C23</f>
        <v>245</v>
      </c>
      <c r="AF23" s="56">
        <f>'[2]Изложницы без бурта'!D23</f>
        <v>140</v>
      </c>
      <c r="AG23" s="56">
        <f>'[2]Изложницы без бурта'!E23</f>
        <v>115</v>
      </c>
      <c r="AH23" s="56" t="str">
        <f>'[2]Изложницы без бурта'!F23</f>
        <v>7211867-3</v>
      </c>
      <c r="AI23" s="56">
        <f>'[2]Изложницы без бурта'!G23</f>
        <v>0</v>
      </c>
      <c r="AJ23" s="56">
        <f>'[2]Изложницы без бурта'!H23</f>
        <v>0</v>
      </c>
      <c r="AK23" s="56">
        <f>'[2]Изложницы без бурта'!I23</f>
        <v>0</v>
      </c>
      <c r="AL23" s="56">
        <f>'[2]Изложницы без бурта'!J23</f>
        <v>0</v>
      </c>
      <c r="AM23" s="56">
        <f>'[2]Изложницы без бурта'!K23</f>
        <v>0</v>
      </c>
      <c r="AO23" s="366">
        <v>743</v>
      </c>
      <c r="AP23" s="366"/>
      <c r="AR23" s="382">
        <v>250</v>
      </c>
      <c r="AS23" s="382">
        <v>160</v>
      </c>
      <c r="AT23" s="382">
        <v>380</v>
      </c>
      <c r="AU23" s="383">
        <v>295</v>
      </c>
      <c r="AV23" s="382">
        <v>285</v>
      </c>
      <c r="AW23" s="384">
        <v>320</v>
      </c>
      <c r="AX23" s="393" t="s">
        <v>492</v>
      </c>
      <c r="AZ23" s="56">
        <f>[3]Изложницы!A21</f>
        <v>170</v>
      </c>
      <c r="BA23" s="56">
        <f>[3]Изложницы!B21</f>
        <v>177</v>
      </c>
      <c r="BB23" s="56">
        <f>[3]Изложницы!C21</f>
        <v>400</v>
      </c>
      <c r="BC23" s="56">
        <f>[3]Изложницы!D21</f>
        <v>0</v>
      </c>
      <c r="BD23" s="56">
        <f>[3]Изложницы!E21</f>
        <v>0</v>
      </c>
      <c r="BE23" s="56">
        <f>[3]Изложницы!F21</f>
        <v>0</v>
      </c>
      <c r="BF23" s="56">
        <f>[3]Изложницы!G21</f>
        <v>0</v>
      </c>
      <c r="BG23" s="56" t="str">
        <f>[3]Изложницы!H21</f>
        <v>102.46.285-1</v>
      </c>
      <c r="BH23" s="56">
        <f>[3]Изложницы!I21</f>
        <v>0</v>
      </c>
    </row>
    <row r="24" spans="1:60" ht="15.6" thickBot="1" x14ac:dyDescent="0.3">
      <c r="A24" s="225" t="s">
        <v>43</v>
      </c>
      <c r="B24" s="232" t="s">
        <v>144</v>
      </c>
      <c r="C24" s="232" t="s">
        <v>144</v>
      </c>
      <c r="D24" s="232" t="s">
        <v>144</v>
      </c>
      <c r="E24" s="232" t="s">
        <v>144</v>
      </c>
      <c r="F24" s="226" t="s">
        <v>145</v>
      </c>
      <c r="G24" s="226"/>
      <c r="H24" s="226" t="s">
        <v>146</v>
      </c>
      <c r="I24" s="227">
        <v>7.1</v>
      </c>
      <c r="L24" s="228">
        <f>[1]Планки!H24</f>
        <v>98</v>
      </c>
      <c r="M24" s="138">
        <f>[1]Планки!I24</f>
        <v>730</v>
      </c>
      <c r="N24" s="138">
        <f>[1]Планки!J24</f>
        <v>105</v>
      </c>
      <c r="O24" s="229">
        <f>[1]Планки!K24</f>
        <v>625</v>
      </c>
      <c r="P24" s="229">
        <f>[1]Планки!L24</f>
        <v>280</v>
      </c>
      <c r="Q24" s="138">
        <f>[1]Планки!M24</f>
        <v>287</v>
      </c>
      <c r="R24" s="138">
        <f>[1]Планки!N24</f>
        <v>315</v>
      </c>
      <c r="S24" s="229">
        <f>[1]Планки!O24</f>
        <v>40</v>
      </c>
      <c r="T24" s="138">
        <f>[1]Планки!P24</f>
        <v>50</v>
      </c>
      <c r="U24" s="138">
        <f>[1]Планки!Q24</f>
        <v>100</v>
      </c>
      <c r="V24" s="230" t="str">
        <f>[1]Планки!R24</f>
        <v>модель нашита  (L4=27 L5=37 L6=85)</v>
      </c>
      <c r="AB24" s="220"/>
      <c r="AC24" s="220">
        <f>'[2]Изложницы без бурта'!A24</f>
        <v>0</v>
      </c>
      <c r="AD24" s="220">
        <f>'[2]Изложницы без бурта'!B24</f>
        <v>65</v>
      </c>
      <c r="AE24" s="220">
        <f>'[2]Изложницы без бурта'!C24</f>
        <v>240</v>
      </c>
      <c r="AF24" s="56">
        <f>'[2]Изложницы без бурта'!D24</f>
        <v>140</v>
      </c>
      <c r="AG24" s="56">
        <f>'[2]Изложницы без бурта'!E24</f>
        <v>115</v>
      </c>
      <c r="AH24" s="56" t="str">
        <f>'[2]Изложницы без бурта'!F24</f>
        <v>7211867-3</v>
      </c>
      <c r="AI24" s="56">
        <f>'[2]Изложницы без бурта'!G24</f>
        <v>0</v>
      </c>
      <c r="AJ24" s="56">
        <f>'[2]Изложницы без бурта'!H24</f>
        <v>0</v>
      </c>
      <c r="AK24" s="56">
        <f>'[2]Изложницы без бурта'!I24</f>
        <v>0</v>
      </c>
      <c r="AL24" s="56">
        <f>'[2]Изложницы без бурта'!J24</f>
        <v>0</v>
      </c>
      <c r="AM24" s="56">
        <f>'[2]Изложницы без бурта'!K24</f>
        <v>0</v>
      </c>
      <c r="AR24" s="385">
        <v>242</v>
      </c>
      <c r="AS24" s="385">
        <v>162.5</v>
      </c>
      <c r="AT24" s="375">
        <v>265</v>
      </c>
      <c r="AU24" s="376">
        <v>215</v>
      </c>
      <c r="AV24" s="368">
        <v>285</v>
      </c>
      <c r="AW24" s="367">
        <v>320</v>
      </c>
      <c r="AX24" s="393" t="s">
        <v>493</v>
      </c>
      <c r="AZ24" s="56">
        <f>[3]Изложницы!A22</f>
        <v>160</v>
      </c>
      <c r="BA24" s="56">
        <f>[3]Изложницы!B22</f>
        <v>167</v>
      </c>
      <c r="BB24" s="56">
        <f>[3]Изложницы!C22</f>
        <v>400</v>
      </c>
      <c r="BC24" s="56">
        <f>[3]Изложницы!D22</f>
        <v>315</v>
      </c>
      <c r="BD24" s="56">
        <f>[3]Изложницы!E22</f>
        <v>0</v>
      </c>
      <c r="BE24" s="56">
        <f>[3]Изложницы!F22</f>
        <v>300</v>
      </c>
      <c r="BF24" s="56">
        <f>[3]Изложницы!G22</f>
        <v>196</v>
      </c>
      <c r="BG24" s="56" t="str">
        <f>[3]Изложницы!H22</f>
        <v>102.46.286-3</v>
      </c>
      <c r="BH24" s="56">
        <f>[3]Изложницы!I22</f>
        <v>0</v>
      </c>
    </row>
    <row r="25" spans="1:60" ht="15" x14ac:dyDescent="0.25">
      <c r="A25" s="225" t="s">
        <v>44</v>
      </c>
      <c r="B25" s="232" t="s">
        <v>144</v>
      </c>
      <c r="C25" s="232" t="s">
        <v>144</v>
      </c>
      <c r="D25" s="232" t="s">
        <v>144</v>
      </c>
      <c r="E25" s="232" t="s">
        <v>144</v>
      </c>
      <c r="F25" s="226" t="s">
        <v>145</v>
      </c>
      <c r="G25" s="226"/>
      <c r="H25" s="226" t="s">
        <v>146</v>
      </c>
      <c r="I25" s="227">
        <v>7.2</v>
      </c>
      <c r="L25" s="228">
        <f>[1]Планки!H25</f>
        <v>63</v>
      </c>
      <c r="M25" s="138">
        <f>[1]Планки!I25</f>
        <v>790</v>
      </c>
      <c r="N25" s="138">
        <f>[1]Планки!J25</f>
        <v>160</v>
      </c>
      <c r="O25" s="229">
        <f>[1]Планки!K25</f>
        <v>630</v>
      </c>
      <c r="P25" s="229">
        <f>[1]Планки!L25</f>
        <v>360</v>
      </c>
      <c r="Q25" s="138">
        <f>[1]Планки!M25</f>
        <v>373</v>
      </c>
      <c r="R25" s="138">
        <f>[1]Планки!N25</f>
        <v>410</v>
      </c>
      <c r="S25" s="229">
        <f>[1]Планки!O25</f>
        <v>34</v>
      </c>
      <c r="T25" s="138">
        <f>[1]Планки!P25</f>
        <v>45</v>
      </c>
      <c r="U25" s="138">
        <f>[1]Планки!Q25</f>
        <v>110</v>
      </c>
      <c r="V25" s="230">
        <f>[1]Планки!R25</f>
        <v>0</v>
      </c>
      <c r="AB25" s="220"/>
      <c r="AC25" s="220">
        <f>'[2]Изложницы без бурта'!A25</f>
        <v>0</v>
      </c>
      <c r="AD25" s="220">
        <f>'[2]Изложницы без бурта'!B25</f>
        <v>65</v>
      </c>
      <c r="AE25" s="220">
        <f>'[2]Изложницы без бурта'!C25</f>
        <v>245</v>
      </c>
      <c r="AF25" s="56">
        <f>'[2]Изложницы без бурта'!D25</f>
        <v>140</v>
      </c>
      <c r="AG25" s="56">
        <f>'[2]Изложницы без бурта'!E25</f>
        <v>115</v>
      </c>
      <c r="AH25" s="56" t="str">
        <f>'[2]Изложницы без бурта'!F25</f>
        <v>7211867-3</v>
      </c>
      <c r="AI25" s="56">
        <f>'[2]Изложницы без бурта'!G25</f>
        <v>0</v>
      </c>
      <c r="AJ25" s="56">
        <f>'[2]Изложницы без бурта'!H25</f>
        <v>0</v>
      </c>
      <c r="AK25" s="56">
        <f>'[2]Изложницы без бурта'!I25</f>
        <v>0</v>
      </c>
      <c r="AL25" s="56">
        <f>'[2]Изложницы без бурта'!J25</f>
        <v>0</v>
      </c>
      <c r="AM25" s="56">
        <f>'[2]Изложницы без бурта'!K25</f>
        <v>0</v>
      </c>
      <c r="AO25" s="1726" t="s">
        <v>1055</v>
      </c>
      <c r="AP25" s="1726"/>
      <c r="AR25" s="368">
        <v>250</v>
      </c>
      <c r="AS25" s="368">
        <v>167.5</v>
      </c>
      <c r="AT25" s="368">
        <v>265</v>
      </c>
      <c r="AU25" s="367">
        <v>230</v>
      </c>
      <c r="AV25" s="368">
        <v>285</v>
      </c>
      <c r="AW25" s="367">
        <v>320</v>
      </c>
      <c r="AX25" s="393" t="s">
        <v>494</v>
      </c>
      <c r="AZ25" s="56">
        <f>[3]Изложницы!A23</f>
        <v>140</v>
      </c>
      <c r="BA25" s="56">
        <f>[3]Изложницы!B23</f>
        <v>170</v>
      </c>
      <c r="BB25" s="56">
        <f>[3]Изложницы!C23</f>
        <v>380</v>
      </c>
      <c r="BC25" s="56">
        <f>[3]Изложницы!D23</f>
        <v>310</v>
      </c>
      <c r="BD25" s="56">
        <f>[3]Изложницы!E23</f>
        <v>0</v>
      </c>
      <c r="BE25" s="56">
        <f>[3]Изложницы!F23</f>
        <v>0</v>
      </c>
      <c r="BF25" s="56">
        <f>[3]Изложницы!G23</f>
        <v>0</v>
      </c>
      <c r="BG25" s="56">
        <f>[3]Изложницы!H23</f>
        <v>0</v>
      </c>
      <c r="BH25" s="56">
        <f>[3]Изложницы!I23</f>
        <v>0</v>
      </c>
    </row>
    <row r="26" spans="1:60" ht="15" x14ac:dyDescent="0.25">
      <c r="A26" s="231" t="s">
        <v>45</v>
      </c>
      <c r="B26" s="232" t="s">
        <v>144</v>
      </c>
      <c r="C26" s="232" t="s">
        <v>144</v>
      </c>
      <c r="D26" s="232" t="s">
        <v>144</v>
      </c>
      <c r="E26" s="232" t="s">
        <v>144</v>
      </c>
      <c r="F26" s="226" t="s">
        <v>145</v>
      </c>
      <c r="G26" s="233"/>
      <c r="H26" s="226" t="s">
        <v>146</v>
      </c>
      <c r="I26" s="227">
        <v>7.3</v>
      </c>
      <c r="L26" s="228">
        <f>[1]Планки!H26</f>
        <v>59</v>
      </c>
      <c r="M26" s="138">
        <f>[1]Планки!I26</f>
        <v>775</v>
      </c>
      <c r="N26" s="138">
        <f>[1]Планки!J26</f>
        <v>140</v>
      </c>
      <c r="O26" s="229">
        <f>[1]Планки!K26</f>
        <v>635</v>
      </c>
      <c r="P26" s="229">
        <f>[1]Планки!L26</f>
        <v>340</v>
      </c>
      <c r="Q26" s="138">
        <f>[1]Планки!M26</f>
        <v>357</v>
      </c>
      <c r="R26" s="138">
        <f>[1]Планки!N26</f>
        <v>372</v>
      </c>
      <c r="S26" s="229">
        <f>[1]Планки!O26</f>
        <v>28</v>
      </c>
      <c r="T26" s="138">
        <f>[1]Планки!P26</f>
        <v>35</v>
      </c>
      <c r="U26" s="138">
        <f>[1]Планки!Q26</f>
        <v>75</v>
      </c>
      <c r="V26" s="230">
        <f>[1]Планки!R26</f>
        <v>0</v>
      </c>
      <c r="AB26" s="220"/>
      <c r="AC26" s="220">
        <f>'[2]Изложницы без бурта'!A26</f>
        <v>0</v>
      </c>
      <c r="AD26" s="220">
        <f>'[2]Изложницы без бурта'!B26</f>
        <v>65</v>
      </c>
      <c r="AE26" s="220">
        <f>'[2]Изложницы без бурта'!C26</f>
        <v>245</v>
      </c>
      <c r="AF26" s="56">
        <f>'[2]Изложницы без бурта'!D26</f>
        <v>140</v>
      </c>
      <c r="AG26" s="56">
        <f>'[2]Изложницы без бурта'!E26</f>
        <v>115</v>
      </c>
      <c r="AH26" s="56" t="str">
        <f>'[2]Изложницы без бурта'!F26</f>
        <v>7211867-3</v>
      </c>
      <c r="AI26" s="56">
        <f>'[2]Изложницы без бурта'!G26</f>
        <v>0</v>
      </c>
      <c r="AJ26" s="56">
        <f>'[2]Изложницы без бурта'!H26</f>
        <v>0</v>
      </c>
      <c r="AK26" s="56">
        <f>'[2]Изложницы без бурта'!I26</f>
        <v>0</v>
      </c>
      <c r="AL26" s="56">
        <f>'[2]Изложницы без бурта'!J26</f>
        <v>0</v>
      </c>
      <c r="AM26" s="56">
        <f>'[2]Изложницы без бурта'!K26</f>
        <v>0</v>
      </c>
      <c r="AO26" s="395" t="s">
        <v>463</v>
      </c>
      <c r="AP26" s="395" t="s">
        <v>464</v>
      </c>
      <c r="AR26" s="368">
        <v>248</v>
      </c>
      <c r="AS26" s="368">
        <v>167.5</v>
      </c>
      <c r="AT26" s="368">
        <v>265</v>
      </c>
      <c r="AU26" s="368">
        <v>230</v>
      </c>
      <c r="AV26" s="368">
        <v>285</v>
      </c>
      <c r="AW26" s="367">
        <v>320</v>
      </c>
      <c r="AX26" s="393" t="s">
        <v>494</v>
      </c>
      <c r="AZ26" s="56">
        <f>[3]Изложницы!A24</f>
        <v>140</v>
      </c>
      <c r="BA26" s="56">
        <f>[3]Изложницы!B24</f>
        <v>170</v>
      </c>
      <c r="BB26" s="56">
        <f>[3]Изложницы!C24</f>
        <v>675</v>
      </c>
      <c r="BC26" s="56">
        <f>[3]Изложницы!D24</f>
        <v>310</v>
      </c>
      <c r="BD26" s="56">
        <f>[3]Изложницы!E24</f>
        <v>0</v>
      </c>
      <c r="BE26" s="56">
        <f>[3]Изложницы!F24</f>
        <v>320</v>
      </c>
      <c r="BF26" s="56">
        <f>[3]Изложницы!G24</f>
        <v>360</v>
      </c>
      <c r="BG26" s="56" t="str">
        <f>[3]Изложницы!H24</f>
        <v>34.01.2018.140.700</v>
      </c>
      <c r="BH26" s="56">
        <f>[3]Изложницы!I24</f>
        <v>0</v>
      </c>
    </row>
    <row r="27" spans="1:60" ht="15.6" thickBot="1" x14ac:dyDescent="0.3">
      <c r="A27" s="234" t="s">
        <v>46</v>
      </c>
      <c r="B27" s="235" t="s">
        <v>144</v>
      </c>
      <c r="C27" s="235" t="s">
        <v>144</v>
      </c>
      <c r="D27" s="235" t="s">
        <v>144</v>
      </c>
      <c r="E27" s="235" t="s">
        <v>144</v>
      </c>
      <c r="F27" s="236" t="s">
        <v>145</v>
      </c>
      <c r="G27" s="237"/>
      <c r="H27" s="236" t="s">
        <v>146</v>
      </c>
      <c r="I27" s="238">
        <v>7.4</v>
      </c>
      <c r="L27" s="228">
        <f>[1]Планки!H27</f>
        <v>4</v>
      </c>
      <c r="M27" s="138">
        <f>[1]Планки!I27</f>
        <v>1185</v>
      </c>
      <c r="N27" s="138">
        <f>[1]Планки!J27</f>
        <v>545</v>
      </c>
      <c r="O27" s="229">
        <f>[1]Планки!K27</f>
        <v>640</v>
      </c>
      <c r="P27" s="229">
        <f>[1]Планки!L27</f>
        <v>223</v>
      </c>
      <c r="Q27" s="138">
        <f>[1]Планки!M27</f>
        <v>230</v>
      </c>
      <c r="R27" s="138">
        <f>[1]Планки!N27</f>
        <v>345</v>
      </c>
      <c r="S27" s="229">
        <f>[1]Планки!O27</f>
        <v>173</v>
      </c>
      <c r="T27" s="138">
        <f>[1]Планки!P27</f>
        <v>185</v>
      </c>
      <c r="U27" s="138">
        <f>[1]Планки!Q27</f>
        <v>305</v>
      </c>
      <c r="V27" s="230">
        <f>[1]Планки!R27</f>
        <v>0</v>
      </c>
      <c r="AB27" s="220"/>
      <c r="AC27" s="220">
        <f>'[2]Изложницы без бурта'!A27</f>
        <v>0</v>
      </c>
      <c r="AD27" s="220">
        <f>'[2]Изложницы без бурта'!B27</f>
        <v>67.5</v>
      </c>
      <c r="AE27" s="220">
        <f>'[2]Изложницы без бурта'!C27</f>
        <v>243</v>
      </c>
      <c r="AF27" s="56">
        <f>'[2]Изложницы без бурта'!D27</f>
        <v>140</v>
      </c>
      <c r="AG27" s="56">
        <f>'[2]Изложницы без бурта'!E27</f>
        <v>115</v>
      </c>
      <c r="AH27" s="56" t="str">
        <f>'[2]Изложницы без бурта'!F27</f>
        <v>7211867-4</v>
      </c>
      <c r="AI27" s="56">
        <f>'[2]Изложницы без бурта'!G27</f>
        <v>0</v>
      </c>
      <c r="AJ27" s="56">
        <f>'[2]Изложницы без бурта'!H27</f>
        <v>0</v>
      </c>
      <c r="AK27" s="56">
        <f>'[2]Изложницы без бурта'!I27</f>
        <v>0</v>
      </c>
      <c r="AL27" s="56">
        <f>'[2]Изложницы без бурта'!J27</f>
        <v>0</v>
      </c>
      <c r="AM27" s="56">
        <f>'[2]Изложницы без бурта'!K27</f>
        <v>0</v>
      </c>
      <c r="AO27" s="393">
        <f>VLOOKUP(цб!E29,Данные!AD79:AF1156,3)</f>
        <v>700</v>
      </c>
      <c r="AP27" s="393">
        <f>VLOOKUP('цб с буртом'!E31,кок_с_буртом,5)</f>
        <v>375</v>
      </c>
      <c r="AR27" s="368">
        <v>250</v>
      </c>
      <c r="AS27" s="368">
        <v>170</v>
      </c>
      <c r="AT27" s="368">
        <v>265</v>
      </c>
      <c r="AU27" s="368">
        <v>230</v>
      </c>
      <c r="AV27" s="368">
        <v>285</v>
      </c>
      <c r="AW27" s="367">
        <v>320</v>
      </c>
      <c r="AX27" s="393" t="s">
        <v>494</v>
      </c>
      <c r="AZ27" s="56">
        <f>[3]Изложницы!A25</f>
        <v>140</v>
      </c>
      <c r="BA27" s="56">
        <f>[3]Изложницы!B25</f>
        <v>150</v>
      </c>
      <c r="BB27" s="56">
        <f>[3]Изложницы!C25</f>
        <v>380</v>
      </c>
      <c r="BC27" s="56">
        <f>[3]Изложницы!D25</f>
        <v>315</v>
      </c>
      <c r="BD27" s="56">
        <f>[3]Изложницы!E25</f>
        <v>0</v>
      </c>
      <c r="BE27" s="56">
        <f>[3]Изложницы!F25</f>
        <v>300</v>
      </c>
      <c r="BF27" s="56">
        <f>[3]Изложницы!G25</f>
        <v>230</v>
      </c>
      <c r="BG27" s="56" t="str">
        <f>[3]Изложницы!H25</f>
        <v>102.46.286-1</v>
      </c>
      <c r="BH27" s="56">
        <f>[3]Изложницы!I25</f>
        <v>0</v>
      </c>
    </row>
    <row r="28" spans="1:60" ht="15" thickBot="1" x14ac:dyDescent="0.3">
      <c r="A28" s="239"/>
      <c r="B28" s="138"/>
      <c r="C28" s="138"/>
      <c r="D28" s="138"/>
      <c r="E28" s="138"/>
      <c r="F28" s="138"/>
      <c r="G28" s="240"/>
      <c r="H28" s="240"/>
      <c r="L28" s="228">
        <f>[1]Планки!H28</f>
        <v>76</v>
      </c>
      <c r="M28" s="138">
        <f>[1]Планки!I28</f>
        <v>765</v>
      </c>
      <c r="N28" s="138">
        <f>[1]Планки!J28</f>
        <v>125</v>
      </c>
      <c r="O28" s="229">
        <f>[1]Планки!K28</f>
        <v>640</v>
      </c>
      <c r="P28" s="229">
        <f>[1]Планки!L28</f>
        <v>235</v>
      </c>
      <c r="Q28" s="138">
        <f>[1]Планки!M28</f>
        <v>252</v>
      </c>
      <c r="R28" s="138">
        <f>[1]Планки!N28</f>
        <v>290</v>
      </c>
      <c r="S28" s="229">
        <f>[1]Планки!O28</f>
        <v>27</v>
      </c>
      <c r="T28" s="138">
        <f>[1]Планки!P28</f>
        <v>37</v>
      </c>
      <c r="U28" s="138">
        <f>[1]Планки!Q28</f>
        <v>90</v>
      </c>
      <c r="V28" s="230">
        <f>[1]Планки!R28</f>
        <v>0</v>
      </c>
      <c r="AB28" s="220"/>
      <c r="AC28" s="220">
        <f>'[2]Изложницы без бурта'!A28</f>
        <v>0</v>
      </c>
      <c r="AD28" s="220">
        <f>'[2]Изложницы без бурта'!B28</f>
        <v>67.5</v>
      </c>
      <c r="AE28" s="220">
        <f>'[2]Изложницы без бурта'!C28</f>
        <v>245</v>
      </c>
      <c r="AF28" s="56">
        <f>'[2]Изложницы без бурта'!D28</f>
        <v>140</v>
      </c>
      <c r="AG28" s="56">
        <f>'[2]Изложницы без бурта'!E28</f>
        <v>115</v>
      </c>
      <c r="AH28" s="56" t="str">
        <f>'[2]Изложницы без бурта'!F28</f>
        <v>7211867-4</v>
      </c>
      <c r="AI28" s="56">
        <f>'[2]Изложницы без бурта'!G28</f>
        <v>0</v>
      </c>
      <c r="AJ28" s="56">
        <f>'[2]Изложницы без бурта'!H28</f>
        <v>0</v>
      </c>
      <c r="AK28" s="56">
        <f>'[2]Изложницы без бурта'!I28</f>
        <v>0</v>
      </c>
      <c r="AL28" s="56">
        <f>'[2]Изложницы без бурта'!J28</f>
        <v>0</v>
      </c>
      <c r="AM28" s="56">
        <f>'[2]Изложницы без бурта'!K28</f>
        <v>0</v>
      </c>
      <c r="AR28" s="368">
        <v>250</v>
      </c>
      <c r="AS28" s="368">
        <v>170</v>
      </c>
      <c r="AT28" s="368">
        <v>265</v>
      </c>
      <c r="AU28" s="368">
        <v>235</v>
      </c>
      <c r="AV28" s="368">
        <v>285</v>
      </c>
      <c r="AW28" s="367">
        <v>320</v>
      </c>
      <c r="AX28" s="393" t="s">
        <v>494</v>
      </c>
      <c r="AZ28" s="56">
        <f>[3]Изложницы!A26</f>
        <v>135</v>
      </c>
      <c r="BA28" s="56">
        <f>[3]Изложницы!B26</f>
        <v>145</v>
      </c>
      <c r="BB28" s="56">
        <f>[3]Изложницы!C26</f>
        <v>330</v>
      </c>
      <c r="BC28" s="56">
        <f>[3]Изложницы!D26</f>
        <v>295</v>
      </c>
      <c r="BD28" s="56">
        <f>[3]Изложницы!E26</f>
        <v>0</v>
      </c>
      <c r="BE28" s="56">
        <f>[3]Изложницы!F26</f>
        <v>295</v>
      </c>
      <c r="BF28" s="56">
        <f>[3]Изложницы!G26</f>
        <v>0</v>
      </c>
      <c r="BG28" s="56">
        <f>[3]Изложницы!H26</f>
        <v>0</v>
      </c>
      <c r="BH28" s="56">
        <f>[3]Изложницы!I26</f>
        <v>0</v>
      </c>
    </row>
    <row r="29" spans="1:60" ht="14.4" x14ac:dyDescent="0.25">
      <c r="A29" s="241"/>
      <c r="B29" s="64" t="s">
        <v>1198</v>
      </c>
      <c r="C29" s="67" t="s">
        <v>1199</v>
      </c>
      <c r="D29" s="67"/>
      <c r="E29" s="64" t="s">
        <v>147</v>
      </c>
      <c r="F29" s="64" t="s">
        <v>119</v>
      </c>
      <c r="G29" s="64" t="s">
        <v>123</v>
      </c>
      <c r="H29" s="64" t="s">
        <v>133</v>
      </c>
      <c r="I29" s="213" t="s">
        <v>146</v>
      </c>
      <c r="L29" s="228">
        <f>[1]Планки!H29</f>
        <v>78</v>
      </c>
      <c r="M29" s="138">
        <f>[1]Планки!I29</f>
        <v>745</v>
      </c>
      <c r="N29" s="138">
        <f>[1]Планки!J29</f>
        <v>105</v>
      </c>
      <c r="O29" s="229">
        <f>[1]Планки!K29</f>
        <v>640</v>
      </c>
      <c r="P29" s="229">
        <f>[1]Планки!L29</f>
        <v>240</v>
      </c>
      <c r="Q29" s="138">
        <f>[1]Планки!M29</f>
        <v>247</v>
      </c>
      <c r="R29" s="138">
        <f>[1]Планки!N29</f>
        <v>280</v>
      </c>
      <c r="S29" s="229">
        <f>[1]Планки!O29</f>
        <v>27</v>
      </c>
      <c r="T29" s="138">
        <f>[1]Планки!P29</f>
        <v>35</v>
      </c>
      <c r="U29" s="138">
        <f>[1]Планки!Q29</f>
        <v>80</v>
      </c>
      <c r="V29" s="230">
        <f>[1]Планки!R29</f>
        <v>0</v>
      </c>
      <c r="AB29" s="220"/>
      <c r="AC29" s="220">
        <f>'[2]Изложницы без бурта'!A29</f>
        <v>0</v>
      </c>
      <c r="AD29" s="220">
        <f>'[2]Изложницы без бурта'!B29</f>
        <v>67.5</v>
      </c>
      <c r="AE29" s="220">
        <f>'[2]Изложницы без бурта'!C29</f>
        <v>245</v>
      </c>
      <c r="AF29" s="56">
        <f>'[2]Изложницы без бурта'!D29</f>
        <v>140</v>
      </c>
      <c r="AG29" s="56">
        <f>'[2]Изложницы без бурта'!E29</f>
        <v>115</v>
      </c>
      <c r="AH29" s="56" t="str">
        <f>'[2]Изложницы без бурта'!F29</f>
        <v>7211867-4</v>
      </c>
      <c r="AI29" s="56">
        <f>'[2]Изложницы без бурта'!G29</f>
        <v>0</v>
      </c>
      <c r="AJ29" s="56">
        <f>'[2]Изложницы без бурта'!H29</f>
        <v>0</v>
      </c>
      <c r="AK29" s="56">
        <f>'[2]Изложницы без бурта'!I29</f>
        <v>0</v>
      </c>
      <c r="AL29" s="56">
        <f>'[2]Изложницы без бурта'!J29</f>
        <v>0</v>
      </c>
      <c r="AM29" s="56">
        <f>'[2]Изложницы без бурта'!K29</f>
        <v>0</v>
      </c>
      <c r="AR29" s="368">
        <v>251</v>
      </c>
      <c r="AS29" s="368">
        <v>170</v>
      </c>
      <c r="AT29" s="368">
        <v>265</v>
      </c>
      <c r="AU29" s="368">
        <v>230</v>
      </c>
      <c r="AV29" s="368">
        <v>285</v>
      </c>
      <c r="AW29" s="367">
        <v>320</v>
      </c>
      <c r="AX29" s="393" t="s">
        <v>494</v>
      </c>
      <c r="AZ29" s="56">
        <f>[3]Изложницы!A27</f>
        <v>130</v>
      </c>
      <c r="BA29" s="56">
        <f>[3]Изложницы!B27</f>
        <v>160</v>
      </c>
      <c r="BB29" s="56">
        <f>[3]Изложницы!C27</f>
        <v>400</v>
      </c>
      <c r="BC29" s="56">
        <f>[3]Изложницы!D27</f>
        <v>0</v>
      </c>
      <c r="BD29" s="56">
        <f>[3]Изложницы!E27</f>
        <v>0</v>
      </c>
      <c r="BE29" s="56">
        <f>[3]Изложницы!F27</f>
        <v>0</v>
      </c>
      <c r="BF29" s="56">
        <f>[3]Изложницы!G27</f>
        <v>0</v>
      </c>
      <c r="BG29" s="56">
        <f>[3]Изложницы!H27</f>
        <v>0</v>
      </c>
      <c r="BH29" s="56">
        <f>[3]Изложницы!I27</f>
        <v>0</v>
      </c>
    </row>
    <row r="30" spans="1:60" ht="14.4" x14ac:dyDescent="0.25">
      <c r="A30" s="68" t="s">
        <v>148</v>
      </c>
      <c r="B30" s="57" t="str">
        <f>_xlfn.IFNA(_xlfn.IFS(D30=E29,E30,D30=F29,F30,D30=G29,G30,D30=H29,H30),H25)</f>
        <v>242.04.464-1</v>
      </c>
      <c r="C30" s="57"/>
      <c r="D30" s="66" t="str">
        <f>VLOOKUP(Втулка!G8,Данные!A3:H27,8,FALSE())</f>
        <v>242.04.464</v>
      </c>
      <c r="E30" s="57" t="str">
        <f>_xlfn.IFNA(_xlfn.IFS(AND(D30=A80,B36&lt;500),A83,AND(D30=A80,B36&gt;=500,B36&lt;1000),A83,AND(D30=A80,B36&gt;=1000,B36&lt;1500),A84,AND(D30=A80,B36&gt;=1500,B36&lt;2000),A85,AND(D30=A80,B36&gt;=2000,B36&lt;2500),A86,AND(D30=A80,B36&gt;=2500),A87),"")</f>
        <v/>
      </c>
      <c r="F30" s="57" t="str">
        <f>_xlfn.IFNA(_xlfn.IFS(AND(D30=A45,B36&lt;600),B47,AND(D30=A45,B36&gt;=600,B36&lt;1500),B47,AND(D30=A45,B36&gt;=1500,B36&lt;2000),B48,AND(D30=A45,B36&gt;=2000,B36&lt;2500),B49,AND(D30=A45,B36&gt;=2500,B36&lt;3000),B50,AND(D30=A45,B36&gt;=3000,B36&lt;3500),B51,AND(D30=A45,B36&gt;=3500,B36&lt;4000),B52,AND(D30=A45,B36&gt;=4000,B36&lt;4500),B53,AND(D30=A45,B36&gt;=4500,B36&lt;5500),B54,AND(D30=A45,B36&gt;=5500),B55),"")</f>
        <v/>
      </c>
      <c r="G30" s="57" t="str">
        <f>_xlfn.IFNA(_xlfn.IFS(AND(D30=A57,B36&lt;500),A60,AND(D30=A57,B36&gt;=500,B36&lt;1000),A60,AND(D30=A57,B36&gt;=1000,B36&lt;1500),A61,AND(D30=A57,B36&gt;=1500,B36&lt;2000),A62,AND(D30=A57,B36&gt;=2000,B36&lt;2500),A63,AND(D30=A57,B36&gt;=2500,B36&lt;3000),A64,AND(D30=A57,B36&gt;=3000,B36&lt;3500),A65,AND(D30=A57,B36&gt;=3500),A66),"")</f>
        <v/>
      </c>
      <c r="H30" s="57" t="str">
        <f>_xlfn.IFNA(_xlfn.IFS(AND(D30=A71,B36&lt;500),A73,AND(D30=A71,B36&gt;=500,B36&lt;1000),A74,AND(D30=A71,B36&gt;=1000,B36&lt;1500),A75,AND(D30=A71,B36&gt;=1500,B36&lt;2000),A76,AND(D30=A71,B36&gt;=2000,B36&lt;2500),A77,AND(D30=A71,B36&gt;=2500),A78),"")</f>
        <v>242.04.464-1</v>
      </c>
      <c r="I30" s="214"/>
      <c r="L30" s="228" t="str">
        <f>[1]Планки!H30</f>
        <v>б/н</v>
      </c>
      <c r="M30" s="138">
        <f>[1]Планки!I30</f>
        <v>890</v>
      </c>
      <c r="N30" s="138">
        <f>[1]Планки!J30</f>
        <v>250</v>
      </c>
      <c r="O30" s="229">
        <f>[1]Планки!K30</f>
        <v>640</v>
      </c>
      <c r="P30" s="229">
        <f>[1]Планки!L30</f>
        <v>240</v>
      </c>
      <c r="Q30" s="138">
        <f>[1]Планки!M30</f>
        <v>240</v>
      </c>
      <c r="R30" s="138">
        <f>[1]Планки!N30</f>
        <v>260</v>
      </c>
      <c r="S30" s="229">
        <f>[1]Планки!O30</f>
        <v>104</v>
      </c>
      <c r="T30" s="138">
        <f>[1]Планки!P30</f>
        <v>104</v>
      </c>
      <c r="U30" s="138">
        <f>[1]Планки!Q30</f>
        <v>160</v>
      </c>
      <c r="V30" s="230" t="str">
        <f>[1]Планки!R30</f>
        <v>с 19.09.2017</v>
      </c>
      <c r="AB30" s="220"/>
      <c r="AC30" s="220">
        <f>'[2]Изложницы без бурта'!A30</f>
        <v>0</v>
      </c>
      <c r="AD30" s="220">
        <f>'[2]Изложницы без бурта'!B30</f>
        <v>67.5</v>
      </c>
      <c r="AE30" s="220">
        <f>'[2]Изложницы без бурта'!C30</f>
        <v>245</v>
      </c>
      <c r="AF30" s="56">
        <f>'[2]Изложницы без бурта'!D30</f>
        <v>140</v>
      </c>
      <c r="AG30" s="56">
        <f>'[2]Изложницы без бурта'!E30</f>
        <v>115</v>
      </c>
      <c r="AH30" s="56" t="str">
        <f>'[2]Изложницы без бурта'!F30</f>
        <v>7211867-4</v>
      </c>
      <c r="AI30" s="56">
        <f>'[2]Изложницы без бурта'!G30</f>
        <v>0</v>
      </c>
      <c r="AJ30" s="56">
        <f>'[2]Изложницы без бурта'!H30</f>
        <v>0</v>
      </c>
      <c r="AK30" s="56">
        <f>'[2]Изложницы без бурта'!I30</f>
        <v>0</v>
      </c>
      <c r="AL30" s="56">
        <f>'[2]Изложницы без бурта'!J30</f>
        <v>0</v>
      </c>
      <c r="AM30" s="56" t="str">
        <f>'[2]Изложницы без бурта'!K30</f>
        <v>Конусность 1:50</v>
      </c>
      <c r="AR30" s="368">
        <v>250</v>
      </c>
      <c r="AS30" s="368">
        <v>170</v>
      </c>
      <c r="AT30" s="368">
        <v>265</v>
      </c>
      <c r="AU30" s="368">
        <v>230</v>
      </c>
      <c r="AV30" s="368">
        <v>285</v>
      </c>
      <c r="AW30" s="367">
        <v>320</v>
      </c>
      <c r="AX30" s="393" t="s">
        <v>494</v>
      </c>
      <c r="AZ30" s="56">
        <f>[3]Изложницы!A28</f>
        <v>125</v>
      </c>
      <c r="BA30" s="56">
        <f>[3]Изложницы!B28</f>
        <v>125</v>
      </c>
      <c r="BB30" s="56">
        <f>[3]Изложницы!C28</f>
        <v>400</v>
      </c>
      <c r="BC30" s="56">
        <f>[3]Изложницы!D28</f>
        <v>0</v>
      </c>
      <c r="BD30" s="56" t="str">
        <f>[3]Изложницы!E28</f>
        <v>нет кокиля</v>
      </c>
      <c r="BE30" s="56">
        <f>[3]Изложницы!F28</f>
        <v>270</v>
      </c>
      <c r="BF30" s="56">
        <f>[3]Изложницы!G28</f>
        <v>85</v>
      </c>
      <c r="BG30" s="56" t="str">
        <f>[3]Изложницы!H28</f>
        <v>72.11.802</v>
      </c>
      <c r="BH30" s="56">
        <f>[3]Изложницы!I28</f>
        <v>0</v>
      </c>
    </row>
    <row r="31" spans="1:60" ht="15" thickBot="1" x14ac:dyDescent="0.3">
      <c r="A31" s="242" t="s">
        <v>26</v>
      </c>
      <c r="B31" s="69">
        <f>ROUND(_xlfn.IFS(D30=E29,E31,D30=F29,F31,D30=G29,G31,D30=H29,H31,D30=I29,I31),2)</f>
        <v>43.88</v>
      </c>
      <c r="C31" s="69"/>
      <c r="D31" s="69"/>
      <c r="E31" s="69"/>
      <c r="F31" s="69" t="e">
        <f>G131</f>
        <v>#N/A</v>
      </c>
      <c r="G31" s="243" t="e">
        <f>H102</f>
        <v>#N/A</v>
      </c>
      <c r="H31" s="243">
        <f>I117</f>
        <v>43.881459462959498</v>
      </c>
      <c r="I31" s="244">
        <f>(14*70*7.1*(Втулка!N5+Втулка!N8)/1000000)+(Втулка!N30*Втулка!N30*3.1415926*7.1*(Втулка!N5+Втулка!N8)/4000000)</f>
        <v>3.3328820000000001</v>
      </c>
      <c r="L31" s="228">
        <f>[1]Планки!H31</f>
        <v>89</v>
      </c>
      <c r="M31" s="138">
        <f>[1]Планки!I31</f>
        <v>760</v>
      </c>
      <c r="N31" s="138">
        <f>[1]Планки!J31</f>
        <v>120</v>
      </c>
      <c r="O31" s="229">
        <f>[1]Планки!K31</f>
        <v>640</v>
      </c>
      <c r="P31" s="229">
        <f>[1]Планки!L31</f>
        <v>275</v>
      </c>
      <c r="Q31" s="138">
        <f>[1]Планки!M31</f>
        <v>285</v>
      </c>
      <c r="R31" s="138">
        <f>[1]Планки!N31</f>
        <v>310</v>
      </c>
      <c r="S31" s="229">
        <f>[1]Планки!O31</f>
        <v>37</v>
      </c>
      <c r="T31" s="138">
        <f>[1]Планки!P31</f>
        <v>45</v>
      </c>
      <c r="U31" s="138">
        <f>[1]Планки!Q31</f>
        <v>190</v>
      </c>
      <c r="V31" s="230" t="str">
        <f>[1]Планки!R31</f>
        <v>модель нашита  (L4=32 L5=40 L6=185)</v>
      </c>
      <c r="AB31" s="220"/>
      <c r="AC31" s="220">
        <f>'[2]Изложницы без бурта'!A31</f>
        <v>0</v>
      </c>
      <c r="AD31" s="220">
        <f>'[2]Изложницы без бурта'!B31</f>
        <v>67.5</v>
      </c>
      <c r="AE31" s="220">
        <f>'[2]Изложницы без бурта'!C31</f>
        <v>245</v>
      </c>
      <c r="AF31" s="56">
        <f>'[2]Изложницы без бурта'!D31</f>
        <v>140</v>
      </c>
      <c r="AG31" s="56">
        <f>'[2]Изложницы без бурта'!E31</f>
        <v>115</v>
      </c>
      <c r="AH31" s="56" t="str">
        <f>'[2]Изложницы без бурта'!F31</f>
        <v>7211867-4</v>
      </c>
      <c r="AI31" s="56">
        <f>'[2]Изложницы без бурта'!G31</f>
        <v>0</v>
      </c>
      <c r="AJ31" s="56">
        <f>'[2]Изложницы без бурта'!H31</f>
        <v>0</v>
      </c>
      <c r="AK31" s="56">
        <f>'[2]Изложницы без бурта'!I31</f>
        <v>0</v>
      </c>
      <c r="AL31" s="56">
        <f>'[2]Изложницы без бурта'!J31</f>
        <v>0</v>
      </c>
      <c r="AM31" s="56">
        <f>'[2]Изложницы без бурта'!K31</f>
        <v>0</v>
      </c>
      <c r="AR31" s="368">
        <v>250</v>
      </c>
      <c r="AS31" s="368">
        <v>170</v>
      </c>
      <c r="AT31" s="368">
        <v>265</v>
      </c>
      <c r="AU31" s="368">
        <v>230</v>
      </c>
      <c r="AV31" s="368">
        <v>285</v>
      </c>
      <c r="AW31" s="367">
        <v>320</v>
      </c>
      <c r="AX31" s="393" t="s">
        <v>494</v>
      </c>
      <c r="AZ31" s="56">
        <f>[3]Изложницы!A29</f>
        <v>120</v>
      </c>
      <c r="BA31" s="56">
        <f>[3]Изложницы!B29</f>
        <v>120</v>
      </c>
      <c r="BB31" s="56">
        <f>[3]Изложницы!C29</f>
        <v>300</v>
      </c>
      <c r="BC31" s="56">
        <f>[3]Изложницы!D29</f>
        <v>0</v>
      </c>
      <c r="BD31" s="56" t="str">
        <f>[3]Изложницы!E29</f>
        <v>Кол-во кокилей -3шт  Кокиль разъемный, прибыль: Ø200/210, h-40</v>
      </c>
      <c r="BE31" s="56">
        <f>[3]Изложницы!F29</f>
        <v>270</v>
      </c>
      <c r="BF31" s="56">
        <f>[3]Изложницы!G29</f>
        <v>91</v>
      </c>
      <c r="BG31" s="56" t="str">
        <f>[3]Изложницы!H29</f>
        <v>72.11.802</v>
      </c>
      <c r="BH31" s="56">
        <f>[3]Изложницы!I29</f>
        <v>0</v>
      </c>
    </row>
    <row r="32" spans="1:60" ht="14.4" x14ac:dyDescent="0.25">
      <c r="A32" s="318" t="s">
        <v>253</v>
      </c>
      <c r="B32" s="786">
        <f>Втулка!N5</f>
        <v>299</v>
      </c>
      <c r="C32" s="787" t="s">
        <v>313</v>
      </c>
      <c r="D32" s="786">
        <f>_xlfn.IFNA(_xlfn.IFS(B32&lt;20,1,AND(B32&gt;=20,B32&lt;50),2,AND(B32&gt;=50,B32&lt;100),3,AND(B32&gt;=100,B32&lt;200),4,AND(B32&gt;=200,B32&lt;300),5,AND(B32&gt;=300,B32&lt;400),6,AND(B32&gt;=400,B32&lt;500),7,AND(B32&gt;=500,B32&lt;650),8,AND(B32&gt;=650,B32&lt;800),9,AND(B32&gt;=800,B32&lt;1000),10,AND(B32&gt;=1000,B32&lt;1200),11,AND(B32&gt;=1200,B32&lt;1400),12,AND(B32&gt;=1400,B32&lt;1600),13,AND(B32&gt;=1600,B32&lt;1800),14,AND(B32&gt;=1800,B32&lt;2000),15,AND(B32&gt;=2000,B32&lt;2250),16,AND(B32&gt;=2250,B32&lt;2500),17,B32&gt;=2500,18),"")</f>
        <v>5</v>
      </c>
      <c r="E32" s="786" t="s">
        <v>254</v>
      </c>
      <c r="F32" s="245">
        <f>ROUND(VLOOKUP(D32,A137:F154,6,FALSE),0)</f>
        <v>3</v>
      </c>
      <c r="G32" s="792" t="s">
        <v>267</v>
      </c>
      <c r="H32" s="786"/>
      <c r="I32" s="788"/>
      <c r="L32" s="228">
        <f>[1]Планки!H32</f>
        <v>85</v>
      </c>
      <c r="M32" s="138">
        <f>[1]Планки!I32</f>
        <v>940</v>
      </c>
      <c r="N32" s="138">
        <f>[1]Планки!J32</f>
        <v>300</v>
      </c>
      <c r="O32" s="229">
        <f>[1]Планки!K32</f>
        <v>640</v>
      </c>
      <c r="P32" s="229">
        <f>[1]Планки!L32</f>
        <v>290</v>
      </c>
      <c r="Q32" s="138">
        <f>[1]Планки!M32</f>
        <v>310</v>
      </c>
      <c r="R32" s="138">
        <f>[1]Планки!N32</f>
        <v>375</v>
      </c>
      <c r="S32" s="229">
        <f>[1]Планки!O32</f>
        <v>75</v>
      </c>
      <c r="T32" s="138">
        <f>[1]Планки!P32</f>
        <v>85</v>
      </c>
      <c r="U32" s="138">
        <f>[1]Планки!Q32</f>
        <v>200</v>
      </c>
      <c r="V32" s="230" t="str">
        <f>[1]Планки!R32</f>
        <v>модель нашита  (L4=57 L5=67 L6=170)</v>
      </c>
      <c r="AB32" s="220"/>
      <c r="AC32" s="220">
        <f>'[2]Изложницы без бурта'!A32</f>
        <v>0</v>
      </c>
      <c r="AD32" s="220">
        <f>'[2]Изложницы без бурта'!B32</f>
        <v>67.5</v>
      </c>
      <c r="AE32" s="220">
        <f>'[2]Изложницы без бурта'!C32</f>
        <v>245</v>
      </c>
      <c r="AF32" s="56">
        <f>'[2]Изложницы без бурта'!D32</f>
        <v>140</v>
      </c>
      <c r="AG32" s="56">
        <f>'[2]Изложницы без бурта'!E32</f>
        <v>115</v>
      </c>
      <c r="AH32" s="56" t="str">
        <f>'[2]Изложницы без бурта'!F32</f>
        <v>7211867-4</v>
      </c>
      <c r="AI32" s="56">
        <f>'[2]Изложницы без бурта'!G32</f>
        <v>0</v>
      </c>
      <c r="AJ32" s="56">
        <f>'[2]Изложницы без бурта'!H32</f>
        <v>0</v>
      </c>
      <c r="AK32" s="56" t="str">
        <f>'[2]Изложницы без бурта'!I32</f>
        <v xml:space="preserve">130 - фактический размер сильно отличается от старого перечня </v>
      </c>
      <c r="AL32" s="56">
        <f>'[2]Изложницы без бурта'!J32</f>
        <v>0</v>
      </c>
      <c r="AM32" s="56">
        <f>'[2]Изложницы без бурта'!K32</f>
        <v>0</v>
      </c>
      <c r="AR32" s="368">
        <v>250</v>
      </c>
      <c r="AS32" s="368">
        <v>170</v>
      </c>
      <c r="AT32" s="368">
        <v>265</v>
      </c>
      <c r="AU32" s="368">
        <v>230</v>
      </c>
      <c r="AV32" s="368">
        <v>285</v>
      </c>
      <c r="AW32" s="367">
        <v>320</v>
      </c>
      <c r="AX32" s="393" t="s">
        <v>494</v>
      </c>
      <c r="AZ32" s="56">
        <f>[3]Изложницы!A30</f>
        <v>110</v>
      </c>
      <c r="BA32" s="56">
        <f>[3]Изложницы!B30</f>
        <v>115</v>
      </c>
      <c r="BB32" s="56">
        <f>[3]Изложницы!C30</f>
        <v>400</v>
      </c>
      <c r="BC32" s="56">
        <f>[3]Изложницы!D30</f>
        <v>0</v>
      </c>
      <c r="BD32" s="56" t="str">
        <f>[3]Изложницы!E30</f>
        <v>Требуется замена, крупная сетка разгара</v>
      </c>
      <c r="BE32" s="56">
        <f>[3]Изложницы!F30</f>
        <v>270</v>
      </c>
      <c r="BF32" s="56">
        <f>[3]Изложницы!G30</f>
        <v>95</v>
      </c>
      <c r="BG32" s="56" t="str">
        <f>[3]Изложницы!H30</f>
        <v>72.11.802</v>
      </c>
      <c r="BH32" s="56">
        <f>[3]Изложницы!I30</f>
        <v>0</v>
      </c>
    </row>
    <row r="33" spans="1:60" ht="15" thickBot="1" x14ac:dyDescent="0.3">
      <c r="A33" s="325" t="s">
        <v>414</v>
      </c>
      <c r="B33" s="245">
        <f>Втулка!J28+F32*2</f>
        <v>1129</v>
      </c>
      <c r="C33" s="245">
        <f>(Втулка!J28+Данные!B33)/2</f>
        <v>1126</v>
      </c>
      <c r="D33" s="245" t="s">
        <v>415</v>
      </c>
      <c r="E33" s="245" t="s">
        <v>275</v>
      </c>
      <c r="F33" s="245" t="b">
        <v>0</v>
      </c>
      <c r="G33" s="793" t="s">
        <v>268</v>
      </c>
      <c r="H33" s="793">
        <f>(Втулка!J28-Втулка!I28)/2</f>
        <v>49.5</v>
      </c>
      <c r="I33" s="789"/>
      <c r="L33" s="228">
        <f>[1]Планки!H33</f>
        <v>79</v>
      </c>
      <c r="M33" s="138">
        <f>[1]Планки!I33</f>
        <v>795</v>
      </c>
      <c r="N33" s="138">
        <f>[1]Планки!J33</f>
        <v>150</v>
      </c>
      <c r="O33" s="229">
        <f>[1]Планки!K33</f>
        <v>645</v>
      </c>
      <c r="P33" s="229">
        <f>[1]Планки!L33</f>
        <v>137</v>
      </c>
      <c r="Q33" s="138">
        <f>[1]Планки!M33</f>
        <v>150</v>
      </c>
      <c r="R33" s="138">
        <f>[1]Планки!N33</f>
        <v>185</v>
      </c>
      <c r="S33" s="229">
        <f>[1]Планки!O33</f>
        <v>37</v>
      </c>
      <c r="T33" s="138">
        <f>[1]Планки!P33</f>
        <v>50</v>
      </c>
      <c r="U33" s="138">
        <f>[1]Планки!Q33</f>
        <v>105</v>
      </c>
      <c r="V33" s="230" t="str">
        <f>[1]Планки!R33</f>
        <v>модель нашита  (L4=32 L5=45 L6=100)</v>
      </c>
      <c r="AB33" s="220"/>
      <c r="AC33" s="220">
        <f>'[2]Изложницы без бурта'!A33</f>
        <v>0</v>
      </c>
      <c r="AD33" s="220">
        <f>'[2]Изложницы без бурта'!B33</f>
        <v>67.5</v>
      </c>
      <c r="AE33" s="220">
        <f>'[2]Изложницы без бурта'!C33</f>
        <v>245</v>
      </c>
      <c r="AF33" s="56">
        <f>'[2]Изложницы без бурта'!D33</f>
        <v>140</v>
      </c>
      <c r="AG33" s="56">
        <f>'[2]Изложницы без бурта'!E33</f>
        <v>115</v>
      </c>
      <c r="AH33" s="56" t="str">
        <f>'[2]Изложницы без бурта'!F33</f>
        <v>7211867-4</v>
      </c>
      <c r="AI33" s="56">
        <f>'[2]Изложницы без бурта'!G33</f>
        <v>0</v>
      </c>
      <c r="AJ33" s="56">
        <f>'[2]Изложницы без бурта'!H33</f>
        <v>0</v>
      </c>
      <c r="AK33" s="56">
        <f>'[2]Изложницы без бурта'!I33</f>
        <v>0</v>
      </c>
      <c r="AL33" s="56">
        <f>'[2]Изложницы без бурта'!J33</f>
        <v>0</v>
      </c>
      <c r="AM33" s="56">
        <f>'[2]Изложницы без бурта'!K33</f>
        <v>0</v>
      </c>
      <c r="AR33" s="368">
        <v>190</v>
      </c>
      <c r="AS33" s="368">
        <v>170</v>
      </c>
      <c r="AT33" s="369">
        <v>263</v>
      </c>
      <c r="AU33" s="369">
        <v>213</v>
      </c>
      <c r="AV33" s="368">
        <v>285</v>
      </c>
      <c r="AW33" s="367">
        <v>320</v>
      </c>
      <c r="AX33" s="393" t="s">
        <v>495</v>
      </c>
      <c r="AZ33" s="56">
        <f>[3]Изложницы!A31</f>
        <v>105</v>
      </c>
      <c r="BA33" s="56">
        <f>[3]Изложницы!B31</f>
        <v>115</v>
      </c>
      <c r="BB33" s="56">
        <f>[3]Изложницы!C31</f>
        <v>440</v>
      </c>
      <c r="BC33" s="56">
        <f>[3]Изложницы!D31</f>
        <v>0</v>
      </c>
      <c r="BD33" s="56" t="str">
        <f>[3]Изложницы!E31</f>
        <v>Кокиль вытряхной</v>
      </c>
      <c r="BE33" s="56">
        <f>[3]Изложницы!F31</f>
        <v>0</v>
      </c>
      <c r="BF33" s="56">
        <f>[3]Изложницы!G31</f>
        <v>0</v>
      </c>
      <c r="BG33" s="56">
        <f>[3]Изложницы!H31</f>
        <v>0</v>
      </c>
      <c r="BH33" s="56">
        <f>[3]Изложницы!I31</f>
        <v>0</v>
      </c>
    </row>
    <row r="34" spans="1:60" ht="15" thickBot="1" x14ac:dyDescent="0.3">
      <c r="A34" s="325" t="s">
        <v>256</v>
      </c>
      <c r="B34" s="245">
        <f>((C33*C33-Втулка!I28*Втулка!I28)*3.1415926*(Втулка!F22+15)*Втулка!N6)/4000000</f>
        <v>418.88236436543997</v>
      </c>
      <c r="C34" s="245"/>
      <c r="D34" s="245"/>
      <c r="E34" s="245" t="s">
        <v>278</v>
      </c>
      <c r="F34" s="245" t="b">
        <v>0</v>
      </c>
      <c r="G34" s="793" t="s">
        <v>270</v>
      </c>
      <c r="H34" s="793" t="str">
        <f>_xlfn.IFS(F33=TRUE,VLOOKUP(Втулка!G8,Данные!A3:E22,5,FALSE),H33&lt;16,VLOOKUP(Втулка!G8,Данные!A3:E22,2,FALSE),OR(H33&gt;=16,H33&lt;40),VLOOKUP(Втулка!G8,Данные!A3:E22,3,FALSE),H33&gt;=40,VLOOKUP(Втулка!G8,Данные!A3:E22,4,FALSE))</f>
        <v>1080-1100</v>
      </c>
      <c r="I34" s="789"/>
      <c r="L34" s="228">
        <f>[1]Планки!H34</f>
        <v>11</v>
      </c>
      <c r="M34" s="138">
        <f>[1]Планки!I34</f>
        <v>810</v>
      </c>
      <c r="N34" s="138">
        <f>[1]Планки!J34</f>
        <v>165</v>
      </c>
      <c r="O34" s="229">
        <f>[1]Планки!K34</f>
        <v>645</v>
      </c>
      <c r="P34" s="229">
        <f>[1]Планки!L34</f>
        <v>195</v>
      </c>
      <c r="Q34" s="138">
        <f>[1]Планки!M34</f>
        <v>210</v>
      </c>
      <c r="R34" s="138">
        <f>[1]Планки!N34</f>
        <v>245</v>
      </c>
      <c r="S34" s="229">
        <f>[1]Планки!O34</f>
        <v>40</v>
      </c>
      <c r="T34" s="138">
        <f>[1]Планки!P34</f>
        <v>47</v>
      </c>
      <c r="U34" s="138">
        <f>[1]Планки!Q34</f>
        <v>120</v>
      </c>
      <c r="V34" s="230">
        <f>[1]Планки!R34</f>
        <v>0</v>
      </c>
      <c r="AB34" s="220"/>
      <c r="AC34" s="220">
        <f>'[2]Изложницы без бурта'!A34</f>
        <v>0</v>
      </c>
      <c r="AD34" s="220">
        <f>'[2]Изложницы без бурта'!B34</f>
        <v>67.5</v>
      </c>
      <c r="AE34" s="220">
        <f>'[2]Изложницы без бурта'!C34</f>
        <v>243</v>
      </c>
      <c r="AF34" s="56">
        <f>'[2]Изложницы без бурта'!D34</f>
        <v>140</v>
      </c>
      <c r="AG34" s="56">
        <f>'[2]Изложницы без бурта'!E34</f>
        <v>115</v>
      </c>
      <c r="AH34" s="56" t="str">
        <f>'[2]Изложницы без бурта'!F34</f>
        <v>7211867-4</v>
      </c>
      <c r="AI34" s="56">
        <f>'[2]Изложницы без бурта'!G34</f>
        <v>0</v>
      </c>
      <c r="AJ34" s="56">
        <f>'[2]Изложницы без бурта'!H34</f>
        <v>0</v>
      </c>
      <c r="AK34" s="56" t="str">
        <f>'[2]Изложницы без бурта'!I34</f>
        <v>изложница находится на 2 участке</v>
      </c>
      <c r="AL34" s="56">
        <f>'[2]Изложницы без бурта'!J34</f>
        <v>0</v>
      </c>
      <c r="AM34" s="56">
        <f>'[2]Изложницы без бурта'!K34</f>
        <v>0</v>
      </c>
      <c r="AR34" s="368">
        <v>250</v>
      </c>
      <c r="AS34" s="375">
        <v>170</v>
      </c>
      <c r="AT34" s="376">
        <v>260</v>
      </c>
      <c r="AU34" s="376">
        <v>200</v>
      </c>
      <c r="AV34" s="368">
        <v>285</v>
      </c>
      <c r="AW34" s="367">
        <v>320</v>
      </c>
      <c r="AX34" s="393" t="s">
        <v>494</v>
      </c>
      <c r="AZ34" s="56">
        <f>[3]Изложницы!A32</f>
        <v>105</v>
      </c>
      <c r="BA34" s="56">
        <f>[3]Изложницы!B32</f>
        <v>105</v>
      </c>
      <c r="BB34" s="56">
        <f>[3]Изложницы!C32</f>
        <v>400</v>
      </c>
      <c r="BC34" s="56">
        <f>[3]Изложницы!D32</f>
        <v>0</v>
      </c>
      <c r="BD34" s="56">
        <f>[3]Изложницы!E32</f>
        <v>0</v>
      </c>
      <c r="BE34" s="56">
        <f>[3]Изложницы!F32</f>
        <v>250</v>
      </c>
      <c r="BF34" s="56">
        <f>[3]Изложницы!G32</f>
        <v>63</v>
      </c>
      <c r="BG34" s="56" t="str">
        <f>[3]Изложницы!H32</f>
        <v>72.11.802</v>
      </c>
      <c r="BH34" s="56">
        <f>[3]Изложницы!I32</f>
        <v>0</v>
      </c>
    </row>
    <row r="35" spans="1:60" ht="15" thickBot="1" x14ac:dyDescent="0.3">
      <c r="A35" s="325" t="s">
        <v>257</v>
      </c>
      <c r="B35" s="1151">
        <f>IF(Втулка!O8=0,Данные!I36,Данные!I37)</f>
        <v>361.8157306271076</v>
      </c>
      <c r="C35" s="245" t="s">
        <v>357</v>
      </c>
      <c r="D35" s="245">
        <f>B33+(Втулка!N8/10)+Втулка!E24*2</f>
        <v>1177</v>
      </c>
      <c r="E35" s="245"/>
      <c r="F35" s="790"/>
      <c r="G35" s="790"/>
      <c r="H35" s="790"/>
      <c r="I35" s="795"/>
      <c r="L35" s="228">
        <f>[1]Планки!H35</f>
        <v>77</v>
      </c>
      <c r="M35" s="138">
        <f>[1]Планки!I35</f>
        <v>740</v>
      </c>
      <c r="N35" s="138">
        <f>[1]Планки!J35</f>
        <v>95</v>
      </c>
      <c r="O35" s="229">
        <f>[1]Планки!K35</f>
        <v>645</v>
      </c>
      <c r="P35" s="229">
        <f>[1]Планки!L35</f>
        <v>215</v>
      </c>
      <c r="Q35" s="138">
        <f>[1]Планки!M35</f>
        <v>225</v>
      </c>
      <c r="R35" s="138">
        <f>[1]Планки!N35</f>
        <v>250</v>
      </c>
      <c r="S35" s="229">
        <f>[1]Планки!O35</f>
        <v>25</v>
      </c>
      <c r="T35" s="138">
        <f>[1]Планки!P35</f>
        <v>33</v>
      </c>
      <c r="U35" s="138">
        <f>[1]Планки!Q35</f>
        <v>70</v>
      </c>
      <c r="V35" s="230">
        <f>[1]Планки!R35</f>
        <v>0</v>
      </c>
      <c r="AB35" s="220"/>
      <c r="AC35" s="220">
        <f>'[2]Изложницы без бурта'!A35</f>
        <v>0</v>
      </c>
      <c r="AD35" s="220">
        <f>'[2]Изложницы без бурта'!B35</f>
        <v>67.5</v>
      </c>
      <c r="AE35" s="220">
        <f>'[2]Изложницы без бурта'!C35</f>
        <v>245</v>
      </c>
      <c r="AF35" s="56">
        <f>'[2]Изложницы без бурта'!D35</f>
        <v>140</v>
      </c>
      <c r="AG35" s="56">
        <f>'[2]Изложницы без бурта'!E35</f>
        <v>115</v>
      </c>
      <c r="AH35" s="56" t="str">
        <f>'[2]Изложницы без бурта'!F35</f>
        <v>7211867-4</v>
      </c>
      <c r="AI35" s="56">
        <f>'[2]Изложницы без бурта'!G35</f>
        <v>0</v>
      </c>
      <c r="AJ35" s="56">
        <f>'[2]Изложницы без бурта'!H35</f>
        <v>0</v>
      </c>
      <c r="AK35" s="56">
        <f>'[2]Изложницы без бурта'!I35</f>
        <v>0</v>
      </c>
      <c r="AL35" s="56">
        <f>'[2]Изложницы без бурта'!J35</f>
        <v>0</v>
      </c>
      <c r="AM35" s="56">
        <f>'[2]Изложницы без бурта'!K35</f>
        <v>0</v>
      </c>
      <c r="AR35" s="368">
        <v>250</v>
      </c>
      <c r="AS35" s="368">
        <v>170</v>
      </c>
      <c r="AT35" s="367">
        <v>265</v>
      </c>
      <c r="AU35" s="367">
        <v>230</v>
      </c>
      <c r="AV35" s="368">
        <v>285</v>
      </c>
      <c r="AW35" s="367">
        <v>320</v>
      </c>
      <c r="AX35" s="393" t="s">
        <v>494</v>
      </c>
      <c r="AZ35" s="56">
        <f>[3]Изложницы!A33</f>
        <v>100</v>
      </c>
      <c r="BA35" s="56">
        <f>[3]Изложницы!B33</f>
        <v>100</v>
      </c>
      <c r="BB35" s="56">
        <f>[3]Изложницы!C33</f>
        <v>400</v>
      </c>
      <c r="BC35" s="56">
        <f>[3]Изложницы!D33</f>
        <v>0</v>
      </c>
      <c r="BD35" s="56" t="str">
        <f>[3]Изложницы!E33</f>
        <v>Требуется замена, крупная сетка разгара</v>
      </c>
      <c r="BE35" s="56">
        <f>[3]Изложницы!F33</f>
        <v>250</v>
      </c>
      <c r="BF35" s="56">
        <f>[3]Изложницы!G33</f>
        <v>65</v>
      </c>
      <c r="BG35" s="56" t="str">
        <f>[3]Изложницы!H33</f>
        <v>72.11.802</v>
      </c>
      <c r="BH35" s="56">
        <f>[3]Изложницы!I33</f>
        <v>0</v>
      </c>
    </row>
    <row r="36" spans="1:60" ht="14.4" x14ac:dyDescent="0.25">
      <c r="A36" s="325"/>
      <c r="B36" s="245">
        <f>ROUNDUP((B34+I36),0)</f>
        <v>781</v>
      </c>
      <c r="C36" s="245"/>
      <c r="D36" s="245"/>
      <c r="E36" s="789"/>
      <c r="F36" s="791" t="s">
        <v>948</v>
      </c>
      <c r="G36" s="809">
        <f>VLOOKUP(Втулка!G8,A3:I27,9,FALSE())</f>
        <v>7.6</v>
      </c>
      <c r="H36" s="1733" t="s">
        <v>257</v>
      </c>
      <c r="I36" s="788">
        <f>((D35*D35-Втулка!I28*Втулка!I28)*3.1415926*Втулка!N6*Втулка!N8)/4000000</f>
        <v>361.8157306271076</v>
      </c>
      <c r="L36" s="228">
        <f>[1]Планки!H36</f>
        <v>75</v>
      </c>
      <c r="M36" s="138">
        <f>[1]Планки!I36</f>
        <v>760</v>
      </c>
      <c r="N36" s="138">
        <f>[1]Планки!J36</f>
        <v>110</v>
      </c>
      <c r="O36" s="229">
        <f>[1]Планки!K36</f>
        <v>650</v>
      </c>
      <c r="P36" s="229">
        <f>[1]Планки!L36</f>
        <v>237</v>
      </c>
      <c r="Q36" s="138">
        <f>[1]Планки!M36</f>
        <v>247</v>
      </c>
      <c r="R36" s="138">
        <f>[1]Планки!N36</f>
        <v>275</v>
      </c>
      <c r="S36" s="229">
        <f>[1]Планки!O36</f>
        <v>29</v>
      </c>
      <c r="T36" s="138">
        <f>[1]Планки!P36</f>
        <v>35</v>
      </c>
      <c r="U36" s="138">
        <f>[1]Планки!Q36</f>
        <v>75</v>
      </c>
      <c r="V36" s="230">
        <f>[1]Планки!R36</f>
        <v>0</v>
      </c>
      <c r="AB36" s="220"/>
      <c r="AC36" s="220">
        <f>'[2]Изложницы без бурта'!A36</f>
        <v>0</v>
      </c>
      <c r="AD36" s="220">
        <f>'[2]Изложницы без бурта'!B36</f>
        <v>67.5</v>
      </c>
      <c r="AE36" s="220">
        <f>'[2]Изложницы без бурта'!C36</f>
        <v>245</v>
      </c>
      <c r="AF36" s="56">
        <f>'[2]Изложницы без бурта'!D36</f>
        <v>140</v>
      </c>
      <c r="AG36" s="56">
        <f>'[2]Изложницы без бурта'!E36</f>
        <v>115</v>
      </c>
      <c r="AH36" s="56" t="str">
        <f>'[2]Изложницы без бурта'!F36</f>
        <v>7211867-4</v>
      </c>
      <c r="AI36" s="56">
        <f>'[2]Изложницы без бурта'!G36</f>
        <v>0</v>
      </c>
      <c r="AJ36" s="56">
        <f>'[2]Изложницы без бурта'!H36</f>
        <v>0</v>
      </c>
      <c r="AK36" s="56">
        <f>'[2]Изложницы без бурта'!I36</f>
        <v>0</v>
      </c>
      <c r="AL36" s="56">
        <f>'[2]Изложницы без бурта'!J36</f>
        <v>0</v>
      </c>
      <c r="AM36" s="56">
        <f>'[2]Изложницы без бурта'!K36</f>
        <v>0</v>
      </c>
      <c r="AR36" s="368">
        <v>190</v>
      </c>
      <c r="AS36" s="368">
        <v>172.5</v>
      </c>
      <c r="AT36" s="368">
        <v>265</v>
      </c>
      <c r="AU36" s="368">
        <v>215</v>
      </c>
      <c r="AV36" s="368">
        <v>285</v>
      </c>
      <c r="AW36" s="367">
        <v>320</v>
      </c>
      <c r="AX36" s="393" t="s">
        <v>495</v>
      </c>
      <c r="AZ36" s="56">
        <f>[3]Изложницы!A34</f>
        <v>95</v>
      </c>
      <c r="BA36" s="56">
        <f>[3]Изложницы!B34</f>
        <v>95</v>
      </c>
      <c r="BB36" s="56">
        <f>[3]Изложницы!C34</f>
        <v>400</v>
      </c>
      <c r="BC36" s="56">
        <f>[3]Изложницы!D34</f>
        <v>0</v>
      </c>
      <c r="BD36" s="56">
        <f>[3]Изложницы!E34</f>
        <v>0</v>
      </c>
      <c r="BE36" s="56">
        <f>[3]Изложницы!F34</f>
        <v>250</v>
      </c>
      <c r="BF36" s="56">
        <f>[3]Изложницы!G34</f>
        <v>67</v>
      </c>
      <c r="BG36" s="56" t="str">
        <f>[3]Изложницы!H34</f>
        <v>72.11.802</v>
      </c>
      <c r="BH36" s="56">
        <f>[3]Изложницы!I34</f>
        <v>0</v>
      </c>
    </row>
    <row r="37" spans="1:60" ht="15" thickBot="1" x14ac:dyDescent="0.3">
      <c r="A37" s="328" t="s">
        <v>273</v>
      </c>
      <c r="B37" s="790" t="b">
        <v>0</v>
      </c>
      <c r="C37" s="790" t="b">
        <v>0</v>
      </c>
      <c r="D37" s="790"/>
      <c r="E37" s="795"/>
      <c r="F37" s="785" t="s">
        <v>949</v>
      </c>
      <c r="G37" s="784" t="b">
        <f>IF(G36=8.88,IF(OR(B36&lt;=1500,Втулка!N5+Втулка!N8&lt;=700),"242.04.463","242.04.462"))</f>
        <v>0</v>
      </c>
      <c r="H37" s="1734"/>
      <c r="I37" s="795">
        <f>((D35*D35-Втулка!I28*Втулка!I28)*3.1415926*Втулка!N6*Втулка!O8)/4000000</f>
        <v>0</v>
      </c>
      <c r="L37" s="228">
        <f>[1]Планки!H37</f>
        <v>88</v>
      </c>
      <c r="M37" s="138">
        <f>[1]Планки!I37</f>
        <v>800</v>
      </c>
      <c r="N37" s="138">
        <f>[1]Планки!J37</f>
        <v>150</v>
      </c>
      <c r="O37" s="229">
        <f>[1]Планки!K37</f>
        <v>650</v>
      </c>
      <c r="P37" s="229">
        <f>[1]Планки!L37</f>
        <v>305</v>
      </c>
      <c r="Q37" s="138">
        <f>[1]Планки!M37</f>
        <v>318</v>
      </c>
      <c r="R37" s="138">
        <f>[1]Планки!N37</f>
        <v>345</v>
      </c>
      <c r="S37" s="229">
        <f>[1]Планки!O37</f>
        <v>35</v>
      </c>
      <c r="T37" s="138">
        <f>[1]Планки!P37</f>
        <v>43</v>
      </c>
      <c r="U37" s="138">
        <f>[1]Планки!Q37</f>
        <v>110</v>
      </c>
      <c r="V37" s="230">
        <f>[1]Планки!R37</f>
        <v>0</v>
      </c>
      <c r="AB37" s="220"/>
      <c r="AC37" s="220">
        <f>'[2]Изложницы без бурта'!A37</f>
        <v>0</v>
      </c>
      <c r="AD37" s="220">
        <f>'[2]Изложницы без бурта'!B37</f>
        <v>70</v>
      </c>
      <c r="AE37" s="220">
        <f>'[2]Изложницы без бурта'!C37</f>
        <v>245</v>
      </c>
      <c r="AF37" s="56">
        <f>'[2]Изложницы без бурта'!D37</f>
        <v>140</v>
      </c>
      <c r="AG37" s="56">
        <f>'[2]Изложницы без бурта'!E37</f>
        <v>115</v>
      </c>
      <c r="AH37" s="56" t="str">
        <f>'[2]Изложницы без бурта'!F37</f>
        <v>7211867-5</v>
      </c>
      <c r="AI37" s="56">
        <f>'[2]Изложницы без бурта'!G37</f>
        <v>0</v>
      </c>
      <c r="AJ37" s="56">
        <f>'[2]Изложницы без бурта'!H37</f>
        <v>0</v>
      </c>
      <c r="AK37" s="56">
        <f>'[2]Изложницы без бурта'!I37</f>
        <v>0</v>
      </c>
      <c r="AL37" s="56">
        <f>'[2]Изложницы без бурта'!J37</f>
        <v>0</v>
      </c>
      <c r="AM37" s="56">
        <f>'[2]Изложницы без бурта'!K37</f>
        <v>0</v>
      </c>
      <c r="AR37" s="368">
        <v>250</v>
      </c>
      <c r="AS37" s="368">
        <v>177.5</v>
      </c>
      <c r="AT37" s="368">
        <v>265</v>
      </c>
      <c r="AU37" s="368">
        <v>215</v>
      </c>
      <c r="AV37" s="368">
        <v>285</v>
      </c>
      <c r="AW37" s="367">
        <v>320</v>
      </c>
      <c r="AX37" s="393" t="s">
        <v>496</v>
      </c>
      <c r="AZ37" s="56">
        <f>[3]Изложницы!A35</f>
        <v>90</v>
      </c>
      <c r="BA37" s="56">
        <f>[3]Изложницы!B35</f>
        <v>90</v>
      </c>
      <c r="BB37" s="56">
        <f>[3]Изложницы!C35</f>
        <v>400</v>
      </c>
      <c r="BC37" s="56">
        <f>[3]Изложницы!D35</f>
        <v>0</v>
      </c>
      <c r="BD37" s="56">
        <f>[3]Изложницы!E35</f>
        <v>0</v>
      </c>
      <c r="BE37" s="56">
        <f>[3]Изложницы!F35</f>
        <v>250</v>
      </c>
      <c r="BF37" s="56">
        <f>[3]Изложницы!G35</f>
        <v>65</v>
      </c>
      <c r="BG37" s="56" t="str">
        <f>[3]Изложницы!H35</f>
        <v>72.11.802</v>
      </c>
      <c r="BH37" s="56">
        <f>[3]Изложницы!I35</f>
        <v>0</v>
      </c>
    </row>
    <row r="38" spans="1:60" ht="15" thickBot="1" x14ac:dyDescent="0.3">
      <c r="A38" s="796" t="s">
        <v>274</v>
      </c>
      <c r="B38" s="797" t="b">
        <v>0</v>
      </c>
      <c r="C38" s="798" t="str">
        <f>_xlfn.IFS(B38=TRUE,VLOOKUP(Планка!F8,Данные!A3:E22,5,FALSE),E40&lt;16,VLOOKUP(Планка!F8,Данные!A3:E22,2,FALSE),OR(E40&gt;=16,E40&lt;40),VLOOKUP(Планка!F8,Данные!A3:E22,3,FALSE),E40&gt;=40,VLOOKUP(Планка!F8,Данные!A3:E22,4,FALSE))</f>
        <v>1060-1080</v>
      </c>
      <c r="D38" s="799" t="s">
        <v>254</v>
      </c>
      <c r="E38" s="800">
        <f>ROUND(VLOOKUP(E39,A137:F154,6,FALSE),0)</f>
        <v>5</v>
      </c>
      <c r="F38" s="794" t="s">
        <v>950</v>
      </c>
      <c r="G38" s="810"/>
      <c r="L38" s="228">
        <f>[1]Планки!H38</f>
        <v>55</v>
      </c>
      <c r="M38" s="138">
        <f>[1]Планки!I38</f>
        <v>795</v>
      </c>
      <c r="N38" s="138">
        <f>[1]Планки!J38</f>
        <v>140</v>
      </c>
      <c r="O38" s="229">
        <f>[1]Планки!K38</f>
        <v>655</v>
      </c>
      <c r="P38" s="229">
        <f>[1]Планки!L38</f>
        <v>292</v>
      </c>
      <c r="Q38" s="138">
        <f>[1]Планки!M38</f>
        <v>310</v>
      </c>
      <c r="R38" s="138">
        <f>[1]Планки!N38</f>
        <v>345</v>
      </c>
      <c r="S38" s="229">
        <f>[1]Планки!O38</f>
        <v>100</v>
      </c>
      <c r="T38" s="138">
        <f>[1]Планки!P38</f>
        <v>115</v>
      </c>
      <c r="U38" s="138">
        <f>[1]Планки!Q38</f>
        <v>220</v>
      </c>
      <c r="V38" s="230" t="str">
        <f>[1]Планки!R38</f>
        <v>модель нашита  (L4=35 L5=50 L6=160)</v>
      </c>
      <c r="AB38" s="220"/>
      <c r="AC38" s="220">
        <f>'[2]Изложницы без бурта'!A38</f>
        <v>0</v>
      </c>
      <c r="AD38" s="220">
        <f>'[2]Изложницы без бурта'!B38</f>
        <v>70</v>
      </c>
      <c r="AE38" s="220">
        <f>'[2]Изложницы без бурта'!C38</f>
        <v>240</v>
      </c>
      <c r="AF38" s="56">
        <f>'[2]Изложницы без бурта'!D38</f>
        <v>140</v>
      </c>
      <c r="AG38" s="56">
        <f>'[2]Изложницы без бурта'!E38</f>
        <v>115</v>
      </c>
      <c r="AH38" s="56" t="str">
        <f>'[2]Изложницы без бурта'!F38</f>
        <v>7211867-5</v>
      </c>
      <c r="AI38" s="56">
        <f>'[2]Изложницы без бурта'!G38</f>
        <v>0</v>
      </c>
      <c r="AJ38" s="56">
        <f>'[2]Изложницы без бурта'!H38</f>
        <v>0</v>
      </c>
      <c r="AK38" s="56">
        <f>'[2]Изложницы без бурта'!I38</f>
        <v>0</v>
      </c>
      <c r="AL38" s="56">
        <f>'[2]Изложницы без бурта'!J38</f>
        <v>0</v>
      </c>
      <c r="AM38" s="56" t="str">
        <f>'[2]Изложницы без бурта'!K38</f>
        <v>Посадки:</v>
      </c>
      <c r="AR38" s="368">
        <v>232</v>
      </c>
      <c r="AS38" s="368">
        <v>180</v>
      </c>
      <c r="AT38" s="368">
        <v>265</v>
      </c>
      <c r="AU38" s="368">
        <v>205</v>
      </c>
      <c r="AV38" s="368">
        <v>285</v>
      </c>
      <c r="AW38" s="367">
        <v>320</v>
      </c>
      <c r="AX38" s="393" t="s">
        <v>496</v>
      </c>
      <c r="AZ38" s="56">
        <f>[3]Изложницы!A36</f>
        <v>85</v>
      </c>
      <c r="BA38" s="56">
        <f>[3]Изложницы!B36</f>
        <v>85</v>
      </c>
      <c r="BB38" s="56">
        <f>[3]Изложницы!C36</f>
        <v>400</v>
      </c>
      <c r="BC38" s="56">
        <f>[3]Изложницы!D36</f>
        <v>0</v>
      </c>
      <c r="BD38" s="56">
        <f>[3]Изложницы!E36</f>
        <v>0</v>
      </c>
      <c r="BE38" s="56">
        <f>[3]Изложницы!F36</f>
        <v>250</v>
      </c>
      <c r="BF38" s="56">
        <f>[3]Изложницы!G36</f>
        <v>70</v>
      </c>
      <c r="BG38" s="56" t="str">
        <f>[3]Изложницы!H36</f>
        <v>72.11.802</v>
      </c>
      <c r="BH38" s="56" t="str">
        <f>[3]Изложницы!I36</f>
        <v>4шт.</v>
      </c>
    </row>
    <row r="39" spans="1:60" ht="14.4" x14ac:dyDescent="0.25">
      <c r="A39" s="801" t="s">
        <v>312</v>
      </c>
      <c r="B39" s="802" t="b">
        <v>0</v>
      </c>
      <c r="C39" s="803"/>
      <c r="D39" s="803" t="s">
        <v>314</v>
      </c>
      <c r="E39" s="804">
        <f>_xlfn.IFNA(_xlfn.IFS(B40&lt;20,1,AND(B40&gt;=20,B40&lt;50),2,AND(B40&gt;=50,B40&lt;100),3,AND(B40&gt;=100,B40&lt;200),4,AND(B40&gt;=200,B40&lt;300),5,AND(B40&gt;=300,B40&lt;400),6,AND(B40&gt;=400,B40&lt;500),7,AND(B40&gt;=500,B40&lt;650),8,AND(B40&gt;=650,B40&lt;800),9,AND(B40&gt;=800,B40&lt;1000),10,AND(B40&gt;=1000,B40&lt;1200),11,AND(B40&gt;=1200,B40&lt;1400),12,AND(B40&gt;=1400,B40&lt;1600),13,AND(B40&gt;=1600,B40&lt;1800),14,AND(B40&gt;=1800,B40&lt;2000),15,AND(B40&gt;=2000,B40&lt;2250),16,AND(B40&gt;=2250,B40&lt;2500),17,B40&gt;=2500,18),"")</f>
        <v>8</v>
      </c>
      <c r="L39" s="228">
        <f>[1]Планки!H39</f>
        <v>101</v>
      </c>
      <c r="M39" s="138">
        <f>[1]Планки!I39</f>
        <v>800</v>
      </c>
      <c r="N39" s="138">
        <f>[1]Планки!J39</f>
        <v>140</v>
      </c>
      <c r="O39" s="229">
        <f>[1]Планки!K39</f>
        <v>660</v>
      </c>
      <c r="P39" s="229">
        <f>[1]Планки!L39</f>
        <v>155</v>
      </c>
      <c r="Q39" s="138">
        <f>[1]Планки!M39</f>
        <v>167</v>
      </c>
      <c r="R39" s="138">
        <f>[1]Планки!N39</f>
        <v>200</v>
      </c>
      <c r="S39" s="229">
        <f>[1]Планки!O39</f>
        <v>40</v>
      </c>
      <c r="T39" s="138">
        <f>[1]Планки!P39</f>
        <v>55</v>
      </c>
      <c r="U39" s="138">
        <f>[1]Планки!Q39</f>
        <v>120</v>
      </c>
      <c r="V39" s="230" t="str">
        <f>[1]Планки!R39</f>
        <v>модель нашита  (L4=25 L5=43 L6=100)</v>
      </c>
      <c r="AB39" s="220"/>
      <c r="AC39" s="220">
        <f>'[2]Изложницы без бурта'!A39</f>
        <v>0</v>
      </c>
      <c r="AD39" s="220">
        <f>'[2]Изложницы без бурта'!B39</f>
        <v>70</v>
      </c>
      <c r="AE39" s="220">
        <f>'[2]Изложницы без бурта'!C39</f>
        <v>245</v>
      </c>
      <c r="AF39" s="56">
        <f>'[2]Изложницы без бурта'!D39</f>
        <v>140</v>
      </c>
      <c r="AG39" s="56">
        <f>'[2]Изложницы без бурта'!E39</f>
        <v>115</v>
      </c>
      <c r="AH39" s="56" t="str">
        <f>'[2]Изложницы без бурта'!F39</f>
        <v>7211867-5</v>
      </c>
      <c r="AI39" s="56">
        <f>'[2]Изложницы без бурта'!G39</f>
        <v>0</v>
      </c>
      <c r="AJ39" s="56">
        <f>'[2]Изложницы без бурта'!H39</f>
        <v>0</v>
      </c>
      <c r="AK39" s="56">
        <f>'[2]Изложницы без бурта'!I39</f>
        <v>0</v>
      </c>
      <c r="AL39" s="56">
        <f>'[2]Изложницы без бурта'!J39</f>
        <v>0</v>
      </c>
      <c r="AM39" s="56">
        <f>'[2]Изложницы без бурта'!K39</f>
        <v>140</v>
      </c>
      <c r="AR39" s="368">
        <v>230</v>
      </c>
      <c r="AS39" s="368">
        <v>180</v>
      </c>
      <c r="AT39" s="368">
        <v>265</v>
      </c>
      <c r="AU39" s="368">
        <v>210</v>
      </c>
      <c r="AV39" s="368">
        <v>285</v>
      </c>
      <c r="AW39" s="367">
        <v>320</v>
      </c>
      <c r="AX39" s="393" t="s">
        <v>496</v>
      </c>
      <c r="AZ39" s="56">
        <f>[3]Изложницы!A37</f>
        <v>80</v>
      </c>
      <c r="BA39" s="56">
        <f>[3]Изложницы!B37</f>
        <v>80</v>
      </c>
      <c r="BB39" s="56">
        <f>[3]Изложницы!C37</f>
        <v>400</v>
      </c>
      <c r="BC39" s="56">
        <f>[3]Изложницы!D37</f>
        <v>0</v>
      </c>
      <c r="BD39" s="56">
        <f>[3]Изложницы!E37</f>
        <v>0</v>
      </c>
      <c r="BE39" s="56">
        <f>[3]Изложницы!F37</f>
        <v>220</v>
      </c>
      <c r="BF39" s="56">
        <f>[3]Изложницы!G37</f>
        <v>41</v>
      </c>
      <c r="BG39" s="56" t="str">
        <f>[3]Изложницы!H37</f>
        <v>72.11.802</v>
      </c>
      <c r="BH39" s="56">
        <f>[3]Изложницы!I37</f>
        <v>0</v>
      </c>
    </row>
    <row r="40" spans="1:60" ht="15" thickBot="1" x14ac:dyDescent="0.3">
      <c r="A40" s="801" t="s">
        <v>315</v>
      </c>
      <c r="B40" s="802">
        <f>Планка!M8</f>
        <v>640</v>
      </c>
      <c r="C40" s="803"/>
      <c r="D40" s="803" t="s">
        <v>1292</v>
      </c>
      <c r="E40" s="804">
        <f>(Планка!M4+Планка!M5)/2</f>
        <v>31</v>
      </c>
      <c r="L40" s="228">
        <f>[1]Планки!H40</f>
        <v>102</v>
      </c>
      <c r="M40" s="138">
        <f>[1]Планки!I40</f>
        <v>800</v>
      </c>
      <c r="N40" s="138">
        <f>[1]Планки!J40</f>
        <v>140</v>
      </c>
      <c r="O40" s="229">
        <f>[1]Планки!K40</f>
        <v>660</v>
      </c>
      <c r="P40" s="229">
        <f>[1]Планки!L40</f>
        <v>155</v>
      </c>
      <c r="Q40" s="138">
        <f>[1]Планки!M40</f>
        <v>170</v>
      </c>
      <c r="R40" s="138">
        <f>[1]Планки!N40</f>
        <v>190</v>
      </c>
      <c r="S40" s="229">
        <f>[1]Планки!O40</f>
        <v>40</v>
      </c>
      <c r="T40" s="138">
        <f>[1]Планки!P40</f>
        <v>55</v>
      </c>
      <c r="U40" s="138">
        <f>[1]Планки!Q40</f>
        <v>110</v>
      </c>
      <c r="V40" s="230" t="str">
        <f>[1]Планки!R40</f>
        <v>модель нашита  (L4=27 L5=43 L6=100)</v>
      </c>
      <c r="AB40" s="220"/>
      <c r="AC40" s="220">
        <f>'[2]Изложницы без бурта'!A40</f>
        <v>0</v>
      </c>
      <c r="AD40" s="220">
        <f>'[2]Изложницы без бурта'!B40</f>
        <v>70</v>
      </c>
      <c r="AE40" s="220">
        <f>'[2]Изложницы без бурта'!C40</f>
        <v>245</v>
      </c>
      <c r="AF40" s="56">
        <f>'[2]Изложницы без бурта'!D40</f>
        <v>140</v>
      </c>
      <c r="AG40" s="56">
        <f>'[2]Изложницы без бурта'!E40</f>
        <v>115</v>
      </c>
      <c r="AH40" s="56" t="str">
        <f>'[2]Изложницы без бурта'!F40</f>
        <v>7211867-5</v>
      </c>
      <c r="AI40" s="56">
        <f>'[2]Изложницы без бурта'!G40</f>
        <v>0</v>
      </c>
      <c r="AJ40" s="56">
        <f>'[2]Изложницы без бурта'!H40</f>
        <v>0</v>
      </c>
      <c r="AK40" s="56">
        <f>'[2]Изложницы без бурта'!I40</f>
        <v>0</v>
      </c>
      <c r="AL40" s="56">
        <f>'[2]Изложницы без бурта'!J40</f>
        <v>0</v>
      </c>
      <c r="AM40" s="56">
        <f>'[2]Изложницы без бурта'!K40</f>
        <v>185</v>
      </c>
      <c r="AR40" s="368">
        <v>220</v>
      </c>
      <c r="AS40" s="369">
        <v>190</v>
      </c>
      <c r="AT40" s="368">
        <v>200</v>
      </c>
      <c r="AU40" s="368">
        <v>145</v>
      </c>
      <c r="AV40" s="368">
        <v>285</v>
      </c>
      <c r="AW40" s="367">
        <v>320</v>
      </c>
      <c r="AX40" s="393" t="s">
        <v>497</v>
      </c>
      <c r="AZ40" s="56">
        <f>[3]Изложницы!A38</f>
        <v>78</v>
      </c>
      <c r="BA40" s="56">
        <f>[3]Изложницы!B38</f>
        <v>97</v>
      </c>
      <c r="BB40" s="56">
        <f>[3]Изложницы!C38</f>
        <v>440</v>
      </c>
      <c r="BC40" s="56">
        <f>[3]Изложницы!D38</f>
        <v>0</v>
      </c>
      <c r="BD40" s="56" t="str">
        <f>[3]Изложницы!E38</f>
        <v>Кокиль вытряхной</v>
      </c>
      <c r="BE40" s="56">
        <f>[3]Изложницы!F38</f>
        <v>170</v>
      </c>
      <c r="BF40" s="56" t="str">
        <f>[3]Изложницы!G38</f>
        <v>Возможно использовать как нарощалку</v>
      </c>
      <c r="BG40" s="56">
        <f>[3]Изложницы!H38</f>
        <v>0</v>
      </c>
      <c r="BH40" s="56">
        <f>[3]Изложницы!I38</f>
        <v>0</v>
      </c>
    </row>
    <row r="41" spans="1:60" ht="15" thickBot="1" x14ac:dyDescent="0.3">
      <c r="A41" s="801" t="s">
        <v>324</v>
      </c>
      <c r="B41" s="802" t="b">
        <v>1</v>
      </c>
      <c r="C41" s="803"/>
      <c r="D41" s="803"/>
      <c r="E41" s="804"/>
      <c r="L41" s="228">
        <f>[1]Планки!H41</f>
        <v>22</v>
      </c>
      <c r="M41" s="138">
        <f>[1]Планки!I41</f>
        <v>840</v>
      </c>
      <c r="N41" s="138">
        <f>[1]Планки!J41</f>
        <v>180</v>
      </c>
      <c r="O41" s="229">
        <f>[1]Планки!K41</f>
        <v>660</v>
      </c>
      <c r="P41" s="229">
        <f>[1]Планки!L41</f>
        <v>294</v>
      </c>
      <c r="Q41" s="138">
        <f>[1]Планки!M41</f>
        <v>310</v>
      </c>
      <c r="R41" s="138">
        <f>[1]Планки!N41</f>
        <v>350</v>
      </c>
      <c r="S41" s="229">
        <f>[1]Планки!O41</f>
        <v>107</v>
      </c>
      <c r="T41" s="138">
        <f>[1]Планки!P41</f>
        <v>117</v>
      </c>
      <c r="U41" s="138">
        <f>[1]Планки!Q41</f>
        <v>185</v>
      </c>
      <c r="V41" s="230" t="str">
        <f>[1]Планки!R41</f>
        <v>модель нашита  (L4=45 L5=50 L6=120)</v>
      </c>
      <c r="AB41" s="220"/>
      <c r="AC41" s="220">
        <f>'[2]Изложницы без бурта'!A41</f>
        <v>0</v>
      </c>
      <c r="AD41" s="220">
        <f>'[2]Изложницы без бурта'!B41</f>
        <v>70</v>
      </c>
      <c r="AE41" s="220">
        <f>'[2]Изложницы без бурта'!C41</f>
        <v>240</v>
      </c>
      <c r="AF41" s="56">
        <f>'[2]Изложницы без бурта'!D41</f>
        <v>140</v>
      </c>
      <c r="AG41" s="56">
        <f>'[2]Изложницы без бурта'!E41</f>
        <v>115</v>
      </c>
      <c r="AH41" s="56" t="str">
        <f>'[2]Изложницы без бурта'!F41</f>
        <v>7211867-5</v>
      </c>
      <c r="AI41" s="56">
        <f>'[2]Изложницы без бурта'!G41</f>
        <v>0</v>
      </c>
      <c r="AJ41" s="56">
        <f>'[2]Изложницы без бурта'!H41</f>
        <v>0</v>
      </c>
      <c r="AK41" s="56">
        <f>'[2]Изложницы без бурта'!I41</f>
        <v>0</v>
      </c>
      <c r="AL41" s="56">
        <f>'[2]Изложницы без бурта'!J41</f>
        <v>0</v>
      </c>
      <c r="AM41" s="56">
        <f>'[2]Изложницы без бурта'!K41</f>
        <v>285</v>
      </c>
      <c r="AR41" s="375">
        <v>250</v>
      </c>
      <c r="AS41" s="376">
        <v>190</v>
      </c>
      <c r="AT41" s="377">
        <v>265</v>
      </c>
      <c r="AU41" s="368">
        <v>228</v>
      </c>
      <c r="AV41" s="368">
        <v>285</v>
      </c>
      <c r="AW41" s="367">
        <v>320</v>
      </c>
      <c r="AX41" s="393" t="s">
        <v>494</v>
      </c>
      <c r="AZ41" s="56">
        <f>[3]Изложницы!A39</f>
        <v>70</v>
      </c>
      <c r="BA41" s="56">
        <f>[3]Изложницы!B39</f>
        <v>70</v>
      </c>
      <c r="BB41" s="56">
        <f>[3]Изложницы!C39</f>
        <v>400</v>
      </c>
      <c r="BC41" s="56">
        <f>[3]Изложницы!D39</f>
        <v>0</v>
      </c>
      <c r="BD41" s="56">
        <f>[3]Изложницы!E39</f>
        <v>0</v>
      </c>
      <c r="BE41" s="56">
        <f>[3]Изложницы!F39</f>
        <v>220</v>
      </c>
      <c r="BF41" s="56">
        <f>[3]Изложницы!G39</f>
        <v>45</v>
      </c>
      <c r="BG41" s="56" t="str">
        <f>[3]Изложницы!H39</f>
        <v>72.11.803</v>
      </c>
      <c r="BH41" s="56" t="str">
        <f>[3]Изложницы!I39</f>
        <v>1шт.</v>
      </c>
    </row>
    <row r="42" spans="1:60" ht="14.4" customHeight="1" thickBot="1" x14ac:dyDescent="0.3">
      <c r="A42" s="805" t="s">
        <v>326</v>
      </c>
      <c r="B42" s="806" t="b">
        <v>0</v>
      </c>
      <c r="C42" s="807"/>
      <c r="D42" s="807"/>
      <c r="E42" s="808"/>
      <c r="L42" s="228">
        <f>[1]Планки!H42</f>
        <v>13</v>
      </c>
      <c r="M42" s="138">
        <f>[1]Планки!I42</f>
        <v>825</v>
      </c>
      <c r="N42" s="138">
        <f>[1]Планки!J42</f>
        <v>165</v>
      </c>
      <c r="O42" s="229">
        <f>[1]Планки!K42</f>
        <v>660</v>
      </c>
      <c r="P42" s="229">
        <f>[1]Планки!L42</f>
        <v>325</v>
      </c>
      <c r="Q42" s="138">
        <f>[1]Планки!M42</f>
        <v>338</v>
      </c>
      <c r="R42" s="138">
        <f>[1]Планки!N42</f>
        <v>375</v>
      </c>
      <c r="S42" s="229">
        <f>[1]Планки!O42</f>
        <v>80</v>
      </c>
      <c r="T42" s="138">
        <f>[1]Планки!P42</f>
        <v>90</v>
      </c>
      <c r="U42" s="138">
        <f>[1]Планки!Q42</f>
        <v>155</v>
      </c>
      <c r="V42" s="230" t="str">
        <f>[1]Планки!R42</f>
        <v>модель нашита  (L4=37 L5=47 L6=115)</v>
      </c>
      <c r="AB42" s="220"/>
      <c r="AC42" s="220">
        <f>'[2]Изложницы без бурта'!A42</f>
        <v>0</v>
      </c>
      <c r="AD42" s="220">
        <f>'[2]Изложницы без бурта'!B42</f>
        <v>70</v>
      </c>
      <c r="AE42" s="220">
        <f>'[2]Изложницы без бурта'!C42</f>
        <v>245</v>
      </c>
      <c r="AF42" s="56">
        <f>'[2]Изложницы без бурта'!D42</f>
        <v>140</v>
      </c>
      <c r="AG42" s="56">
        <f>'[2]Изложницы без бурта'!E42</f>
        <v>115</v>
      </c>
      <c r="AH42" s="56" t="str">
        <f>'[2]Изложницы без бурта'!F42</f>
        <v>7211867-5</v>
      </c>
      <c r="AI42" s="56">
        <f>'[2]Изложницы без бурта'!G42</f>
        <v>0</v>
      </c>
      <c r="AJ42" s="56">
        <f>'[2]Изложницы без бурта'!H42</f>
        <v>0</v>
      </c>
      <c r="AK42" s="56">
        <f>'[2]Изложницы без бурта'!I42</f>
        <v>0</v>
      </c>
      <c r="AL42" s="56">
        <f>'[2]Изложницы без бурта'!J42</f>
        <v>0</v>
      </c>
      <c r="AM42" s="56">
        <f>'[2]Изложницы без бурта'!K42</f>
        <v>360</v>
      </c>
      <c r="AR42" s="368">
        <v>280</v>
      </c>
      <c r="AS42" s="367">
        <v>190</v>
      </c>
      <c r="AT42" s="368">
        <v>320</v>
      </c>
      <c r="AU42" s="368">
        <v>265</v>
      </c>
      <c r="AV42" s="368">
        <v>375</v>
      </c>
      <c r="AW42" s="368">
        <v>450</v>
      </c>
      <c r="AX42" s="393" t="s">
        <v>479</v>
      </c>
      <c r="AZ42" s="56" t="str">
        <f>[3]Изложницы!A40</f>
        <v>кв.70х70</v>
      </c>
      <c r="BA42" s="56">
        <f>[3]Изложницы!B40</f>
        <v>0</v>
      </c>
      <c r="BB42" s="56">
        <f>[3]Изложницы!C40</f>
        <v>400</v>
      </c>
      <c r="BC42" s="56">
        <f>[3]Изложницы!D40</f>
        <v>0</v>
      </c>
      <c r="BD42" s="56">
        <f>[3]Изложницы!E40</f>
        <v>0</v>
      </c>
      <c r="BE42" s="56">
        <f>[3]Изложницы!F40</f>
        <v>0</v>
      </c>
      <c r="BF42" s="56">
        <f>[3]Изложницы!G40</f>
        <v>0</v>
      </c>
      <c r="BG42" s="56">
        <f>[3]Изложницы!H40</f>
        <v>0</v>
      </c>
      <c r="BH42" s="56">
        <f>[3]Изложницы!I40</f>
        <v>0</v>
      </c>
    </row>
    <row r="43" spans="1:60" ht="14.4" x14ac:dyDescent="0.25">
      <c r="B43" s="56"/>
      <c r="L43" s="228">
        <f>[1]Планки!H43</f>
        <v>94</v>
      </c>
      <c r="M43" s="138">
        <f>[1]Планки!I43</f>
        <v>805</v>
      </c>
      <c r="N43" s="138">
        <f>[1]Планки!J43</f>
        <v>140</v>
      </c>
      <c r="O43" s="229">
        <f>[1]Планки!K43</f>
        <v>665</v>
      </c>
      <c r="P43" s="229">
        <f>[1]Планки!L43</f>
        <v>160</v>
      </c>
      <c r="Q43" s="138">
        <f>[1]Планки!M43</f>
        <v>180</v>
      </c>
      <c r="R43" s="138">
        <f>[1]Планки!N43</f>
        <v>200</v>
      </c>
      <c r="S43" s="229">
        <f>[1]Планки!O43</f>
        <v>28</v>
      </c>
      <c r="T43" s="138">
        <f>[1]Планки!P43</f>
        <v>41</v>
      </c>
      <c r="U43" s="138">
        <f>[1]Планки!Q43</f>
        <v>100</v>
      </c>
      <c r="V43" s="230">
        <f>[1]Планки!R43</f>
        <v>0</v>
      </c>
      <c r="AB43" s="220"/>
      <c r="AC43" s="220">
        <f>'[2]Изложницы без бурта'!A43</f>
        <v>0</v>
      </c>
      <c r="AD43" s="220">
        <f>'[2]Изложницы без бурта'!B43</f>
        <v>70</v>
      </c>
      <c r="AE43" s="220">
        <f>'[2]Изложницы без бурта'!C43</f>
        <v>240</v>
      </c>
      <c r="AF43" s="56">
        <f>'[2]Изложницы без бурта'!D43</f>
        <v>140</v>
      </c>
      <c r="AG43" s="56">
        <f>'[2]Изложницы без бурта'!E43</f>
        <v>115</v>
      </c>
      <c r="AH43" s="56" t="str">
        <f>'[2]Изложницы без бурта'!F43</f>
        <v>7211867-5</v>
      </c>
      <c r="AI43" s="56">
        <f>'[2]Изложницы без бурта'!G43</f>
        <v>0</v>
      </c>
      <c r="AJ43" s="56">
        <f>'[2]Изложницы без бурта'!H43</f>
        <v>0</v>
      </c>
      <c r="AK43" s="56">
        <f>'[2]Изложницы без бурта'!I43</f>
        <v>0</v>
      </c>
      <c r="AL43" s="56">
        <f>'[2]Изложницы без бурта'!J43</f>
        <v>0</v>
      </c>
      <c r="AM43" s="56">
        <f>'[2]Изложницы без бурта'!K43</f>
        <v>375</v>
      </c>
      <c r="AR43" s="368">
        <v>240</v>
      </c>
      <c r="AS43" s="368">
        <v>192.5</v>
      </c>
      <c r="AT43" s="368">
        <v>260</v>
      </c>
      <c r="AU43" s="368">
        <v>205</v>
      </c>
      <c r="AV43" s="368">
        <v>375</v>
      </c>
      <c r="AW43" s="368">
        <v>450</v>
      </c>
      <c r="AX43" s="393" t="s">
        <v>498</v>
      </c>
      <c r="AZ43" s="56">
        <f>[3]Изложницы!A41</f>
        <v>50</v>
      </c>
      <c r="BA43" s="56">
        <f>[3]Изложницы!B41</f>
        <v>50</v>
      </c>
      <c r="BB43" s="56">
        <f>[3]Изложницы!C41</f>
        <v>400</v>
      </c>
      <c r="BC43" s="56">
        <f>[3]Изложницы!D41</f>
        <v>0</v>
      </c>
      <c r="BD43" s="56">
        <f>[3]Изложницы!E41</f>
        <v>0</v>
      </c>
      <c r="BE43" s="56">
        <f>[3]Изложницы!F41</f>
        <v>0</v>
      </c>
      <c r="BF43" s="56">
        <f>[3]Изложницы!G41</f>
        <v>62</v>
      </c>
      <c r="BG43" s="56" t="str">
        <f>[3]Изложницы!H41</f>
        <v>7230.788</v>
      </c>
      <c r="BH43" s="56">
        <f>[3]Изложницы!I41</f>
        <v>0</v>
      </c>
    </row>
    <row r="44" spans="1:60" ht="15" thickBot="1" x14ac:dyDescent="0.3">
      <c r="B44" s="246" t="s">
        <v>149</v>
      </c>
      <c r="C44" s="1731" t="s">
        <v>150</v>
      </c>
      <c r="D44" s="1731"/>
      <c r="E44" s="1731"/>
      <c r="L44" s="228">
        <f>[1]Планки!H44</f>
        <v>65</v>
      </c>
      <c r="M44" s="138">
        <f>[1]Планки!I44</f>
        <v>825</v>
      </c>
      <c r="N44" s="138">
        <f>[1]Планки!J44</f>
        <v>160</v>
      </c>
      <c r="O44" s="229">
        <f>[1]Планки!K44</f>
        <v>665</v>
      </c>
      <c r="P44" s="229">
        <f>[1]Планки!L44</f>
        <v>265</v>
      </c>
      <c r="Q44" s="138">
        <f>[1]Планки!M44</f>
        <v>278</v>
      </c>
      <c r="R44" s="138">
        <f>[1]Планки!N44</f>
        <v>320</v>
      </c>
      <c r="S44" s="229">
        <f>[1]Планки!O44</f>
        <v>52</v>
      </c>
      <c r="T44" s="138">
        <f>[1]Планки!P44</f>
        <v>60</v>
      </c>
      <c r="U44" s="138">
        <f>[1]Планки!Q44</f>
        <v>135</v>
      </c>
      <c r="V44" s="230" t="str">
        <f>[1]Планки!R44</f>
        <v>модель нашита  (L4=40 L5=48 L6=123)</v>
      </c>
      <c r="AB44" s="220"/>
      <c r="AC44" s="220">
        <f>'[2]Изложницы без бурта'!A44</f>
        <v>0</v>
      </c>
      <c r="AD44" s="220">
        <f>'[2]Изложницы без бурта'!B44</f>
        <v>72.5</v>
      </c>
      <c r="AE44" s="220">
        <f>'[2]Изложницы без бурта'!C44</f>
        <v>245</v>
      </c>
      <c r="AF44" s="56">
        <f>'[2]Изложницы без бурта'!D44</f>
        <v>140</v>
      </c>
      <c r="AG44" s="56">
        <f>'[2]Изложницы без бурта'!E44</f>
        <v>115</v>
      </c>
      <c r="AH44" s="56" t="str">
        <f>'[2]Изложницы без бурта'!F44</f>
        <v>7211867-6</v>
      </c>
      <c r="AI44" s="56">
        <f>'[2]Изложницы без бурта'!G44</f>
        <v>0</v>
      </c>
      <c r="AJ44" s="56">
        <f>'[2]Изложницы без бурта'!H44</f>
        <v>0</v>
      </c>
      <c r="AK44" s="56">
        <f>'[2]Изложницы без бурта'!I44</f>
        <v>0</v>
      </c>
      <c r="AL44" s="56">
        <f>'[2]Изложницы без бурта'!J44</f>
        <v>0</v>
      </c>
      <c r="AM44" s="56">
        <f>'[2]Изложницы без бурта'!K44</f>
        <v>400</v>
      </c>
      <c r="AR44" s="369">
        <v>358</v>
      </c>
      <c r="AS44" s="369">
        <v>210</v>
      </c>
      <c r="AT44" s="368">
        <v>320</v>
      </c>
      <c r="AU44" s="368">
        <f>AT44-38</f>
        <v>282</v>
      </c>
      <c r="AV44" s="368">
        <v>375</v>
      </c>
      <c r="AW44" s="368">
        <v>450</v>
      </c>
      <c r="AX44" s="393" t="s">
        <v>499</v>
      </c>
      <c r="AZ44" s="56">
        <f>[3]Изложницы!A42</f>
        <v>35</v>
      </c>
      <c r="BA44" s="56">
        <f>[3]Изложницы!B42</f>
        <v>0</v>
      </c>
      <c r="BB44" s="56">
        <f>[3]Изложницы!C42</f>
        <v>400</v>
      </c>
      <c r="BC44" s="56">
        <f>[3]Изложницы!D42</f>
        <v>0</v>
      </c>
      <c r="BD44" s="56">
        <f>[3]Изложницы!E42</f>
        <v>0</v>
      </c>
      <c r="BE44" s="56">
        <f>[3]Изложницы!F42</f>
        <v>0</v>
      </c>
      <c r="BF44" s="56">
        <f>[3]Изложницы!G42</f>
        <v>62</v>
      </c>
      <c r="BG44" s="56" t="str">
        <f>[3]Изложницы!H42</f>
        <v>7230.755</v>
      </c>
      <c r="BH44" s="56">
        <f>[3]Изложницы!I42</f>
        <v>0</v>
      </c>
    </row>
    <row r="45" spans="1:60" ht="15" thickBot="1" x14ac:dyDescent="0.3">
      <c r="A45" s="247" t="s">
        <v>119</v>
      </c>
      <c r="B45" s="248"/>
      <c r="C45" s="249" t="s">
        <v>151</v>
      </c>
      <c r="D45" s="249" t="s">
        <v>152</v>
      </c>
      <c r="E45" s="249" t="s">
        <v>153</v>
      </c>
      <c r="F45" s="250" t="s">
        <v>154</v>
      </c>
      <c r="G45" s="250" t="s">
        <v>155</v>
      </c>
      <c r="H45" s="250" t="s">
        <v>156</v>
      </c>
      <c r="I45" s="251" t="s">
        <v>219</v>
      </c>
      <c r="L45" s="228">
        <f>[1]Планки!H45</f>
        <v>100</v>
      </c>
      <c r="M45" s="138">
        <f>[1]Планки!I45</f>
        <v>835</v>
      </c>
      <c r="N45" s="138">
        <f>[1]Планки!J45</f>
        <v>170</v>
      </c>
      <c r="O45" s="229">
        <f>[1]Планки!K45</f>
        <v>665</v>
      </c>
      <c r="P45" s="229">
        <f>[1]Планки!L45</f>
        <v>353</v>
      </c>
      <c r="Q45" s="138">
        <f>[1]Планки!M45</f>
        <v>355</v>
      </c>
      <c r="R45" s="138">
        <f>[1]Планки!N45</f>
        <v>395</v>
      </c>
      <c r="S45" s="229">
        <f>[1]Планки!O45</f>
        <v>35</v>
      </c>
      <c r="T45" s="138">
        <f>[1]Планки!P45</f>
        <v>48</v>
      </c>
      <c r="U45" s="138">
        <f>[1]Планки!Q45</f>
        <v>110</v>
      </c>
      <c r="V45" s="230">
        <f>[1]Планки!R45</f>
        <v>0</v>
      </c>
      <c r="AB45" s="220"/>
      <c r="AC45" s="220">
        <f>'[2]Изложницы без бурта'!A45</f>
        <v>0</v>
      </c>
      <c r="AD45" s="220">
        <f>'[2]Изложницы без бурта'!B45</f>
        <v>72.5</v>
      </c>
      <c r="AE45" s="220">
        <f>'[2]Изложницы без бурта'!C45</f>
        <v>245</v>
      </c>
      <c r="AF45" s="56">
        <f>'[2]Изложницы без бурта'!D45</f>
        <v>140</v>
      </c>
      <c r="AG45" s="56">
        <f>'[2]Изложницы без бурта'!E45</f>
        <v>115</v>
      </c>
      <c r="AH45" s="56" t="str">
        <f>'[2]Изложницы без бурта'!F45</f>
        <v>7211867-6</v>
      </c>
      <c r="AI45" s="56">
        <f>'[2]Изложницы без бурта'!G45</f>
        <v>0</v>
      </c>
      <c r="AJ45" s="56">
        <f>'[2]Изложницы без бурта'!H45</f>
        <v>0</v>
      </c>
      <c r="AK45" s="56">
        <f>'[2]Изложницы без бурта'!I45</f>
        <v>0</v>
      </c>
      <c r="AL45" s="56">
        <f>'[2]Изложницы без бурта'!J45</f>
        <v>0</v>
      </c>
      <c r="AM45" s="56">
        <f>'[2]Изложницы без бурта'!K45</f>
        <v>415</v>
      </c>
      <c r="AR45" s="376">
        <v>315</v>
      </c>
      <c r="AS45" s="376">
        <v>220</v>
      </c>
      <c r="AT45" s="377">
        <v>320</v>
      </c>
      <c r="AU45" s="368">
        <v>280</v>
      </c>
      <c r="AV45" s="368">
        <v>375</v>
      </c>
      <c r="AW45" s="368">
        <v>450</v>
      </c>
      <c r="AX45" s="393" t="s">
        <v>534</v>
      </c>
      <c r="AZ45" s="56">
        <f>[3]Изложницы!A43</f>
        <v>45</v>
      </c>
      <c r="BA45" s="56">
        <f>[3]Изложницы!B43</f>
        <v>0</v>
      </c>
      <c r="BB45" s="56">
        <f>[3]Изложницы!C43</f>
        <v>400</v>
      </c>
      <c r="BC45" s="56">
        <f>[3]Изложницы!D43</f>
        <v>0</v>
      </c>
      <c r="BD45" s="56">
        <f>[3]Изложницы!E43</f>
        <v>0</v>
      </c>
      <c r="BE45" s="56">
        <f>[3]Изложницы!F43</f>
        <v>0</v>
      </c>
      <c r="BF45" s="56">
        <f>[3]Изложницы!G43</f>
        <v>62</v>
      </c>
      <c r="BG45" s="56" t="str">
        <f>[3]Изложницы!H43</f>
        <v>7230.755</v>
      </c>
      <c r="BH45" s="56">
        <f>[3]Изложницы!I43</f>
        <v>0</v>
      </c>
    </row>
    <row r="46" spans="1:60" ht="14.4" x14ac:dyDescent="0.25">
      <c r="A46" s="252"/>
      <c r="B46" s="248"/>
      <c r="D46" s="253"/>
      <c r="F46" s="253"/>
      <c r="L46" s="228">
        <f>[1]Планки!H46</f>
        <v>21</v>
      </c>
      <c r="M46" s="138">
        <f>[1]Планки!I46</f>
        <v>840</v>
      </c>
      <c r="N46" s="138">
        <f>[1]Планки!J46</f>
        <v>170</v>
      </c>
      <c r="O46" s="229">
        <f>[1]Планки!K46</f>
        <v>670</v>
      </c>
      <c r="P46" s="229">
        <f>[1]Планки!L46</f>
        <v>355</v>
      </c>
      <c r="Q46" s="138">
        <f>[1]Планки!M46</f>
        <v>365</v>
      </c>
      <c r="R46" s="138">
        <f>[1]Планки!N46</f>
        <v>400</v>
      </c>
      <c r="S46" s="229">
        <f>[1]Планки!O46</f>
        <v>40</v>
      </c>
      <c r="T46" s="138">
        <f>[1]Планки!P46</f>
        <v>48</v>
      </c>
      <c r="U46" s="138">
        <f>[1]Планки!Q46</f>
        <v>110</v>
      </c>
      <c r="V46" s="230">
        <f>[1]Планки!R46</f>
        <v>0</v>
      </c>
      <c r="AB46" s="220"/>
      <c r="AC46" s="220">
        <f>'[2]Изложницы без бурта'!A46</f>
        <v>0</v>
      </c>
      <c r="AD46" s="220">
        <f>'[2]Изложницы без бурта'!B46</f>
        <v>72.5</v>
      </c>
      <c r="AE46" s="220">
        <f>'[2]Изложницы без бурта'!C46</f>
        <v>245</v>
      </c>
      <c r="AF46" s="56">
        <f>'[2]Изложницы без бурта'!D46</f>
        <v>140</v>
      </c>
      <c r="AG46" s="56">
        <f>'[2]Изложницы без бурта'!E46</f>
        <v>115</v>
      </c>
      <c r="AH46" s="56" t="str">
        <f>'[2]Изложницы без бурта'!F46</f>
        <v>7211867-6</v>
      </c>
      <c r="AI46" s="56">
        <f>'[2]Изложницы без бурта'!G46</f>
        <v>0</v>
      </c>
      <c r="AJ46" s="56">
        <f>'[2]Изложницы без бурта'!H46</f>
        <v>0</v>
      </c>
      <c r="AK46" s="56">
        <f>'[2]Изложницы без бурта'!I46</f>
        <v>0</v>
      </c>
      <c r="AL46" s="56">
        <f>'[2]Изложницы без бурта'!J46</f>
        <v>0</v>
      </c>
      <c r="AM46" s="56">
        <f>'[2]Изложницы без бурта'!K46</f>
        <v>450</v>
      </c>
      <c r="AR46" s="367">
        <v>311</v>
      </c>
      <c r="AS46" s="367">
        <v>222.5</v>
      </c>
      <c r="AT46" s="368">
        <v>320</v>
      </c>
      <c r="AU46" s="368">
        <v>280</v>
      </c>
      <c r="AV46" s="368">
        <v>375</v>
      </c>
      <c r="AW46" s="368">
        <v>450</v>
      </c>
      <c r="AX46" s="393" t="s">
        <v>480</v>
      </c>
      <c r="AZ46" s="56">
        <f>[3]Изложницы!A44</f>
        <v>50</v>
      </c>
      <c r="BA46" s="56">
        <f>[3]Изложницы!B44</f>
        <v>0</v>
      </c>
      <c r="BB46" s="56">
        <f>[3]Изложницы!C44</f>
        <v>400</v>
      </c>
      <c r="BC46" s="56">
        <f>[3]Изложницы!D44</f>
        <v>0</v>
      </c>
      <c r="BD46" s="56">
        <f>[3]Изложницы!E44</f>
        <v>0</v>
      </c>
      <c r="BE46" s="56">
        <f>[3]Изложницы!F44</f>
        <v>0</v>
      </c>
      <c r="BF46" s="56">
        <f>[3]Изложницы!G44</f>
        <v>62</v>
      </c>
      <c r="BG46" s="56" t="str">
        <f>[3]Изложницы!H44</f>
        <v>7230.755</v>
      </c>
      <c r="BH46" s="56">
        <f>[3]Изложницы!I44</f>
        <v>0</v>
      </c>
    </row>
    <row r="47" spans="1:60" ht="14.4" x14ac:dyDescent="0.25">
      <c r="A47" s="252" t="s">
        <v>157</v>
      </c>
      <c r="B47" s="248" t="s">
        <v>158</v>
      </c>
      <c r="C47" s="56">
        <v>40</v>
      </c>
      <c r="D47" s="253">
        <v>50</v>
      </c>
      <c r="E47" s="56">
        <v>50</v>
      </c>
      <c r="F47" s="253">
        <v>60</v>
      </c>
      <c r="G47" s="56">
        <v>65</v>
      </c>
      <c r="H47" s="253">
        <v>14</v>
      </c>
      <c r="I47" s="56">
        <v>70</v>
      </c>
      <c r="L47" s="228">
        <f>[1]Планки!H47</f>
        <v>16</v>
      </c>
      <c r="M47" s="138">
        <f>[1]Планки!I47</f>
        <v>835</v>
      </c>
      <c r="N47" s="138">
        <f>[1]Планки!J47</f>
        <v>165</v>
      </c>
      <c r="O47" s="229">
        <f>[1]Планки!K47</f>
        <v>670</v>
      </c>
      <c r="P47" s="229">
        <f>[1]Планки!L47</f>
        <v>520</v>
      </c>
      <c r="Q47" s="138">
        <f>[1]Планки!M47</f>
        <v>533</v>
      </c>
      <c r="R47" s="138">
        <f>[1]Планки!N47</f>
        <v>580</v>
      </c>
      <c r="S47" s="229">
        <f>[1]Планки!O47</f>
        <v>58</v>
      </c>
      <c r="T47" s="138">
        <f>[1]Планки!P47</f>
        <v>66</v>
      </c>
      <c r="U47" s="138">
        <f>[1]Планки!Q47</f>
        <v>135</v>
      </c>
      <c r="V47" s="230" t="str">
        <f>[1]Планки!R47</f>
        <v>модель нашита  (L4=43 L5=51 L6=120)</v>
      </c>
      <c r="AB47" s="220"/>
      <c r="AC47" s="220">
        <f>'[2]Изложницы без бурта'!A47</f>
        <v>0</v>
      </c>
      <c r="AD47" s="220">
        <f>'[2]Изложницы без бурта'!B47</f>
        <v>72.5</v>
      </c>
      <c r="AE47" s="220">
        <f>'[2]Изложницы без бурта'!C47</f>
        <v>240</v>
      </c>
      <c r="AF47" s="56">
        <f>'[2]Изложницы без бурта'!D47</f>
        <v>140</v>
      </c>
      <c r="AG47" s="56">
        <f>'[2]Изложницы без бурта'!E47</f>
        <v>115</v>
      </c>
      <c r="AH47" s="56" t="str">
        <f>'[2]Изложницы без бурта'!F47</f>
        <v>7211867-6</v>
      </c>
      <c r="AI47" s="56">
        <f>'[2]Изложницы без бурта'!G47</f>
        <v>0</v>
      </c>
      <c r="AJ47" s="56">
        <f>'[2]Изложницы без бурта'!H47</f>
        <v>0</v>
      </c>
      <c r="AK47" s="56">
        <f>'[2]Изложницы без бурта'!I47</f>
        <v>0</v>
      </c>
      <c r="AL47" s="56">
        <f>'[2]Изложницы без бурта'!J47</f>
        <v>0</v>
      </c>
      <c r="AM47" s="56">
        <f>'[2]Изложницы без бурта'!K47</f>
        <v>470</v>
      </c>
      <c r="AR47" s="368">
        <v>317</v>
      </c>
      <c r="AS47" s="368">
        <v>227.5</v>
      </c>
      <c r="AT47" s="368">
        <v>378</v>
      </c>
      <c r="AU47" s="368">
        <v>313</v>
      </c>
      <c r="AV47" s="368">
        <v>375</v>
      </c>
      <c r="AW47" s="368">
        <v>450</v>
      </c>
      <c r="AX47" s="393" t="s">
        <v>500</v>
      </c>
    </row>
    <row r="48" spans="1:60" ht="14.4" x14ac:dyDescent="0.25">
      <c r="A48" s="252" t="s">
        <v>159</v>
      </c>
      <c r="B48" s="248" t="s">
        <v>160</v>
      </c>
      <c r="C48" s="56">
        <v>40</v>
      </c>
      <c r="D48" s="253">
        <v>50</v>
      </c>
      <c r="E48" s="56">
        <v>50</v>
      </c>
      <c r="F48" s="253">
        <v>65</v>
      </c>
      <c r="G48" s="56">
        <v>70</v>
      </c>
      <c r="H48" s="253">
        <v>14</v>
      </c>
      <c r="I48" s="56">
        <v>70</v>
      </c>
      <c r="L48" s="228">
        <f>[1]Планки!H48</f>
        <v>18</v>
      </c>
      <c r="M48" s="138">
        <f>[1]Планки!I48</f>
        <v>835</v>
      </c>
      <c r="N48" s="138">
        <f>[1]Планки!J48</f>
        <v>165</v>
      </c>
      <c r="O48" s="229">
        <f>[1]Планки!K48</f>
        <v>670</v>
      </c>
      <c r="P48" s="229">
        <f>[1]Планки!L48</f>
        <v>550</v>
      </c>
      <c r="Q48" s="138">
        <f>[1]Планки!M48</f>
        <v>560</v>
      </c>
      <c r="R48" s="138">
        <f>[1]Планки!N48</f>
        <v>605</v>
      </c>
      <c r="S48" s="229">
        <f>[1]Планки!O48</f>
        <v>37</v>
      </c>
      <c r="T48" s="138">
        <f>[1]Планки!P48</f>
        <v>50</v>
      </c>
      <c r="U48" s="138">
        <f>[1]Планки!Q48</f>
        <v>105</v>
      </c>
      <c r="V48" s="230">
        <f>[1]Планки!R48</f>
        <v>0</v>
      </c>
      <c r="AB48" s="220"/>
      <c r="AC48" s="220">
        <f>'[2]Изложницы без бурта'!A48</f>
        <v>0</v>
      </c>
      <c r="AD48" s="220">
        <f>'[2]Изложницы без бурта'!B48</f>
        <v>72.5</v>
      </c>
      <c r="AE48" s="220">
        <f>'[2]Изложницы без бурта'!C48</f>
        <v>245</v>
      </c>
      <c r="AF48" s="56">
        <f>'[2]Изложницы без бурта'!D48</f>
        <v>140</v>
      </c>
      <c r="AG48" s="56">
        <f>'[2]Изложницы без бурта'!E48</f>
        <v>115</v>
      </c>
      <c r="AH48" s="56" t="str">
        <f>'[2]Изложницы без бурта'!F48</f>
        <v>7211867-6</v>
      </c>
      <c r="AI48" s="56">
        <f>'[2]Изложницы без бурта'!G48</f>
        <v>0</v>
      </c>
      <c r="AJ48" s="56">
        <f>'[2]Изложницы без бурта'!H48</f>
        <v>0</v>
      </c>
      <c r="AK48" s="56">
        <f>'[2]Изложницы без бурта'!I48</f>
        <v>0</v>
      </c>
      <c r="AL48" s="56">
        <f>'[2]Изложницы без бурта'!J48</f>
        <v>0</v>
      </c>
      <c r="AM48" s="56">
        <f>'[2]Изложницы без бурта'!K48</f>
        <v>500</v>
      </c>
      <c r="AR48" s="368">
        <v>319</v>
      </c>
      <c r="AS48" s="368">
        <v>230</v>
      </c>
      <c r="AT48" s="368">
        <v>380</v>
      </c>
      <c r="AU48" s="368">
        <v>315</v>
      </c>
      <c r="AV48" s="368">
        <v>375</v>
      </c>
      <c r="AW48" s="368">
        <v>450</v>
      </c>
      <c r="AX48" s="393" t="s">
        <v>501</v>
      </c>
    </row>
    <row r="49" spans="1:50" ht="14.4" x14ac:dyDescent="0.25">
      <c r="A49" s="252" t="s">
        <v>161</v>
      </c>
      <c r="B49" s="248" t="s">
        <v>162</v>
      </c>
      <c r="C49" s="56">
        <v>40</v>
      </c>
      <c r="D49" s="253">
        <v>55</v>
      </c>
      <c r="E49" s="56">
        <v>60</v>
      </c>
      <c r="F49" s="253">
        <v>70</v>
      </c>
      <c r="G49" s="56">
        <v>75</v>
      </c>
      <c r="H49" s="253">
        <v>14</v>
      </c>
      <c r="I49" s="56">
        <v>70</v>
      </c>
      <c r="L49" s="228">
        <f>[1]Планки!H49</f>
        <v>6</v>
      </c>
      <c r="M49" s="138">
        <f>[1]Планки!I49</f>
        <v>780</v>
      </c>
      <c r="N49" s="138">
        <f>[1]Планки!J49</f>
        <v>105</v>
      </c>
      <c r="O49" s="229">
        <f>[1]Планки!K49</f>
        <v>675</v>
      </c>
      <c r="P49" s="229">
        <f>[1]Планки!L49</f>
        <v>127</v>
      </c>
      <c r="Q49" s="138">
        <f>[1]Планки!M49</f>
        <v>137</v>
      </c>
      <c r="R49" s="138">
        <f>[1]Планки!N49</f>
        <v>160</v>
      </c>
      <c r="S49" s="229">
        <f>[1]Планки!O49</f>
        <v>30</v>
      </c>
      <c r="T49" s="138">
        <f>[1]Планки!P49</f>
        <v>35</v>
      </c>
      <c r="U49" s="138">
        <f>[1]Планки!Q49</f>
        <v>77</v>
      </c>
      <c r="V49" s="230">
        <f>[1]Планки!R49</f>
        <v>0</v>
      </c>
      <c r="AB49" s="220"/>
      <c r="AC49" s="220">
        <f>'[2]Изложницы без бурта'!A49</f>
        <v>0</v>
      </c>
      <c r="AD49" s="220">
        <f>'[2]Изложницы без бурта'!B49</f>
        <v>72.5</v>
      </c>
      <c r="AE49" s="220">
        <f>'[2]Изложницы без бурта'!C49</f>
        <v>244</v>
      </c>
      <c r="AF49" s="56">
        <f>'[2]Изложницы без бурта'!D49</f>
        <v>140</v>
      </c>
      <c r="AG49" s="56">
        <f>'[2]Изложницы без бурта'!E49</f>
        <v>115</v>
      </c>
      <c r="AH49" s="56" t="str">
        <f>'[2]Изложницы без бурта'!F49</f>
        <v>7211867-6</v>
      </c>
      <c r="AI49" s="56">
        <f>'[2]Изложницы без бурта'!G49</f>
        <v>0</v>
      </c>
      <c r="AJ49" s="56">
        <f>'[2]Изложницы без бурта'!H49</f>
        <v>0</v>
      </c>
      <c r="AK49" s="56">
        <f>'[2]Изложницы без бурта'!I49</f>
        <v>0</v>
      </c>
      <c r="AL49" s="56">
        <f>'[2]Изложницы без бурта'!J49</f>
        <v>0</v>
      </c>
      <c r="AM49" s="56">
        <f>'[2]Изложницы без бурта'!K49</f>
        <v>520</v>
      </c>
      <c r="AR49" s="368">
        <v>270</v>
      </c>
      <c r="AS49" s="368">
        <v>230</v>
      </c>
      <c r="AT49" s="368">
        <v>258</v>
      </c>
      <c r="AU49" s="368">
        <v>208</v>
      </c>
      <c r="AV49" s="368">
        <v>375</v>
      </c>
      <c r="AW49" s="368">
        <v>450</v>
      </c>
      <c r="AX49" s="393" t="s">
        <v>502</v>
      </c>
    </row>
    <row r="50" spans="1:50" ht="14.4" x14ac:dyDescent="0.25">
      <c r="A50" s="252" t="s">
        <v>163</v>
      </c>
      <c r="B50" s="248" t="s">
        <v>164</v>
      </c>
      <c r="C50" s="56">
        <v>40</v>
      </c>
      <c r="D50" s="254">
        <v>55</v>
      </c>
      <c r="E50" s="56">
        <v>60</v>
      </c>
      <c r="F50" s="253">
        <v>75</v>
      </c>
      <c r="G50" s="56">
        <v>80</v>
      </c>
      <c r="H50" s="253">
        <v>20</v>
      </c>
      <c r="I50" s="56">
        <v>80</v>
      </c>
      <c r="L50" s="228">
        <f>[1]Планки!H50</f>
        <v>36</v>
      </c>
      <c r="M50" s="138">
        <f>[1]Планки!I50</f>
        <v>845</v>
      </c>
      <c r="N50" s="138">
        <f>[1]Планки!J50</f>
        <v>170</v>
      </c>
      <c r="O50" s="229">
        <f>[1]Планки!K50</f>
        <v>675</v>
      </c>
      <c r="P50" s="229">
        <f>[1]Планки!L50</f>
        <v>360</v>
      </c>
      <c r="Q50" s="138">
        <f>[1]Планки!M50</f>
        <v>370</v>
      </c>
      <c r="R50" s="138">
        <f>[1]Планки!N50</f>
        <v>405</v>
      </c>
      <c r="S50" s="229">
        <f>[1]Планки!O50</f>
        <v>40</v>
      </c>
      <c r="T50" s="138">
        <f>[1]Планки!P50</f>
        <v>51</v>
      </c>
      <c r="U50" s="138">
        <f>[1]Планки!Q50</f>
        <v>110</v>
      </c>
      <c r="V50" s="230">
        <f>[1]Планки!R50</f>
        <v>0</v>
      </c>
      <c r="AB50" s="220"/>
      <c r="AC50" s="220">
        <f>'[2]Изложницы без бурта'!A50</f>
        <v>0</v>
      </c>
      <c r="AD50" s="220">
        <f>'[2]Изложницы без бурта'!B50</f>
        <v>75</v>
      </c>
      <c r="AE50" s="220">
        <f>'[2]Изложницы без бурта'!C50</f>
        <v>245</v>
      </c>
      <c r="AF50" s="56">
        <f>'[2]Изложницы без бурта'!D50</f>
        <v>140</v>
      </c>
      <c r="AG50" s="56">
        <f>'[2]Изложницы без бурта'!E50</f>
        <v>115</v>
      </c>
      <c r="AH50" s="56" t="str">
        <f>'[2]Изложницы без бурта'!F50</f>
        <v>7211867-7</v>
      </c>
      <c r="AI50" s="56">
        <f>'[2]Изложницы без бурта'!G50</f>
        <v>0</v>
      </c>
      <c r="AJ50" s="56">
        <f>'[2]Изложницы без бурта'!H50</f>
        <v>0</v>
      </c>
      <c r="AK50" s="56">
        <f>'[2]Изложницы без бурта'!I50</f>
        <v>0</v>
      </c>
      <c r="AL50" s="56">
        <f>'[2]Изложницы без бурта'!J50</f>
        <v>0</v>
      </c>
      <c r="AM50" s="56">
        <f>'[2]Изложницы без бурта'!K50</f>
        <v>550</v>
      </c>
      <c r="AR50" s="368">
        <v>321</v>
      </c>
      <c r="AS50" s="368">
        <v>230</v>
      </c>
      <c r="AT50" s="368">
        <v>318</v>
      </c>
      <c r="AU50" s="368">
        <v>255</v>
      </c>
      <c r="AV50" s="368">
        <v>375</v>
      </c>
      <c r="AW50" s="368">
        <v>450</v>
      </c>
      <c r="AX50" s="393" t="s">
        <v>503</v>
      </c>
    </row>
    <row r="51" spans="1:50" ht="14.4" x14ac:dyDescent="0.25">
      <c r="A51" s="252" t="s">
        <v>165</v>
      </c>
      <c r="B51" s="248" t="s">
        <v>166</v>
      </c>
      <c r="C51" s="56">
        <v>45</v>
      </c>
      <c r="D51" s="253">
        <v>60</v>
      </c>
      <c r="E51" s="254">
        <v>65</v>
      </c>
      <c r="F51" s="253">
        <v>85</v>
      </c>
      <c r="G51" s="56">
        <v>95</v>
      </c>
      <c r="H51" s="253">
        <v>20</v>
      </c>
      <c r="I51" s="56">
        <v>80</v>
      </c>
      <c r="L51" s="228">
        <f>[1]Планки!H51</f>
        <v>20</v>
      </c>
      <c r="M51" s="138">
        <f>[1]Планки!I51</f>
        <v>840</v>
      </c>
      <c r="N51" s="138">
        <f>[1]Планки!J51</f>
        <v>165</v>
      </c>
      <c r="O51" s="229">
        <f>[1]Планки!K51</f>
        <v>675</v>
      </c>
      <c r="P51" s="229">
        <f>[1]Планки!L51</f>
        <v>525</v>
      </c>
      <c r="Q51" s="138">
        <f>[1]Планки!M51</f>
        <v>532</v>
      </c>
      <c r="R51" s="138">
        <f>[1]Планки!N51</f>
        <v>570</v>
      </c>
      <c r="S51" s="229">
        <f>[1]Планки!O51</f>
        <v>55</v>
      </c>
      <c r="T51" s="138">
        <f>[1]Планки!P51</f>
        <v>65</v>
      </c>
      <c r="U51" s="138">
        <f>[1]Планки!Q51</f>
        <v>130</v>
      </c>
      <c r="V51" s="230" t="str">
        <f>[1]Планки!R51</f>
        <v>модель нашита  (L4=43 L5=53 L6=118)</v>
      </c>
      <c r="AB51" s="220"/>
      <c r="AC51" s="220">
        <f>'[2]Изложницы без бурта'!A51</f>
        <v>0</v>
      </c>
      <c r="AD51" s="220">
        <f>'[2]Изложницы без бурта'!B51</f>
        <v>75</v>
      </c>
      <c r="AE51" s="220">
        <f>'[2]Изложницы без бурта'!C51</f>
        <v>243</v>
      </c>
      <c r="AF51" s="56">
        <f>'[2]Изложницы без бурта'!D51</f>
        <v>140</v>
      </c>
      <c r="AG51" s="56">
        <f>'[2]Изложницы без бурта'!E51</f>
        <v>115</v>
      </c>
      <c r="AH51" s="56" t="str">
        <f>'[2]Изложницы без бурта'!F51</f>
        <v>7211867-7</v>
      </c>
      <c r="AI51" s="56">
        <f>'[2]Изложницы без бурта'!G51</f>
        <v>0</v>
      </c>
      <c r="AJ51" s="56">
        <f>'[2]Изложницы без бурта'!H51</f>
        <v>0</v>
      </c>
      <c r="AK51" s="56">
        <f>'[2]Изложницы без бурта'!I51</f>
        <v>0</v>
      </c>
      <c r="AL51" s="56">
        <f>'[2]Изложницы без бурта'!J51</f>
        <v>0</v>
      </c>
      <c r="AM51" s="56">
        <f>'[2]Изложницы без бурта'!K51</f>
        <v>570</v>
      </c>
      <c r="AR51" s="368">
        <v>317</v>
      </c>
      <c r="AS51" s="368">
        <v>230</v>
      </c>
      <c r="AT51" s="368">
        <v>320</v>
      </c>
      <c r="AU51" s="368">
        <v>260</v>
      </c>
      <c r="AV51" s="368">
        <v>360</v>
      </c>
      <c r="AW51" s="368">
        <v>450</v>
      </c>
      <c r="AX51" s="393" t="s">
        <v>503</v>
      </c>
    </row>
    <row r="52" spans="1:50" ht="14.4" x14ac:dyDescent="0.25">
      <c r="A52" s="252" t="s">
        <v>167</v>
      </c>
      <c r="B52" s="248" t="s">
        <v>168</v>
      </c>
      <c r="C52" s="56">
        <v>45</v>
      </c>
      <c r="D52" s="253">
        <v>60</v>
      </c>
      <c r="E52" s="56">
        <v>65</v>
      </c>
      <c r="F52" s="253">
        <v>90</v>
      </c>
      <c r="G52" s="56">
        <v>100</v>
      </c>
      <c r="H52" s="253">
        <v>20</v>
      </c>
      <c r="I52" s="56">
        <v>80</v>
      </c>
      <c r="L52" s="228">
        <f>[1]Планки!H52</f>
        <v>19</v>
      </c>
      <c r="M52" s="138">
        <f>[1]Планки!I52</f>
        <v>850</v>
      </c>
      <c r="N52" s="138">
        <f>[1]Планки!J52</f>
        <v>170</v>
      </c>
      <c r="O52" s="229">
        <f>[1]Планки!K52</f>
        <v>680</v>
      </c>
      <c r="P52" s="229">
        <f>[1]Планки!L52</f>
        <v>545</v>
      </c>
      <c r="Q52" s="138">
        <f>[1]Планки!M52</f>
        <v>560</v>
      </c>
      <c r="R52" s="138">
        <f>[1]Планки!N52</f>
        <v>600</v>
      </c>
      <c r="S52" s="229">
        <f>[1]Планки!O52</f>
        <v>37</v>
      </c>
      <c r="T52" s="138">
        <f>[1]Планки!P52</f>
        <v>45</v>
      </c>
      <c r="U52" s="138">
        <f>[1]Планки!Q52</f>
        <v>110</v>
      </c>
      <c r="V52" s="230">
        <f>[1]Планки!R52</f>
        <v>0</v>
      </c>
      <c r="AB52" s="220"/>
      <c r="AC52" s="220">
        <f>'[2]Изложницы без бурта'!A52</f>
        <v>0</v>
      </c>
      <c r="AD52" s="220">
        <f>'[2]Изложницы без бурта'!B52</f>
        <v>75</v>
      </c>
      <c r="AE52" s="220">
        <f>'[2]Изложницы без бурта'!C52</f>
        <v>240</v>
      </c>
      <c r="AF52" s="56">
        <f>'[2]Изложницы без бурта'!D52</f>
        <v>140</v>
      </c>
      <c r="AG52" s="56">
        <f>'[2]Изложницы без бурта'!E52</f>
        <v>115</v>
      </c>
      <c r="AH52" s="56" t="str">
        <f>'[2]Изложницы без бурта'!F52</f>
        <v>7211867-7</v>
      </c>
      <c r="AI52" s="56">
        <f>'[2]Изложницы без бурта'!G52</f>
        <v>0</v>
      </c>
      <c r="AJ52" s="56">
        <f>'[2]Изложницы без бурта'!H52</f>
        <v>0</v>
      </c>
      <c r="AK52" s="56">
        <f>'[2]Изложницы без бурта'!I52</f>
        <v>0</v>
      </c>
      <c r="AL52" s="56">
        <f>'[2]Изложницы без бурта'!J52</f>
        <v>0</v>
      </c>
      <c r="AM52" s="56">
        <f>'[2]Изложницы без бурта'!K52</f>
        <v>610</v>
      </c>
      <c r="AR52" s="368">
        <v>318</v>
      </c>
      <c r="AS52" s="368">
        <v>232.5</v>
      </c>
      <c r="AT52" s="368">
        <v>380</v>
      </c>
      <c r="AU52" s="368">
        <v>320</v>
      </c>
      <c r="AV52" s="368">
        <v>375</v>
      </c>
      <c r="AW52" s="368">
        <v>450</v>
      </c>
      <c r="AX52" s="393" t="s">
        <v>504</v>
      </c>
    </row>
    <row r="53" spans="1:50" ht="14.4" x14ac:dyDescent="0.25">
      <c r="A53" s="252" t="s">
        <v>169</v>
      </c>
      <c r="B53" s="248" t="s">
        <v>170</v>
      </c>
      <c r="C53" s="56">
        <v>50</v>
      </c>
      <c r="D53" s="253">
        <v>60</v>
      </c>
      <c r="E53" s="56">
        <v>65</v>
      </c>
      <c r="F53" s="253">
        <v>100</v>
      </c>
      <c r="G53" s="56">
        <v>110</v>
      </c>
      <c r="H53" s="253">
        <v>20</v>
      </c>
      <c r="I53" s="56">
        <v>80</v>
      </c>
      <c r="L53" s="228">
        <f>[1]Планки!H53</f>
        <v>87</v>
      </c>
      <c r="M53" s="138">
        <f>[1]Планки!I53</f>
        <v>835</v>
      </c>
      <c r="N53" s="138">
        <f>[1]Планки!J53</f>
        <v>150</v>
      </c>
      <c r="O53" s="229">
        <f>[1]Планки!K53</f>
        <v>685</v>
      </c>
      <c r="P53" s="229">
        <f>[1]Планки!L53</f>
        <v>250</v>
      </c>
      <c r="Q53" s="138">
        <f>[1]Планки!M53</f>
        <v>265</v>
      </c>
      <c r="R53" s="138">
        <f>[1]Планки!N53</f>
        <v>295</v>
      </c>
      <c r="S53" s="229">
        <f>[1]Планки!O53</f>
        <v>35</v>
      </c>
      <c r="T53" s="138">
        <f>[1]Планки!P53</f>
        <v>44</v>
      </c>
      <c r="U53" s="138">
        <f>[1]Планки!Q53</f>
        <v>105</v>
      </c>
      <c r="V53" s="230">
        <f>[1]Планки!R53</f>
        <v>0</v>
      </c>
      <c r="AB53" s="220"/>
      <c r="AC53" s="220">
        <f>'[2]Изложницы без бурта'!A53</f>
        <v>0</v>
      </c>
      <c r="AD53" s="220">
        <f>'[2]Изложницы без бурта'!B53</f>
        <v>75</v>
      </c>
      <c r="AE53" s="220">
        <f>'[2]Изложницы без бурта'!C53</f>
        <v>245</v>
      </c>
      <c r="AF53" s="56">
        <f>'[2]Изложницы без бурта'!D53</f>
        <v>140</v>
      </c>
      <c r="AG53" s="56">
        <f>'[2]Изложницы без бурта'!E53</f>
        <v>115</v>
      </c>
      <c r="AH53" s="56" t="str">
        <f>'[2]Изложницы без бурта'!F53</f>
        <v>7211867-7</v>
      </c>
      <c r="AI53" s="56">
        <f>'[2]Изложницы без бурта'!G53</f>
        <v>0</v>
      </c>
      <c r="AJ53" s="56">
        <f>'[2]Изложницы без бурта'!H53</f>
        <v>0</v>
      </c>
      <c r="AK53" s="56">
        <f>'[2]Изложницы без бурта'!I53</f>
        <v>0</v>
      </c>
      <c r="AL53" s="56">
        <f>'[2]Изложницы без бурта'!J53</f>
        <v>0</v>
      </c>
      <c r="AM53" s="56">
        <f>'[2]Изложницы без бурта'!K53</f>
        <v>640</v>
      </c>
      <c r="AR53" s="368">
        <v>270</v>
      </c>
      <c r="AS53" s="368">
        <v>232.5</v>
      </c>
      <c r="AT53" s="368">
        <v>260</v>
      </c>
      <c r="AU53" s="368">
        <v>210</v>
      </c>
      <c r="AV53" s="368">
        <v>375</v>
      </c>
      <c r="AW53" s="368">
        <v>450</v>
      </c>
      <c r="AX53" s="393" t="s">
        <v>502</v>
      </c>
    </row>
    <row r="54" spans="1:50" ht="15" thickBot="1" x14ac:dyDescent="0.3">
      <c r="A54" s="252" t="s">
        <v>171</v>
      </c>
      <c r="B54" s="248" t="s">
        <v>172</v>
      </c>
      <c r="C54" s="56">
        <v>50</v>
      </c>
      <c r="D54" s="253">
        <v>65</v>
      </c>
      <c r="E54" s="56">
        <v>65</v>
      </c>
      <c r="F54" s="253">
        <v>110</v>
      </c>
      <c r="G54" s="56">
        <v>120</v>
      </c>
      <c r="H54" s="253">
        <v>20</v>
      </c>
      <c r="I54" s="56">
        <v>80</v>
      </c>
      <c r="L54" s="228">
        <f>[1]Планки!H54</f>
        <v>28</v>
      </c>
      <c r="M54" s="138">
        <f>[1]Планки!I54</f>
        <v>845</v>
      </c>
      <c r="N54" s="138">
        <f>[1]Планки!J54</f>
        <v>150</v>
      </c>
      <c r="O54" s="229">
        <f>[1]Планки!K54</f>
        <v>695</v>
      </c>
      <c r="P54" s="229">
        <f>[1]Планки!L54</f>
        <v>405</v>
      </c>
      <c r="Q54" s="138">
        <f>[1]Планки!M54</f>
        <v>420</v>
      </c>
      <c r="R54" s="138">
        <f>[1]Планки!N54</f>
        <v>450</v>
      </c>
      <c r="S54" s="229">
        <f>[1]Планки!O54</f>
        <v>46</v>
      </c>
      <c r="T54" s="138">
        <f>[1]Планки!P54</f>
        <v>55</v>
      </c>
      <c r="U54" s="138">
        <f>[1]Планки!Q54</f>
        <v>105</v>
      </c>
      <c r="V54" s="230" t="str">
        <f>[1]Планки!R54</f>
        <v>модель нашита  (L4=34 L5=43 L6=93)</v>
      </c>
      <c r="AB54" s="220"/>
      <c r="AC54" s="220">
        <f>'[2]Изложницы без бурта'!A54</f>
        <v>0</v>
      </c>
      <c r="AD54" s="220">
        <f>'[2]Изложницы без бурта'!B54</f>
        <v>77.5</v>
      </c>
      <c r="AE54" s="220">
        <f>'[2]Изложницы без бурта'!C54</f>
        <v>240</v>
      </c>
      <c r="AF54" s="56">
        <f>'[2]Изложницы без бурта'!D54</f>
        <v>140</v>
      </c>
      <c r="AG54" s="56">
        <f>'[2]Изложницы без бурта'!E54</f>
        <v>115</v>
      </c>
      <c r="AH54" s="56" t="str">
        <f>'[2]Изложницы без бурта'!F54</f>
        <v>7211867-8</v>
      </c>
      <c r="AI54" s="56">
        <f>'[2]Изложницы без бурта'!G54</f>
        <v>0</v>
      </c>
      <c r="AJ54" s="56">
        <f>'[2]Изложницы без бурта'!H54</f>
        <v>0</v>
      </c>
      <c r="AK54" s="56">
        <f>'[2]Изложницы без бурта'!I54</f>
        <v>0</v>
      </c>
      <c r="AL54" s="56">
        <f>'[2]Изложницы без бурта'!J54</f>
        <v>0</v>
      </c>
      <c r="AM54" s="56">
        <f>'[2]Изложницы без бурта'!K54</f>
        <v>670</v>
      </c>
      <c r="AR54" s="369">
        <v>312</v>
      </c>
      <c r="AS54" s="368">
        <v>237.5</v>
      </c>
      <c r="AT54" s="368">
        <v>320</v>
      </c>
      <c r="AU54" s="368">
        <v>275</v>
      </c>
      <c r="AV54" s="368">
        <v>375</v>
      </c>
      <c r="AW54" s="368">
        <v>450</v>
      </c>
      <c r="AX54" s="393" t="s">
        <v>505</v>
      </c>
    </row>
    <row r="55" spans="1:50" ht="15" thickBot="1" x14ac:dyDescent="0.3">
      <c r="A55" s="252" t="s">
        <v>173</v>
      </c>
      <c r="B55" s="248" t="s">
        <v>174</v>
      </c>
      <c r="C55" s="56">
        <v>50</v>
      </c>
      <c r="D55" s="253">
        <v>65</v>
      </c>
      <c r="E55" s="56">
        <v>65</v>
      </c>
      <c r="F55" s="253">
        <v>120</v>
      </c>
      <c r="G55" s="56">
        <v>130</v>
      </c>
      <c r="H55" s="253">
        <v>20</v>
      </c>
      <c r="I55" s="56">
        <v>80</v>
      </c>
      <c r="L55" s="228">
        <f>[1]Планки!H55</f>
        <v>51</v>
      </c>
      <c r="M55" s="138">
        <f>[1]Планки!I55</f>
        <v>805</v>
      </c>
      <c r="N55" s="138">
        <f>[1]Планки!J55</f>
        <v>105</v>
      </c>
      <c r="O55" s="229">
        <f>[1]Планки!K55</f>
        <v>700</v>
      </c>
      <c r="P55" s="229">
        <f>[1]Планки!L55</f>
        <v>165</v>
      </c>
      <c r="Q55" s="138">
        <f>[1]Планки!M55</f>
        <v>180</v>
      </c>
      <c r="R55" s="138">
        <f>[1]Планки!N55</f>
        <v>200</v>
      </c>
      <c r="S55" s="229">
        <f>[1]Планки!O55</f>
        <v>29</v>
      </c>
      <c r="T55" s="138">
        <f>[1]Планки!P55</f>
        <v>35</v>
      </c>
      <c r="U55" s="138">
        <f>[1]Планки!Q55</f>
        <v>80</v>
      </c>
      <c r="V55" s="230">
        <f>[1]Планки!R55</f>
        <v>0</v>
      </c>
      <c r="AB55" s="220"/>
      <c r="AC55" s="220">
        <f>'[2]Изложницы без бурта'!A55</f>
        <v>0</v>
      </c>
      <c r="AD55" s="220">
        <f>'[2]Изложницы без бурта'!B55</f>
        <v>77.5</v>
      </c>
      <c r="AE55" s="220">
        <f>'[2]Изложницы без бурта'!C55</f>
        <v>240</v>
      </c>
      <c r="AF55" s="56">
        <f>'[2]Изложницы без бурта'!D55</f>
        <v>140</v>
      </c>
      <c r="AG55" s="56">
        <f>'[2]Изложницы без бурта'!E55</f>
        <v>115</v>
      </c>
      <c r="AH55" s="56" t="str">
        <f>'[2]Изложницы без бурта'!F55</f>
        <v>7211867-8</v>
      </c>
      <c r="AI55" s="56">
        <f>'[2]Изложницы без бурта'!G55</f>
        <v>0</v>
      </c>
      <c r="AJ55" s="56">
        <f>'[2]Изложницы без бурта'!H55</f>
        <v>0</v>
      </c>
      <c r="AK55" s="56">
        <f>'[2]Изложницы без бурта'!I55</f>
        <v>0</v>
      </c>
      <c r="AL55" s="56">
        <f>'[2]Изложницы без бурта'!J55</f>
        <v>0</v>
      </c>
      <c r="AM55" s="56">
        <f>'[2]Изложницы без бурта'!K55</f>
        <v>700</v>
      </c>
      <c r="AR55" s="376">
        <v>370</v>
      </c>
      <c r="AS55" s="377">
        <v>237.5</v>
      </c>
      <c r="AT55" s="368">
        <v>200</v>
      </c>
      <c r="AU55" s="368">
        <v>135</v>
      </c>
      <c r="AV55" s="368">
        <v>415</v>
      </c>
      <c r="AW55" s="368">
        <v>450</v>
      </c>
      <c r="AX55" s="393" t="s">
        <v>535</v>
      </c>
    </row>
    <row r="56" spans="1:50" ht="14.4" x14ac:dyDescent="0.25">
      <c r="L56" s="228">
        <f>[1]Планки!H56</f>
        <v>43</v>
      </c>
      <c r="M56" s="138">
        <f>[1]Планки!I56</f>
        <v>850</v>
      </c>
      <c r="N56" s="138">
        <f>[1]Планки!J56</f>
        <v>150</v>
      </c>
      <c r="O56" s="229">
        <f>[1]Планки!K56</f>
        <v>700</v>
      </c>
      <c r="P56" s="229">
        <f>[1]Планки!L56</f>
        <v>363</v>
      </c>
      <c r="Q56" s="138">
        <f>[1]Планки!M56</f>
        <v>385</v>
      </c>
      <c r="R56" s="138">
        <f>[1]Планки!N56</f>
        <v>410</v>
      </c>
      <c r="S56" s="229">
        <f>[1]Планки!O56</f>
        <v>32</v>
      </c>
      <c r="T56" s="138">
        <f>[1]Планки!P56</f>
        <v>45</v>
      </c>
      <c r="U56" s="138">
        <f>[1]Планки!Q56</f>
        <v>100</v>
      </c>
      <c r="V56" s="230">
        <f>[1]Планки!R56</f>
        <v>0</v>
      </c>
      <c r="AB56" s="220"/>
      <c r="AC56" s="220">
        <f>'[2]Изложницы без бурта'!A56</f>
        <v>0</v>
      </c>
      <c r="AD56" s="220">
        <f>'[2]Изложницы без бурта'!B56</f>
        <v>80</v>
      </c>
      <c r="AE56" s="220">
        <f>'[2]Изложницы без бурта'!C56</f>
        <v>245</v>
      </c>
      <c r="AF56" s="56">
        <f>'[2]Изложницы без бурта'!D56</f>
        <v>140</v>
      </c>
      <c r="AG56" s="56">
        <f>'[2]Изложницы без бурта'!E56</f>
        <v>115</v>
      </c>
      <c r="AH56" s="56" t="str">
        <f>'[2]Изложницы без бурта'!F56</f>
        <v>7211867-9</v>
      </c>
      <c r="AI56" s="56">
        <f>'[2]Изложницы без бурта'!G56</f>
        <v>0</v>
      </c>
      <c r="AJ56" s="56">
        <f>'[2]Изложницы без бурта'!H56</f>
        <v>0</v>
      </c>
      <c r="AK56" s="56">
        <f>'[2]Изложницы без бурта'!I56</f>
        <v>0</v>
      </c>
      <c r="AL56" s="56">
        <f>'[2]Изложницы без бурта'!J56</f>
        <v>0</v>
      </c>
      <c r="AM56" s="56">
        <f>'[2]Изложницы без бурта'!K56</f>
        <v>0</v>
      </c>
      <c r="AR56" s="367">
        <v>290</v>
      </c>
      <c r="AS56" s="368">
        <v>240</v>
      </c>
      <c r="AT56" s="368">
        <v>260</v>
      </c>
      <c r="AU56" s="368">
        <v>205</v>
      </c>
      <c r="AV56" s="368">
        <v>375</v>
      </c>
      <c r="AW56" s="368">
        <v>450</v>
      </c>
      <c r="AX56" s="393" t="s">
        <v>536</v>
      </c>
    </row>
    <row r="57" spans="1:50" ht="14.4" x14ac:dyDescent="0.25">
      <c r="A57" s="255" t="s">
        <v>123</v>
      </c>
      <c r="B57" s="256" t="s">
        <v>175</v>
      </c>
      <c r="C57" s="1725" t="s">
        <v>176</v>
      </c>
      <c r="D57" s="1725"/>
      <c r="E57" s="1725"/>
      <c r="F57" s="250"/>
      <c r="G57" s="250" t="s">
        <v>150</v>
      </c>
      <c r="H57" s="249"/>
      <c r="I57" s="249"/>
      <c r="L57" s="228">
        <f>[1]Планки!H57</f>
        <v>31</v>
      </c>
      <c r="M57" s="138">
        <f>[1]Планки!I57</f>
        <v>880</v>
      </c>
      <c r="N57" s="138">
        <f>[1]Планки!J57</f>
        <v>165</v>
      </c>
      <c r="O57" s="229">
        <f>[1]Планки!K57</f>
        <v>715</v>
      </c>
      <c r="P57" s="229">
        <f>[1]Планки!L57</f>
        <v>295</v>
      </c>
      <c r="Q57" s="138">
        <f>[1]Планки!M57</f>
        <v>315</v>
      </c>
      <c r="R57" s="138">
        <f>[1]Планки!N57</f>
        <v>355</v>
      </c>
      <c r="S57" s="229">
        <f>[1]Планки!O57</f>
        <v>55</v>
      </c>
      <c r="T57" s="138">
        <f>[1]Планки!P57</f>
        <v>70</v>
      </c>
      <c r="U57" s="138">
        <f>[1]Планки!Q57</f>
        <v>135</v>
      </c>
      <c r="V57" s="230" t="str">
        <f>[1]Планки!R57</f>
        <v>модель нашита  (L4=38 L5=53 L6=118)</v>
      </c>
      <c r="AB57" s="220"/>
      <c r="AC57" s="220">
        <f>'[2]Изложницы без бурта'!A57</f>
        <v>0</v>
      </c>
      <c r="AD57" s="220">
        <f>'[2]Изложницы без бурта'!B57</f>
        <v>80</v>
      </c>
      <c r="AE57" s="220">
        <f>'[2]Изложницы без бурта'!C57</f>
        <v>240</v>
      </c>
      <c r="AF57" s="56">
        <f>'[2]Изложницы без бурта'!D57</f>
        <v>140</v>
      </c>
      <c r="AG57" s="56">
        <f>'[2]Изложницы без бурта'!E57</f>
        <v>115</v>
      </c>
      <c r="AH57" s="56" t="str">
        <f>'[2]Изложницы без бурта'!F57</f>
        <v>7211867-9</v>
      </c>
      <c r="AI57" s="56">
        <f>'[2]Изложницы без бурта'!G57</f>
        <v>0</v>
      </c>
      <c r="AJ57" s="56">
        <f>'[2]Изложницы без бурта'!H57</f>
        <v>0</v>
      </c>
      <c r="AK57" s="56">
        <f>'[2]Изложницы без бурта'!I57</f>
        <v>0</v>
      </c>
      <c r="AL57" s="56">
        <f>'[2]Изложницы без бурта'!J57</f>
        <v>0</v>
      </c>
      <c r="AM57" s="56">
        <f>'[2]Изложницы без бурта'!K57</f>
        <v>0</v>
      </c>
      <c r="AR57" s="368">
        <v>290</v>
      </c>
      <c r="AS57" s="368">
        <v>240</v>
      </c>
      <c r="AT57" s="368">
        <v>260</v>
      </c>
      <c r="AU57" s="368">
        <v>205</v>
      </c>
      <c r="AV57" s="368">
        <v>375</v>
      </c>
      <c r="AW57" s="368">
        <v>450</v>
      </c>
      <c r="AX57" s="393" t="s">
        <v>536</v>
      </c>
    </row>
    <row r="58" spans="1:50" ht="14.4" x14ac:dyDescent="0.25">
      <c r="A58" s="252"/>
      <c r="B58" s="256" t="s">
        <v>177</v>
      </c>
      <c r="C58" s="249" t="s">
        <v>151</v>
      </c>
      <c r="D58" s="249" t="s">
        <v>152</v>
      </c>
      <c r="E58" s="249" t="s">
        <v>153</v>
      </c>
      <c r="F58" s="250" t="s">
        <v>178</v>
      </c>
      <c r="G58" s="250" t="s">
        <v>179</v>
      </c>
      <c r="H58" s="251" t="s">
        <v>180</v>
      </c>
      <c r="I58" s="251" t="s">
        <v>181</v>
      </c>
      <c r="L58" s="228">
        <f>[1]Планки!H58</f>
        <v>91</v>
      </c>
      <c r="M58" s="138">
        <f>[1]Планки!I58</f>
        <v>895</v>
      </c>
      <c r="N58" s="138">
        <f>[1]Планки!J58</f>
        <v>175</v>
      </c>
      <c r="O58" s="229">
        <f>[1]Планки!K58</f>
        <v>720</v>
      </c>
      <c r="P58" s="229">
        <f>[1]Планки!L58</f>
        <v>180</v>
      </c>
      <c r="Q58" s="138">
        <f>[1]Планки!M58</f>
        <v>234</v>
      </c>
      <c r="R58" s="138">
        <f>[1]Планки!N58</f>
        <v>270</v>
      </c>
      <c r="S58" s="229">
        <f>[1]Планки!O58</f>
        <v>45</v>
      </c>
      <c r="T58" s="138">
        <f>[1]Планки!P58</f>
        <v>60</v>
      </c>
      <c r="U58" s="138">
        <f>[1]Планки!Q58</f>
        <v>125</v>
      </c>
      <c r="V58" s="230" t="str">
        <f>[1]Планки!R58</f>
        <v>модель нашита  (L4=40 L5=55 L6=120)</v>
      </c>
      <c r="AB58" s="220"/>
      <c r="AC58" s="220">
        <f>'[2]Изложницы без бурта'!A58</f>
        <v>0</v>
      </c>
      <c r="AD58" s="220">
        <f>'[2]Изложницы без бурта'!B58</f>
        <v>80</v>
      </c>
      <c r="AE58" s="220">
        <f>'[2]Изложницы без бурта'!C58</f>
        <v>240</v>
      </c>
      <c r="AF58" s="56">
        <f>'[2]Изложницы без бурта'!D58</f>
        <v>140</v>
      </c>
      <c r="AG58" s="56">
        <f>'[2]Изложницы без бурта'!E58</f>
        <v>115</v>
      </c>
      <c r="AH58" s="56" t="str">
        <f>'[2]Изложницы без бурта'!F58</f>
        <v>7211867-9</v>
      </c>
      <c r="AI58" s="56">
        <f>'[2]Изложницы без бурта'!G58</f>
        <v>0</v>
      </c>
      <c r="AJ58" s="56">
        <f>'[2]Изложницы без бурта'!H58</f>
        <v>0</v>
      </c>
      <c r="AK58" s="56">
        <f>'[2]Изложницы без бурта'!I58</f>
        <v>0</v>
      </c>
      <c r="AL58" s="56">
        <f>'[2]Изложницы без бурта'!J58</f>
        <v>0</v>
      </c>
      <c r="AM58" s="56">
        <f>'[2]Изложницы без бурта'!K58</f>
        <v>0</v>
      </c>
      <c r="AR58" s="368">
        <v>281</v>
      </c>
      <c r="AS58" s="368">
        <v>242.5</v>
      </c>
      <c r="AT58" s="368">
        <v>260</v>
      </c>
      <c r="AU58" s="368">
        <v>200</v>
      </c>
      <c r="AV58" s="368">
        <v>375</v>
      </c>
      <c r="AW58" s="368">
        <v>450</v>
      </c>
      <c r="AX58" s="393" t="s">
        <v>506</v>
      </c>
    </row>
    <row r="59" spans="1:50" ht="14.4" x14ac:dyDescent="0.25">
      <c r="A59" s="255"/>
      <c r="L59" s="228">
        <f>[1]Планки!H59</f>
        <v>107</v>
      </c>
      <c r="M59" s="138">
        <f>[1]Планки!I59</f>
        <v>880</v>
      </c>
      <c r="N59" s="138">
        <f>[1]Планки!J59</f>
        <v>150</v>
      </c>
      <c r="O59" s="229">
        <f>[1]Планки!K59</f>
        <v>730</v>
      </c>
      <c r="P59" s="229">
        <f>[1]Планки!L59</f>
        <v>210</v>
      </c>
      <c r="Q59" s="138">
        <f>[1]Планки!M59</f>
        <v>225</v>
      </c>
      <c r="R59" s="138">
        <f>[1]Планки!N59</f>
        <v>260</v>
      </c>
      <c r="S59" s="229">
        <f>[1]Планки!O59</f>
        <v>31</v>
      </c>
      <c r="T59" s="138">
        <f>[1]Планки!P59</f>
        <v>44</v>
      </c>
      <c r="U59" s="138">
        <f>[1]Планки!Q59</f>
        <v>110</v>
      </c>
      <c r="V59" s="230">
        <f>[1]Планки!R59</f>
        <v>0</v>
      </c>
      <c r="AB59" s="220"/>
      <c r="AC59" s="220">
        <f>'[2]Изложницы без бурта'!A59</f>
        <v>0</v>
      </c>
      <c r="AD59" s="220">
        <f>'[2]Изложницы без бурта'!B59</f>
        <v>80</v>
      </c>
      <c r="AE59" s="220">
        <f>'[2]Изложницы без бурта'!C59</f>
        <v>245</v>
      </c>
      <c r="AF59" s="56">
        <f>'[2]Изложницы без бурта'!D59</f>
        <v>140</v>
      </c>
      <c r="AG59" s="56">
        <f>'[2]Изложницы без бурта'!E59</f>
        <v>115</v>
      </c>
      <c r="AH59" s="56" t="str">
        <f>'[2]Изложницы без бурта'!F59</f>
        <v>7211867-9</v>
      </c>
      <c r="AI59" s="56">
        <f>'[2]Изложницы без бурта'!G59</f>
        <v>0</v>
      </c>
      <c r="AJ59" s="56">
        <f>'[2]Изложницы без бурта'!H59</f>
        <v>0</v>
      </c>
      <c r="AK59" s="56">
        <f>'[2]Изложницы без бурта'!I59</f>
        <v>0</v>
      </c>
      <c r="AL59" s="56">
        <f>'[2]Изложницы без бурта'!J59</f>
        <v>0</v>
      </c>
      <c r="AM59" s="56">
        <f>'[2]Изложницы без бурта'!K59</f>
        <v>0</v>
      </c>
      <c r="AR59" s="368">
        <v>279</v>
      </c>
      <c r="AS59" s="368">
        <v>245</v>
      </c>
      <c r="AT59" s="368">
        <v>260</v>
      </c>
      <c r="AU59" s="368">
        <v>210</v>
      </c>
      <c r="AV59" s="368">
        <v>375</v>
      </c>
      <c r="AW59" s="368">
        <v>450</v>
      </c>
      <c r="AX59" s="393" t="s">
        <v>506</v>
      </c>
    </row>
    <row r="60" spans="1:50" ht="14.4" x14ac:dyDescent="0.25">
      <c r="A60" s="255" t="s">
        <v>182</v>
      </c>
      <c r="B60" s="246">
        <v>4</v>
      </c>
      <c r="C60" s="56">
        <v>21</v>
      </c>
      <c r="D60" s="56">
        <v>18</v>
      </c>
      <c r="E60" s="56">
        <v>23</v>
      </c>
      <c r="F60" s="56">
        <v>60</v>
      </c>
      <c r="G60" s="56">
        <v>33</v>
      </c>
      <c r="H60" s="56">
        <v>27</v>
      </c>
      <c r="I60" s="56">
        <v>36</v>
      </c>
      <c r="L60" s="228">
        <f>[1]Планки!H60</f>
        <v>54</v>
      </c>
      <c r="M60" s="138">
        <f>[1]Планки!I60</f>
        <v>900</v>
      </c>
      <c r="N60" s="138">
        <f>[1]Планки!J60</f>
        <v>165</v>
      </c>
      <c r="O60" s="229">
        <f>[1]Планки!K60</f>
        <v>735</v>
      </c>
      <c r="P60" s="229">
        <f>[1]Планки!L60</f>
        <v>235</v>
      </c>
      <c r="Q60" s="138">
        <f>[1]Планки!M60</f>
        <v>250</v>
      </c>
      <c r="R60" s="138">
        <f>[1]Планки!N60</f>
        <v>305</v>
      </c>
      <c r="S60" s="229">
        <f>[1]Планки!O60</f>
        <v>130</v>
      </c>
      <c r="T60" s="138">
        <f>[1]Планки!P60</f>
        <v>140</v>
      </c>
      <c r="U60" s="138">
        <f>[1]Планки!Q60</f>
        <v>215</v>
      </c>
      <c r="V60" s="230" t="str">
        <f>[1]Планки!R60</f>
        <v>модель нашита  (L4=40 L5=52 L6=120)</v>
      </c>
      <c r="AB60" s="220"/>
      <c r="AC60" s="220">
        <f>'[2]Изложницы без бурта'!A60</f>
        <v>0</v>
      </c>
      <c r="AD60" s="220">
        <f>'[2]Изложницы без бурта'!B60</f>
        <v>80</v>
      </c>
      <c r="AE60" s="220">
        <f>'[2]Изложницы без бурта'!C60</f>
        <v>245</v>
      </c>
      <c r="AF60" s="56">
        <f>'[2]Изложницы без бурта'!D60</f>
        <v>140</v>
      </c>
      <c r="AG60" s="56">
        <f>'[2]Изложницы без бурта'!E60</f>
        <v>115</v>
      </c>
      <c r="AH60" s="56" t="str">
        <f>'[2]Изложницы без бурта'!F60</f>
        <v>7211867-9</v>
      </c>
      <c r="AI60" s="56">
        <f>'[2]Изложницы без бурта'!G60</f>
        <v>0</v>
      </c>
      <c r="AJ60" s="56">
        <f>'[2]Изложницы без бурта'!H60</f>
        <v>0</v>
      </c>
      <c r="AK60" s="56">
        <f>'[2]Изложницы без бурта'!I60</f>
        <v>0</v>
      </c>
      <c r="AL60" s="56">
        <f>'[2]Изложницы без бурта'!J60</f>
        <v>0</v>
      </c>
      <c r="AM60" s="56">
        <f>'[2]Изложницы без бурта'!K60</f>
        <v>0</v>
      </c>
      <c r="AR60" s="368">
        <v>279</v>
      </c>
      <c r="AS60" s="368">
        <v>245</v>
      </c>
      <c r="AT60" s="368">
        <v>260</v>
      </c>
      <c r="AU60" s="368">
        <v>210</v>
      </c>
      <c r="AV60" s="368">
        <v>375</v>
      </c>
      <c r="AW60" s="368">
        <v>450</v>
      </c>
      <c r="AX60" s="393" t="s">
        <v>506</v>
      </c>
    </row>
    <row r="61" spans="1:50" ht="14.4" x14ac:dyDescent="0.25">
      <c r="A61" s="255" t="s">
        <v>183</v>
      </c>
      <c r="B61" s="246">
        <v>4</v>
      </c>
      <c r="C61" s="56">
        <v>24</v>
      </c>
      <c r="D61" s="56">
        <v>18</v>
      </c>
      <c r="E61" s="56">
        <v>24</v>
      </c>
      <c r="F61" s="56">
        <v>65</v>
      </c>
      <c r="G61" s="56">
        <v>34</v>
      </c>
      <c r="H61" s="56">
        <v>28</v>
      </c>
      <c r="I61" s="56">
        <v>39</v>
      </c>
      <c r="L61" s="228">
        <f>[1]Планки!H61</f>
        <v>47</v>
      </c>
      <c r="M61" s="138">
        <f>[1]Планки!I61</f>
        <v>940</v>
      </c>
      <c r="N61" s="138">
        <f>[1]Планки!J61</f>
        <v>200</v>
      </c>
      <c r="O61" s="229">
        <f>[1]Планки!K61</f>
        <v>740</v>
      </c>
      <c r="P61" s="229">
        <f>[1]Планки!L61</f>
        <v>200</v>
      </c>
      <c r="Q61" s="138">
        <f>[1]Планки!M61</f>
        <v>215</v>
      </c>
      <c r="R61" s="138">
        <f>[1]Планки!N61</f>
        <v>267</v>
      </c>
      <c r="S61" s="229">
        <f>[1]Планки!O61</f>
        <v>46</v>
      </c>
      <c r="T61" s="138">
        <f>[1]Планки!P61</f>
        <v>55</v>
      </c>
      <c r="U61" s="138">
        <f>[1]Планки!Q61</f>
        <v>140</v>
      </c>
      <c r="V61" s="230">
        <f>[1]Планки!R61</f>
        <v>0</v>
      </c>
      <c r="AB61" s="220"/>
      <c r="AC61" s="220">
        <f>'[2]Изложницы без бурта'!A61</f>
        <v>0</v>
      </c>
      <c r="AD61" s="220">
        <f>'[2]Изложницы без бурта'!B61</f>
        <v>80</v>
      </c>
      <c r="AE61" s="220">
        <f>'[2]Изложницы без бурта'!C61</f>
        <v>245</v>
      </c>
      <c r="AF61" s="56">
        <f>'[2]Изложницы без бурта'!D61</f>
        <v>140</v>
      </c>
      <c r="AG61" s="56">
        <f>'[2]Изложницы без бурта'!E61</f>
        <v>115</v>
      </c>
      <c r="AH61" s="56" t="str">
        <f>'[2]Изложницы без бурта'!F61</f>
        <v>7211867-9</v>
      </c>
      <c r="AI61" s="56">
        <f>'[2]Изложницы без бурта'!G61</f>
        <v>0</v>
      </c>
      <c r="AJ61" s="56">
        <f>'[2]Изложницы без бурта'!H61</f>
        <v>0</v>
      </c>
      <c r="AK61" s="56">
        <f>'[2]Изложницы без бурта'!I61</f>
        <v>0</v>
      </c>
      <c r="AL61" s="56">
        <f>'[2]Изложницы без бурта'!J61</f>
        <v>0</v>
      </c>
      <c r="AM61" s="56">
        <f>'[2]Изложницы без бурта'!K61</f>
        <v>0</v>
      </c>
      <c r="AR61" s="368">
        <v>280</v>
      </c>
      <c r="AS61" s="368">
        <v>245</v>
      </c>
      <c r="AT61" s="368">
        <v>260</v>
      </c>
      <c r="AU61" s="368">
        <v>205</v>
      </c>
      <c r="AV61" s="368">
        <v>375</v>
      </c>
      <c r="AW61" s="368">
        <v>450</v>
      </c>
      <c r="AX61" s="393" t="s">
        <v>506</v>
      </c>
    </row>
    <row r="62" spans="1:50" ht="14.4" x14ac:dyDescent="0.25">
      <c r="A62" s="255" t="s">
        <v>184</v>
      </c>
      <c r="B62" s="246">
        <v>6</v>
      </c>
      <c r="C62" s="56">
        <v>21</v>
      </c>
      <c r="D62" s="56">
        <v>17</v>
      </c>
      <c r="E62" s="56">
        <v>21</v>
      </c>
      <c r="F62" s="56">
        <v>70</v>
      </c>
      <c r="G62" s="56">
        <v>36</v>
      </c>
      <c r="H62" s="56">
        <v>30</v>
      </c>
      <c r="I62" s="56">
        <v>44</v>
      </c>
      <c r="L62" s="228">
        <f>[1]Планки!H62</f>
        <v>62</v>
      </c>
      <c r="M62" s="138">
        <f>[1]Планки!I62</f>
        <v>910</v>
      </c>
      <c r="N62" s="138">
        <f>[1]Планки!J62</f>
        <v>170</v>
      </c>
      <c r="O62" s="229">
        <f>[1]Планки!K62</f>
        <v>740</v>
      </c>
      <c r="P62" s="229">
        <f>[1]Планки!L62</f>
        <v>237</v>
      </c>
      <c r="Q62" s="138">
        <f>[1]Планки!M62</f>
        <v>245</v>
      </c>
      <c r="R62" s="138">
        <f>[1]Планки!N62</f>
        <v>295</v>
      </c>
      <c r="S62" s="229">
        <f>[1]Планки!O62</f>
        <v>47</v>
      </c>
      <c r="T62" s="138">
        <f>[1]Планки!P62</f>
        <v>52</v>
      </c>
      <c r="U62" s="138">
        <f>[1]Планки!Q62</f>
        <v>120</v>
      </c>
      <c r="V62" s="230" t="str">
        <f>[1]Планки!R62</f>
        <v>модель нашита  (L4=37 L5=42 L6=110)</v>
      </c>
      <c r="AB62" s="220"/>
      <c r="AC62" s="220">
        <f>'[2]Изложницы без бурта'!A62</f>
        <v>0</v>
      </c>
      <c r="AD62" s="220">
        <f>'[2]Изложницы без бурта'!B62</f>
        <v>80</v>
      </c>
      <c r="AE62" s="220">
        <f>'[2]Изложницы без бурта'!C62</f>
        <v>245</v>
      </c>
      <c r="AF62" s="56">
        <f>'[2]Изложницы без бурта'!D62</f>
        <v>140</v>
      </c>
      <c r="AG62" s="56">
        <f>'[2]Изложницы без бурта'!E62</f>
        <v>115</v>
      </c>
      <c r="AH62" s="56" t="str">
        <f>'[2]Изложницы без бурта'!F62</f>
        <v>7211867-9</v>
      </c>
      <c r="AI62" s="56">
        <f>'[2]Изложницы без бурта'!G62</f>
        <v>0</v>
      </c>
      <c r="AJ62" s="56">
        <f>'[2]Изложницы без бурта'!H62</f>
        <v>0</v>
      </c>
      <c r="AK62" s="56">
        <f>'[2]Изложницы без бурта'!I62</f>
        <v>0</v>
      </c>
      <c r="AL62" s="56">
        <f>'[2]Изложницы без бурта'!J62</f>
        <v>0</v>
      </c>
      <c r="AM62" s="56">
        <f>'[2]Изложницы без бурта'!K62</f>
        <v>0</v>
      </c>
      <c r="AR62" s="368">
        <v>345</v>
      </c>
      <c r="AS62" s="369">
        <v>245</v>
      </c>
      <c r="AT62" s="368">
        <v>260</v>
      </c>
      <c r="AU62" s="368">
        <v>190</v>
      </c>
      <c r="AV62" s="368">
        <v>375</v>
      </c>
      <c r="AW62" s="368">
        <v>450</v>
      </c>
      <c r="AX62" s="393" t="s">
        <v>506</v>
      </c>
    </row>
    <row r="63" spans="1:50" ht="14.4" x14ac:dyDescent="0.25">
      <c r="A63" s="255" t="s">
        <v>185</v>
      </c>
      <c r="B63" s="246">
        <v>6</v>
      </c>
      <c r="C63" s="56">
        <v>24</v>
      </c>
      <c r="D63" s="56">
        <v>18</v>
      </c>
      <c r="E63" s="56">
        <v>24</v>
      </c>
      <c r="F63" s="56">
        <v>75</v>
      </c>
      <c r="G63" s="56">
        <v>40</v>
      </c>
      <c r="H63" s="56">
        <v>32</v>
      </c>
      <c r="I63" s="56">
        <v>50</v>
      </c>
      <c r="L63" s="228">
        <f>[1]Планки!H63</f>
        <v>120</v>
      </c>
      <c r="M63" s="138">
        <f>[1]Планки!I63</f>
        <v>940</v>
      </c>
      <c r="N63" s="138">
        <f>[1]Планки!J63</f>
        <v>200</v>
      </c>
      <c r="O63" s="229">
        <f>[1]Планки!K63</f>
        <v>740</v>
      </c>
      <c r="P63" s="229">
        <f>[1]Планки!L63</f>
        <v>340</v>
      </c>
      <c r="Q63" s="138">
        <f>[1]Планки!M63</f>
        <v>355</v>
      </c>
      <c r="R63" s="138">
        <f>[1]Планки!N63</f>
        <v>395</v>
      </c>
      <c r="S63" s="229">
        <f>[1]Планки!O63</f>
        <v>50</v>
      </c>
      <c r="T63" s="138">
        <f>[1]Планки!P63</f>
        <v>60</v>
      </c>
      <c r="U63" s="138">
        <f>[1]Планки!Q63</f>
        <v>135</v>
      </c>
      <c r="V63" s="230">
        <f>[1]Планки!R63</f>
        <v>0</v>
      </c>
      <c r="AB63" s="220"/>
      <c r="AC63" s="220">
        <f>'[2]Изложницы без бурта'!A63</f>
        <v>0</v>
      </c>
      <c r="AD63" s="220">
        <f>'[2]Изложницы без бурта'!B63</f>
        <v>80</v>
      </c>
      <c r="AE63" s="220">
        <f>'[2]Изложницы без бурта'!C63</f>
        <v>245</v>
      </c>
      <c r="AF63" s="56">
        <f>'[2]Изложницы без бурта'!D63</f>
        <v>140</v>
      </c>
      <c r="AG63" s="56">
        <f>'[2]Изложницы без бурта'!E63</f>
        <v>115</v>
      </c>
      <c r="AH63" s="56" t="str">
        <f>'[2]Изложницы без бурта'!F63</f>
        <v>7211867-9</v>
      </c>
      <c r="AI63" s="56">
        <f>'[2]Изложницы без бурта'!G63</f>
        <v>0</v>
      </c>
      <c r="AJ63" s="56">
        <f>'[2]Изложницы без бурта'!H63</f>
        <v>0</v>
      </c>
      <c r="AK63" s="56">
        <f>'[2]Изложницы без бурта'!I63</f>
        <v>0</v>
      </c>
      <c r="AL63" s="56">
        <f>'[2]Изложницы без бурта'!J63</f>
        <v>0</v>
      </c>
      <c r="AM63" s="56">
        <f>'[2]Изложницы без бурта'!K63</f>
        <v>0</v>
      </c>
      <c r="AR63" s="375">
        <v>281</v>
      </c>
      <c r="AS63" s="386">
        <v>250</v>
      </c>
      <c r="AT63" s="377">
        <v>260</v>
      </c>
      <c r="AU63" s="368">
        <v>210</v>
      </c>
      <c r="AV63" s="368">
        <v>375</v>
      </c>
      <c r="AW63" s="368">
        <v>450</v>
      </c>
      <c r="AX63" s="393" t="s">
        <v>507</v>
      </c>
    </row>
    <row r="64" spans="1:50" ht="14.4" x14ac:dyDescent="0.25">
      <c r="A64" s="255" t="s">
        <v>186</v>
      </c>
      <c r="B64" s="246">
        <v>6</v>
      </c>
      <c r="C64" s="56">
        <v>25</v>
      </c>
      <c r="D64" s="56">
        <v>20</v>
      </c>
      <c r="E64" s="56">
        <v>25</v>
      </c>
      <c r="F64" s="56">
        <v>80</v>
      </c>
      <c r="G64" s="56">
        <v>42</v>
      </c>
      <c r="H64" s="56">
        <v>35</v>
      </c>
      <c r="I64" s="56">
        <v>55</v>
      </c>
      <c r="L64" s="228">
        <f>[1]Планки!H64</f>
        <v>15</v>
      </c>
      <c r="M64" s="138">
        <f>[1]Планки!I64</f>
        <v>925</v>
      </c>
      <c r="N64" s="138">
        <f>[1]Планки!J64</f>
        <v>180</v>
      </c>
      <c r="O64" s="229">
        <f>[1]Планки!K64</f>
        <v>745</v>
      </c>
      <c r="P64" s="229">
        <f>[1]Планки!L64</f>
        <v>360</v>
      </c>
      <c r="Q64" s="138">
        <f>[1]Планки!M64</f>
        <v>380</v>
      </c>
      <c r="R64" s="138">
        <f>[1]Планки!N64</f>
        <v>405</v>
      </c>
      <c r="S64" s="229">
        <f>[1]Планки!O64</f>
        <v>85</v>
      </c>
      <c r="T64" s="138">
        <f>[1]Планки!P64</f>
        <v>98</v>
      </c>
      <c r="U64" s="138">
        <f>[1]Планки!Q64</f>
        <v>160</v>
      </c>
      <c r="V64" s="230" t="str">
        <f>[1]Планки!R64</f>
        <v>модель нашита  (L4=37 L5=47 L6=115)</v>
      </c>
      <c r="AB64" s="220"/>
      <c r="AC64" s="220">
        <f>'[2]Изложницы без бурта'!A64</f>
        <v>0</v>
      </c>
      <c r="AD64" s="220">
        <f>'[2]Изложницы без бурта'!B64</f>
        <v>80</v>
      </c>
      <c r="AE64" s="220">
        <f>'[2]Изложницы без бурта'!C64</f>
        <v>245</v>
      </c>
      <c r="AF64" s="56">
        <f>'[2]Изложницы без бурта'!D64</f>
        <v>140</v>
      </c>
      <c r="AG64" s="56">
        <f>'[2]Изложницы без бурта'!E64</f>
        <v>115</v>
      </c>
      <c r="AH64" s="56" t="str">
        <f>'[2]Изложницы без бурта'!F64</f>
        <v>7211867-9</v>
      </c>
      <c r="AI64" s="56">
        <f>'[2]Изложницы без бурта'!G64</f>
        <v>0</v>
      </c>
      <c r="AJ64" s="56">
        <f>'[2]Изложницы без бурта'!H64</f>
        <v>0</v>
      </c>
      <c r="AK64" s="56">
        <f>'[2]Изложницы без бурта'!I64</f>
        <v>0</v>
      </c>
      <c r="AL64" s="56">
        <f>'[2]Изложницы без бурта'!J64</f>
        <v>0</v>
      </c>
      <c r="AM64" s="56">
        <f>'[2]Изложницы без бурта'!K64</f>
        <v>0</v>
      </c>
      <c r="AR64" s="368">
        <v>280</v>
      </c>
      <c r="AS64" s="367">
        <v>250</v>
      </c>
      <c r="AT64" s="368">
        <v>320</v>
      </c>
      <c r="AU64" s="368">
        <v>265</v>
      </c>
      <c r="AV64" s="368">
        <v>375</v>
      </c>
      <c r="AW64" s="368">
        <v>450</v>
      </c>
      <c r="AX64" s="393" t="s">
        <v>537</v>
      </c>
    </row>
    <row r="65" spans="1:50" ht="14.4" x14ac:dyDescent="0.25">
      <c r="A65" s="255" t="s">
        <v>212</v>
      </c>
      <c r="B65" s="246">
        <v>6</v>
      </c>
      <c r="C65" s="56">
        <v>28</v>
      </c>
      <c r="D65" s="56">
        <v>23</v>
      </c>
      <c r="E65" s="56">
        <v>30</v>
      </c>
      <c r="F65" s="56">
        <v>85</v>
      </c>
      <c r="G65" s="56">
        <v>45</v>
      </c>
      <c r="H65" s="56">
        <v>40</v>
      </c>
      <c r="I65" s="56">
        <v>62</v>
      </c>
      <c r="L65" s="228">
        <f>[1]Планки!H65</f>
        <v>17</v>
      </c>
      <c r="M65" s="138">
        <f>[1]Планки!I65</f>
        <v>925</v>
      </c>
      <c r="N65" s="138">
        <f>[1]Планки!J65</f>
        <v>180</v>
      </c>
      <c r="O65" s="229">
        <f>[1]Планки!K65</f>
        <v>745</v>
      </c>
      <c r="P65" s="229">
        <f>[1]Планки!L65</f>
        <v>540</v>
      </c>
      <c r="Q65" s="138">
        <f>[1]Планки!M65</f>
        <v>555</v>
      </c>
      <c r="R65" s="138">
        <f>[1]Планки!N65</f>
        <v>595</v>
      </c>
      <c r="S65" s="229">
        <f>[1]Планки!O65</f>
        <v>37</v>
      </c>
      <c r="T65" s="138">
        <f>[1]Планки!P65</f>
        <v>48</v>
      </c>
      <c r="U65" s="138">
        <f>[1]Планки!Q65</f>
        <v>110</v>
      </c>
      <c r="V65" s="230">
        <f>[1]Планки!R65</f>
        <v>0</v>
      </c>
      <c r="AB65" s="220"/>
      <c r="AC65" s="220">
        <f>'[2]Изложницы без бурта'!A65</f>
        <v>0</v>
      </c>
      <c r="AD65" s="220">
        <f>'[2]Изложницы без бурта'!B65</f>
        <v>80</v>
      </c>
      <c r="AE65" s="220">
        <f>'[2]Изложницы без бурта'!C65</f>
        <v>245</v>
      </c>
      <c r="AF65" s="56">
        <f>'[2]Изложницы без бурта'!D65</f>
        <v>140</v>
      </c>
      <c r="AG65" s="56">
        <f>'[2]Изложницы без бурта'!E65</f>
        <v>115</v>
      </c>
      <c r="AH65" s="56" t="str">
        <f>'[2]Изложницы без бурта'!F65</f>
        <v>7211867-9</v>
      </c>
      <c r="AI65" s="56">
        <f>'[2]Изложницы без бурта'!G65</f>
        <v>0</v>
      </c>
      <c r="AJ65" s="56">
        <f>'[2]Изложницы без бурта'!H65</f>
        <v>0</v>
      </c>
      <c r="AK65" s="56">
        <f>'[2]Изложницы без бурта'!I65</f>
        <v>0</v>
      </c>
      <c r="AL65" s="56">
        <f>'[2]Изложницы без бурта'!J65</f>
        <v>0</v>
      </c>
      <c r="AM65" s="56">
        <f>'[2]Изложницы без бурта'!K65</f>
        <v>0</v>
      </c>
      <c r="AR65" s="368">
        <v>282</v>
      </c>
      <c r="AS65" s="368">
        <v>252.5</v>
      </c>
      <c r="AT65" s="368">
        <v>320</v>
      </c>
      <c r="AU65" s="368">
        <v>260</v>
      </c>
      <c r="AV65" s="368">
        <v>375</v>
      </c>
      <c r="AW65" s="368">
        <v>450</v>
      </c>
      <c r="AX65" s="393" t="s">
        <v>508</v>
      </c>
    </row>
    <row r="66" spans="1:50" ht="14.4" x14ac:dyDescent="0.25">
      <c r="A66" s="255" t="s">
        <v>213</v>
      </c>
      <c r="B66" s="246">
        <v>6</v>
      </c>
      <c r="C66" s="56">
        <v>31</v>
      </c>
      <c r="D66" s="56">
        <v>25</v>
      </c>
      <c r="E66" s="56">
        <v>34</v>
      </c>
      <c r="F66" s="56">
        <v>90</v>
      </c>
      <c r="G66" s="56">
        <v>53</v>
      </c>
      <c r="H66" s="56">
        <v>44</v>
      </c>
      <c r="I66" s="56">
        <v>67</v>
      </c>
      <c r="L66" s="228">
        <f>[1]Планки!H66</f>
        <v>103</v>
      </c>
      <c r="M66" s="138">
        <f>[1]Планки!I66</f>
        <v>880</v>
      </c>
      <c r="N66" s="138">
        <f>[1]Планки!J66</f>
        <v>130</v>
      </c>
      <c r="O66" s="229">
        <f>[1]Планки!K66</f>
        <v>750</v>
      </c>
      <c r="P66" s="229">
        <f>[1]Планки!L66</f>
        <v>315</v>
      </c>
      <c r="Q66" s="138">
        <f>[1]Планки!M66</f>
        <v>330</v>
      </c>
      <c r="R66" s="138">
        <f>[1]Планки!N66</f>
        <v>365</v>
      </c>
      <c r="S66" s="229">
        <f>[1]Планки!O66</f>
        <v>57</v>
      </c>
      <c r="T66" s="138">
        <f>[1]Планки!P66</f>
        <v>68</v>
      </c>
      <c r="U66" s="138">
        <f>[1]Планки!Q66</f>
        <v>115</v>
      </c>
      <c r="V66" s="230" t="str">
        <f>[1]Планки!R66</f>
        <v>модель нашита  (L4=29 L5=37 L6=85)</v>
      </c>
      <c r="AB66" s="220"/>
      <c r="AC66" s="220">
        <f>'[2]Изложницы без бурта'!A66</f>
        <v>0</v>
      </c>
      <c r="AD66" s="220">
        <f>'[2]Изложницы без бурта'!B66</f>
        <v>80</v>
      </c>
      <c r="AE66" s="220">
        <f>'[2]Изложницы без бурта'!C66</f>
        <v>245</v>
      </c>
      <c r="AF66" s="56">
        <f>'[2]Изложницы без бурта'!D66</f>
        <v>140</v>
      </c>
      <c r="AG66" s="56">
        <f>'[2]Изложницы без бурта'!E66</f>
        <v>115</v>
      </c>
      <c r="AH66" s="56" t="str">
        <f>'[2]Изложницы без бурта'!F66</f>
        <v>7211867-9</v>
      </c>
      <c r="AI66" s="56">
        <f>'[2]Изложницы без бурта'!G66</f>
        <v>0</v>
      </c>
      <c r="AJ66" s="56">
        <f>'[2]Изложницы без бурта'!H66</f>
        <v>0</v>
      </c>
      <c r="AK66" s="56">
        <f>'[2]Изложницы без бурта'!I66</f>
        <v>0</v>
      </c>
      <c r="AL66" s="56">
        <f>'[2]Изложницы без бурта'!J66</f>
        <v>0</v>
      </c>
      <c r="AM66" s="56">
        <f>'[2]Изложницы без бурта'!K66</f>
        <v>0</v>
      </c>
      <c r="AR66" s="368">
        <v>298</v>
      </c>
      <c r="AS66" s="368">
        <v>252.5</v>
      </c>
      <c r="AT66" s="368">
        <v>318</v>
      </c>
      <c r="AU66" s="368">
        <v>197</v>
      </c>
      <c r="AV66" s="368">
        <v>375</v>
      </c>
      <c r="AW66" s="368">
        <v>450</v>
      </c>
      <c r="AX66" s="393" t="s">
        <v>508</v>
      </c>
    </row>
    <row r="67" spans="1:50" ht="14.4" x14ac:dyDescent="0.25">
      <c r="L67" s="228">
        <f>[1]Планки!H67</f>
        <v>38</v>
      </c>
      <c r="M67" s="138">
        <f>[1]Планки!I67</f>
        <v>950</v>
      </c>
      <c r="N67" s="138">
        <f>[1]Планки!J67</f>
        <v>195</v>
      </c>
      <c r="O67" s="229">
        <f>[1]Планки!K67</f>
        <v>755</v>
      </c>
      <c r="P67" s="229">
        <f>[1]Планки!L67</f>
        <v>345</v>
      </c>
      <c r="Q67" s="138">
        <f>[1]Планки!M67</f>
        <v>355</v>
      </c>
      <c r="R67" s="138">
        <f>[1]Планки!N67</f>
        <v>440</v>
      </c>
      <c r="S67" s="229">
        <f>[1]Планки!O67</f>
        <v>50</v>
      </c>
      <c r="T67" s="138">
        <f>[1]Планки!P67</f>
        <v>60</v>
      </c>
      <c r="U67" s="138">
        <f>[1]Планки!Q67</f>
        <v>100</v>
      </c>
      <c r="V67" s="230">
        <f>[1]Планки!R67</f>
        <v>0</v>
      </c>
      <c r="AB67" s="220"/>
      <c r="AC67" s="220">
        <f>'[2]Изложницы без бурта'!A67</f>
        <v>0</v>
      </c>
      <c r="AD67" s="220">
        <f>'[2]Изложницы без бурта'!B67</f>
        <v>80</v>
      </c>
      <c r="AE67" s="220">
        <f>'[2]Изложницы без бурта'!C67</f>
        <v>245</v>
      </c>
      <c r="AF67" s="56">
        <f>'[2]Изложницы без бурта'!D67</f>
        <v>140</v>
      </c>
      <c r="AG67" s="56">
        <f>'[2]Изложницы без бурта'!E67</f>
        <v>115</v>
      </c>
      <c r="AH67" s="56" t="str">
        <f>'[2]Изложницы без бурта'!F67</f>
        <v>7211867-9</v>
      </c>
      <c r="AI67" s="56">
        <f>'[2]Изложницы без бурта'!G67</f>
        <v>0</v>
      </c>
      <c r="AJ67" s="56">
        <f>'[2]Изложницы без бурта'!H67</f>
        <v>0</v>
      </c>
      <c r="AK67" s="56">
        <f>'[2]Изложницы без бурта'!I67</f>
        <v>0</v>
      </c>
      <c r="AL67" s="56">
        <f>'[2]Изложницы без бурта'!J67</f>
        <v>0</v>
      </c>
      <c r="AM67" s="56">
        <f>'[2]Изложницы без бурта'!K67</f>
        <v>0</v>
      </c>
      <c r="AR67" s="368">
        <v>297</v>
      </c>
      <c r="AS67" s="368">
        <v>260</v>
      </c>
      <c r="AT67" s="368">
        <v>315</v>
      </c>
      <c r="AU67" s="368">
        <v>190</v>
      </c>
      <c r="AV67" s="368">
        <v>375</v>
      </c>
      <c r="AW67" s="368">
        <v>450</v>
      </c>
      <c r="AX67" s="393" t="s">
        <v>509</v>
      </c>
    </row>
    <row r="68" spans="1:50" ht="15" thickBot="1" x14ac:dyDescent="0.3">
      <c r="L68" s="228">
        <f>[1]Планки!H68</f>
        <v>72</v>
      </c>
      <c r="M68" s="138">
        <f>[1]Планки!I68</f>
        <v>920</v>
      </c>
      <c r="N68" s="138">
        <f>[1]Планки!J68</f>
        <v>160</v>
      </c>
      <c r="O68" s="229">
        <f>[1]Планки!K68</f>
        <v>760</v>
      </c>
      <c r="P68" s="229">
        <f>[1]Планки!L68</f>
        <v>467</v>
      </c>
      <c r="Q68" s="138">
        <f>[1]Планки!M68</f>
        <v>488</v>
      </c>
      <c r="R68" s="138">
        <f>[1]Планки!N68</f>
        <v>525</v>
      </c>
      <c r="S68" s="229">
        <f>[1]Планки!O68</f>
        <v>46</v>
      </c>
      <c r="T68" s="138">
        <f>[1]Планки!P68</f>
        <v>60</v>
      </c>
      <c r="U68" s="138">
        <f>[1]Планки!Q68</f>
        <v>130</v>
      </c>
      <c r="V68" s="230" t="str">
        <f>[1]Планки!R68</f>
        <v>модель нашита  (L4=34 L5=48 L6=118)</v>
      </c>
      <c r="AB68" s="220"/>
      <c r="AC68" s="220">
        <f>'[2]Изложницы без бурта'!A68</f>
        <v>0</v>
      </c>
      <c r="AD68" s="220">
        <f>'[2]Изложницы без бурта'!B68</f>
        <v>80</v>
      </c>
      <c r="AE68" s="220">
        <f>'[2]Изложницы без бурта'!C68</f>
        <v>245</v>
      </c>
      <c r="AF68" s="56">
        <f>'[2]Изложницы без бурта'!D68</f>
        <v>140</v>
      </c>
      <c r="AG68" s="56">
        <f>'[2]Изложницы без бурта'!E68</f>
        <v>115</v>
      </c>
      <c r="AH68" s="56" t="str">
        <f>'[2]Изложницы без бурта'!F68</f>
        <v>7211867-9</v>
      </c>
      <c r="AI68" s="56">
        <f>'[2]Изложницы без бурта'!G68</f>
        <v>0</v>
      </c>
      <c r="AJ68" s="56">
        <f>'[2]Изложницы без бурта'!H68</f>
        <v>0</v>
      </c>
      <c r="AK68" s="56">
        <f>'[2]Изложницы без бурта'!I68</f>
        <v>0</v>
      </c>
      <c r="AL68" s="56">
        <f>'[2]Изложницы без бурта'!J68</f>
        <v>0</v>
      </c>
      <c r="AM68" s="56">
        <f>'[2]Изложницы без бурта'!K68</f>
        <v>0</v>
      </c>
      <c r="AR68" s="368">
        <v>328</v>
      </c>
      <c r="AS68" s="368">
        <v>260</v>
      </c>
      <c r="AT68" s="369">
        <v>375</v>
      </c>
      <c r="AU68" s="368">
        <v>340</v>
      </c>
      <c r="AV68" s="368">
        <v>375</v>
      </c>
      <c r="AW68" s="368">
        <v>450</v>
      </c>
      <c r="AX68" s="393" t="s">
        <v>538</v>
      </c>
    </row>
    <row r="69" spans="1:50" ht="15" thickBot="1" x14ac:dyDescent="0.3">
      <c r="L69" s="228">
        <f>[1]Планки!H69</f>
        <v>33</v>
      </c>
      <c r="M69" s="138">
        <f>[1]Планки!I69</f>
        <v>980</v>
      </c>
      <c r="N69" s="138">
        <f>[1]Планки!J69</f>
        <v>215</v>
      </c>
      <c r="O69" s="229">
        <f>[1]Планки!K69</f>
        <v>765</v>
      </c>
      <c r="P69" s="229">
        <f>[1]Планки!L69</f>
        <v>300</v>
      </c>
      <c r="Q69" s="138">
        <f>[1]Планки!M69</f>
        <v>325</v>
      </c>
      <c r="R69" s="138">
        <f>[1]Планки!N69</f>
        <v>375</v>
      </c>
      <c r="S69" s="229">
        <f>[1]Планки!O69</f>
        <v>55</v>
      </c>
      <c r="T69" s="138">
        <f>[1]Планки!P69</f>
        <v>66</v>
      </c>
      <c r="U69" s="138">
        <f>[1]Планки!Q69</f>
        <v>165</v>
      </c>
      <c r="V69" s="230">
        <f>[1]Планки!R69</f>
        <v>0</v>
      </c>
      <c r="AB69" s="220"/>
      <c r="AC69" s="220">
        <f>'[2]Изложницы без бурта'!A69</f>
        <v>0</v>
      </c>
      <c r="AD69" s="220">
        <f>'[2]Изложницы без бурта'!B69</f>
        <v>82.5</v>
      </c>
      <c r="AE69" s="220">
        <f>'[2]Изложницы без бурта'!C69</f>
        <v>243</v>
      </c>
      <c r="AF69" s="56">
        <f>'[2]Изложницы без бурта'!D69</f>
        <v>140</v>
      </c>
      <c r="AG69" s="56">
        <f>'[2]Изложницы без бурта'!E69</f>
        <v>115</v>
      </c>
      <c r="AH69" s="56" t="str">
        <f>'[2]Изложницы без бурта'!F69</f>
        <v>7211867-10</v>
      </c>
      <c r="AI69" s="56">
        <f>'[2]Изложницы без бурта'!G69</f>
        <v>0</v>
      </c>
      <c r="AJ69" s="56">
        <f>'[2]Изложницы без бурта'!H69</f>
        <v>0</v>
      </c>
      <c r="AK69" s="56">
        <f>'[2]Изложницы без бурта'!I69</f>
        <v>0</v>
      </c>
      <c r="AL69" s="56">
        <f>'[2]Изложницы без бурта'!J69</f>
        <v>0</v>
      </c>
      <c r="AM69" s="56">
        <f>'[2]Изложницы без бурта'!K69</f>
        <v>0</v>
      </c>
      <c r="AR69" s="368">
        <v>382</v>
      </c>
      <c r="AS69" s="375">
        <v>260</v>
      </c>
      <c r="AT69" s="376">
        <v>200</v>
      </c>
      <c r="AU69" s="377">
        <v>100</v>
      </c>
      <c r="AV69" s="368">
        <v>450</v>
      </c>
      <c r="AW69" s="368">
        <v>450</v>
      </c>
      <c r="AX69" s="393" t="s">
        <v>539</v>
      </c>
    </row>
    <row r="70" spans="1:50" ht="15" thickBot="1" x14ac:dyDescent="0.3">
      <c r="L70" s="228">
        <f>[1]Планки!H70</f>
        <v>34</v>
      </c>
      <c r="M70" s="138">
        <f>[1]Планки!I70</f>
        <v>950</v>
      </c>
      <c r="N70" s="138">
        <f>[1]Планки!J70</f>
        <v>185</v>
      </c>
      <c r="O70" s="229">
        <f>[1]Планки!K70</f>
        <v>765</v>
      </c>
      <c r="P70" s="229">
        <f>[1]Планки!L70</f>
        <v>355</v>
      </c>
      <c r="Q70" s="138">
        <f>[1]Планки!M70</f>
        <v>365</v>
      </c>
      <c r="R70" s="138">
        <f>[1]Планки!N70</f>
        <v>405</v>
      </c>
      <c r="S70" s="229">
        <f>[1]Планки!O70</f>
        <v>45</v>
      </c>
      <c r="T70" s="138">
        <f>[1]Планки!P70</f>
        <v>54</v>
      </c>
      <c r="U70" s="138">
        <f>[1]Планки!Q70</f>
        <v>135</v>
      </c>
      <c r="V70" s="230">
        <f>[1]Планки!R70</f>
        <v>0</v>
      </c>
      <c r="AB70" s="220"/>
      <c r="AC70" s="220">
        <f>'[2]Изложницы без бурта'!A70</f>
        <v>0</v>
      </c>
      <c r="AD70" s="220">
        <f>'[2]Изложницы без бурта'!B70</f>
        <v>82.5</v>
      </c>
      <c r="AE70" s="220">
        <f>'[2]Изложницы без бурта'!C70</f>
        <v>240</v>
      </c>
      <c r="AF70" s="56">
        <f>'[2]Изложницы без бурта'!D70</f>
        <v>140</v>
      </c>
      <c r="AG70" s="56">
        <f>'[2]Изложницы без бурта'!E70</f>
        <v>115</v>
      </c>
      <c r="AH70" s="56" t="str">
        <f>'[2]Изложницы без бурта'!F70</f>
        <v>7211867-10</v>
      </c>
      <c r="AI70" s="56">
        <f>'[2]Изложницы без бурта'!G70</f>
        <v>0</v>
      </c>
      <c r="AJ70" s="56">
        <f>'[2]Изложницы без бурта'!H70</f>
        <v>0</v>
      </c>
      <c r="AK70" s="56">
        <f>'[2]Изложницы без бурта'!I70</f>
        <v>0</v>
      </c>
      <c r="AL70" s="56">
        <f>'[2]Изложницы без бурта'!J70</f>
        <v>0</v>
      </c>
      <c r="AM70" s="56">
        <f>'[2]Изложницы без бурта'!K70</f>
        <v>0</v>
      </c>
      <c r="AR70" s="368">
        <v>382</v>
      </c>
      <c r="AS70" s="375">
        <v>260</v>
      </c>
      <c r="AT70" s="376">
        <v>200</v>
      </c>
      <c r="AU70" s="381">
        <v>105</v>
      </c>
      <c r="AV70" s="368">
        <v>450</v>
      </c>
      <c r="AW70" s="368">
        <v>450</v>
      </c>
      <c r="AX70" s="393" t="s">
        <v>539</v>
      </c>
    </row>
    <row r="71" spans="1:50" ht="15" thickBot="1" x14ac:dyDescent="0.3">
      <c r="A71" s="252" t="s">
        <v>133</v>
      </c>
      <c r="B71" s="256" t="s">
        <v>175</v>
      </c>
      <c r="C71" s="1725" t="s">
        <v>176</v>
      </c>
      <c r="D71" s="1725"/>
      <c r="E71" s="1725"/>
      <c r="F71" s="250"/>
      <c r="G71" s="250" t="s">
        <v>150</v>
      </c>
      <c r="H71" s="249"/>
      <c r="I71" s="249"/>
      <c r="J71" s="250" t="s">
        <v>187</v>
      </c>
      <c r="K71" s="250"/>
      <c r="L71" s="228">
        <f>[1]Планки!H71</f>
        <v>114</v>
      </c>
      <c r="M71" s="138">
        <f>[1]Планки!I71</f>
        <v>930</v>
      </c>
      <c r="N71" s="138">
        <f>[1]Планки!J71</f>
        <v>150</v>
      </c>
      <c r="O71" s="229">
        <f>[1]Планки!K71</f>
        <v>780</v>
      </c>
      <c r="P71" s="229">
        <f>[1]Планки!L71</f>
        <v>160</v>
      </c>
      <c r="Q71" s="138">
        <f>[1]Планки!M71</f>
        <v>175</v>
      </c>
      <c r="R71" s="138">
        <f>[1]Планки!N71</f>
        <v>240</v>
      </c>
      <c r="S71" s="229">
        <f>[1]Планки!O71</f>
        <v>85</v>
      </c>
      <c r="T71" s="138">
        <f>[1]Планки!P71</f>
        <v>95</v>
      </c>
      <c r="U71" s="138">
        <f>[1]Планки!Q71</f>
        <v>150</v>
      </c>
      <c r="V71" s="230" t="str">
        <f>[1]Планки!R71</f>
        <v>модель нашита  (L4=35 L5=42 L6=110)</v>
      </c>
      <c r="AB71" s="220"/>
      <c r="AC71" s="220">
        <f>'[2]Изложницы без бурта'!A71</f>
        <v>0</v>
      </c>
      <c r="AD71" s="220">
        <f>'[2]Изложницы без бурта'!B71</f>
        <v>82.5</v>
      </c>
      <c r="AE71" s="220">
        <f>'[2]Изложницы без бурта'!C71</f>
        <v>245</v>
      </c>
      <c r="AF71" s="56">
        <f>'[2]Изложницы без бурта'!D71</f>
        <v>140</v>
      </c>
      <c r="AG71" s="56">
        <f>'[2]Изложницы без бурта'!E71</f>
        <v>115</v>
      </c>
      <c r="AH71" s="56" t="str">
        <f>'[2]Изложницы без бурта'!F71</f>
        <v>7211867-10</v>
      </c>
      <c r="AI71" s="56">
        <f>'[2]Изложницы без бурта'!G71</f>
        <v>0</v>
      </c>
      <c r="AJ71" s="56">
        <f>'[2]Изложницы без бурта'!H71</f>
        <v>0</v>
      </c>
      <c r="AK71" s="56">
        <f>'[2]Изложницы без бурта'!I71</f>
        <v>0</v>
      </c>
      <c r="AL71" s="56">
        <f>'[2]Изложницы без бурта'!J71</f>
        <v>0</v>
      </c>
      <c r="AM71" s="56">
        <f>'[2]Изложницы без бурта'!K71</f>
        <v>0</v>
      </c>
      <c r="AR71" s="368">
        <v>330</v>
      </c>
      <c r="AS71" s="368">
        <v>260</v>
      </c>
      <c r="AT71" s="379">
        <v>380</v>
      </c>
      <c r="AU71" s="376">
        <v>315</v>
      </c>
      <c r="AV71" s="368">
        <v>375</v>
      </c>
      <c r="AW71" s="368">
        <v>450</v>
      </c>
      <c r="AX71" s="393" t="s">
        <v>538</v>
      </c>
    </row>
    <row r="72" spans="1:50" ht="15" thickBot="1" x14ac:dyDescent="0.3">
      <c r="A72" s="257"/>
      <c r="B72" s="256" t="s">
        <v>177</v>
      </c>
      <c r="C72" s="249" t="s">
        <v>151</v>
      </c>
      <c r="D72" s="249" t="s">
        <v>152</v>
      </c>
      <c r="E72" s="249" t="s">
        <v>153</v>
      </c>
      <c r="F72" s="250" t="s">
        <v>178</v>
      </c>
      <c r="G72" s="250" t="s">
        <v>179</v>
      </c>
      <c r="H72" s="251" t="s">
        <v>180</v>
      </c>
      <c r="I72" s="251" t="s">
        <v>181</v>
      </c>
      <c r="J72" s="250" t="s">
        <v>188</v>
      </c>
      <c r="K72" s="251" t="s">
        <v>189</v>
      </c>
      <c r="L72" s="228">
        <f>[1]Планки!H72</f>
        <v>90</v>
      </c>
      <c r="M72" s="138">
        <f>[1]Планки!I72</f>
        <v>915</v>
      </c>
      <c r="N72" s="138">
        <f>[1]Планки!J72</f>
        <v>130</v>
      </c>
      <c r="O72" s="229">
        <f>[1]Планки!K72</f>
        <v>785</v>
      </c>
      <c r="P72" s="229">
        <f>[1]Планки!L72</f>
        <v>210</v>
      </c>
      <c r="Q72" s="138">
        <f>[1]Планки!M72</f>
        <v>230</v>
      </c>
      <c r="R72" s="138">
        <f>[1]Планки!N72</f>
        <v>260</v>
      </c>
      <c r="S72" s="229">
        <f>[1]Планки!O72</f>
        <v>30</v>
      </c>
      <c r="T72" s="138">
        <f>[1]Планки!P72</f>
        <v>40</v>
      </c>
      <c r="U72" s="138">
        <f>[1]Планки!Q72</f>
        <v>100</v>
      </c>
      <c r="V72" s="230">
        <f>[1]Планки!R72</f>
        <v>0</v>
      </c>
      <c r="AB72" s="220"/>
      <c r="AC72" s="220">
        <f>'[2]Изложницы без бурта'!A72</f>
        <v>0</v>
      </c>
      <c r="AD72" s="220">
        <f>'[2]Изложницы без бурта'!B72</f>
        <v>82.5</v>
      </c>
      <c r="AE72" s="220">
        <f>'[2]Изложницы без бурта'!C72</f>
        <v>245</v>
      </c>
      <c r="AF72" s="56">
        <f>'[2]Изложницы без бурта'!D72</f>
        <v>140</v>
      </c>
      <c r="AG72" s="56">
        <f>'[2]Изложницы без бурта'!E72</f>
        <v>115</v>
      </c>
      <c r="AH72" s="56" t="str">
        <f>'[2]Изложницы без бурта'!F72</f>
        <v>7211867-10</v>
      </c>
      <c r="AI72" s="56">
        <f>'[2]Изложницы без бурта'!G72</f>
        <v>0</v>
      </c>
      <c r="AJ72" s="56">
        <f>'[2]Изложницы без бурта'!H72</f>
        <v>0</v>
      </c>
      <c r="AK72" s="56">
        <f>'[2]Изложницы без бурта'!I72</f>
        <v>0</v>
      </c>
      <c r="AL72" s="56">
        <f>'[2]Изложницы без бурта'!J72</f>
        <v>0</v>
      </c>
      <c r="AM72" s="56">
        <f>'[2]Изложницы без бурта'!K72</f>
        <v>0</v>
      </c>
      <c r="AR72" s="368">
        <v>330</v>
      </c>
      <c r="AS72" s="368">
        <v>260</v>
      </c>
      <c r="AT72" s="375">
        <v>380</v>
      </c>
      <c r="AU72" s="376">
        <v>300</v>
      </c>
      <c r="AV72" s="368">
        <v>375</v>
      </c>
      <c r="AW72" s="368">
        <v>450</v>
      </c>
      <c r="AX72" s="393" t="s">
        <v>538</v>
      </c>
    </row>
    <row r="73" spans="1:50" ht="14.4" x14ac:dyDescent="0.25">
      <c r="A73" s="257"/>
      <c r="L73" s="228">
        <f>[1]Планки!H73</f>
        <v>10</v>
      </c>
      <c r="M73" s="138">
        <f>[1]Планки!I73</f>
        <v>1115</v>
      </c>
      <c r="N73" s="138">
        <f>[1]Планки!J73</f>
        <v>130</v>
      </c>
      <c r="O73" s="229">
        <f>[1]Планки!K73</f>
        <v>785</v>
      </c>
      <c r="P73" s="229">
        <f>[1]Планки!L73</f>
        <v>345</v>
      </c>
      <c r="Q73" s="138">
        <f>[1]Планки!M73</f>
        <v>380</v>
      </c>
      <c r="R73" s="138">
        <f>[1]Планки!N73</f>
        <v>430</v>
      </c>
      <c r="S73" s="229">
        <f>[1]Планки!O73</f>
        <v>50</v>
      </c>
      <c r="T73" s="138">
        <f>[1]Планки!P73</f>
        <v>60</v>
      </c>
      <c r="U73" s="138">
        <f>[1]Планки!Q73</f>
        <v>130</v>
      </c>
      <c r="V73" s="230" t="str">
        <f>[1]Планки!R73</f>
        <v>модель нашита  (L4=25 L5=48 L6=115)</v>
      </c>
      <c r="AB73" s="220"/>
      <c r="AC73" s="220">
        <f>'[2]Изложницы без бурта'!A73</f>
        <v>0</v>
      </c>
      <c r="AD73" s="220">
        <f>'[2]Изложницы без бурта'!B73</f>
        <v>82.5</v>
      </c>
      <c r="AE73" s="220">
        <f>'[2]Изложницы без бурта'!C73</f>
        <v>245</v>
      </c>
      <c r="AF73" s="56">
        <f>'[2]Изложницы без бурта'!D73</f>
        <v>140</v>
      </c>
      <c r="AG73" s="56">
        <f>'[2]Изложницы без бурта'!E73</f>
        <v>115</v>
      </c>
      <c r="AH73" s="56" t="str">
        <f>'[2]Изложницы без бурта'!F73</f>
        <v>7211867-10</v>
      </c>
      <c r="AI73" s="56">
        <f>'[2]Изложницы без бурта'!G73</f>
        <v>0</v>
      </c>
      <c r="AJ73" s="56">
        <f>'[2]Изложницы без бурта'!H73</f>
        <v>0</v>
      </c>
      <c r="AK73" s="56">
        <f>'[2]Изложницы без бурта'!I73</f>
        <v>0</v>
      </c>
      <c r="AL73" s="56">
        <f>'[2]Изложницы без бурта'!J73</f>
        <v>0</v>
      </c>
      <c r="AM73" s="56">
        <f>'[2]Изложницы без бурта'!K73</f>
        <v>0</v>
      </c>
      <c r="AR73" s="368">
        <v>353</v>
      </c>
      <c r="AS73" s="368">
        <v>260</v>
      </c>
      <c r="AT73" s="368">
        <v>380</v>
      </c>
      <c r="AU73" s="367">
        <v>310</v>
      </c>
      <c r="AV73" s="368">
        <v>375</v>
      </c>
      <c r="AW73" s="368">
        <v>450</v>
      </c>
      <c r="AX73" s="393" t="s">
        <v>538</v>
      </c>
    </row>
    <row r="74" spans="1:50" ht="14.4" x14ac:dyDescent="0.25">
      <c r="A74" s="257" t="s">
        <v>190</v>
      </c>
      <c r="B74" s="246">
        <v>4</v>
      </c>
      <c r="C74" s="56">
        <v>20</v>
      </c>
      <c r="D74" s="56">
        <v>17</v>
      </c>
      <c r="E74" s="56">
        <v>23</v>
      </c>
      <c r="F74" s="56">
        <v>55</v>
      </c>
      <c r="G74" s="56">
        <v>35</v>
      </c>
      <c r="H74" s="56">
        <v>28</v>
      </c>
      <c r="I74" s="56">
        <v>40</v>
      </c>
      <c r="J74" s="56">
        <v>110</v>
      </c>
      <c r="K74" s="56">
        <v>90</v>
      </c>
      <c r="L74" s="228">
        <f>[1]Планки!H74</f>
        <v>14</v>
      </c>
      <c r="M74" s="138">
        <f>[1]Планки!I74</f>
        <v>948</v>
      </c>
      <c r="N74" s="138">
        <f>[1]Планки!J74</f>
        <v>160</v>
      </c>
      <c r="O74" s="229">
        <f>[1]Планки!K74</f>
        <v>788</v>
      </c>
      <c r="P74" s="229">
        <f>[1]Планки!L74</f>
        <v>200</v>
      </c>
      <c r="Q74" s="138">
        <f>[1]Планки!M74</f>
        <v>215</v>
      </c>
      <c r="R74" s="138">
        <f>[1]Планки!N74</f>
        <v>255</v>
      </c>
      <c r="S74" s="229">
        <f>[1]Планки!O74</f>
        <v>50</v>
      </c>
      <c r="T74" s="138">
        <f>[1]Планки!P74</f>
        <v>58</v>
      </c>
      <c r="U74" s="138">
        <f>[1]Планки!Q74</f>
        <v>120</v>
      </c>
      <c r="V74" s="230" t="str">
        <f>[1]Планки!R74</f>
        <v>модель нашита  (L4=43 L5=51 L6=113)</v>
      </c>
      <c r="AB74" s="220"/>
      <c r="AC74" s="220">
        <f>'[2]Изложницы без бурта'!A74</f>
        <v>0</v>
      </c>
      <c r="AD74" s="220">
        <f>'[2]Изложницы без бурта'!B74</f>
        <v>82.5</v>
      </c>
      <c r="AE74" s="220">
        <f>'[2]Изложницы без бурта'!C74</f>
        <v>245</v>
      </c>
      <c r="AF74" s="56">
        <f>'[2]Изложницы без бурта'!D74</f>
        <v>140</v>
      </c>
      <c r="AG74" s="56">
        <f>'[2]Изложницы без бурта'!E74</f>
        <v>115</v>
      </c>
      <c r="AH74" s="56" t="str">
        <f>'[2]Изложницы без бурта'!F74</f>
        <v>7211867-10</v>
      </c>
      <c r="AI74" s="56">
        <f>'[2]Изложницы без бурта'!G74</f>
        <v>0</v>
      </c>
      <c r="AJ74" s="56">
        <f>'[2]Изложницы без бурта'!H74</f>
        <v>0</v>
      </c>
      <c r="AK74" s="56">
        <f>'[2]Изложницы без бурта'!I74</f>
        <v>0</v>
      </c>
      <c r="AL74" s="56">
        <f>'[2]Изложницы без бурта'!J74</f>
        <v>0</v>
      </c>
      <c r="AM74" s="56">
        <f>'[2]Изложницы без бурта'!K74</f>
        <v>0</v>
      </c>
      <c r="AR74" s="368">
        <v>304</v>
      </c>
      <c r="AS74" s="368">
        <v>260</v>
      </c>
      <c r="AT74" s="368">
        <v>310</v>
      </c>
      <c r="AU74" s="368">
        <v>200</v>
      </c>
      <c r="AV74" s="368">
        <v>375</v>
      </c>
      <c r="AW74" s="368">
        <v>450</v>
      </c>
      <c r="AX74" s="393" t="s">
        <v>509</v>
      </c>
    </row>
    <row r="75" spans="1:50" ht="14.4" x14ac:dyDescent="0.25">
      <c r="A75" s="257" t="s">
        <v>191</v>
      </c>
      <c r="B75" s="246">
        <v>6</v>
      </c>
      <c r="C75" s="56">
        <v>19</v>
      </c>
      <c r="D75" s="56">
        <v>14</v>
      </c>
      <c r="E75" s="56">
        <v>20</v>
      </c>
      <c r="F75" s="56">
        <v>60</v>
      </c>
      <c r="G75" s="56">
        <v>35</v>
      </c>
      <c r="H75" s="56">
        <v>29</v>
      </c>
      <c r="I75" s="56">
        <v>44</v>
      </c>
      <c r="J75" s="56">
        <v>110</v>
      </c>
      <c r="K75" s="56">
        <v>90</v>
      </c>
      <c r="L75" s="228">
        <f>[1]Планки!H75</f>
        <v>71</v>
      </c>
      <c r="M75" s="138">
        <f>[1]Планки!I75</f>
        <v>920</v>
      </c>
      <c r="N75" s="138">
        <f>[1]Планки!J75</f>
        <v>130</v>
      </c>
      <c r="O75" s="229">
        <f>[1]Планки!K75</f>
        <v>790</v>
      </c>
      <c r="P75" s="229">
        <f>[1]Планки!L75</f>
        <v>200</v>
      </c>
      <c r="Q75" s="138">
        <f>[1]Планки!M75</f>
        <v>210</v>
      </c>
      <c r="R75" s="138">
        <f>[1]Планки!N75</f>
        <v>240</v>
      </c>
      <c r="S75" s="229">
        <f>[1]Планки!O75</f>
        <v>30</v>
      </c>
      <c r="T75" s="138">
        <f>[1]Планки!P75</f>
        <v>40</v>
      </c>
      <c r="U75" s="138">
        <f>[1]Планки!Q75</f>
        <v>95</v>
      </c>
      <c r="V75" s="230">
        <f>[1]Планки!R75</f>
        <v>0</v>
      </c>
      <c r="AB75" s="220"/>
      <c r="AC75" s="220">
        <f>'[2]Изложницы без бурта'!A75</f>
        <v>0</v>
      </c>
      <c r="AD75" s="220">
        <f>'[2]Изложницы без бурта'!B75</f>
        <v>82.5</v>
      </c>
      <c r="AE75" s="220">
        <f>'[2]Изложницы без бурта'!C75</f>
        <v>245</v>
      </c>
      <c r="AF75" s="56">
        <f>'[2]Изложницы без бурта'!D75</f>
        <v>140</v>
      </c>
      <c r="AG75" s="56">
        <f>'[2]Изложницы без бурта'!E75</f>
        <v>115</v>
      </c>
      <c r="AH75" s="56" t="str">
        <f>'[2]Изложницы без бурта'!F75</f>
        <v>7211867-10</v>
      </c>
      <c r="AI75" s="56">
        <f>'[2]Изложницы без бурта'!G75</f>
        <v>0</v>
      </c>
      <c r="AJ75" s="56">
        <f>'[2]Изложницы без бурта'!H75</f>
        <v>0</v>
      </c>
      <c r="AK75" s="56">
        <f>'[2]Изложницы без бурта'!I75</f>
        <v>0</v>
      </c>
      <c r="AL75" s="56">
        <f>'[2]Изложницы без бурта'!J75</f>
        <v>0</v>
      </c>
      <c r="AM75" s="56">
        <f>'[2]Изложницы без бурта'!K75</f>
        <v>0</v>
      </c>
      <c r="AR75" s="368">
        <v>288</v>
      </c>
      <c r="AS75" s="368">
        <v>262.5</v>
      </c>
      <c r="AT75" s="368">
        <v>320</v>
      </c>
      <c r="AU75" s="368">
        <v>200</v>
      </c>
      <c r="AV75" s="368">
        <v>375</v>
      </c>
      <c r="AW75" s="368">
        <v>450</v>
      </c>
      <c r="AX75" s="393" t="s">
        <v>510</v>
      </c>
    </row>
    <row r="76" spans="1:50" ht="14.4" x14ac:dyDescent="0.25">
      <c r="A76" s="257" t="s">
        <v>192</v>
      </c>
      <c r="B76" s="246">
        <v>6</v>
      </c>
      <c r="C76" s="56">
        <v>22</v>
      </c>
      <c r="D76" s="56">
        <v>16</v>
      </c>
      <c r="E76" s="56">
        <v>21</v>
      </c>
      <c r="F76" s="56">
        <v>65</v>
      </c>
      <c r="G76" s="56">
        <v>38</v>
      </c>
      <c r="H76" s="56">
        <v>32</v>
      </c>
      <c r="I76" s="56">
        <v>48</v>
      </c>
      <c r="J76" s="56">
        <v>120</v>
      </c>
      <c r="K76" s="56">
        <v>100</v>
      </c>
      <c r="L76" s="228">
        <f>[1]Планки!H76</f>
        <v>44</v>
      </c>
      <c r="M76" s="138">
        <f>[1]Планки!I76</f>
        <v>980</v>
      </c>
      <c r="N76" s="138">
        <f>[1]Планки!J76</f>
        <v>190</v>
      </c>
      <c r="O76" s="229">
        <f>[1]Планки!K76</f>
        <v>790</v>
      </c>
      <c r="P76" s="229">
        <f>[1]Планки!L76</f>
        <v>320</v>
      </c>
      <c r="Q76" s="138">
        <f>[1]Планки!M76</f>
        <v>330</v>
      </c>
      <c r="R76" s="138">
        <f>[1]Планки!N76</f>
        <v>375</v>
      </c>
      <c r="S76" s="229">
        <f>[1]Планки!O76</f>
        <v>45</v>
      </c>
      <c r="T76" s="138">
        <f>[1]Планки!P76</f>
        <v>55</v>
      </c>
      <c r="U76" s="138">
        <f>[1]Планки!Q76</f>
        <v>135</v>
      </c>
      <c r="V76" s="230">
        <f>[1]Планки!R76</f>
        <v>0</v>
      </c>
      <c r="AB76" s="220"/>
      <c r="AC76" s="220">
        <f>'[2]Изложницы без бурта'!A76</f>
        <v>0</v>
      </c>
      <c r="AD76" s="220">
        <f>'[2]Изложницы без бурта'!B76</f>
        <v>82.5</v>
      </c>
      <c r="AE76" s="220">
        <f>'[2]Изложницы без бурта'!C76</f>
        <v>240</v>
      </c>
      <c r="AF76" s="56">
        <f>'[2]Изложницы без бурта'!D76</f>
        <v>140</v>
      </c>
      <c r="AG76" s="56">
        <f>'[2]Изложницы без бурта'!E76</f>
        <v>115</v>
      </c>
      <c r="AH76" s="56" t="str">
        <f>'[2]Изложницы без бурта'!F76</f>
        <v>7211867-10</v>
      </c>
      <c r="AI76" s="56">
        <f>'[2]Изложницы без бурта'!G76</f>
        <v>0</v>
      </c>
      <c r="AJ76" s="56">
        <f>'[2]Изложницы без бурта'!H76</f>
        <v>0</v>
      </c>
      <c r="AK76" s="56">
        <f>'[2]Изложницы без бурта'!I76</f>
        <v>0</v>
      </c>
      <c r="AL76" s="56">
        <f>'[2]Изложницы без бурта'!J76</f>
        <v>0</v>
      </c>
      <c r="AM76" s="56">
        <f>'[2]Изложницы без бурта'!K76</f>
        <v>0</v>
      </c>
      <c r="AR76" s="368">
        <v>298</v>
      </c>
      <c r="AS76" s="368">
        <v>262.5</v>
      </c>
      <c r="AT76" s="368">
        <v>317</v>
      </c>
      <c r="AU76" s="368">
        <v>195</v>
      </c>
      <c r="AV76" s="368">
        <v>375</v>
      </c>
      <c r="AW76" s="368">
        <v>450</v>
      </c>
      <c r="AX76" s="393" t="s">
        <v>510</v>
      </c>
    </row>
    <row r="77" spans="1:50" ht="14.4" x14ac:dyDescent="0.25">
      <c r="A77" s="257" t="s">
        <v>193</v>
      </c>
      <c r="B77" s="246">
        <v>6</v>
      </c>
      <c r="C77" s="56">
        <v>24</v>
      </c>
      <c r="D77" s="56">
        <v>18</v>
      </c>
      <c r="E77" s="56">
        <v>24</v>
      </c>
      <c r="F77" s="56">
        <v>70</v>
      </c>
      <c r="G77" s="56">
        <v>42</v>
      </c>
      <c r="H77" s="56">
        <v>36</v>
      </c>
      <c r="I77" s="56">
        <v>54</v>
      </c>
      <c r="J77" s="56">
        <v>120</v>
      </c>
      <c r="K77" s="56">
        <v>100</v>
      </c>
      <c r="L77" s="228">
        <f>[1]Планки!H77</f>
        <v>104</v>
      </c>
      <c r="M77" s="138">
        <f>[1]Планки!I77</f>
        <v>955</v>
      </c>
      <c r="N77" s="138">
        <f>[1]Планки!J77</f>
        <v>150</v>
      </c>
      <c r="O77" s="229">
        <f>[1]Планки!K77</f>
        <v>805</v>
      </c>
      <c r="P77" s="229">
        <f>[1]Планки!L77</f>
        <v>265</v>
      </c>
      <c r="Q77" s="138">
        <f>[1]Планки!M77</f>
        <v>283</v>
      </c>
      <c r="R77" s="138">
        <f>[1]Планки!N77</f>
        <v>315</v>
      </c>
      <c r="S77" s="229">
        <f>[1]Планки!O77</f>
        <v>33</v>
      </c>
      <c r="T77" s="138">
        <f>[1]Планки!P77</f>
        <v>40</v>
      </c>
      <c r="U77" s="138">
        <f>[1]Планки!Q77</f>
        <v>105</v>
      </c>
      <c r="V77" s="230">
        <f>[1]Планки!R77</f>
        <v>0</v>
      </c>
      <c r="AB77" s="220"/>
      <c r="AC77" s="220">
        <f>'[2]Изложницы без бурта'!A77</f>
        <v>0</v>
      </c>
      <c r="AD77" s="220">
        <f>'[2]Изложницы без бурта'!B77</f>
        <v>82.5</v>
      </c>
      <c r="AE77" s="220">
        <f>'[2]Изложницы без бурта'!C77</f>
        <v>245</v>
      </c>
      <c r="AF77" s="56">
        <f>'[2]Изложницы без бурта'!D77</f>
        <v>140</v>
      </c>
      <c r="AG77" s="56">
        <f>'[2]Изложницы без бурта'!E77</f>
        <v>115</v>
      </c>
      <c r="AH77" s="56" t="str">
        <f>'[2]Изложницы без бурта'!F77</f>
        <v>7211867-10</v>
      </c>
      <c r="AI77" s="56">
        <f>'[2]Изложницы без бурта'!G77</f>
        <v>0</v>
      </c>
      <c r="AJ77" s="56">
        <f>'[2]Изложницы без бурта'!H77</f>
        <v>0</v>
      </c>
      <c r="AK77" s="56">
        <f>'[2]Изложницы без бурта'!I77</f>
        <v>0</v>
      </c>
      <c r="AL77" s="56">
        <f>'[2]Изложницы без бурта'!J77</f>
        <v>0</v>
      </c>
      <c r="AM77" s="56">
        <f>'[2]Изложницы без бурта'!K77</f>
        <v>0</v>
      </c>
      <c r="AR77" s="368">
        <v>298</v>
      </c>
      <c r="AS77" s="368">
        <v>265</v>
      </c>
      <c r="AT77" s="368">
        <v>318</v>
      </c>
      <c r="AU77" s="368">
        <v>200</v>
      </c>
      <c r="AV77" s="368">
        <v>375</v>
      </c>
      <c r="AW77" s="368">
        <v>450</v>
      </c>
      <c r="AX77" s="393" t="s">
        <v>511</v>
      </c>
    </row>
    <row r="78" spans="1:50" ht="14.4" x14ac:dyDescent="0.25">
      <c r="A78" s="257" t="s">
        <v>194</v>
      </c>
      <c r="B78" s="246">
        <v>6</v>
      </c>
      <c r="C78" s="56">
        <v>25</v>
      </c>
      <c r="D78" s="56">
        <v>19</v>
      </c>
      <c r="E78" s="56">
        <v>26</v>
      </c>
      <c r="F78" s="56">
        <v>75</v>
      </c>
      <c r="G78" s="56">
        <v>46</v>
      </c>
      <c r="H78" s="56">
        <v>35</v>
      </c>
      <c r="I78" s="56">
        <v>52</v>
      </c>
      <c r="J78" s="56">
        <v>120</v>
      </c>
      <c r="K78" s="56">
        <v>100</v>
      </c>
      <c r="L78" s="228">
        <f>[1]Планки!H78</f>
        <v>32</v>
      </c>
      <c r="M78" s="138">
        <f>[1]Планки!I78</f>
        <v>1000</v>
      </c>
      <c r="N78" s="138">
        <f>[1]Планки!J78</f>
        <v>185</v>
      </c>
      <c r="O78" s="229">
        <f>[1]Планки!K78</f>
        <v>815</v>
      </c>
      <c r="P78" s="229">
        <f>[1]Планки!L78</f>
        <v>275</v>
      </c>
      <c r="Q78" s="138">
        <f>[1]Планки!M78</f>
        <v>290</v>
      </c>
      <c r="R78" s="138">
        <f>[1]Планки!N78</f>
        <v>330</v>
      </c>
      <c r="S78" s="229">
        <f>[1]Планки!O78</f>
        <v>37</v>
      </c>
      <c r="T78" s="138">
        <f>[1]Планки!P78</f>
        <v>45</v>
      </c>
      <c r="U78" s="138">
        <f>[1]Планки!Q78</f>
        <v>140</v>
      </c>
      <c r="V78" s="230">
        <f>[1]Планки!R78</f>
        <v>0</v>
      </c>
      <c r="AB78" s="220"/>
      <c r="AC78" s="220">
        <v>0</v>
      </c>
      <c r="AD78" s="220">
        <v>0</v>
      </c>
      <c r="AE78" s="220">
        <f>'[2]Изложницы без бурта'!C78</f>
        <v>245</v>
      </c>
      <c r="AF78" s="56">
        <f>'[2]Изложницы без бурта'!D78</f>
        <v>140</v>
      </c>
      <c r="AG78" s="56">
        <f>'[2]Изложницы без бурта'!E78</f>
        <v>115</v>
      </c>
      <c r="AH78" s="56" t="str">
        <f>'[2]Изложницы без бурта'!F78</f>
        <v>7211867-10</v>
      </c>
      <c r="AI78" s="56">
        <f>'[2]Изложницы без бурта'!G78</f>
        <v>0</v>
      </c>
      <c r="AJ78" s="56">
        <f>'[2]Изложницы без бурта'!H78</f>
        <v>0</v>
      </c>
      <c r="AK78" s="56">
        <f>'[2]Изложницы без бурта'!I78</f>
        <v>0</v>
      </c>
      <c r="AL78" s="56">
        <f>'[2]Изложницы без бурта'!J78</f>
        <v>0</v>
      </c>
      <c r="AM78" s="56">
        <f>'[2]Изложницы без бурта'!K78</f>
        <v>0</v>
      </c>
      <c r="AR78" s="368">
        <v>302</v>
      </c>
      <c r="AS78" s="368">
        <v>267.5</v>
      </c>
      <c r="AT78" s="368">
        <v>317</v>
      </c>
      <c r="AU78" s="368">
        <v>200</v>
      </c>
      <c r="AV78" s="368">
        <v>375</v>
      </c>
      <c r="AW78" s="368">
        <v>450</v>
      </c>
      <c r="AX78" s="393" t="s">
        <v>481</v>
      </c>
    </row>
    <row r="79" spans="1:50" ht="14.4" x14ac:dyDescent="0.25">
      <c r="L79" s="228">
        <f>[1]Планки!H79</f>
        <v>86</v>
      </c>
      <c r="M79" s="138">
        <f>[1]Планки!I79</f>
        <v>995</v>
      </c>
      <c r="N79" s="138">
        <f>[1]Планки!J79</f>
        <v>160</v>
      </c>
      <c r="O79" s="229">
        <f>[1]Планки!K79</f>
        <v>835</v>
      </c>
      <c r="P79" s="229">
        <f>[1]Планки!L79</f>
        <v>200</v>
      </c>
      <c r="Q79" s="138">
        <f>[1]Планки!M79</f>
        <v>215</v>
      </c>
      <c r="R79" s="138">
        <f>[1]Планки!N79</f>
        <v>250</v>
      </c>
      <c r="S79" s="229">
        <f>[1]Планки!O79</f>
        <v>85</v>
      </c>
      <c r="T79" s="138">
        <f>[1]Планки!P79</f>
        <v>97</v>
      </c>
      <c r="U79" s="138">
        <f>[1]Планки!Q79</f>
        <v>155</v>
      </c>
      <c r="V79" s="230" t="str">
        <f>[1]Планки!R79</f>
        <v>модель нашита  (L4=32 L5=42 L6=100)</v>
      </c>
      <c r="AB79" s="258">
        <f>IF(MAX(AC79:AC1156)&lt;ROW(1:1),"",VLOOKUP(ROW(1:1),AC79:AD1156,2))</f>
        <v>85</v>
      </c>
      <c r="AC79" s="259">
        <f>IF(COUNTIF(AD$78:AD79,AD79)=1,MAX(AC$78:AC78)+1,"")</f>
        <v>1</v>
      </c>
      <c r="AD79" s="220">
        <f>'[2]Изложницы без бурта'!B79</f>
        <v>85</v>
      </c>
      <c r="AE79" s="220">
        <f>'[2]Изложницы без бурта'!C79</f>
        <v>240</v>
      </c>
      <c r="AF79" s="56">
        <f>'[2]Изложницы без бурта'!D79</f>
        <v>140</v>
      </c>
      <c r="AG79" s="56">
        <f>'[2]Изложницы без бурта'!E79</f>
        <v>115</v>
      </c>
      <c r="AH79" s="56" t="str">
        <f>'[2]Изложницы без бурта'!F79</f>
        <v>72.11867 - 11</v>
      </c>
      <c r="AI79" s="56">
        <f>'[2]Изложницы без бурта'!G79</f>
        <v>44970</v>
      </c>
      <c r="AJ79" s="56" t="str">
        <f>'[2]Изложницы без бурта'!H79</f>
        <v>Кокиля ф меньше 85,0 не используют -  нет толкателей</v>
      </c>
      <c r="AK79" s="56">
        <f>'[2]Изложницы без бурта'!I79</f>
        <v>0</v>
      </c>
      <c r="AL79" s="56" t="s">
        <v>569</v>
      </c>
      <c r="AM79" s="56">
        <f>'[2]Изложницы без бурта'!K79</f>
        <v>0</v>
      </c>
      <c r="AR79" s="368">
        <v>358</v>
      </c>
      <c r="AS79" s="368">
        <v>270</v>
      </c>
      <c r="AT79" s="368">
        <v>405</v>
      </c>
      <c r="AU79" s="368">
        <v>335</v>
      </c>
      <c r="AV79" s="368">
        <v>400</v>
      </c>
      <c r="AW79" s="368">
        <v>400</v>
      </c>
      <c r="AX79" s="393" t="s">
        <v>512</v>
      </c>
    </row>
    <row r="80" spans="1:50" ht="14.4" x14ac:dyDescent="0.25">
      <c r="A80" s="252" t="s">
        <v>147</v>
      </c>
      <c r="B80" s="256" t="s">
        <v>175</v>
      </c>
      <c r="C80" s="251" t="s">
        <v>176</v>
      </c>
      <c r="D80" s="251"/>
      <c r="E80" s="251"/>
      <c r="F80" s="250"/>
      <c r="G80" s="250" t="s">
        <v>150</v>
      </c>
      <c r="H80" s="249"/>
      <c r="I80" s="249"/>
      <c r="J80" s="250" t="s">
        <v>187</v>
      </c>
      <c r="K80" s="250"/>
      <c r="L80" s="228">
        <f>[1]Планки!H80</f>
        <v>92</v>
      </c>
      <c r="M80" s="138">
        <f>[1]Планки!I80</f>
        <v>1015</v>
      </c>
      <c r="N80" s="138">
        <f>[1]Планки!J80</f>
        <v>175</v>
      </c>
      <c r="O80" s="229">
        <f>[1]Планки!K80</f>
        <v>840</v>
      </c>
      <c r="P80" s="229">
        <f>[1]Планки!L80</f>
        <v>250</v>
      </c>
      <c r="Q80" s="138">
        <f>[1]Планки!M80</f>
        <v>260</v>
      </c>
      <c r="R80" s="138">
        <f>[1]Планки!N80</f>
        <v>310</v>
      </c>
      <c r="S80" s="229">
        <f>[1]Планки!O80</f>
        <v>41</v>
      </c>
      <c r="T80" s="138">
        <f>[1]Планки!P80</f>
        <v>50</v>
      </c>
      <c r="U80" s="138">
        <f>[1]Планки!Q80</f>
        <v>120</v>
      </c>
      <c r="V80" s="230" t="str">
        <f>[1]Планки!R80</f>
        <v>модель нашита  (L4=36 L5=40 L6=110)</v>
      </c>
      <c r="AB80" s="258">
        <f t="shared" ref="AB80:AB143" si="0">IF(MAX(AC80:AC1157)&lt;ROW(2:2),"",VLOOKUP(ROW(2:2),AC80:AD1157,2))</f>
        <v>87.5</v>
      </c>
      <c r="AC80" s="259" t="str">
        <f>IF(COUNTIF(AD$78:AD80,AD80)=1,MAX(AC$78:AC79)+1,"")</f>
        <v/>
      </c>
      <c r="AD80" s="220">
        <f>'[2]Изложницы без бурта'!B80</f>
        <v>85</v>
      </c>
      <c r="AE80" s="220">
        <f>'[2]Изложницы без бурта'!C80</f>
        <v>245</v>
      </c>
      <c r="AF80" s="56">
        <f>'[2]Изложницы без бурта'!D80</f>
        <v>140</v>
      </c>
      <c r="AG80" s="56">
        <f>'[2]Изложницы без бурта'!E80</f>
        <v>115</v>
      </c>
      <c r="AH80" s="56" t="str">
        <f>'[2]Изложницы без бурта'!F80</f>
        <v>72.11867 - 11</v>
      </c>
      <c r="AI80" s="56">
        <f>'[2]Изложницы без бурта'!G80</f>
        <v>0</v>
      </c>
      <c r="AJ80" s="56">
        <f>'[2]Изложницы без бурта'!H80</f>
        <v>0</v>
      </c>
      <c r="AK80" s="56">
        <f>'[2]Изложницы без бурта'!I80</f>
        <v>0</v>
      </c>
      <c r="AL80" s="56" t="s">
        <v>569</v>
      </c>
      <c r="AM80" s="56">
        <f>'[2]Изложницы без бурта'!K80</f>
        <v>0</v>
      </c>
      <c r="AR80" s="387">
        <v>358</v>
      </c>
      <c r="AS80" s="387">
        <v>280</v>
      </c>
      <c r="AT80" s="387">
        <v>420</v>
      </c>
      <c r="AU80" s="387">
        <v>360</v>
      </c>
      <c r="AV80" s="387"/>
      <c r="AW80" s="387">
        <v>450</v>
      </c>
      <c r="AX80" s="393" t="s">
        <v>513</v>
      </c>
    </row>
    <row r="81" spans="1:50" ht="14.4" x14ac:dyDescent="0.25">
      <c r="A81" s="257"/>
      <c r="B81" s="256" t="s">
        <v>177</v>
      </c>
      <c r="C81" s="249" t="s">
        <v>151</v>
      </c>
      <c r="D81" s="249" t="s">
        <v>152</v>
      </c>
      <c r="E81" s="249" t="s">
        <v>153</v>
      </c>
      <c r="F81" s="250" t="s">
        <v>178</v>
      </c>
      <c r="G81" s="250" t="s">
        <v>179</v>
      </c>
      <c r="H81" s="251" t="s">
        <v>180</v>
      </c>
      <c r="I81" s="251" t="s">
        <v>181</v>
      </c>
      <c r="J81" s="250" t="s">
        <v>188</v>
      </c>
      <c r="K81" s="251" t="s">
        <v>189</v>
      </c>
      <c r="L81" s="228">
        <f>[1]Планки!H81</f>
        <v>105</v>
      </c>
      <c r="M81" s="138">
        <f>[1]Планки!I81</f>
        <v>990</v>
      </c>
      <c r="N81" s="138">
        <f>[1]Планки!J81</f>
        <v>150</v>
      </c>
      <c r="O81" s="229">
        <f>[1]Планки!K81</f>
        <v>840</v>
      </c>
      <c r="P81" s="229">
        <f>[1]Планки!L81</f>
        <v>270</v>
      </c>
      <c r="Q81" s="138">
        <f>[1]Планки!M81</f>
        <v>290</v>
      </c>
      <c r="R81" s="138">
        <f>[1]Планки!N81</f>
        <v>320</v>
      </c>
      <c r="S81" s="229">
        <f>[1]Планки!O81</f>
        <v>32</v>
      </c>
      <c r="T81" s="138">
        <f>[1]Планки!P81</f>
        <v>40</v>
      </c>
      <c r="U81" s="138">
        <f>[1]Планки!Q81</f>
        <v>100</v>
      </c>
      <c r="V81" s="230">
        <f>[1]Планки!R81</f>
        <v>0</v>
      </c>
      <c r="AB81" s="258">
        <f t="shared" si="0"/>
        <v>90</v>
      </c>
      <c r="AC81" s="259" t="str">
        <f>IF(COUNTIF(AD$78:AD81,AD81)=1,MAX(AC$78:AC80)+1,"")</f>
        <v/>
      </c>
      <c r="AD81" s="220">
        <f>'[2]Изложницы без бурта'!B81</f>
        <v>85</v>
      </c>
      <c r="AE81" s="220">
        <f>'[2]Изложницы без бурта'!C81</f>
        <v>240</v>
      </c>
      <c r="AF81" s="56">
        <f>'[2]Изложницы без бурта'!D81</f>
        <v>140</v>
      </c>
      <c r="AG81" s="56">
        <f>'[2]Изложницы без бурта'!E81</f>
        <v>115</v>
      </c>
      <c r="AH81" s="56" t="str">
        <f>'[2]Изложницы без бурта'!F81</f>
        <v>72.11867 - 11</v>
      </c>
      <c r="AI81" s="56">
        <f>'[2]Изложницы без бурта'!G81</f>
        <v>0</v>
      </c>
      <c r="AJ81" s="56">
        <f>'[2]Изложницы без бурта'!H81</f>
        <v>0</v>
      </c>
      <c r="AK81" s="56">
        <f>'[2]Изложницы без бурта'!I81</f>
        <v>0</v>
      </c>
      <c r="AL81" s="56" t="s">
        <v>569</v>
      </c>
      <c r="AM81" s="56">
        <f>'[2]Изложницы без бурта'!K81</f>
        <v>0</v>
      </c>
      <c r="AR81" s="368">
        <v>308</v>
      </c>
      <c r="AS81" s="368">
        <v>275</v>
      </c>
      <c r="AT81" s="368">
        <v>258</v>
      </c>
      <c r="AU81" s="368">
        <v>198</v>
      </c>
      <c r="AV81" s="368">
        <v>375</v>
      </c>
      <c r="AW81" s="368">
        <v>450</v>
      </c>
      <c r="AX81" s="393" t="s">
        <v>514</v>
      </c>
    </row>
    <row r="82" spans="1:50" ht="14.4" x14ac:dyDescent="0.25">
      <c r="A82" s="257"/>
      <c r="L82" s="228">
        <f>[1]Планки!H82</f>
        <v>45</v>
      </c>
      <c r="M82" s="138">
        <f>[1]Планки!I82</f>
        <v>1015</v>
      </c>
      <c r="N82" s="138">
        <f>[1]Планки!J82</f>
        <v>170</v>
      </c>
      <c r="O82" s="229">
        <f>[1]Планки!K82</f>
        <v>845</v>
      </c>
      <c r="P82" s="229">
        <f>[1]Планки!L82</f>
        <v>170</v>
      </c>
      <c r="Q82" s="138">
        <f>[1]Планки!M82</f>
        <v>190</v>
      </c>
      <c r="R82" s="138">
        <f>[1]Планки!N82</f>
        <v>210</v>
      </c>
      <c r="S82" s="229">
        <f>[1]Планки!O82</f>
        <v>41</v>
      </c>
      <c r="T82" s="138">
        <f>[1]Планки!P82</f>
        <v>56</v>
      </c>
      <c r="U82" s="138">
        <f>[1]Планки!Q82</f>
        <v>125</v>
      </c>
      <c r="V82" s="230" t="str">
        <f>[1]Планки!R82</f>
        <v>модель нашита  (L4=36 L5=51 L6=120)</v>
      </c>
      <c r="AB82" s="258">
        <f t="shared" si="0"/>
        <v>92.5</v>
      </c>
      <c r="AC82" s="259" t="str">
        <f>IF(COUNTIF(AD$78:AD82,AD82)=1,MAX(AC$78:AC81)+1,"")</f>
        <v/>
      </c>
      <c r="AD82" s="220">
        <f>'[2]Изложницы без бурта'!B82</f>
        <v>85</v>
      </c>
      <c r="AE82" s="220">
        <f>'[2]Изложницы без бурта'!C82</f>
        <v>245</v>
      </c>
      <c r="AF82" s="56">
        <f>'[2]Изложницы без бурта'!D82</f>
        <v>140</v>
      </c>
      <c r="AG82" s="56">
        <f>'[2]Изложницы без бурта'!E82</f>
        <v>115</v>
      </c>
      <c r="AH82" s="56" t="str">
        <f>'[2]Изложницы без бурта'!F82</f>
        <v>72.11867 - 11</v>
      </c>
      <c r="AI82" s="56">
        <f>'[2]Изложницы без бурта'!G82</f>
        <v>0</v>
      </c>
      <c r="AJ82" s="56">
        <f>'[2]Изложницы без бурта'!H82</f>
        <v>0</v>
      </c>
      <c r="AK82" s="56">
        <f>'[2]Изложницы без бурта'!I82</f>
        <v>0</v>
      </c>
      <c r="AL82" s="56" t="s">
        <v>569</v>
      </c>
      <c r="AM82" s="56">
        <f>'[2]Изложницы без бурта'!K82</f>
        <v>0</v>
      </c>
      <c r="AR82" s="368">
        <v>306</v>
      </c>
      <c r="AS82" s="368">
        <v>277.5</v>
      </c>
      <c r="AT82" s="368">
        <v>260</v>
      </c>
      <c r="AU82" s="368">
        <v>220</v>
      </c>
      <c r="AV82" s="368">
        <v>375</v>
      </c>
      <c r="AW82" s="368">
        <v>450</v>
      </c>
      <c r="AX82" s="393" t="s">
        <v>515</v>
      </c>
    </row>
    <row r="83" spans="1:50" ht="15" thickBot="1" x14ac:dyDescent="0.3">
      <c r="A83" s="257" t="s">
        <v>195</v>
      </c>
      <c r="B83" s="246">
        <v>4</v>
      </c>
      <c r="C83" s="56">
        <v>50</v>
      </c>
      <c r="D83" s="56">
        <v>45</v>
      </c>
      <c r="E83" s="56">
        <v>40</v>
      </c>
      <c r="F83" s="56">
        <v>55</v>
      </c>
      <c r="G83" s="56">
        <v>55</v>
      </c>
      <c r="H83" s="56">
        <v>45</v>
      </c>
      <c r="I83" s="56">
        <v>50</v>
      </c>
      <c r="J83" s="56">
        <v>110</v>
      </c>
      <c r="K83" s="56">
        <v>90</v>
      </c>
      <c r="L83" s="228">
        <f>[1]Планки!H83</f>
        <v>111</v>
      </c>
      <c r="M83" s="138">
        <f>[1]Планки!I83</f>
        <v>1030</v>
      </c>
      <c r="N83" s="138">
        <f>[1]Планки!J83</f>
        <v>180</v>
      </c>
      <c r="O83" s="229">
        <f>[1]Планки!K83</f>
        <v>850</v>
      </c>
      <c r="P83" s="229">
        <f>[1]Планки!L83</f>
        <v>145</v>
      </c>
      <c r="Q83" s="138">
        <f>[1]Планки!M83</f>
        <v>165</v>
      </c>
      <c r="R83" s="138">
        <f>[1]Планки!N83</f>
        <v>200</v>
      </c>
      <c r="S83" s="229">
        <f>[1]Планки!O83</f>
        <v>50</v>
      </c>
      <c r="T83" s="138">
        <f>[1]Планки!P83</f>
        <v>70</v>
      </c>
      <c r="U83" s="138">
        <f>[1]Планки!Q83</f>
        <v>140</v>
      </c>
      <c r="V83" s="230" t="str">
        <f>[1]Планки!R83</f>
        <v>модель нашита  (L4=40 L5=55 L6=130)</v>
      </c>
      <c r="AB83" s="258">
        <f t="shared" si="0"/>
        <v>95</v>
      </c>
      <c r="AC83" s="259" t="str">
        <f>IF(COUNTIF(AD$78:AD83,AD83)=1,MAX(AC$78:AC82)+1,"")</f>
        <v/>
      </c>
      <c r="AD83" s="220">
        <f>'[2]Изложницы без бурта'!B83</f>
        <v>85</v>
      </c>
      <c r="AE83" s="220">
        <f>'[2]Изложницы без бурта'!C83</f>
        <v>245</v>
      </c>
      <c r="AF83" s="56">
        <f>'[2]Изложницы без бурта'!D83</f>
        <v>140</v>
      </c>
      <c r="AG83" s="56">
        <f>'[2]Изложницы без бурта'!E83</f>
        <v>115</v>
      </c>
      <c r="AH83" s="56" t="str">
        <f>'[2]Изложницы без бурта'!F83</f>
        <v>72.11867 - 11</v>
      </c>
      <c r="AI83" s="56">
        <f>'[2]Изложницы без бурта'!G83</f>
        <v>0</v>
      </c>
      <c r="AJ83" s="56">
        <f>'[2]Изложницы без бурта'!H83</f>
        <v>0</v>
      </c>
      <c r="AK83" s="56">
        <f>'[2]Изложницы без бурта'!I83</f>
        <v>0</v>
      </c>
      <c r="AL83" s="56" t="s">
        <v>569</v>
      </c>
      <c r="AM83" s="56">
        <f>'[2]Изложницы без бурта'!K83</f>
        <v>0</v>
      </c>
      <c r="AR83" s="368">
        <v>350</v>
      </c>
      <c r="AS83" s="368">
        <v>277.5</v>
      </c>
      <c r="AT83" s="368">
        <v>420</v>
      </c>
      <c r="AU83" s="369">
        <v>340</v>
      </c>
      <c r="AV83" s="368">
        <v>415</v>
      </c>
      <c r="AW83" s="368">
        <v>400</v>
      </c>
      <c r="AX83" s="393" t="s">
        <v>516</v>
      </c>
    </row>
    <row r="84" spans="1:50" ht="15" thickBot="1" x14ac:dyDescent="0.3">
      <c r="A84" s="257" t="s">
        <v>196</v>
      </c>
      <c r="B84" s="246">
        <v>4</v>
      </c>
      <c r="C84" s="56">
        <v>55</v>
      </c>
      <c r="D84" s="56">
        <v>45</v>
      </c>
      <c r="E84" s="56">
        <v>45</v>
      </c>
      <c r="F84" s="56">
        <v>60</v>
      </c>
      <c r="G84" s="56">
        <v>55</v>
      </c>
      <c r="H84" s="56">
        <v>50</v>
      </c>
      <c r="I84" s="56">
        <v>55</v>
      </c>
      <c r="J84" s="56">
        <v>110</v>
      </c>
      <c r="K84" s="56">
        <v>90</v>
      </c>
      <c r="L84" s="228">
        <f>[1]Планки!H84</f>
        <v>58</v>
      </c>
      <c r="M84" s="138">
        <f>[1]Планки!I84</f>
        <v>1030</v>
      </c>
      <c r="N84" s="138">
        <f>[1]Планки!J84</f>
        <v>180</v>
      </c>
      <c r="O84" s="229">
        <f>[1]Планки!K84</f>
        <v>850</v>
      </c>
      <c r="P84" s="229">
        <f>[1]Планки!L84</f>
        <v>145</v>
      </c>
      <c r="Q84" s="138">
        <f>[1]Планки!M84</f>
        <v>162</v>
      </c>
      <c r="R84" s="138">
        <f>[1]Планки!N84</f>
        <v>200</v>
      </c>
      <c r="S84" s="229">
        <f>[1]Планки!O84</f>
        <v>90</v>
      </c>
      <c r="T84" s="138">
        <f>[1]Планки!P84</f>
        <v>105</v>
      </c>
      <c r="U84" s="138">
        <f>[1]Планки!Q84</f>
        <v>180</v>
      </c>
      <c r="V84" s="230" t="str">
        <f>[1]Планки!R84</f>
        <v>модель нашита  (L4=40 L5=60 L6=120)</v>
      </c>
      <c r="AB84" s="258">
        <f t="shared" si="0"/>
        <v>100</v>
      </c>
      <c r="AC84" s="259" t="str">
        <f>IF(COUNTIF(AD$78:AD84,AD84)=1,MAX(AC$78:AC83)+1,"")</f>
        <v/>
      </c>
      <c r="AD84" s="220">
        <f>'[2]Изложницы без бурта'!B84</f>
        <v>85</v>
      </c>
      <c r="AE84" s="220">
        <f>'[2]Изложницы без бурта'!C84</f>
        <v>245</v>
      </c>
      <c r="AF84" s="56">
        <f>'[2]Изложницы без бурта'!D84</f>
        <v>140</v>
      </c>
      <c r="AG84" s="56">
        <f>'[2]Изложницы без бурта'!E84</f>
        <v>115</v>
      </c>
      <c r="AH84" s="56" t="str">
        <f>'[2]Изложницы без бурта'!F84</f>
        <v>72.11867 - 11</v>
      </c>
      <c r="AI84" s="56">
        <f>'[2]Изложницы без бурта'!G84</f>
        <v>0</v>
      </c>
      <c r="AJ84" s="56">
        <f>'[2]Изложницы без бурта'!H84</f>
        <v>0</v>
      </c>
      <c r="AK84" s="56">
        <f>'[2]Изложницы без бурта'!I84</f>
        <v>0</v>
      </c>
      <c r="AL84" s="56" t="s">
        <v>569</v>
      </c>
      <c r="AM84" s="56">
        <f>'[2]Изложницы без бурта'!K84</f>
        <v>0</v>
      </c>
      <c r="AR84" s="368">
        <v>305</v>
      </c>
      <c r="AS84" s="368">
        <v>277.5</v>
      </c>
      <c r="AT84" s="375">
        <v>257</v>
      </c>
      <c r="AU84" s="376">
        <v>200</v>
      </c>
      <c r="AV84" s="368">
        <v>375</v>
      </c>
      <c r="AW84" s="368">
        <v>450</v>
      </c>
      <c r="AX84" s="393" t="s">
        <v>515</v>
      </c>
    </row>
    <row r="85" spans="1:50" ht="14.4" x14ac:dyDescent="0.25">
      <c r="A85" s="257" t="s">
        <v>197</v>
      </c>
      <c r="B85" s="246">
        <v>4</v>
      </c>
      <c r="C85" s="56">
        <v>55</v>
      </c>
      <c r="D85" s="56">
        <v>50</v>
      </c>
      <c r="E85" s="56">
        <v>50</v>
      </c>
      <c r="F85" s="56">
        <v>65</v>
      </c>
      <c r="G85" s="56">
        <v>65</v>
      </c>
      <c r="H85" s="56">
        <v>50</v>
      </c>
      <c r="I85" s="56">
        <v>60</v>
      </c>
      <c r="J85" s="56">
        <v>120</v>
      </c>
      <c r="K85" s="56">
        <v>100</v>
      </c>
      <c r="L85" s="228">
        <f>[1]Планки!H85</f>
        <v>70</v>
      </c>
      <c r="M85" s="138">
        <f>[1]Планки!I85</f>
        <v>980</v>
      </c>
      <c r="N85" s="138">
        <f>[1]Планки!J85</f>
        <v>130</v>
      </c>
      <c r="O85" s="229">
        <f>[1]Планки!K85</f>
        <v>850</v>
      </c>
      <c r="P85" s="229">
        <f>[1]Планки!L85</f>
        <v>180</v>
      </c>
      <c r="Q85" s="138">
        <f>[1]Планки!M85</f>
        <v>196</v>
      </c>
      <c r="R85" s="138">
        <f>[1]Планки!N85</f>
        <v>230</v>
      </c>
      <c r="S85" s="229">
        <f>[1]Планки!O85</f>
        <v>30</v>
      </c>
      <c r="T85" s="138">
        <f>[1]Планки!P85</f>
        <v>35</v>
      </c>
      <c r="U85" s="138">
        <f>[1]Планки!Q85</f>
        <v>85</v>
      </c>
      <c r="V85" s="230">
        <f>[1]Планки!R85</f>
        <v>0</v>
      </c>
      <c r="AB85" s="258">
        <f t="shared" si="0"/>
        <v>102.5</v>
      </c>
      <c r="AC85" s="259" t="str">
        <f>IF(COUNTIF(AD$78:AD85,AD85)=1,MAX(AC$78:AC84)+1,"")</f>
        <v/>
      </c>
      <c r="AD85" s="220">
        <f>'[2]Изложницы без бурта'!B85</f>
        <v>85</v>
      </c>
      <c r="AE85" s="220">
        <f>'[2]Изложницы без бурта'!C85</f>
        <v>243</v>
      </c>
      <c r="AF85" s="56">
        <f>'[2]Изложницы без бурта'!D85</f>
        <v>140</v>
      </c>
      <c r="AG85" s="56">
        <f>'[2]Изложницы без бурта'!E85</f>
        <v>115</v>
      </c>
      <c r="AH85" s="56" t="str">
        <f>'[2]Изложницы без бурта'!F85</f>
        <v>72.11867 - 11</v>
      </c>
      <c r="AI85" s="56">
        <f>'[2]Изложницы без бурта'!G85</f>
        <v>0</v>
      </c>
      <c r="AJ85" s="56">
        <f>'[2]Изложницы без бурта'!H85</f>
        <v>0</v>
      </c>
      <c r="AK85" s="56">
        <f>'[2]Изложницы без бурта'!I85</f>
        <v>0</v>
      </c>
      <c r="AL85" s="56" t="s">
        <v>569</v>
      </c>
      <c r="AM85" s="56">
        <f>'[2]Изложницы без бурта'!K85</f>
        <v>0</v>
      </c>
      <c r="AR85" s="368">
        <v>299</v>
      </c>
      <c r="AS85" s="368">
        <v>277.5</v>
      </c>
      <c r="AT85" s="368">
        <v>260</v>
      </c>
      <c r="AU85" s="367">
        <v>210</v>
      </c>
      <c r="AV85" s="368">
        <v>375</v>
      </c>
      <c r="AW85" s="368">
        <v>450</v>
      </c>
      <c r="AX85" s="393" t="s">
        <v>515</v>
      </c>
    </row>
    <row r="86" spans="1:50" ht="14.4" x14ac:dyDescent="0.25">
      <c r="A86" s="257" t="s">
        <v>198</v>
      </c>
      <c r="B86" s="246">
        <v>4</v>
      </c>
      <c r="C86" s="56">
        <v>60</v>
      </c>
      <c r="D86" s="56">
        <v>50</v>
      </c>
      <c r="E86" s="56">
        <v>55</v>
      </c>
      <c r="F86" s="56">
        <v>70</v>
      </c>
      <c r="G86" s="56">
        <v>65</v>
      </c>
      <c r="H86" s="56">
        <v>55</v>
      </c>
      <c r="I86" s="56">
        <v>65</v>
      </c>
      <c r="J86" s="56">
        <v>120</v>
      </c>
      <c r="K86" s="56">
        <v>100</v>
      </c>
      <c r="L86" s="228">
        <f>[1]Планки!H86</f>
        <v>99</v>
      </c>
      <c r="M86" s="138">
        <f>[1]Планки!I86</f>
        <v>1150</v>
      </c>
      <c r="N86" s="138">
        <f>[1]Планки!J86</f>
        <v>300</v>
      </c>
      <c r="O86" s="229">
        <f>[1]Планки!K86</f>
        <v>850</v>
      </c>
      <c r="P86" s="229">
        <f>[1]Планки!L86</f>
        <v>185</v>
      </c>
      <c r="Q86" s="138">
        <f>[1]Планки!M86</f>
        <v>195</v>
      </c>
      <c r="R86" s="138">
        <f>[1]Планки!N86</f>
        <v>250</v>
      </c>
      <c r="S86" s="229">
        <f>[1]Планки!O86</f>
        <v>110</v>
      </c>
      <c r="T86" s="138">
        <f>[1]Планки!P86</f>
        <v>120</v>
      </c>
      <c r="U86" s="138">
        <f>[1]Планки!Q86</f>
        <v>220</v>
      </c>
      <c r="V86" s="230" t="str">
        <f>[1]Планки!R86</f>
        <v>модель нашита  (L4=72 L5=88 L6=110)</v>
      </c>
      <c r="AB86" s="258">
        <f t="shared" si="0"/>
        <v>105</v>
      </c>
      <c r="AC86" s="259" t="str">
        <f>IF(COUNTIF(AD$78:AD86,AD86)=1,MAX(AC$78:AC85)+1,"")</f>
        <v/>
      </c>
      <c r="AD86" s="220">
        <f>'[2]Изложницы без бурта'!B86</f>
        <v>85</v>
      </c>
      <c r="AE86" s="220">
        <f>'[2]Изложницы без бурта'!C86</f>
        <v>240</v>
      </c>
      <c r="AF86" s="56">
        <f>'[2]Изложницы без бурта'!D86</f>
        <v>140</v>
      </c>
      <c r="AG86" s="56">
        <f>'[2]Изложницы без бурта'!E86</f>
        <v>115</v>
      </c>
      <c r="AH86" s="56" t="str">
        <f>'[2]Изложницы без бурта'!F86</f>
        <v>72.11867 - 11</v>
      </c>
      <c r="AI86" s="56">
        <f>'[2]Изложницы без бурта'!G86</f>
        <v>0</v>
      </c>
      <c r="AJ86" s="56">
        <f>'[2]Изложницы без бурта'!H86</f>
        <v>0</v>
      </c>
      <c r="AK86" s="56">
        <f>'[2]Изложницы без бурта'!I86</f>
        <v>0</v>
      </c>
      <c r="AL86" s="56" t="s">
        <v>569</v>
      </c>
      <c r="AM86" s="56">
        <f>'[2]Изложницы без бурта'!K86</f>
        <v>0</v>
      </c>
      <c r="AR86" s="368">
        <v>310</v>
      </c>
      <c r="AS86" s="368">
        <v>280</v>
      </c>
      <c r="AT86" s="368">
        <v>200</v>
      </c>
      <c r="AU86" s="368">
        <v>130</v>
      </c>
      <c r="AV86" s="368">
        <v>375</v>
      </c>
      <c r="AW86" s="368">
        <v>450</v>
      </c>
      <c r="AX86" s="393" t="s">
        <v>540</v>
      </c>
    </row>
    <row r="87" spans="1:50" ht="15" thickBot="1" x14ac:dyDescent="0.3">
      <c r="A87" s="257" t="s">
        <v>199</v>
      </c>
      <c r="B87" s="246">
        <v>4</v>
      </c>
      <c r="C87" s="56">
        <v>60</v>
      </c>
      <c r="D87" s="56">
        <v>55</v>
      </c>
      <c r="E87" s="56">
        <v>60</v>
      </c>
      <c r="F87" s="56">
        <v>75</v>
      </c>
      <c r="G87" s="56">
        <v>70</v>
      </c>
      <c r="H87" s="56">
        <v>60</v>
      </c>
      <c r="I87" s="56">
        <v>70</v>
      </c>
      <c r="J87" s="56">
        <v>120</v>
      </c>
      <c r="K87" s="56">
        <v>100</v>
      </c>
      <c r="L87" s="228">
        <f>[1]Планки!H87</f>
        <v>106</v>
      </c>
      <c r="M87" s="138">
        <f>[1]Планки!I87</f>
        <v>1005</v>
      </c>
      <c r="N87" s="138">
        <f>[1]Планки!J87</f>
        <v>150</v>
      </c>
      <c r="O87" s="229">
        <f>[1]Планки!K87</f>
        <v>855</v>
      </c>
      <c r="P87" s="229">
        <f>[1]Планки!L87</f>
        <v>280</v>
      </c>
      <c r="Q87" s="138">
        <f>[1]Планки!M87</f>
        <v>290</v>
      </c>
      <c r="R87" s="138">
        <f>[1]Планки!N87</f>
        <v>330</v>
      </c>
      <c r="S87" s="229">
        <f>[1]Планки!O87</f>
        <v>33</v>
      </c>
      <c r="T87" s="138">
        <f>[1]Планки!P87</f>
        <v>45</v>
      </c>
      <c r="U87" s="138">
        <f>[1]Планки!Q87</f>
        <v>110</v>
      </c>
      <c r="V87" s="230">
        <f>[1]Планки!R87</f>
        <v>0</v>
      </c>
      <c r="AB87" s="258">
        <f t="shared" si="0"/>
        <v>107.5</v>
      </c>
      <c r="AC87" s="259" t="str">
        <f>IF(COUNTIF(AD$78:AD87,AD87)=1,MAX(AC$78:AC86)+1,"")</f>
        <v/>
      </c>
      <c r="AD87" s="220">
        <f>'[2]Изложницы без бурта'!B87</f>
        <v>85</v>
      </c>
      <c r="AE87" s="220">
        <f>'[2]Изложницы без бурта'!C87</f>
        <v>240</v>
      </c>
      <c r="AF87" s="56">
        <f>'[2]Изложницы без бурта'!D87</f>
        <v>140</v>
      </c>
      <c r="AG87" s="56">
        <f>'[2]Изложницы без бурта'!E87</f>
        <v>115</v>
      </c>
      <c r="AH87" s="56" t="str">
        <f>'[2]Изложницы без бурта'!F87</f>
        <v>72.11867 - 11</v>
      </c>
      <c r="AI87" s="56">
        <f>'[2]Изложницы без бурта'!G87</f>
        <v>0</v>
      </c>
      <c r="AJ87" s="56">
        <f>'[2]Изложницы без бурта'!H87</f>
        <v>0</v>
      </c>
      <c r="AK87" s="56">
        <f>'[2]Изложницы без бурта'!I87</f>
        <v>0</v>
      </c>
      <c r="AL87" s="56" t="s">
        <v>569</v>
      </c>
      <c r="AM87" s="56">
        <f>'[2]Изложницы без бурта'!K87</f>
        <v>0</v>
      </c>
      <c r="AR87" s="368">
        <v>313</v>
      </c>
      <c r="AS87" s="368">
        <v>280</v>
      </c>
      <c r="AT87" s="368">
        <v>200</v>
      </c>
      <c r="AU87" s="369">
        <v>135</v>
      </c>
      <c r="AV87" s="368">
        <v>375</v>
      </c>
      <c r="AW87" s="368">
        <v>450</v>
      </c>
      <c r="AX87" s="393" t="s">
        <v>540</v>
      </c>
    </row>
    <row r="88" spans="1:50" ht="15" thickBot="1" x14ac:dyDescent="0.3">
      <c r="L88" s="228">
        <f>[1]Планки!H88</f>
        <v>110</v>
      </c>
      <c r="M88" s="138">
        <f>[1]Планки!I88</f>
        <v>1030</v>
      </c>
      <c r="N88" s="138">
        <f>[1]Планки!J88</f>
        <v>170</v>
      </c>
      <c r="O88" s="229">
        <f>[1]Планки!K88</f>
        <v>860</v>
      </c>
      <c r="P88" s="229">
        <f>[1]Планки!L88</f>
        <v>143</v>
      </c>
      <c r="Q88" s="138">
        <f>[1]Планки!M88</f>
        <v>163</v>
      </c>
      <c r="R88" s="138">
        <f>[1]Планки!N88</f>
        <v>200</v>
      </c>
      <c r="S88" s="229">
        <f>[1]Планки!O88</f>
        <v>37</v>
      </c>
      <c r="T88" s="138">
        <f>[1]Планки!P88</f>
        <v>57</v>
      </c>
      <c r="U88" s="138">
        <f>[1]Планки!Q88</f>
        <v>130</v>
      </c>
      <c r="V88" s="230">
        <f>[1]Планки!R88</f>
        <v>0</v>
      </c>
      <c r="AB88" s="258">
        <f t="shared" si="0"/>
        <v>110</v>
      </c>
      <c r="AC88" s="259" t="str">
        <f>IF(COUNTIF(AD$78:AD88,AD88)=1,MAX(AC$78:AC87)+1,"")</f>
        <v/>
      </c>
      <c r="AD88" s="220">
        <f>'[2]Изложницы без бурта'!B88</f>
        <v>85</v>
      </c>
      <c r="AE88" s="220">
        <f>'[2]Изложницы без бурта'!C88</f>
        <v>245</v>
      </c>
      <c r="AF88" s="56">
        <f>'[2]Изложницы без бурта'!D88</f>
        <v>140</v>
      </c>
      <c r="AG88" s="56">
        <f>'[2]Изложницы без бурта'!E88</f>
        <v>115</v>
      </c>
      <c r="AH88" s="56" t="str">
        <f>'[2]Изложницы без бурта'!F88</f>
        <v>72.11867 - 11</v>
      </c>
      <c r="AI88" s="56">
        <f>'[2]Изложницы без бурта'!G88</f>
        <v>0</v>
      </c>
      <c r="AJ88" s="56">
        <f>'[2]Изложницы без бурта'!H88</f>
        <v>0</v>
      </c>
      <c r="AK88" s="56">
        <f>'[2]Изложницы без бурта'!I88</f>
        <v>0</v>
      </c>
      <c r="AL88" s="56" t="s">
        <v>569</v>
      </c>
      <c r="AM88" s="56">
        <f>'[2]Изложницы без бурта'!K88</f>
        <v>0</v>
      </c>
      <c r="AR88" s="368">
        <v>315</v>
      </c>
      <c r="AS88" s="368">
        <v>285</v>
      </c>
      <c r="AT88" s="375">
        <v>378</v>
      </c>
      <c r="AU88" s="376">
        <v>275</v>
      </c>
      <c r="AV88" s="368">
        <v>375</v>
      </c>
      <c r="AW88" s="368">
        <v>450</v>
      </c>
      <c r="AX88" s="393" t="s">
        <v>517</v>
      </c>
    </row>
    <row r="89" spans="1:50" ht="16.2" thickBot="1" x14ac:dyDescent="0.35">
      <c r="A89" s="56" t="s">
        <v>200</v>
      </c>
      <c r="B89" s="260"/>
      <c r="C89" s="260"/>
      <c r="D89" s="260"/>
      <c r="E89" s="261"/>
      <c r="J89" s="366" t="s">
        <v>462</v>
      </c>
      <c r="L89" s="228">
        <f>[1]Планки!H89</f>
        <v>82</v>
      </c>
      <c r="M89" s="138">
        <f>[1]Планки!I89</f>
        <v>1020</v>
      </c>
      <c r="N89" s="138">
        <f>[1]Планки!J89</f>
        <v>160</v>
      </c>
      <c r="O89" s="229">
        <f>[1]Планки!K89</f>
        <v>860</v>
      </c>
      <c r="P89" s="229">
        <f>[1]Планки!L89</f>
        <v>330</v>
      </c>
      <c r="Q89" s="138">
        <f>[1]Планки!M89</f>
        <v>345</v>
      </c>
      <c r="R89" s="138">
        <f>[1]Планки!N89</f>
        <v>375</v>
      </c>
      <c r="S89" s="229">
        <f>[1]Планки!O89</f>
        <v>34</v>
      </c>
      <c r="T89" s="138">
        <f>[1]Планки!P89</f>
        <v>45</v>
      </c>
      <c r="U89" s="138">
        <f>[1]Планки!Q89</f>
        <v>105</v>
      </c>
      <c r="V89" s="230">
        <f>[1]Планки!R89</f>
        <v>0</v>
      </c>
      <c r="AB89" s="258">
        <f t="shared" ref="AB89:AB97" si="1">IF(MAX(AC89:AC1166)&lt;ROW(11:11),"",VLOOKUP(ROW(11:11),AC89:AD1166,2))</f>
        <v>112.5</v>
      </c>
      <c r="AC89" s="259">
        <f>IF(COUNTIF(AD$78:AD89,AD89)=1,MAX(AC$78:AC88)+1,"")</f>
        <v>2</v>
      </c>
      <c r="AD89" s="220">
        <f>'[2]Изложницы без бурта'!B89</f>
        <v>87.5</v>
      </c>
      <c r="AE89" s="220">
        <f>'[2]Изложницы без бурта'!C89</f>
        <v>245</v>
      </c>
      <c r="AF89" s="56">
        <f>'[2]Изложницы без бурта'!D89</f>
        <v>140</v>
      </c>
      <c r="AG89" s="56">
        <f>'[2]Изложницы без бурта'!E89</f>
        <v>115</v>
      </c>
      <c r="AH89" s="56" t="str">
        <f>'[2]Изложницы без бурта'!F89</f>
        <v>72.11867 - 12</v>
      </c>
      <c r="AI89" s="56">
        <f>'[2]Изложницы без бурта'!G89</f>
        <v>0</v>
      </c>
      <c r="AJ89" s="56">
        <f>'[2]Изложницы без бурта'!H89</f>
        <v>0</v>
      </c>
      <c r="AK89" s="56">
        <f>'[2]Изложницы без бурта'!I89</f>
        <v>0</v>
      </c>
      <c r="AL89" s="56" t="s">
        <v>570</v>
      </c>
      <c r="AM89" s="56">
        <f>'[2]Изложницы без бурта'!K89</f>
        <v>0</v>
      </c>
      <c r="AR89" s="368">
        <v>313</v>
      </c>
      <c r="AS89" s="368">
        <v>285</v>
      </c>
      <c r="AT89" s="368">
        <v>380</v>
      </c>
      <c r="AU89" s="367">
        <v>320</v>
      </c>
      <c r="AV89" s="368">
        <v>375</v>
      </c>
      <c r="AW89" s="368">
        <v>450</v>
      </c>
      <c r="AX89" s="393" t="s">
        <v>517</v>
      </c>
    </row>
    <row r="90" spans="1:50" ht="15.6" x14ac:dyDescent="0.3">
      <c r="A90" s="262" t="s">
        <v>201</v>
      </c>
      <c r="B90" s="263"/>
      <c r="C90" s="264" t="s">
        <v>202</v>
      </c>
      <c r="D90" s="263"/>
      <c r="E90" s="264" t="s">
        <v>150</v>
      </c>
      <c r="F90" s="265"/>
      <c r="G90" s="263"/>
      <c r="H90" s="266" t="s">
        <v>203</v>
      </c>
      <c r="I90" s="267"/>
      <c r="J90" s="366">
        <v>45</v>
      </c>
      <c r="L90" s="228">
        <f>[1]Планки!H90</f>
        <v>137</v>
      </c>
      <c r="M90" s="138">
        <f>[1]Планки!I90</f>
        <v>1035</v>
      </c>
      <c r="N90" s="138">
        <f>[1]Планки!J90</f>
        <v>175</v>
      </c>
      <c r="O90" s="229">
        <f>[1]Планки!K90</f>
        <v>860</v>
      </c>
      <c r="P90" s="229">
        <f>[1]Планки!L90</f>
        <v>395</v>
      </c>
      <c r="Q90" s="138">
        <f>[1]Планки!M90</f>
        <v>405</v>
      </c>
      <c r="R90" s="138">
        <f>[1]Планки!N90</f>
        <v>445</v>
      </c>
      <c r="S90" s="229">
        <f>[1]Планки!O90</f>
        <v>70</v>
      </c>
      <c r="T90" s="138">
        <f>[1]Планки!P90</f>
        <v>80</v>
      </c>
      <c r="U90" s="138">
        <f>[1]Планки!Q90</f>
        <v>150</v>
      </c>
      <c r="V90" s="230" t="str">
        <f>[1]Планки!R90</f>
        <v>модель нашита  (L4=35 L5=45 L6=120)</v>
      </c>
      <c r="AB90" s="258">
        <f t="shared" si="1"/>
        <v>115</v>
      </c>
      <c r="AC90" s="259" t="str">
        <f>IF(COUNTIF(AD$78:AD90,AD90)=1,MAX(AC$78:AC89)+1,"")</f>
        <v/>
      </c>
      <c r="AD90" s="220">
        <f>'[2]Изложницы без бурта'!B90</f>
        <v>87.5</v>
      </c>
      <c r="AE90" s="220">
        <f>'[2]Изложницы без бурта'!C90</f>
        <v>245</v>
      </c>
      <c r="AF90" s="56">
        <f>'[2]Изложницы без бурта'!D90</f>
        <v>140</v>
      </c>
      <c r="AG90" s="56">
        <f>'[2]Изложницы без бурта'!E90</f>
        <v>115</v>
      </c>
      <c r="AH90" s="56" t="str">
        <f>'[2]Изложницы без бурта'!F90</f>
        <v>72.11867 - 12</v>
      </c>
      <c r="AI90" s="56">
        <f>'[2]Изложницы без бурта'!G90</f>
        <v>0</v>
      </c>
      <c r="AJ90" s="56">
        <f>'[2]Изложницы без бурта'!H90</f>
        <v>0</v>
      </c>
      <c r="AK90" s="56">
        <f>'[2]Изложницы без бурта'!I90</f>
        <v>0</v>
      </c>
      <c r="AL90" s="56" t="s">
        <v>570</v>
      </c>
      <c r="AM90" s="56">
        <f>'[2]Изложницы без бурта'!K90</f>
        <v>0</v>
      </c>
      <c r="AR90" s="368" t="s">
        <v>472</v>
      </c>
      <c r="AS90" s="368" t="s">
        <v>473</v>
      </c>
      <c r="AT90" s="368">
        <v>205</v>
      </c>
      <c r="AU90" s="367" t="s">
        <v>474</v>
      </c>
      <c r="AV90" s="368">
        <v>410</v>
      </c>
      <c r="AW90" s="368">
        <v>425</v>
      </c>
      <c r="AX90" s="393" t="s">
        <v>568</v>
      </c>
    </row>
    <row r="91" spans="1:50" ht="15" x14ac:dyDescent="0.25">
      <c r="A91" s="268" t="s">
        <v>204</v>
      </c>
      <c r="B91" s="269"/>
      <c r="C91" s="270" t="s">
        <v>151</v>
      </c>
      <c r="D91" s="270"/>
      <c r="E91" s="270" t="s">
        <v>179</v>
      </c>
      <c r="F91" s="271"/>
      <c r="G91" s="270"/>
      <c r="H91" s="272"/>
      <c r="I91" s="138"/>
      <c r="J91" s="366">
        <v>50</v>
      </c>
      <c r="L91" s="228">
        <f>[1]Планки!H91</f>
        <v>93</v>
      </c>
      <c r="M91" s="138">
        <f>[1]Планки!I91</f>
        <v>1030</v>
      </c>
      <c r="N91" s="138">
        <f>[1]Планки!J91</f>
        <v>165</v>
      </c>
      <c r="O91" s="229">
        <f>[1]Планки!K91</f>
        <v>865</v>
      </c>
      <c r="P91" s="229">
        <f>[1]Планки!L91</f>
        <v>240</v>
      </c>
      <c r="Q91" s="138">
        <f>[1]Планки!M91</f>
        <v>256</v>
      </c>
      <c r="R91" s="138">
        <f>[1]Планки!N91</f>
        <v>295</v>
      </c>
      <c r="S91" s="229">
        <f>[1]Планки!O91</f>
        <v>38</v>
      </c>
      <c r="T91" s="138">
        <f>[1]Планки!P91</f>
        <v>48</v>
      </c>
      <c r="U91" s="138">
        <f>[1]Планки!Q91</f>
        <v>120</v>
      </c>
      <c r="V91" s="230">
        <f>[1]Планки!R91</f>
        <v>0</v>
      </c>
      <c r="AB91" s="258">
        <f t="shared" si="1"/>
        <v>117.5</v>
      </c>
      <c r="AC91" s="259" t="str">
        <f>IF(COUNTIF(AD$78:AD91,AD91)=1,MAX(AC$78:AC90)+1,"")</f>
        <v/>
      </c>
      <c r="AD91" s="220">
        <f>'[2]Изложницы без бурта'!B91</f>
        <v>87.5</v>
      </c>
      <c r="AE91" s="220">
        <f>'[2]Изложницы без бурта'!C91</f>
        <v>245</v>
      </c>
      <c r="AF91" s="56">
        <f>'[2]Изложницы без бурта'!D91</f>
        <v>140</v>
      </c>
      <c r="AG91" s="56">
        <f>'[2]Изложницы без бурта'!E91</f>
        <v>115</v>
      </c>
      <c r="AH91" s="56" t="str">
        <f>'[2]Изложницы без бурта'!F91</f>
        <v>72.11867 - 12</v>
      </c>
      <c r="AI91" s="56">
        <f>'[2]Изложницы без бурта'!G91</f>
        <v>0</v>
      </c>
      <c r="AJ91" s="56">
        <f>'[2]Изложницы без бурта'!H91</f>
        <v>0</v>
      </c>
      <c r="AK91" s="56">
        <f>'[2]Изложницы без бурта'!I91</f>
        <v>0</v>
      </c>
      <c r="AL91" s="56" t="s">
        <v>570</v>
      </c>
      <c r="AM91" s="56">
        <f>'[2]Изложницы без бурта'!K91</f>
        <v>0</v>
      </c>
      <c r="AR91" s="368">
        <v>355</v>
      </c>
      <c r="AS91" s="368">
        <v>295</v>
      </c>
      <c r="AT91" s="368">
        <v>517</v>
      </c>
      <c r="AU91" s="368">
        <v>450</v>
      </c>
      <c r="AV91" s="368">
        <v>470</v>
      </c>
      <c r="AW91" s="368">
        <v>400</v>
      </c>
      <c r="AX91" s="393" t="s">
        <v>518</v>
      </c>
    </row>
    <row r="92" spans="1:50" ht="15" x14ac:dyDescent="0.25">
      <c r="A92" s="273" t="e">
        <f>VLOOKUP(B30,A59:I66,6,FALSE)</f>
        <v>#N/A</v>
      </c>
      <c r="B92" s="274" t="e">
        <f>A92</f>
        <v>#N/A</v>
      </c>
      <c r="C92" s="275" t="e">
        <f>VLOOKUP(B30,A59:I66,3,FALSE)</f>
        <v>#N/A</v>
      </c>
      <c r="D92" s="271"/>
      <c r="E92" s="275" t="e">
        <f>VLOOKUP(B30,A59:I66,7,FALSE)</f>
        <v>#N/A</v>
      </c>
      <c r="F92" s="271"/>
      <c r="G92" s="270"/>
      <c r="H92" s="272"/>
      <c r="I92" s="138"/>
      <c r="J92" s="366">
        <v>55</v>
      </c>
      <c r="L92" s="228">
        <f>[1]Планки!H92</f>
        <v>73</v>
      </c>
      <c r="M92" s="138">
        <f>[1]Планки!I92</f>
        <v>1065</v>
      </c>
      <c r="N92" s="138">
        <f>[1]Планки!J92</f>
        <v>200</v>
      </c>
      <c r="O92" s="229">
        <f>[1]Планки!K92</f>
        <v>865</v>
      </c>
      <c r="P92" s="229">
        <f>[1]Планки!L92</f>
        <v>425</v>
      </c>
      <c r="Q92" s="138">
        <f>[1]Планки!M92</f>
        <v>435</v>
      </c>
      <c r="R92" s="138">
        <f>[1]Планки!N92</f>
        <v>490</v>
      </c>
      <c r="S92" s="229">
        <f>[1]Планки!O92</f>
        <v>49</v>
      </c>
      <c r="T92" s="138">
        <f>[1]Планки!P92</f>
        <v>54</v>
      </c>
      <c r="U92" s="138">
        <f>[1]Планки!Q92</f>
        <v>130</v>
      </c>
      <c r="V92" s="230">
        <f>[1]Планки!R92</f>
        <v>0</v>
      </c>
      <c r="AB92" s="258">
        <f t="shared" si="1"/>
        <v>120</v>
      </c>
      <c r="AC92" s="259">
        <f>IF(COUNTIF(AD$78:AD92,AD92)=1,MAX(AC$78:AC91)+1,"")</f>
        <v>3</v>
      </c>
      <c r="AD92" s="220">
        <f>'[2]Изложницы без бурта'!B92</f>
        <v>90</v>
      </c>
      <c r="AE92" s="220">
        <f>'[2]Изложницы без бурта'!C92</f>
        <v>240</v>
      </c>
      <c r="AF92" s="56">
        <f>'[2]Изложницы без бурта'!D92</f>
        <v>140</v>
      </c>
      <c r="AG92" s="56">
        <f>'[2]Изложницы без бурта'!E92</f>
        <v>115</v>
      </c>
      <c r="AH92" s="56" t="str">
        <f>'[2]Изложницы без бурта'!F92</f>
        <v>72.11867 - 13</v>
      </c>
      <c r="AI92" s="56">
        <f>'[2]Изложницы без бурта'!G92</f>
        <v>0</v>
      </c>
      <c r="AJ92" s="56">
        <f>'[2]Изложницы без бурта'!H92</f>
        <v>0</v>
      </c>
      <c r="AK92" s="56">
        <f>'[2]Изложницы без бурта'!I92</f>
        <v>0</v>
      </c>
      <c r="AL92" s="56" t="s">
        <v>571</v>
      </c>
      <c r="AM92" s="56">
        <f>'[2]Изложницы без бурта'!K92</f>
        <v>0</v>
      </c>
      <c r="AR92" s="368">
        <v>324</v>
      </c>
      <c r="AS92" s="368">
        <v>295</v>
      </c>
      <c r="AT92" s="368">
        <v>320</v>
      </c>
      <c r="AU92" s="368">
        <v>195</v>
      </c>
      <c r="AV92" s="368">
        <v>415</v>
      </c>
      <c r="AW92" s="368">
        <v>450</v>
      </c>
      <c r="AX92" s="393" t="s">
        <v>541</v>
      </c>
    </row>
    <row r="93" spans="1:50" ht="15" x14ac:dyDescent="0.25">
      <c r="A93" s="276"/>
      <c r="B93" s="269"/>
      <c r="C93" s="270" t="s">
        <v>152</v>
      </c>
      <c r="D93" s="270"/>
      <c r="E93" s="270" t="s">
        <v>180</v>
      </c>
      <c r="F93" s="271"/>
      <c r="G93" s="270"/>
      <c r="H93" s="272"/>
      <c r="I93" s="138"/>
      <c r="J93" s="366">
        <v>60</v>
      </c>
      <c r="L93" s="228">
        <f>[1]Планки!H93</f>
        <v>69</v>
      </c>
      <c r="M93" s="138">
        <f>[1]Планки!I93</f>
        <v>1000</v>
      </c>
      <c r="N93" s="138">
        <f>[1]Планки!J93</f>
        <v>130</v>
      </c>
      <c r="O93" s="229">
        <f>[1]Планки!K93</f>
        <v>870</v>
      </c>
      <c r="P93" s="229">
        <f>[1]Планки!L93</f>
        <v>283</v>
      </c>
      <c r="Q93" s="138">
        <f>[1]Планки!M93</f>
        <v>305</v>
      </c>
      <c r="R93" s="138">
        <f>[1]Планки!N93</f>
        <v>330</v>
      </c>
      <c r="S93" s="229">
        <f>[1]Планки!O93</f>
        <v>27</v>
      </c>
      <c r="T93" s="138">
        <f>[1]Планки!P93</f>
        <v>40</v>
      </c>
      <c r="U93" s="138">
        <f>[1]Планки!Q93</f>
        <v>100</v>
      </c>
      <c r="V93" s="230">
        <f>[1]Планки!R93</f>
        <v>0</v>
      </c>
      <c r="AB93" s="258">
        <f t="shared" si="1"/>
        <v>122.5</v>
      </c>
      <c r="AC93" s="259" t="str">
        <f>IF(COUNTIF(AD$78:AD93,AD93)=1,MAX(AC$78:AC92)+1,"")</f>
        <v/>
      </c>
      <c r="AD93" s="220">
        <f>'[2]Изложницы без бурта'!B93</f>
        <v>90</v>
      </c>
      <c r="AE93" s="220">
        <f>'[2]Изложницы без бурта'!C93</f>
        <v>243</v>
      </c>
      <c r="AF93" s="56">
        <f>'[2]Изложницы без бурта'!D93</f>
        <v>140</v>
      </c>
      <c r="AG93" s="56">
        <f>'[2]Изложницы без бурта'!E93</f>
        <v>115</v>
      </c>
      <c r="AH93" s="56" t="str">
        <f>'[2]Изложницы без бурта'!F93</f>
        <v>72.11867 - 13</v>
      </c>
      <c r="AI93" s="56">
        <f>'[2]Изложницы без бурта'!G93</f>
        <v>0</v>
      </c>
      <c r="AJ93" s="56">
        <f>'[2]Изложницы без бурта'!H93</f>
        <v>0</v>
      </c>
      <c r="AK93" s="56">
        <f>'[2]Изложницы без бурта'!I93</f>
        <v>0</v>
      </c>
      <c r="AL93" s="56" t="s">
        <v>571</v>
      </c>
      <c r="AM93" s="56">
        <f>'[2]Изложницы без бурта'!K93</f>
        <v>0</v>
      </c>
      <c r="AR93" s="368">
        <v>320</v>
      </c>
      <c r="AS93" s="368">
        <v>295</v>
      </c>
      <c r="AT93" s="368">
        <v>320</v>
      </c>
      <c r="AU93" s="368">
        <v>190</v>
      </c>
      <c r="AV93" s="368">
        <v>415</v>
      </c>
      <c r="AW93" s="368">
        <v>450</v>
      </c>
      <c r="AX93" s="393" t="s">
        <v>541</v>
      </c>
    </row>
    <row r="94" spans="1:50" ht="15.6" x14ac:dyDescent="0.3">
      <c r="A94" s="268" t="s">
        <v>89</v>
      </c>
      <c r="B94" s="269"/>
      <c r="C94" s="275" t="e">
        <f>VLOOKUP(B30,A59:I66,4,FALSE)</f>
        <v>#N/A</v>
      </c>
      <c r="D94" s="277" t="e">
        <f>(C92+C94)/2</f>
        <v>#N/A</v>
      </c>
      <c r="E94" s="275" t="e">
        <f>VLOOKUP(B30,A60:I66,8,FALSE)</f>
        <v>#N/A</v>
      </c>
      <c r="F94" s="270" t="e">
        <f>(E92+E94)/2</f>
        <v>#N/A</v>
      </c>
      <c r="G94" s="271"/>
      <c r="H94" s="272"/>
      <c r="I94" s="138"/>
      <c r="J94" s="366">
        <v>65</v>
      </c>
      <c r="L94" s="228">
        <f>[1]Планки!H94</f>
        <v>42</v>
      </c>
      <c r="M94" s="138">
        <f>[1]Планки!I94</f>
        <v>995</v>
      </c>
      <c r="N94" s="138">
        <f>[1]Планки!J94</f>
        <v>120</v>
      </c>
      <c r="O94" s="229">
        <f>[1]Планки!K94</f>
        <v>875</v>
      </c>
      <c r="P94" s="229">
        <f>[1]Планки!L94</f>
        <v>310</v>
      </c>
      <c r="Q94" s="138">
        <f>[1]Планки!M94</f>
        <v>330</v>
      </c>
      <c r="R94" s="138">
        <f>[1]Планки!N94</f>
        <v>380</v>
      </c>
      <c r="S94" s="229">
        <f>[1]Планки!O94</f>
        <v>30</v>
      </c>
      <c r="T94" s="138">
        <f>[1]Планки!P94</f>
        <v>42</v>
      </c>
      <c r="U94" s="138">
        <f>[1]Планки!Q94</f>
        <v>90</v>
      </c>
      <c r="V94" s="230">
        <f>[1]Планки!R94</f>
        <v>0</v>
      </c>
      <c r="AB94" s="258">
        <f t="shared" si="1"/>
        <v>125</v>
      </c>
      <c r="AC94" s="259" t="str">
        <f>IF(COUNTIF(AD$78:AD94,AD94)=1,MAX(AC$78:AC93)+1,"")</f>
        <v/>
      </c>
      <c r="AD94" s="220">
        <f>'[2]Изложницы без бурта'!B94</f>
        <v>90</v>
      </c>
      <c r="AE94" s="220">
        <f>'[2]Изложницы без бурта'!C94</f>
        <v>245</v>
      </c>
      <c r="AF94" s="56">
        <f>'[2]Изложницы без бурта'!D94</f>
        <v>140</v>
      </c>
      <c r="AG94" s="56">
        <f>'[2]Изложницы без бурта'!E94</f>
        <v>115</v>
      </c>
      <c r="AH94" s="56" t="str">
        <f>'[2]Изложницы без бурта'!F94</f>
        <v>72.11867 - 13</v>
      </c>
      <c r="AI94" s="56">
        <f>'[2]Изложницы без бурта'!G94</f>
        <v>0</v>
      </c>
      <c r="AJ94" s="56">
        <f>'[2]Изложницы без бурта'!H94</f>
        <v>0</v>
      </c>
      <c r="AK94" s="56">
        <f>'[2]Изложницы без бурта'!I94</f>
        <v>0</v>
      </c>
      <c r="AL94" s="56" t="s">
        <v>571</v>
      </c>
      <c r="AM94" s="56">
        <f>'[2]Изложницы без бурта'!K94</f>
        <v>0</v>
      </c>
      <c r="AR94" s="368">
        <v>380</v>
      </c>
      <c r="AS94" s="368">
        <v>312.5</v>
      </c>
      <c r="AT94" s="368">
        <v>420</v>
      </c>
      <c r="AU94" s="368">
        <v>325</v>
      </c>
      <c r="AV94" s="368">
        <v>470</v>
      </c>
      <c r="AW94" s="368">
        <v>400</v>
      </c>
      <c r="AX94" s="393" t="s">
        <v>542</v>
      </c>
    </row>
    <row r="95" spans="1:50" ht="15" x14ac:dyDescent="0.25">
      <c r="A95" s="273">
        <f>Втулка!N5+Втулка!N8</f>
        <v>479</v>
      </c>
      <c r="B95" s="274">
        <f>A95</f>
        <v>479</v>
      </c>
      <c r="C95" s="270" t="s">
        <v>153</v>
      </c>
      <c r="D95" s="270"/>
      <c r="E95" s="270" t="s">
        <v>205</v>
      </c>
      <c r="F95" s="270"/>
      <c r="G95" s="271"/>
      <c r="H95" s="272"/>
      <c r="I95" s="138"/>
      <c r="J95" s="366">
        <v>70</v>
      </c>
      <c r="L95" s="228">
        <f>[1]Планки!H95</f>
        <v>57</v>
      </c>
      <c r="M95" s="138">
        <f>[1]Планки!I95</f>
        <v>1050</v>
      </c>
      <c r="N95" s="138">
        <f>[1]Планки!J95</f>
        <v>155</v>
      </c>
      <c r="O95" s="229">
        <f>[1]Планки!K95</f>
        <v>895</v>
      </c>
      <c r="P95" s="229">
        <f>[1]Планки!L95</f>
        <v>190</v>
      </c>
      <c r="Q95" s="138">
        <f>[1]Планки!M95</f>
        <v>200</v>
      </c>
      <c r="R95" s="138">
        <f>[1]Планки!N95</f>
        <v>240</v>
      </c>
      <c r="S95" s="229">
        <f>[1]Планки!O95</f>
        <v>32</v>
      </c>
      <c r="T95" s="138">
        <f>[1]Планки!P95</f>
        <v>45</v>
      </c>
      <c r="U95" s="138">
        <f>[1]Планки!Q95</f>
        <v>100</v>
      </c>
      <c r="V95" s="230">
        <f>[1]Планки!R95</f>
        <v>0</v>
      </c>
      <c r="AB95" s="258">
        <f t="shared" si="1"/>
        <v>127.5</v>
      </c>
      <c r="AC95" s="259" t="str">
        <f>IF(COUNTIF(AD$78:AD95,AD95)=1,MAX(AC$78:AC94)+1,"")</f>
        <v/>
      </c>
      <c r="AD95" s="220">
        <f>'[2]Изложницы без бурта'!B95</f>
        <v>90</v>
      </c>
      <c r="AE95" s="220">
        <f>'[2]Изложницы без бурта'!C95</f>
        <v>245</v>
      </c>
      <c r="AF95" s="56">
        <f>'[2]Изложницы без бурта'!D95</f>
        <v>140</v>
      </c>
      <c r="AG95" s="56">
        <f>'[2]Изложницы без бурта'!E95</f>
        <v>115</v>
      </c>
      <c r="AH95" s="56" t="str">
        <f>'[2]Изложницы без бурта'!F95</f>
        <v>72.11867 - 13</v>
      </c>
      <c r="AI95" s="56">
        <f>'[2]Изложницы без бурта'!G95</f>
        <v>0</v>
      </c>
      <c r="AJ95" s="56">
        <f>'[2]Изложницы без бурта'!H95</f>
        <v>0</v>
      </c>
      <c r="AK95" s="56">
        <f>'[2]Изложницы без бурта'!I95</f>
        <v>0</v>
      </c>
      <c r="AL95" s="56" t="s">
        <v>571</v>
      </c>
      <c r="AM95" s="56">
        <f>'[2]Изложницы без бурта'!K95</f>
        <v>0</v>
      </c>
      <c r="AR95" s="368">
        <v>382</v>
      </c>
      <c r="AS95" s="368">
        <v>312.5</v>
      </c>
      <c r="AT95" s="368">
        <v>420</v>
      </c>
      <c r="AU95" s="368">
        <v>330</v>
      </c>
      <c r="AV95" s="368">
        <v>470</v>
      </c>
      <c r="AW95" s="368">
        <v>400</v>
      </c>
      <c r="AX95" s="393" t="s">
        <v>542</v>
      </c>
    </row>
    <row r="96" spans="1:50" ht="15.6" x14ac:dyDescent="0.3">
      <c r="A96" s="276"/>
      <c r="B96" s="278">
        <f>Втулка!N6</f>
        <v>7.6</v>
      </c>
      <c r="C96" s="275" t="e">
        <f>VLOOKUP(B30,A60:I66,5,FALSE)</f>
        <v>#N/A</v>
      </c>
      <c r="D96" s="277" t="e">
        <f>C96</f>
        <v>#N/A</v>
      </c>
      <c r="E96" s="275" t="e">
        <f>VLOOKUP(B30,A60:I66,9,FALSE)</f>
        <v>#N/A</v>
      </c>
      <c r="F96" s="270" t="e">
        <f>E96</f>
        <v>#N/A</v>
      </c>
      <c r="G96" s="271"/>
      <c r="H96" s="279"/>
      <c r="I96" s="138"/>
      <c r="J96" s="366">
        <v>75</v>
      </c>
      <c r="L96" s="228">
        <f>[1]Планки!H96</f>
        <v>60</v>
      </c>
      <c r="M96" s="138">
        <f>[1]Планки!I96</f>
        <v>1105</v>
      </c>
      <c r="N96" s="138">
        <f>[1]Планки!J96</f>
        <v>200</v>
      </c>
      <c r="O96" s="229">
        <f>[1]Планки!K96</f>
        <v>905</v>
      </c>
      <c r="P96" s="229">
        <f>[1]Планки!L96</f>
        <v>145</v>
      </c>
      <c r="Q96" s="138">
        <f>[1]Планки!M96</f>
        <v>157</v>
      </c>
      <c r="R96" s="138">
        <f>[1]Планки!N96</f>
        <v>200</v>
      </c>
      <c r="S96" s="229">
        <f>[1]Планки!O96</f>
        <v>40</v>
      </c>
      <c r="T96" s="138">
        <f>[1]Планки!P96</f>
        <v>50</v>
      </c>
      <c r="U96" s="138">
        <f>[1]Планки!Q96</f>
        <v>120</v>
      </c>
      <c r="V96" s="230">
        <f>[1]Планки!R96</f>
        <v>0</v>
      </c>
      <c r="AB96" s="258">
        <f t="shared" si="1"/>
        <v>130</v>
      </c>
      <c r="AC96" s="259" t="str">
        <f>IF(COUNTIF(AD$78:AD96,AD96)=1,MAX(AC$78:AC95)+1,"")</f>
        <v/>
      </c>
      <c r="AD96" s="220">
        <f>'[2]Изложницы без бурта'!B96</f>
        <v>90</v>
      </c>
      <c r="AE96" s="220">
        <f>'[2]Изложницы без бурта'!C96</f>
        <v>243</v>
      </c>
      <c r="AF96" s="56">
        <f>'[2]Изложницы без бурта'!D96</f>
        <v>140</v>
      </c>
      <c r="AG96" s="56">
        <f>'[2]Изложницы без бурта'!E96</f>
        <v>115</v>
      </c>
      <c r="AH96" s="56" t="str">
        <f>'[2]Изложницы без бурта'!F96</f>
        <v>72.11867 - 13</v>
      </c>
      <c r="AI96" s="56">
        <f>'[2]Изложницы без бурта'!G96</f>
        <v>0</v>
      </c>
      <c r="AJ96" s="56">
        <f>'[2]Изложницы без бурта'!H96</f>
        <v>0</v>
      </c>
      <c r="AK96" s="56">
        <f>'[2]Изложницы без бурта'!I96</f>
        <v>0</v>
      </c>
      <c r="AL96" s="56" t="s">
        <v>571</v>
      </c>
      <c r="AM96" s="56">
        <f>'[2]Изложницы без бурта'!K96</f>
        <v>0</v>
      </c>
      <c r="AR96" s="368">
        <v>375</v>
      </c>
      <c r="AS96" s="368">
        <v>315</v>
      </c>
      <c r="AT96" s="368">
        <v>420</v>
      </c>
      <c r="AU96" s="368">
        <v>350</v>
      </c>
      <c r="AV96" s="368"/>
      <c r="AW96" s="368">
        <v>450</v>
      </c>
      <c r="AX96" s="393" t="s">
        <v>519</v>
      </c>
    </row>
    <row r="97" spans="1:50" ht="15.6" x14ac:dyDescent="0.3">
      <c r="A97" s="276"/>
      <c r="B97" s="280" t="e">
        <f>B92*B92*3.1415926*B95*B96/4000000</f>
        <v>#N/A</v>
      </c>
      <c r="C97" s="281" t="s">
        <v>89</v>
      </c>
      <c r="D97" s="270"/>
      <c r="E97" s="281" t="s">
        <v>206</v>
      </c>
      <c r="F97" s="270"/>
      <c r="G97" s="271"/>
      <c r="H97" s="279"/>
      <c r="I97" s="138"/>
      <c r="L97" s="228">
        <f>[1]Планки!H97</f>
        <v>27</v>
      </c>
      <c r="M97" s="138">
        <f>[1]Планки!I97</f>
        <v>1110</v>
      </c>
      <c r="N97" s="138">
        <f>[1]Планки!J97</f>
        <v>205</v>
      </c>
      <c r="O97" s="229">
        <f>[1]Планки!K97</f>
        <v>905</v>
      </c>
      <c r="P97" s="229">
        <f>[1]Планки!L97</f>
        <v>147</v>
      </c>
      <c r="Q97" s="138">
        <f>[1]Планки!M97</f>
        <v>167</v>
      </c>
      <c r="R97" s="138">
        <f>[1]Планки!N97</f>
        <v>215</v>
      </c>
      <c r="S97" s="229">
        <f>[1]Планки!O97</f>
        <v>45</v>
      </c>
      <c r="T97" s="138">
        <f>[1]Планки!P97</f>
        <v>60</v>
      </c>
      <c r="U97" s="138">
        <f>[1]Планки!Q97</f>
        <v>135</v>
      </c>
      <c r="V97" s="230">
        <f>[1]Планки!R97</f>
        <v>0</v>
      </c>
      <c r="AB97" s="258">
        <f t="shared" si="1"/>
        <v>132.5</v>
      </c>
      <c r="AC97" s="259">
        <f>IF(COUNTIF(AD$78:AD97,AD97)=1,MAX(AC$78:AC96)+1,"")</f>
        <v>4</v>
      </c>
      <c r="AD97" s="220">
        <f>'[2]Изложницы без бурта'!B97</f>
        <v>92.5</v>
      </c>
      <c r="AE97" s="220">
        <f>'[2]Изложницы без бурта'!C97</f>
        <v>240</v>
      </c>
      <c r="AF97" s="56">
        <f>'[2]Изложницы без бурта'!D97</f>
        <v>140</v>
      </c>
      <c r="AG97" s="56">
        <f>'[2]Изложницы без бурта'!E97</f>
        <v>115</v>
      </c>
      <c r="AH97" s="56" t="str">
        <f>'[2]Изложницы без бурта'!F97</f>
        <v>72.11867 - 14</v>
      </c>
      <c r="AI97" s="56">
        <f>'[2]Изложницы без бурта'!G97</f>
        <v>0</v>
      </c>
      <c r="AJ97" s="56">
        <f>'[2]Изложницы без бурта'!H97</f>
        <v>0</v>
      </c>
      <c r="AK97" s="56">
        <f>'[2]Изложницы без бурта'!I97</f>
        <v>0</v>
      </c>
      <c r="AL97" s="56" t="s">
        <v>572</v>
      </c>
      <c r="AM97" s="56">
        <f>'[2]Изложницы без бурта'!K97</f>
        <v>0</v>
      </c>
      <c r="AR97" s="368">
        <v>435</v>
      </c>
      <c r="AS97" s="368">
        <v>315</v>
      </c>
      <c r="AT97" s="368">
        <v>495</v>
      </c>
      <c r="AU97" s="368">
        <v>430</v>
      </c>
      <c r="AV97" s="368">
        <v>470</v>
      </c>
      <c r="AW97" s="368">
        <v>400</v>
      </c>
      <c r="AX97" s="393" t="s">
        <v>543</v>
      </c>
    </row>
    <row r="98" spans="1:50" ht="16.2" thickBot="1" x14ac:dyDescent="0.35">
      <c r="A98" s="276"/>
      <c r="B98" s="270"/>
      <c r="C98" s="275">
        <v>50</v>
      </c>
      <c r="D98" s="277">
        <f>C98</f>
        <v>50</v>
      </c>
      <c r="E98" s="275">
        <f>Втулка!N3</f>
        <v>1140</v>
      </c>
      <c r="F98" s="282" t="e">
        <f>2*3.1415926*E101/2</f>
        <v>#N/A</v>
      </c>
      <c r="G98" s="271"/>
      <c r="H98" s="279"/>
      <c r="I98" s="138"/>
      <c r="L98" s="228">
        <f>[1]Планки!H98</f>
        <v>56</v>
      </c>
      <c r="M98" s="138">
        <f>[1]Планки!I98</f>
        <v>1060</v>
      </c>
      <c r="N98" s="138">
        <f>[1]Планки!J98</f>
        <v>155</v>
      </c>
      <c r="O98" s="229">
        <f>[1]Планки!K98</f>
        <v>905</v>
      </c>
      <c r="P98" s="229">
        <f>[1]Планки!L98</f>
        <v>180</v>
      </c>
      <c r="Q98" s="138">
        <f>[1]Планки!M98</f>
        <v>190</v>
      </c>
      <c r="R98" s="138">
        <f>[1]Планки!N98</f>
        <v>230</v>
      </c>
      <c r="S98" s="229">
        <f>[1]Планки!O98</f>
        <v>34</v>
      </c>
      <c r="T98" s="138">
        <f>[1]Планки!P98</f>
        <v>45</v>
      </c>
      <c r="U98" s="138">
        <f>[1]Планки!Q98</f>
        <v>105</v>
      </c>
      <c r="V98" s="230">
        <f>[1]Планки!R98</f>
        <v>0</v>
      </c>
      <c r="AB98" s="258">
        <f t="shared" ref="AB98:AB105" si="2">IF(MAX(AC98:AC1175)&lt;ROW(20:20),"",VLOOKUP(ROW(20:20),AC98:AD1175,2))</f>
        <v>135</v>
      </c>
      <c r="AC98" s="259" t="str">
        <f>IF(COUNTIF(AD$78:AD98,AD98)=1,MAX(AC$78:AC97)+1,"")</f>
        <v/>
      </c>
      <c r="AD98" s="220">
        <f>'[2]Изложницы без бурта'!B98</f>
        <v>92.5</v>
      </c>
      <c r="AE98" s="220">
        <f>'[2]Изложницы без бурта'!C98</f>
        <v>245</v>
      </c>
      <c r="AF98" s="56">
        <f>'[2]Изложницы без бурта'!D98</f>
        <v>140</v>
      </c>
      <c r="AG98" s="56">
        <f>'[2]Изложницы без бурта'!E98</f>
        <v>115</v>
      </c>
      <c r="AH98" s="56" t="str">
        <f>'[2]Изложницы без бурта'!F98</f>
        <v>72.11867 - 14</v>
      </c>
      <c r="AI98" s="56">
        <f>'[2]Изложницы без бурта'!G98</f>
        <v>0</v>
      </c>
      <c r="AJ98" s="56">
        <f>'[2]Изложницы без бурта'!H98</f>
        <v>0</v>
      </c>
      <c r="AK98" s="56">
        <f>'[2]Изложницы без бурта'!I98</f>
        <v>0</v>
      </c>
      <c r="AL98" s="56" t="s">
        <v>572</v>
      </c>
      <c r="AM98" s="56">
        <f>'[2]Изложницы без бурта'!K98</f>
        <v>0</v>
      </c>
      <c r="AR98" s="368">
        <v>340</v>
      </c>
      <c r="AS98" s="369">
        <v>317.5</v>
      </c>
      <c r="AT98" s="368">
        <v>425</v>
      </c>
      <c r="AU98" s="368">
        <v>360</v>
      </c>
      <c r="AV98" s="368">
        <v>415</v>
      </c>
      <c r="AW98" s="368">
        <v>400</v>
      </c>
      <c r="AX98" s="393" t="s">
        <v>544</v>
      </c>
    </row>
    <row r="99" spans="1:50" ht="15.6" thickBot="1" x14ac:dyDescent="0.3">
      <c r="A99" s="276"/>
      <c r="B99" s="271"/>
      <c r="C99" s="281" t="s">
        <v>175</v>
      </c>
      <c r="D99" s="270"/>
      <c r="E99" s="281" t="s">
        <v>207</v>
      </c>
      <c r="F99" s="270"/>
      <c r="G99" s="281" t="s">
        <v>208</v>
      </c>
      <c r="H99" s="279"/>
      <c r="I99" s="138"/>
      <c r="L99" s="228">
        <f>[1]Планки!H99</f>
        <v>46</v>
      </c>
      <c r="M99" s="138">
        <f>[1]Планки!I99</f>
        <v>1060</v>
      </c>
      <c r="N99" s="138">
        <f>[1]Планки!J99</f>
        <v>155</v>
      </c>
      <c r="O99" s="229">
        <f>[1]Планки!K99</f>
        <v>905</v>
      </c>
      <c r="P99" s="229">
        <f>[1]Планки!L99</f>
        <v>210</v>
      </c>
      <c r="Q99" s="138">
        <f>[1]Планки!M99</f>
        <v>227</v>
      </c>
      <c r="R99" s="138">
        <f>[1]Планки!N99</f>
        <v>260</v>
      </c>
      <c r="S99" s="229">
        <f>[1]Планки!O99</f>
        <v>86</v>
      </c>
      <c r="T99" s="138">
        <f>[1]Планки!P99</f>
        <v>98</v>
      </c>
      <c r="U99" s="138">
        <f>[1]Планки!Q99</f>
        <v>160</v>
      </c>
      <c r="V99" s="230" t="str">
        <f>[1]Планки!R99</f>
        <v>модель нашита  (L4=35 L5=45 L6=100)</v>
      </c>
      <c r="AB99" s="258">
        <f t="shared" si="2"/>
        <v>137.5</v>
      </c>
      <c r="AC99" s="259" t="str">
        <f>IF(COUNTIF(AD$78:AD99,AD99)=1,MAX(AC$78:AC98)+1,"")</f>
        <v/>
      </c>
      <c r="AD99" s="220">
        <f>'[2]Изложницы без бурта'!B99</f>
        <v>92.5</v>
      </c>
      <c r="AE99" s="220">
        <f>'[2]Изложницы без бурта'!C99</f>
        <v>243</v>
      </c>
      <c r="AF99" s="56">
        <f>'[2]Изложницы без бурта'!D99</f>
        <v>140</v>
      </c>
      <c r="AG99" s="56">
        <f>'[2]Изложницы без бурта'!E99</f>
        <v>115</v>
      </c>
      <c r="AH99" s="56" t="str">
        <f>'[2]Изложницы без бурта'!F99</f>
        <v>72.11867 - 14</v>
      </c>
      <c r="AI99" s="56">
        <f>'[2]Изложницы без бурта'!G99</f>
        <v>0</v>
      </c>
      <c r="AJ99" s="56">
        <f>'[2]Изложницы без бурта'!H99</f>
        <v>0</v>
      </c>
      <c r="AK99" s="56">
        <f>'[2]Изложницы без бурта'!I99</f>
        <v>0</v>
      </c>
      <c r="AL99" s="56" t="s">
        <v>572</v>
      </c>
      <c r="AM99" s="56">
        <f>'[2]Изложницы без бурта'!K99</f>
        <v>0</v>
      </c>
      <c r="AR99" s="375">
        <v>355</v>
      </c>
      <c r="AS99" s="376">
        <v>320</v>
      </c>
      <c r="AT99" s="377">
        <v>395</v>
      </c>
      <c r="AU99" s="368">
        <v>325</v>
      </c>
      <c r="AV99" s="368">
        <v>415</v>
      </c>
      <c r="AW99" s="368">
        <v>400</v>
      </c>
      <c r="AX99" s="393" t="s">
        <v>545</v>
      </c>
    </row>
    <row r="100" spans="1:50" ht="15.6" x14ac:dyDescent="0.3">
      <c r="A100" s="276"/>
      <c r="B100" s="271"/>
      <c r="C100" s="275" t="e">
        <f>VLOOKUP(B30,A59:I66,2,FALSE)</f>
        <v>#N/A</v>
      </c>
      <c r="D100" s="277" t="e">
        <f>C100</f>
        <v>#N/A</v>
      </c>
      <c r="E100" s="281" t="s">
        <v>209</v>
      </c>
      <c r="F100" s="270"/>
      <c r="G100" s="275">
        <v>270</v>
      </c>
      <c r="H100" s="279"/>
      <c r="I100" s="138"/>
      <c r="L100" s="228">
        <f>[1]Планки!H100</f>
        <v>12</v>
      </c>
      <c r="M100" s="138">
        <f>[1]Планки!I100</f>
        <v>1055</v>
      </c>
      <c r="N100" s="138">
        <f>[1]Планки!J100</f>
        <v>140</v>
      </c>
      <c r="O100" s="229">
        <f>[1]Планки!K100</f>
        <v>915</v>
      </c>
      <c r="P100" s="229">
        <f>[1]Планки!L100</f>
        <v>220</v>
      </c>
      <c r="Q100" s="138">
        <f>[1]Планки!M100</f>
        <v>235</v>
      </c>
      <c r="R100" s="138">
        <f>[1]Планки!N100</f>
        <v>275</v>
      </c>
      <c r="S100" s="229">
        <f>[1]Планки!O100</f>
        <v>35</v>
      </c>
      <c r="T100" s="138">
        <f>[1]Планки!P100</f>
        <v>40</v>
      </c>
      <c r="U100" s="138">
        <f>[1]Планки!Q100</f>
        <v>100</v>
      </c>
      <c r="V100" s="230">
        <f>[1]Планки!R100</f>
        <v>0</v>
      </c>
      <c r="AB100" s="258">
        <f t="shared" si="2"/>
        <v>140</v>
      </c>
      <c r="AC100" s="259" t="str">
        <f>IF(COUNTIF(AD$78:AD100,AD100)=1,MAX(AC$78:AC99)+1,"")</f>
        <v/>
      </c>
      <c r="AD100" s="220">
        <f>'[2]Изложницы без бурта'!B100</f>
        <v>92.5</v>
      </c>
      <c r="AE100" s="220">
        <f>'[2]Изложницы без бурта'!C100</f>
        <v>240</v>
      </c>
      <c r="AF100" s="56">
        <f>'[2]Изложницы без бурта'!D100</f>
        <v>140</v>
      </c>
      <c r="AG100" s="56">
        <f>'[2]Изложницы без бурта'!E100</f>
        <v>115</v>
      </c>
      <c r="AH100" s="56" t="str">
        <f>'[2]Изложницы без бурта'!F100</f>
        <v>72.11867 - 14</v>
      </c>
      <c r="AI100" s="56">
        <f>'[2]Изложницы без бурта'!G100</f>
        <v>0</v>
      </c>
      <c r="AJ100" s="56">
        <f>'[2]Изложницы без бурта'!H100</f>
        <v>0</v>
      </c>
      <c r="AK100" s="56">
        <f>'[2]Изложницы без бурта'!I100</f>
        <v>0</v>
      </c>
      <c r="AL100" s="56" t="s">
        <v>572</v>
      </c>
      <c r="AM100" s="56">
        <f>'[2]Изложницы без бурта'!K100</f>
        <v>0</v>
      </c>
      <c r="AR100" s="368">
        <v>352</v>
      </c>
      <c r="AS100" s="367">
        <v>325</v>
      </c>
      <c r="AT100" s="368">
        <v>517</v>
      </c>
      <c r="AU100" s="368">
        <v>465</v>
      </c>
      <c r="AV100" s="368">
        <v>470</v>
      </c>
      <c r="AW100" s="368">
        <v>400</v>
      </c>
      <c r="AX100" s="393" t="s">
        <v>482</v>
      </c>
    </row>
    <row r="101" spans="1:50" ht="15.6" thickBot="1" x14ac:dyDescent="0.3">
      <c r="A101" s="276"/>
      <c r="B101" s="271"/>
      <c r="C101" s="271"/>
      <c r="D101" s="278">
        <f>Втулка!N6</f>
        <v>7.6</v>
      </c>
      <c r="E101" s="270" t="e">
        <f>E98+C98+E96</f>
        <v>#N/A</v>
      </c>
      <c r="F101" s="278">
        <f>Втулка!N6</f>
        <v>7.6</v>
      </c>
      <c r="G101" s="270" t="s">
        <v>210</v>
      </c>
      <c r="H101" s="279"/>
      <c r="I101" s="138"/>
      <c r="L101" s="228">
        <f>[1]Планки!H101</f>
        <v>115</v>
      </c>
      <c r="M101" s="138">
        <f>[1]Планки!I101</f>
        <v>1080</v>
      </c>
      <c r="N101" s="138">
        <f>[1]Планки!J101</f>
        <v>160</v>
      </c>
      <c r="O101" s="229">
        <f>[1]Планки!K101</f>
        <v>920</v>
      </c>
      <c r="P101" s="229">
        <f>[1]Планки!L101</f>
        <v>520</v>
      </c>
      <c r="Q101" s="138">
        <f>[1]Планки!M101</f>
        <v>527</v>
      </c>
      <c r="R101" s="138">
        <f>[1]Планки!N101</f>
        <v>590</v>
      </c>
      <c r="S101" s="229">
        <f>[1]Планки!O101</f>
        <v>75</v>
      </c>
      <c r="T101" s="138">
        <f>[1]Планки!P101</f>
        <v>85</v>
      </c>
      <c r="U101" s="138">
        <f>[1]Планки!Q101</f>
        <v>120</v>
      </c>
      <c r="V101" s="230" t="str">
        <f>[1]Планки!R101</f>
        <v>модель нашита  (L4=30 L5=38 L6=80)</v>
      </c>
      <c r="AB101" s="258">
        <f t="shared" si="2"/>
        <v>142.5</v>
      </c>
      <c r="AC101" s="259" t="str">
        <f>IF(COUNTIF(AD$78:AD101,AD101)=1,MAX(AC$78:AC100)+1,"")</f>
        <v/>
      </c>
      <c r="AD101" s="220">
        <f>'[2]Изложницы без бурта'!B101</f>
        <v>92.5</v>
      </c>
      <c r="AE101" s="220">
        <f>'[2]Изложницы без бурта'!C101</f>
        <v>245</v>
      </c>
      <c r="AF101" s="56">
        <f>'[2]Изложницы без бурта'!D101</f>
        <v>140</v>
      </c>
      <c r="AG101" s="56">
        <f>'[2]Изложницы без бурта'!E101</f>
        <v>115</v>
      </c>
      <c r="AH101" s="56" t="str">
        <f>'[2]Изложницы без бурта'!F101</f>
        <v>72.11867 - 14</v>
      </c>
      <c r="AI101" s="56">
        <f>'[2]Изложницы без бурта'!G101</f>
        <v>0</v>
      </c>
      <c r="AJ101" s="56">
        <f>'[2]Изложницы без бурта'!H101</f>
        <v>0</v>
      </c>
      <c r="AK101" s="56">
        <f>'[2]Изложницы без бурта'!I101</f>
        <v>0</v>
      </c>
      <c r="AL101" s="56" t="s">
        <v>572</v>
      </c>
      <c r="AM101" s="56">
        <f>'[2]Изложницы без бурта'!K101</f>
        <v>0</v>
      </c>
      <c r="AR101" s="368">
        <v>347</v>
      </c>
      <c r="AS101" s="368">
        <v>327.5</v>
      </c>
      <c r="AT101" s="369">
        <v>520</v>
      </c>
      <c r="AU101" s="368">
        <v>470</v>
      </c>
      <c r="AV101" s="368">
        <v>470</v>
      </c>
      <c r="AW101" s="368">
        <v>400</v>
      </c>
      <c r="AX101" s="393" t="s">
        <v>482</v>
      </c>
    </row>
    <row r="102" spans="1:50" ht="16.2" thickBot="1" x14ac:dyDescent="0.35">
      <c r="A102" s="283"/>
      <c r="B102" s="284"/>
      <c r="C102" s="284"/>
      <c r="D102" s="285" t="e">
        <f>D94*D96*D98*D100*D101/1000000</f>
        <v>#N/A</v>
      </c>
      <c r="E102" s="284"/>
      <c r="F102" s="286" t="e">
        <f>F94*F96*F98*F101/1000000</f>
        <v>#N/A</v>
      </c>
      <c r="G102" s="285" t="e">
        <f>F102/360*G100</f>
        <v>#N/A</v>
      </c>
      <c r="H102" s="287" t="e">
        <f>B97+D102+G102</f>
        <v>#N/A</v>
      </c>
      <c r="I102" s="288"/>
      <c r="L102" s="228">
        <f>[1]Планки!H102</f>
        <v>116</v>
      </c>
      <c r="M102" s="138">
        <f>[1]Планки!I102</f>
        <v>1090</v>
      </c>
      <c r="N102" s="138">
        <f>[1]Планки!J102</f>
        <v>165</v>
      </c>
      <c r="O102" s="229">
        <f>[1]Планки!K102</f>
        <v>925</v>
      </c>
      <c r="P102" s="229">
        <f>[1]Планки!L102</f>
        <v>457</v>
      </c>
      <c r="Q102" s="138">
        <f>[1]Планки!M102</f>
        <v>480</v>
      </c>
      <c r="R102" s="138">
        <f>[1]Планки!N102</f>
        <v>510</v>
      </c>
      <c r="S102" s="229">
        <f>[1]Планки!O102</f>
        <v>37</v>
      </c>
      <c r="T102" s="138">
        <f>[1]Планки!P102</f>
        <v>50</v>
      </c>
      <c r="U102" s="138">
        <f>[1]Планки!Q102</f>
        <v>115</v>
      </c>
      <c r="V102" s="230">
        <f>[1]Планки!R102</f>
        <v>0</v>
      </c>
      <c r="AB102" s="258">
        <f t="shared" si="2"/>
        <v>145</v>
      </c>
      <c r="AC102" s="259">
        <f>IF(COUNTIF(AD$78:AD102,AD102)=1,MAX(AC$78:AC101)+1,"")</f>
        <v>5</v>
      </c>
      <c r="AD102" s="220">
        <f>'[2]Изложницы без бурта'!B102</f>
        <v>95</v>
      </c>
      <c r="AE102" s="220">
        <f>'[2]Изложницы без бурта'!C102</f>
        <v>243</v>
      </c>
      <c r="AF102" s="56">
        <f>'[2]Изложницы без бурта'!D102</f>
        <v>140</v>
      </c>
      <c r="AG102" s="56">
        <f>'[2]Изложницы без бурта'!E102</f>
        <v>115</v>
      </c>
      <c r="AH102" s="56" t="str">
        <f>'[2]Изложницы без бурта'!F102</f>
        <v>72.11867 - 15</v>
      </c>
      <c r="AI102" s="56">
        <f>'[2]Изложницы без бурта'!G102</f>
        <v>0</v>
      </c>
      <c r="AJ102" s="56">
        <f>'[2]Изложницы без бурта'!H102</f>
        <v>0</v>
      </c>
      <c r="AK102" s="56">
        <f>'[2]Изложницы без бурта'!I102</f>
        <v>0</v>
      </c>
      <c r="AL102" s="56" t="s">
        <v>573</v>
      </c>
      <c r="AM102" s="56">
        <f>'[2]Изложницы без бурта'!K102</f>
        <v>0</v>
      </c>
      <c r="AR102" s="368">
        <v>415</v>
      </c>
      <c r="AS102" s="375">
        <v>337.5</v>
      </c>
      <c r="AT102" s="376">
        <v>300</v>
      </c>
      <c r="AU102" s="377">
        <v>235</v>
      </c>
      <c r="AV102" s="368">
        <v>470</v>
      </c>
      <c r="AW102" s="368">
        <v>450</v>
      </c>
      <c r="AX102" s="393" t="s">
        <v>546</v>
      </c>
    </row>
    <row r="103" spans="1:50" ht="15" thickBot="1" x14ac:dyDescent="0.3">
      <c r="L103" s="228">
        <f>[1]Планки!H103</f>
        <v>81</v>
      </c>
      <c r="M103" s="138">
        <f>[1]Планки!I103</f>
        <v>1060</v>
      </c>
      <c r="N103" s="138">
        <f>[1]Планки!J103</f>
        <v>130</v>
      </c>
      <c r="O103" s="229">
        <f>[1]Планки!K103</f>
        <v>930</v>
      </c>
      <c r="P103" s="229">
        <f>[1]Планки!L103</f>
        <v>215</v>
      </c>
      <c r="Q103" s="138">
        <f>[1]Планки!M103</f>
        <v>230</v>
      </c>
      <c r="R103" s="138">
        <f>[1]Планки!N103</f>
        <v>260</v>
      </c>
      <c r="S103" s="229">
        <f>[1]Планки!O103</f>
        <v>30</v>
      </c>
      <c r="T103" s="138">
        <f>[1]Планки!P103</f>
        <v>42</v>
      </c>
      <c r="U103" s="138">
        <f>[1]Планки!Q103</f>
        <v>90</v>
      </c>
      <c r="V103" s="230">
        <f>[1]Планки!R103</f>
        <v>0</v>
      </c>
      <c r="AB103" s="258">
        <f t="shared" si="2"/>
        <v>147.5</v>
      </c>
      <c r="AC103" s="259" t="str">
        <f>IF(COUNTIF(AD$78:AD103,AD103)=1,MAX(AC$78:AC102)+1,"")</f>
        <v/>
      </c>
      <c r="AD103" s="220">
        <f>'[2]Изложницы без бурта'!B103</f>
        <v>95</v>
      </c>
      <c r="AE103" s="220">
        <f>'[2]Изложницы без бурта'!C103</f>
        <v>245</v>
      </c>
      <c r="AF103" s="56">
        <f>'[2]Изложницы без бурта'!D103</f>
        <v>140</v>
      </c>
      <c r="AG103" s="56">
        <f>'[2]Изложницы без бурта'!E103</f>
        <v>115</v>
      </c>
      <c r="AH103" s="56" t="str">
        <f>'[2]Изложницы без бурта'!F103</f>
        <v>72.11867 - 15</v>
      </c>
      <c r="AI103" s="56">
        <f>'[2]Изложницы без бурта'!G103</f>
        <v>0</v>
      </c>
      <c r="AJ103" s="56">
        <f>'[2]Изложницы без бурта'!H103</f>
        <v>0</v>
      </c>
      <c r="AK103" s="56">
        <f>'[2]Изложницы без бурта'!I103</f>
        <v>0</v>
      </c>
      <c r="AL103" s="56" t="s">
        <v>573</v>
      </c>
      <c r="AM103" s="56">
        <f>'[2]Изложницы без бурта'!K103</f>
        <v>0</v>
      </c>
      <c r="AR103" s="368">
        <v>375</v>
      </c>
      <c r="AS103" s="375">
        <v>337.5</v>
      </c>
      <c r="AT103" s="367">
        <v>400</v>
      </c>
      <c r="AU103" s="369">
        <v>325</v>
      </c>
      <c r="AV103" s="368">
        <v>470</v>
      </c>
      <c r="AW103" s="368">
        <v>400</v>
      </c>
      <c r="AX103" s="393" t="s">
        <v>547</v>
      </c>
    </row>
    <row r="104" spans="1:50" ht="15" thickBot="1" x14ac:dyDescent="0.3">
      <c r="A104" s="56" t="s">
        <v>211</v>
      </c>
      <c r="L104" s="228">
        <f>[1]Планки!H104</f>
        <v>8</v>
      </c>
      <c r="M104" s="138">
        <f>[1]Планки!I104</f>
        <v>1210</v>
      </c>
      <c r="N104" s="138">
        <f>[1]Планки!J104</f>
        <v>270</v>
      </c>
      <c r="O104" s="229">
        <f>[1]Планки!K104</f>
        <v>940</v>
      </c>
      <c r="P104" s="229">
        <f>[1]Планки!L104</f>
        <v>1250</v>
      </c>
      <c r="Q104" s="138">
        <f>[1]Планки!M104</f>
        <v>1270</v>
      </c>
      <c r="R104" s="138">
        <f>[1]Планки!N104</f>
        <v>1335</v>
      </c>
      <c r="S104" s="229">
        <f>[1]Планки!O104</f>
        <v>95</v>
      </c>
      <c r="T104" s="138">
        <f>[1]Планки!P104</f>
        <v>105</v>
      </c>
      <c r="U104" s="138">
        <f>[1]Планки!Q104</f>
        <v>185</v>
      </c>
      <c r="V104" s="230" t="str">
        <f>[1]Планки!R104</f>
        <v>не расшивать - модель развалится</v>
      </c>
      <c r="AB104" s="258">
        <f t="shared" si="2"/>
        <v>150</v>
      </c>
      <c r="AC104" s="259" t="str">
        <f>IF(COUNTIF(AD$78:AD104,AD104)=1,MAX(AC$78:AC103)+1,"")</f>
        <v/>
      </c>
      <c r="AD104" s="220">
        <f>'[2]Изложницы без бурта'!B104</f>
        <v>95</v>
      </c>
      <c r="AE104" s="220">
        <f>'[2]Изложницы без бурта'!C104</f>
        <v>240</v>
      </c>
      <c r="AF104" s="56">
        <f>'[2]Изложницы без бурта'!D104</f>
        <v>140</v>
      </c>
      <c r="AG104" s="56">
        <f>'[2]Изложницы без бурта'!E104</f>
        <v>115</v>
      </c>
      <c r="AH104" s="56" t="str">
        <f>'[2]Изложницы без бурта'!F104</f>
        <v>72.11867 - 15</v>
      </c>
      <c r="AI104" s="56">
        <f>'[2]Изложницы без бурта'!G104</f>
        <v>0</v>
      </c>
      <c r="AJ104" s="56">
        <f>'[2]Изложницы без бурта'!H104</f>
        <v>0</v>
      </c>
      <c r="AK104" s="56">
        <f>'[2]Изложницы без бурта'!I104</f>
        <v>0</v>
      </c>
      <c r="AL104" s="56" t="s">
        <v>573</v>
      </c>
      <c r="AM104" s="56">
        <f>'[2]Изложницы без бурта'!K104</f>
        <v>0</v>
      </c>
      <c r="AR104" s="368">
        <v>415</v>
      </c>
      <c r="AS104" s="375">
        <v>337.5</v>
      </c>
      <c r="AT104" s="375">
        <v>300</v>
      </c>
      <c r="AU104" s="376">
        <v>255</v>
      </c>
      <c r="AV104" s="368">
        <v>470</v>
      </c>
      <c r="AW104" s="368">
        <v>450</v>
      </c>
      <c r="AX104" s="393" t="s">
        <v>546</v>
      </c>
    </row>
    <row r="105" spans="1:50" ht="15.6" x14ac:dyDescent="0.3">
      <c r="A105" s="262" t="s">
        <v>201</v>
      </c>
      <c r="B105" s="263"/>
      <c r="C105" s="264" t="s">
        <v>202</v>
      </c>
      <c r="D105" s="263"/>
      <c r="E105" s="264" t="s">
        <v>150</v>
      </c>
      <c r="F105" s="265"/>
      <c r="G105" s="263"/>
      <c r="H105" s="289" t="s">
        <v>187</v>
      </c>
      <c r="I105" s="266" t="s">
        <v>203</v>
      </c>
      <c r="L105" s="228">
        <f>[1]Планки!H105</f>
        <v>35</v>
      </c>
      <c r="M105" s="138">
        <f>[1]Планки!I105</f>
        <v>1200</v>
      </c>
      <c r="N105" s="138">
        <f>[1]Планки!J105</f>
        <v>245</v>
      </c>
      <c r="O105" s="229">
        <f>[1]Планки!K105</f>
        <v>955</v>
      </c>
      <c r="P105" s="229">
        <f>[1]Планки!L105</f>
        <v>305</v>
      </c>
      <c r="Q105" s="138">
        <f>[1]Планки!M105</f>
        <v>317</v>
      </c>
      <c r="R105" s="138">
        <f>[1]Планки!N105</f>
        <v>380</v>
      </c>
      <c r="S105" s="229">
        <f>[1]Планки!O105</f>
        <v>63</v>
      </c>
      <c r="T105" s="138">
        <f>[1]Планки!P105</f>
        <v>75</v>
      </c>
      <c r="U105" s="138">
        <f>[1]Планки!Q105</f>
        <v>170</v>
      </c>
      <c r="V105" s="230">
        <f>[1]Планки!R105</f>
        <v>0</v>
      </c>
      <c r="AB105" s="258">
        <f t="shared" si="2"/>
        <v>155</v>
      </c>
      <c r="AC105" s="259" t="str">
        <f>IF(COUNTIF(AD$78:AD105,AD105)=1,MAX(AC$78:AC104)+1,"")</f>
        <v/>
      </c>
      <c r="AD105" s="220">
        <f>'[2]Изложницы без бурта'!B105</f>
        <v>95</v>
      </c>
      <c r="AE105" s="220">
        <f>'[2]Изложницы без бурта'!C105</f>
        <v>245</v>
      </c>
      <c r="AF105" s="56">
        <f>'[2]Изложницы без бурта'!D105</f>
        <v>140</v>
      </c>
      <c r="AG105" s="56">
        <f>'[2]Изложницы без бурта'!E105</f>
        <v>115</v>
      </c>
      <c r="AH105" s="56" t="str">
        <f>'[2]Изложницы без бурта'!F105</f>
        <v>72.11867 - 15</v>
      </c>
      <c r="AI105" s="56">
        <f>'[2]Изложницы без бурта'!G105</f>
        <v>0</v>
      </c>
      <c r="AJ105" s="56">
        <f>'[2]Изложницы без бурта'!H105</f>
        <v>0</v>
      </c>
      <c r="AK105" s="56">
        <f>'[2]Изложницы без бурта'!I105</f>
        <v>0</v>
      </c>
      <c r="AL105" s="56" t="s">
        <v>573</v>
      </c>
      <c r="AM105" s="56">
        <f>'[2]Изложницы без бурта'!K105</f>
        <v>0</v>
      </c>
      <c r="AR105" s="368">
        <v>413</v>
      </c>
      <c r="AS105" s="375">
        <v>337.5</v>
      </c>
      <c r="AT105" s="368">
        <v>515</v>
      </c>
      <c r="AU105" s="367">
        <v>450</v>
      </c>
      <c r="AV105" s="368">
        <v>470</v>
      </c>
      <c r="AW105" s="368">
        <v>400</v>
      </c>
      <c r="AX105" s="393" t="s">
        <v>520</v>
      </c>
    </row>
    <row r="106" spans="1:50" ht="15.6" thickBot="1" x14ac:dyDescent="0.3">
      <c r="A106" s="1142" t="s">
        <v>204</v>
      </c>
      <c r="B106" s="269"/>
      <c r="C106" s="270" t="s">
        <v>151</v>
      </c>
      <c r="D106" s="270"/>
      <c r="E106" s="270" t="s">
        <v>179</v>
      </c>
      <c r="F106" s="271"/>
      <c r="G106" s="270"/>
      <c r="H106" s="290" t="s">
        <v>180</v>
      </c>
      <c r="I106" s="291"/>
      <c r="L106" s="228">
        <f>[1]Планки!H106</f>
        <v>138</v>
      </c>
      <c r="M106" s="138">
        <f>[1]Планки!I106</f>
        <v>1220</v>
      </c>
      <c r="N106" s="138">
        <f>[1]Планки!J106</f>
        <v>260</v>
      </c>
      <c r="O106" s="229">
        <f>[1]Планки!K106</f>
        <v>960</v>
      </c>
      <c r="P106" s="229">
        <f>[1]Планки!L106</f>
        <v>275</v>
      </c>
      <c r="Q106" s="138">
        <f>[1]Планки!M106</f>
        <v>295</v>
      </c>
      <c r="R106" s="138">
        <f>[1]Планки!N106</f>
        <v>350</v>
      </c>
      <c r="S106" s="229">
        <f>[1]Планки!O106</f>
        <v>120</v>
      </c>
      <c r="T106" s="138">
        <f>[1]Планки!P106</f>
        <v>130</v>
      </c>
      <c r="U106" s="138">
        <f>[1]Планки!Q106</f>
        <v>220</v>
      </c>
      <c r="V106" s="230" t="str">
        <f>[1]Планки!R106</f>
        <v>модель нашита  (L4=60 L5=65 L6=170)</v>
      </c>
      <c r="AB106" s="258">
        <f t="shared" si="0"/>
        <v>157.5</v>
      </c>
      <c r="AC106" s="259" t="str">
        <f>IF(COUNTIF(AD$78:AD106,AD106)=1,MAX(AC$78:AC105)+1,"")</f>
        <v/>
      </c>
      <c r="AD106" s="220">
        <f>'[2]Изложницы без бурта'!B106</f>
        <v>95</v>
      </c>
      <c r="AE106" s="220">
        <f>'[2]Изложницы без бурта'!C106</f>
        <v>245</v>
      </c>
      <c r="AF106" s="56">
        <f>'[2]Изложницы без бурта'!D106</f>
        <v>140</v>
      </c>
      <c r="AG106" s="56">
        <f>'[2]Изложницы без бурта'!E106</f>
        <v>115</v>
      </c>
      <c r="AH106" s="56" t="str">
        <f>'[2]Изложницы без бурта'!F106</f>
        <v>72.11867 - 15</v>
      </c>
      <c r="AI106" s="56">
        <f>'[2]Изложницы без бурта'!G106</f>
        <v>0</v>
      </c>
      <c r="AJ106" s="56">
        <f>'[2]Изложницы без бурта'!H106</f>
        <v>0</v>
      </c>
      <c r="AK106" s="56">
        <f>'[2]Изложницы без бурта'!I106</f>
        <v>0</v>
      </c>
      <c r="AL106" s="56" t="s">
        <v>573</v>
      </c>
      <c r="AM106" s="56">
        <f>'[2]Изложницы без бурта'!K106</f>
        <v>0</v>
      </c>
      <c r="AR106" s="368">
        <v>410</v>
      </c>
      <c r="AS106" s="368">
        <v>340</v>
      </c>
      <c r="AT106" s="368">
        <v>370</v>
      </c>
      <c r="AU106" s="368">
        <v>295</v>
      </c>
      <c r="AV106" s="368">
        <v>470</v>
      </c>
      <c r="AW106" s="368">
        <v>450</v>
      </c>
      <c r="AX106" s="393" t="s">
        <v>548</v>
      </c>
    </row>
    <row r="107" spans="1:50" ht="15.6" thickBot="1" x14ac:dyDescent="0.3">
      <c r="A107" s="1143">
        <f>VLOOKUP(B30,A73:K78,6,FALSE)</f>
        <v>55</v>
      </c>
      <c r="B107" s="1140">
        <f>IF(A108=0,A107,A108)</f>
        <v>55</v>
      </c>
      <c r="C107" s="275">
        <f>VLOOKUP(H30,A73:K78,3,FALSE)</f>
        <v>20</v>
      </c>
      <c r="D107" s="271"/>
      <c r="E107" s="275">
        <f>VLOOKUP(H30,A73:K78,7,FALSE)</f>
        <v>35</v>
      </c>
      <c r="F107" s="271"/>
      <c r="G107" s="270"/>
      <c r="H107" s="292">
        <f>VLOOKUP(H30,A73:K78,10,FALSE)</f>
        <v>110</v>
      </c>
      <c r="I107" s="291"/>
      <c r="L107" s="228">
        <f>[1]Планки!H107</f>
        <v>26</v>
      </c>
      <c r="M107" s="138">
        <f>[1]Планки!I107</f>
        <v>1200</v>
      </c>
      <c r="N107" s="138">
        <f>[1]Планки!J107</f>
        <v>240</v>
      </c>
      <c r="O107" s="229">
        <f>[1]Планки!K107</f>
        <v>960</v>
      </c>
      <c r="P107" s="229">
        <f>[1]Планки!L107</f>
        <v>305</v>
      </c>
      <c r="Q107" s="138">
        <f>[1]Планки!M107</f>
        <v>325</v>
      </c>
      <c r="R107" s="138">
        <f>[1]Планки!N107</f>
        <v>360</v>
      </c>
      <c r="S107" s="229">
        <f>[1]Планки!O107</f>
        <v>105</v>
      </c>
      <c r="T107" s="138">
        <f>[1]Планки!P107</f>
        <v>118</v>
      </c>
      <c r="U107" s="138">
        <f>[1]Планки!Q107</f>
        <v>215</v>
      </c>
      <c r="V107" s="230" t="str">
        <f>[1]Планки!R107</f>
        <v>модель нашита  (L4=63 L5=70 L6=150)</v>
      </c>
      <c r="AB107" s="258">
        <f t="shared" si="0"/>
        <v>160</v>
      </c>
      <c r="AC107" s="259" t="str">
        <f>IF(COUNTIF(AD$78:AD107,AD107)=1,MAX(AC$78:AC106)+1,"")</f>
        <v/>
      </c>
      <c r="AD107" s="220">
        <f>'[2]Изложницы без бурта'!B107</f>
        <v>95</v>
      </c>
      <c r="AE107" s="220">
        <f>'[2]Изложницы без бурта'!C107</f>
        <v>240</v>
      </c>
      <c r="AF107" s="56">
        <f>'[2]Изложницы без бурта'!D107</f>
        <v>140</v>
      </c>
      <c r="AG107" s="56">
        <f>'[2]Изложницы без бурта'!E107</f>
        <v>115</v>
      </c>
      <c r="AH107" s="56" t="str">
        <f>'[2]Изложницы без бурта'!F107</f>
        <v>72.11867 - 15</v>
      </c>
      <c r="AI107" s="56">
        <f>'[2]Изложницы без бурта'!G107</f>
        <v>0</v>
      </c>
      <c r="AJ107" s="56">
        <f>'[2]Изложницы без бурта'!H107</f>
        <v>0</v>
      </c>
      <c r="AK107" s="56">
        <f>'[2]Изложницы без бурта'!I107</f>
        <v>0</v>
      </c>
      <c r="AL107" s="56" t="s">
        <v>573</v>
      </c>
      <c r="AM107" s="56">
        <f>'[2]Изложницы без бурта'!K107</f>
        <v>0</v>
      </c>
      <c r="AR107" s="369">
        <v>400</v>
      </c>
      <c r="AS107" s="368">
        <v>357.5</v>
      </c>
      <c r="AT107" s="368">
        <v>200</v>
      </c>
      <c r="AU107" s="368">
        <v>110</v>
      </c>
      <c r="AV107" s="368">
        <v>470</v>
      </c>
      <c r="AW107" s="368">
        <v>450</v>
      </c>
      <c r="AX107" s="393" t="s">
        <v>549</v>
      </c>
    </row>
    <row r="108" spans="1:50" ht="15.6" thickBot="1" x14ac:dyDescent="0.3">
      <c r="A108" s="1144"/>
      <c r="B108" s="1141"/>
      <c r="C108" s="270" t="s">
        <v>152</v>
      </c>
      <c r="D108" s="270"/>
      <c r="E108" s="270" t="s">
        <v>180</v>
      </c>
      <c r="F108" s="271"/>
      <c r="G108" s="270"/>
      <c r="H108" s="290" t="s">
        <v>153</v>
      </c>
      <c r="I108" s="291"/>
      <c r="L108" s="228">
        <f>[1]Планки!H108</f>
        <v>40</v>
      </c>
      <c r="M108" s="138">
        <f>[1]Планки!I108</f>
        <v>1170</v>
      </c>
      <c r="N108" s="138">
        <f>[1]Планки!J108</f>
        <v>170</v>
      </c>
      <c r="O108" s="229">
        <f>[1]Планки!K108</f>
        <v>1000</v>
      </c>
      <c r="P108" s="229">
        <f>[1]Планки!L108</f>
        <v>635</v>
      </c>
      <c r="Q108" s="138">
        <f>[1]Планки!M108</f>
        <v>650</v>
      </c>
      <c r="R108" s="138">
        <f>[1]Планки!N108</f>
        <v>690</v>
      </c>
      <c r="S108" s="229">
        <f>[1]Планки!O108</f>
        <v>55</v>
      </c>
      <c r="T108" s="138">
        <f>[1]Планки!P108</f>
        <v>75</v>
      </c>
      <c r="U108" s="138">
        <f>[1]Планки!Q108</f>
        <v>140</v>
      </c>
      <c r="V108" s="230" t="str">
        <f>[1]Планки!R108</f>
        <v>модель нашита  (L4=35 L5=47 L6=125 L1=410 L2=433 L3=470 H=1160 h2=990)</v>
      </c>
      <c r="AB108" s="258">
        <f t="shared" si="0"/>
        <v>162.5</v>
      </c>
      <c r="AC108" s="259" t="str">
        <f>IF(COUNTIF(AD$78:AD108,AD108)=1,MAX(AC$78:AC107)+1,"")</f>
        <v/>
      </c>
      <c r="AD108" s="220">
        <f>'[2]Изложницы без бурта'!B108</f>
        <v>95</v>
      </c>
      <c r="AE108" s="220">
        <f>'[2]Изложницы без бурта'!C108</f>
        <v>240</v>
      </c>
      <c r="AF108" s="56">
        <f>'[2]Изложницы без бурта'!D108</f>
        <v>140</v>
      </c>
      <c r="AG108" s="56">
        <f>'[2]Изложницы без бурта'!E108</f>
        <v>115</v>
      </c>
      <c r="AH108" s="56" t="str">
        <f>'[2]Изложницы без бурта'!F108</f>
        <v>72.11867 - 15</v>
      </c>
      <c r="AI108" s="56">
        <f>'[2]Изложницы без бурта'!G108</f>
        <v>0</v>
      </c>
      <c r="AJ108" s="56">
        <f>'[2]Изложницы без бурта'!H108</f>
        <v>0</v>
      </c>
      <c r="AK108" s="56">
        <f>'[2]Изложницы без бурта'!I108</f>
        <v>0</v>
      </c>
      <c r="AL108" s="56" t="s">
        <v>573</v>
      </c>
      <c r="AM108" s="56">
        <f>'[2]Изложницы без бурта'!K108</f>
        <v>0</v>
      </c>
      <c r="AR108" s="376">
        <v>394</v>
      </c>
      <c r="AS108" s="377">
        <v>365</v>
      </c>
      <c r="AT108" s="368">
        <v>297</v>
      </c>
      <c r="AU108" s="368">
        <v>180</v>
      </c>
      <c r="AV108" s="368">
        <v>470</v>
      </c>
      <c r="AW108" s="368">
        <v>450</v>
      </c>
      <c r="AX108" s="393" t="s">
        <v>550</v>
      </c>
    </row>
    <row r="109" spans="1:50" ht="16.2" thickBot="1" x14ac:dyDescent="0.35">
      <c r="A109" s="1146" t="s">
        <v>89</v>
      </c>
      <c r="B109" s="269"/>
      <c r="C109" s="275">
        <f>VLOOKUP(H30,A73:K78,4,FALSE)</f>
        <v>17</v>
      </c>
      <c r="D109" s="277">
        <f>(C107+C109)/2</f>
        <v>18.5</v>
      </c>
      <c r="E109" s="275">
        <f>VLOOKUP(H30,A73:K78,8,FALSE)</f>
        <v>28</v>
      </c>
      <c r="F109" s="270">
        <f>(E107+E109)/2</f>
        <v>31.5</v>
      </c>
      <c r="G109" s="271"/>
      <c r="H109" s="292">
        <f>VLOOKUP(H30,A73:K78,11,FALSE)</f>
        <v>90</v>
      </c>
      <c r="I109" s="291"/>
      <c r="L109" s="228">
        <f>[1]Планки!H109</f>
        <v>109</v>
      </c>
      <c r="M109" s="138">
        <f>[1]Планки!I109</f>
        <v>1115</v>
      </c>
      <c r="N109" s="138">
        <f>[1]Планки!J109</f>
        <v>120</v>
      </c>
      <c r="O109" s="229">
        <f>[1]Планки!K109</f>
        <v>995</v>
      </c>
      <c r="P109" s="229">
        <f>[1]Планки!L109</f>
        <v>100</v>
      </c>
      <c r="Q109" s="138">
        <f>[1]Планки!M109</f>
        <v>110</v>
      </c>
      <c r="R109" s="138">
        <f>[1]Планки!N109</f>
        <v>150</v>
      </c>
      <c r="S109" s="229">
        <f>[1]Планки!O109</f>
        <v>35</v>
      </c>
      <c r="T109" s="138">
        <f>[1]Планки!P109</f>
        <v>45</v>
      </c>
      <c r="U109" s="138">
        <f>[1]Планки!Q109</f>
        <v>105</v>
      </c>
      <c r="V109" s="230">
        <f>[1]Планки!R109</f>
        <v>0</v>
      </c>
      <c r="AB109" s="258">
        <f t="shared" si="0"/>
        <v>165</v>
      </c>
      <c r="AC109" s="259" t="str">
        <f>IF(COUNTIF(AD$78:AD109,AD109)=1,MAX(AC$78:AC108)+1,"")</f>
        <v/>
      </c>
      <c r="AD109" s="220">
        <f>'[2]Изложницы без бурта'!B109</f>
        <v>95</v>
      </c>
      <c r="AE109" s="220">
        <f>'[2]Изложницы без бурта'!C109</f>
        <v>245</v>
      </c>
      <c r="AF109" s="56">
        <f>'[2]Изложницы без бурта'!D109</f>
        <v>140</v>
      </c>
      <c r="AG109" s="56">
        <f>'[2]Изложницы без бурта'!E109</f>
        <v>115</v>
      </c>
      <c r="AH109" s="56" t="str">
        <f>'[2]Изложницы без бурта'!F109</f>
        <v>72.11867 - 15</v>
      </c>
      <c r="AI109" s="56">
        <f>'[2]Изложницы без бурта'!G109</f>
        <v>0</v>
      </c>
      <c r="AJ109" s="56">
        <f>'[2]Изложницы без бурта'!H109</f>
        <v>0</v>
      </c>
      <c r="AK109" s="56">
        <f>'[2]Изложницы без бурта'!I109</f>
        <v>0</v>
      </c>
      <c r="AL109" s="56" t="s">
        <v>573</v>
      </c>
      <c r="AM109" s="56">
        <f>'[2]Изложницы без бурта'!K109</f>
        <v>0</v>
      </c>
      <c r="AR109" s="367">
        <v>409</v>
      </c>
      <c r="AS109" s="368">
        <v>365</v>
      </c>
      <c r="AT109" s="368">
        <v>295</v>
      </c>
      <c r="AU109" s="368">
        <v>180</v>
      </c>
      <c r="AV109" s="368">
        <v>470</v>
      </c>
      <c r="AW109" s="368">
        <v>450</v>
      </c>
      <c r="AX109" s="393" t="s">
        <v>551</v>
      </c>
    </row>
    <row r="110" spans="1:50" ht="15" x14ac:dyDescent="0.25">
      <c r="A110" s="1143">
        <f>Втулка!N5+Втулка!N8</f>
        <v>479</v>
      </c>
      <c r="B110" s="1140">
        <f>IF(A111=0,A110,A111)</f>
        <v>479</v>
      </c>
      <c r="C110" s="270" t="s">
        <v>153</v>
      </c>
      <c r="D110" s="270"/>
      <c r="E110" s="270" t="s">
        <v>205</v>
      </c>
      <c r="F110" s="270"/>
      <c r="G110" s="271"/>
      <c r="H110" s="293" t="s">
        <v>220</v>
      </c>
      <c r="I110" s="291"/>
      <c r="L110" s="228">
        <f>[1]Планки!H110</f>
        <v>1</v>
      </c>
      <c r="M110" s="138">
        <f>[1]Планки!I110</f>
        <v>1160</v>
      </c>
      <c r="N110" s="138">
        <f>[1]Планки!J110</f>
        <v>145</v>
      </c>
      <c r="O110" s="229">
        <f>[1]Планки!K110</f>
        <v>1015</v>
      </c>
      <c r="P110" s="229">
        <f>[1]Планки!L110</f>
        <v>280</v>
      </c>
      <c r="Q110" s="138">
        <f>[1]Планки!M110</f>
        <v>290</v>
      </c>
      <c r="R110" s="138">
        <f>[1]Планки!N110</f>
        <v>330</v>
      </c>
      <c r="S110" s="229">
        <f>[1]Планки!O110</f>
        <v>45</v>
      </c>
      <c r="T110" s="138">
        <f>[1]Планки!P110</f>
        <v>55</v>
      </c>
      <c r="U110" s="138">
        <f>[1]Планки!Q110</f>
        <v>115</v>
      </c>
      <c r="V110" s="230" t="str">
        <f>[1]Планки!R110</f>
        <v>модель нашита  (L4=35 L5=45 L6=105)</v>
      </c>
      <c r="AB110" s="258">
        <f t="shared" si="0"/>
        <v>167.5</v>
      </c>
      <c r="AC110" s="259" t="str">
        <f>IF(COUNTIF(AD$78:AD110,AD110)=1,MAX(AC$78:AC109)+1,"")</f>
        <v/>
      </c>
      <c r="AD110" s="220">
        <f>'[2]Изложницы без бурта'!B110</f>
        <v>95</v>
      </c>
      <c r="AE110" s="220">
        <f>'[2]Изложницы без бурта'!C110</f>
        <v>245</v>
      </c>
      <c r="AF110" s="56">
        <f>'[2]Изложницы без бурта'!D110</f>
        <v>140</v>
      </c>
      <c r="AG110" s="56">
        <f>'[2]Изложницы без бурта'!E110</f>
        <v>115</v>
      </c>
      <c r="AH110" s="56" t="str">
        <f>'[2]Изложницы без бурта'!F110</f>
        <v>72.11867 - 15</v>
      </c>
      <c r="AI110" s="56">
        <f>'[2]Изложницы без бурта'!G110</f>
        <v>0</v>
      </c>
      <c r="AJ110" s="56">
        <f>'[2]Изложницы без бурта'!H110</f>
        <v>0</v>
      </c>
      <c r="AK110" s="56">
        <f>'[2]Изложницы без бурта'!I110</f>
        <v>0</v>
      </c>
      <c r="AL110" s="56" t="s">
        <v>573</v>
      </c>
      <c r="AM110" s="56">
        <f>'[2]Изложницы без бурта'!K110</f>
        <v>0</v>
      </c>
      <c r="AR110" s="368">
        <v>390</v>
      </c>
      <c r="AS110" s="368">
        <v>365</v>
      </c>
      <c r="AT110" s="368">
        <v>295</v>
      </c>
      <c r="AU110" s="368">
        <v>180</v>
      </c>
      <c r="AV110" s="368">
        <v>470</v>
      </c>
      <c r="AW110" s="368">
        <v>450</v>
      </c>
      <c r="AX110" s="393" t="s">
        <v>550</v>
      </c>
    </row>
    <row r="111" spans="1:50" ht="16.2" thickBot="1" x14ac:dyDescent="0.35">
      <c r="A111" s="1144"/>
      <c r="B111" s="1145">
        <f>Втулка!N6</f>
        <v>7.6</v>
      </c>
      <c r="C111" s="275">
        <f>VLOOKUP(H30,A73:K78,5,FALSE)</f>
        <v>23</v>
      </c>
      <c r="D111" s="277">
        <f>C111</f>
        <v>23</v>
      </c>
      <c r="E111" s="275">
        <f>VLOOKUP(H30,A73:K78,9,FALSE)</f>
        <v>40</v>
      </c>
      <c r="F111" s="270">
        <f>E111</f>
        <v>40</v>
      </c>
      <c r="G111" s="271"/>
      <c r="H111" s="271">
        <f>(H107*H107*3.1415926*H109*B111/4000000)*2</f>
        <v>13.000538497319997</v>
      </c>
      <c r="I111" s="291"/>
      <c r="L111" s="228">
        <f>[1]Планки!H111</f>
        <v>39</v>
      </c>
      <c r="M111" s="138">
        <f>[1]Планки!I111</f>
        <v>1220</v>
      </c>
      <c r="N111" s="138">
        <f>[1]Планки!J111</f>
        <v>180</v>
      </c>
      <c r="O111" s="229">
        <f>[1]Планки!K111</f>
        <v>1040</v>
      </c>
      <c r="P111" s="229">
        <f>[1]Планки!L111</f>
        <v>405</v>
      </c>
      <c r="Q111" s="138">
        <f>[1]Планки!M111</f>
        <v>420</v>
      </c>
      <c r="R111" s="138">
        <f>[1]Планки!N111</f>
        <v>460</v>
      </c>
      <c r="S111" s="229">
        <f>[1]Планки!O111</f>
        <v>70</v>
      </c>
      <c r="T111" s="138">
        <f>[1]Планки!P111</f>
        <v>80</v>
      </c>
      <c r="U111" s="138">
        <f>[1]Планки!Q111</f>
        <v>150</v>
      </c>
      <c r="V111" s="230" t="str">
        <f>[1]Планки!R111</f>
        <v>модель нашита  (L4=32 L5=40 L6=115)</v>
      </c>
      <c r="AB111" s="258">
        <f t="shared" si="0"/>
        <v>170</v>
      </c>
      <c r="AC111" s="259" t="str">
        <f>IF(COUNTIF(AD$78:AD111,AD111)=1,MAX(AC$78:AC110)+1,"")</f>
        <v/>
      </c>
      <c r="AD111" s="220">
        <f>'[2]Изложницы без бурта'!B111</f>
        <v>95</v>
      </c>
      <c r="AE111" s="220">
        <f>'[2]Изложницы без бурта'!C111</f>
        <v>245</v>
      </c>
      <c r="AF111" s="56">
        <f>'[2]Изложницы без бурта'!D111</f>
        <v>140</v>
      </c>
      <c r="AG111" s="56">
        <f>'[2]Изложницы без бурта'!E111</f>
        <v>115</v>
      </c>
      <c r="AH111" s="56" t="str">
        <f>'[2]Изложницы без бурта'!F111</f>
        <v>72.11867 - 15</v>
      </c>
      <c r="AI111" s="56">
        <f>'[2]Изложницы без бурта'!G111</f>
        <v>0</v>
      </c>
      <c r="AJ111" s="56">
        <f>'[2]Изложницы без бурта'!H111</f>
        <v>0</v>
      </c>
      <c r="AK111" s="56">
        <f>'[2]Изложницы без бурта'!I111</f>
        <v>0</v>
      </c>
      <c r="AL111" s="56" t="s">
        <v>573</v>
      </c>
      <c r="AM111" s="56">
        <f>'[2]Изложницы без бурта'!K111</f>
        <v>0</v>
      </c>
      <c r="AR111" s="368">
        <v>455</v>
      </c>
      <c r="AS111" s="368">
        <v>370</v>
      </c>
      <c r="AT111" s="368">
        <v>330</v>
      </c>
      <c r="AU111" s="368">
        <v>260</v>
      </c>
      <c r="AV111" s="368">
        <v>520</v>
      </c>
      <c r="AW111" s="368">
        <v>400</v>
      </c>
      <c r="AX111" s="393" t="s">
        <v>552</v>
      </c>
    </row>
    <row r="112" spans="1:50" ht="15.6" x14ac:dyDescent="0.3">
      <c r="A112" s="1147"/>
      <c r="B112" s="280">
        <f>B107*B107*3.1415926*B110*B111/4000000</f>
        <v>8.6489693614115009</v>
      </c>
      <c r="C112" s="281" t="s">
        <v>89</v>
      </c>
      <c r="D112" s="270"/>
      <c r="E112" s="281" t="s">
        <v>206</v>
      </c>
      <c r="F112" s="270"/>
      <c r="G112" s="271"/>
      <c r="H112" s="271"/>
      <c r="I112" s="291"/>
      <c r="L112" s="228">
        <f>[1]Планки!H112</f>
        <v>2</v>
      </c>
      <c r="M112" s="138">
        <f>[1]Планки!I112</f>
        <v>1235</v>
      </c>
      <c r="N112" s="138">
        <f>[1]Планки!J112</f>
        <v>180</v>
      </c>
      <c r="O112" s="229">
        <f>[1]Планки!K112</f>
        <v>1055</v>
      </c>
      <c r="P112" s="229">
        <f>[1]Планки!L112</f>
        <v>300</v>
      </c>
      <c r="Q112" s="138">
        <f>[1]Планки!M112</f>
        <v>320</v>
      </c>
      <c r="R112" s="138">
        <f>[1]Планки!N112</f>
        <v>360</v>
      </c>
      <c r="S112" s="229">
        <f>[1]Планки!O112</f>
        <v>47</v>
      </c>
      <c r="T112" s="138">
        <f>[1]Планки!P112</f>
        <v>60</v>
      </c>
      <c r="U112" s="138">
        <f>[1]Планки!Q112</f>
        <v>130</v>
      </c>
      <c r="V112" s="230" t="str">
        <f>[1]Планки!R112</f>
        <v>модель нашита  (L4=42 L5=55 L6=125)</v>
      </c>
      <c r="AB112" s="258">
        <f t="shared" si="0"/>
        <v>172.5</v>
      </c>
      <c r="AC112" s="259" t="str">
        <f>IF(COUNTIF(AD$78:AD112,AD112)=1,MAX(AC$78:AC111)+1,"")</f>
        <v/>
      </c>
      <c r="AD112" s="220">
        <f>'[2]Изложницы без бурта'!B112</f>
        <v>95</v>
      </c>
      <c r="AE112" s="220">
        <f>'[2]Изложницы без бурта'!C112</f>
        <v>245</v>
      </c>
      <c r="AF112" s="56">
        <f>'[2]Изложницы без бурта'!D112</f>
        <v>140</v>
      </c>
      <c r="AG112" s="56">
        <f>'[2]Изложницы без бурта'!E112</f>
        <v>115</v>
      </c>
      <c r="AH112" s="56" t="str">
        <f>'[2]Изложницы без бурта'!F112</f>
        <v>72.11867 - 15</v>
      </c>
      <c r="AI112" s="56">
        <f>'[2]Изложницы без бурта'!G112</f>
        <v>0</v>
      </c>
      <c r="AJ112" s="56">
        <f>'[2]Изложницы без бурта'!H112</f>
        <v>0</v>
      </c>
      <c r="AK112" s="56">
        <f>'[2]Изложницы без бурта'!I112</f>
        <v>0</v>
      </c>
      <c r="AL112" s="56" t="s">
        <v>573</v>
      </c>
      <c r="AM112" s="56">
        <f>'[2]Изложницы без бурта'!K112</f>
        <v>0</v>
      </c>
      <c r="AR112" s="368">
        <v>388</v>
      </c>
      <c r="AS112" s="368">
        <v>372.5</v>
      </c>
      <c r="AT112" s="368">
        <v>170</v>
      </c>
      <c r="AU112" s="368">
        <v>135</v>
      </c>
      <c r="AV112" s="368">
        <v>470</v>
      </c>
      <c r="AW112" s="368">
        <v>400</v>
      </c>
      <c r="AX112" s="393" t="s">
        <v>553</v>
      </c>
    </row>
    <row r="113" spans="1:50" ht="15.6" x14ac:dyDescent="0.3">
      <c r="A113" s="276"/>
      <c r="B113" s="270"/>
      <c r="C113" s="275">
        <v>50</v>
      </c>
      <c r="D113" s="277">
        <f>C113</f>
        <v>50</v>
      </c>
      <c r="E113" s="275">
        <f>Втулка!N3</f>
        <v>1140</v>
      </c>
      <c r="F113" s="282">
        <f>2*3.1415926*E116/2</f>
        <v>3864.1588980000001</v>
      </c>
      <c r="G113" s="271"/>
      <c r="H113" s="271"/>
      <c r="I113" s="291"/>
      <c r="L113" s="228">
        <f>[1]Планки!H113</f>
        <v>48</v>
      </c>
      <c r="M113" s="138">
        <f>[1]Планки!I113</f>
        <v>1210</v>
      </c>
      <c r="N113" s="138">
        <f>[1]Планки!J113</f>
        <v>150</v>
      </c>
      <c r="O113" s="229">
        <f>[1]Планки!K113</f>
        <v>1060</v>
      </c>
      <c r="P113" s="229">
        <f>[1]Планки!L113</f>
        <v>140</v>
      </c>
      <c r="Q113" s="138">
        <f>[1]Планки!M113</f>
        <v>157</v>
      </c>
      <c r="R113" s="138">
        <f>[1]Планки!N113</f>
        <v>185</v>
      </c>
      <c r="S113" s="229">
        <f>[1]Планки!O113</f>
        <v>35</v>
      </c>
      <c r="T113" s="138">
        <f>[1]Планки!P113</f>
        <v>50</v>
      </c>
      <c r="U113" s="138">
        <f>[1]Планки!Q113</f>
        <v>110</v>
      </c>
      <c r="V113" s="230" t="str">
        <f>[1]Планки!R113</f>
        <v>модель нашита  (L4=25 L5=40 L6=100)</v>
      </c>
      <c r="AB113" s="258">
        <f t="shared" si="0"/>
        <v>175</v>
      </c>
      <c r="AC113" s="259" t="str">
        <f>IF(COUNTIF(AD$78:AD113,AD113)=1,MAX(AC$78:AC112)+1,"")</f>
        <v/>
      </c>
      <c r="AD113" s="220">
        <f>'[2]Изложницы без бурта'!B113</f>
        <v>95</v>
      </c>
      <c r="AE113" s="220">
        <f>'[2]Изложницы без бурта'!C113</f>
        <v>245</v>
      </c>
      <c r="AF113" s="56">
        <f>'[2]Изложницы без бурта'!D113</f>
        <v>140</v>
      </c>
      <c r="AG113" s="56">
        <f>'[2]Изложницы без бурта'!E113</f>
        <v>115</v>
      </c>
      <c r="AH113" s="56" t="str">
        <f>'[2]Изложницы без бурта'!F113</f>
        <v>72.11867 - 15</v>
      </c>
      <c r="AI113" s="56">
        <f>'[2]Изложницы без бурта'!G113</f>
        <v>0</v>
      </c>
      <c r="AJ113" s="56">
        <f>'[2]Изложницы без бурта'!H113</f>
        <v>0</v>
      </c>
      <c r="AK113" s="56">
        <f>'[2]Изложницы без бурта'!I113</f>
        <v>0</v>
      </c>
      <c r="AL113" s="56" t="s">
        <v>573</v>
      </c>
      <c r="AM113" s="56">
        <f>'[2]Изложницы без бурта'!K113</f>
        <v>0</v>
      </c>
      <c r="AR113" s="368">
        <v>388</v>
      </c>
      <c r="AS113" s="368">
        <v>372.5</v>
      </c>
      <c r="AT113" s="368">
        <v>170</v>
      </c>
      <c r="AU113" s="368">
        <v>135</v>
      </c>
      <c r="AV113" s="368">
        <v>470</v>
      </c>
      <c r="AW113" s="368">
        <v>400</v>
      </c>
      <c r="AX113" s="393" t="s">
        <v>553</v>
      </c>
    </row>
    <row r="114" spans="1:50" ht="15" x14ac:dyDescent="0.25">
      <c r="A114" s="276"/>
      <c r="B114" s="271"/>
      <c r="C114" s="281" t="s">
        <v>175</v>
      </c>
      <c r="D114" s="270"/>
      <c r="E114" s="281" t="s">
        <v>207</v>
      </c>
      <c r="F114" s="270"/>
      <c r="G114" s="281" t="s">
        <v>208</v>
      </c>
      <c r="H114" s="271"/>
      <c r="I114" s="291"/>
      <c r="L114" s="228">
        <f>[1]Планки!H114</f>
        <v>37</v>
      </c>
      <c r="M114" s="138">
        <f>[1]Планки!I114</f>
        <v>1230</v>
      </c>
      <c r="N114" s="138">
        <f>[1]Планки!J114</f>
        <v>165</v>
      </c>
      <c r="O114" s="229">
        <f>[1]Планки!K114</f>
        <v>1065</v>
      </c>
      <c r="P114" s="229">
        <f>[1]Планки!L114</f>
        <v>338</v>
      </c>
      <c r="Q114" s="138">
        <f>[1]Планки!M114</f>
        <v>360</v>
      </c>
      <c r="R114" s="138">
        <f>[1]Планки!N114</f>
        <v>410</v>
      </c>
      <c r="S114" s="229">
        <f>[1]Планки!O114</f>
        <v>65</v>
      </c>
      <c r="T114" s="138">
        <f>[1]Планки!P114</f>
        <v>76</v>
      </c>
      <c r="U114" s="138">
        <f>[1]Планки!Q114</f>
        <v>200</v>
      </c>
      <c r="V114" s="230" t="str">
        <f>[1]Планки!R114</f>
        <v>Уточнить наличие, Котов, 08.06.23</v>
      </c>
      <c r="AB114" s="258">
        <f t="shared" si="0"/>
        <v>177.5</v>
      </c>
      <c r="AC114" s="259" t="str">
        <f>IF(COUNTIF(AD$78:AD114,AD114)=1,MAX(AC$78:AC113)+1,"")</f>
        <v/>
      </c>
      <c r="AD114" s="220">
        <f>'[2]Изложницы без бурта'!B114</f>
        <v>95</v>
      </c>
      <c r="AE114" s="220">
        <f>'[2]Изложницы без бурта'!C114</f>
        <v>245</v>
      </c>
      <c r="AF114" s="56">
        <f>'[2]Изложницы без бурта'!D114</f>
        <v>140</v>
      </c>
      <c r="AG114" s="56">
        <f>'[2]Изложницы без бурта'!E114</f>
        <v>115</v>
      </c>
      <c r="AH114" s="56" t="str">
        <f>'[2]Изложницы без бурта'!F114</f>
        <v>72.11867 - 15</v>
      </c>
      <c r="AI114" s="56">
        <f>'[2]Изложницы без бурта'!G114</f>
        <v>0</v>
      </c>
      <c r="AJ114" s="56">
        <f>'[2]Изложницы без бурта'!H114</f>
        <v>0</v>
      </c>
      <c r="AK114" s="56">
        <f>'[2]Изложницы без бурта'!I114</f>
        <v>0</v>
      </c>
      <c r="AL114" s="56" t="s">
        <v>573</v>
      </c>
      <c r="AM114" s="56">
        <f>'[2]Изложницы без бурта'!K114</f>
        <v>0</v>
      </c>
      <c r="AR114" s="368">
        <v>388</v>
      </c>
      <c r="AS114" s="368">
        <v>375</v>
      </c>
      <c r="AT114" s="368">
        <v>170</v>
      </c>
      <c r="AU114" s="368">
        <v>137</v>
      </c>
      <c r="AV114" s="368">
        <v>470</v>
      </c>
      <c r="AW114" s="368">
        <v>400</v>
      </c>
      <c r="AX114" s="393" t="s">
        <v>553</v>
      </c>
    </row>
    <row r="115" spans="1:50" ht="15.6" x14ac:dyDescent="0.3">
      <c r="A115" s="276"/>
      <c r="B115" s="271"/>
      <c r="C115" s="275">
        <f>VLOOKUP(H30,A73:K78,2,FALSE)</f>
        <v>4</v>
      </c>
      <c r="D115" s="277">
        <f>C115</f>
        <v>4</v>
      </c>
      <c r="E115" s="281" t="s">
        <v>209</v>
      </c>
      <c r="F115" s="270"/>
      <c r="G115" s="275">
        <v>210</v>
      </c>
      <c r="H115" s="271"/>
      <c r="I115" s="291"/>
      <c r="L115" s="228">
        <f>[1]Планки!H115</f>
        <v>29</v>
      </c>
      <c r="M115" s="138">
        <f>[1]Планки!I115</f>
        <v>1215</v>
      </c>
      <c r="N115" s="138">
        <f>[1]Планки!J115</f>
        <v>140</v>
      </c>
      <c r="O115" s="229">
        <f>[1]Планки!K115</f>
        <v>1075</v>
      </c>
      <c r="P115" s="229">
        <f>[1]Планки!L115</f>
        <v>235</v>
      </c>
      <c r="Q115" s="138">
        <f>[1]Планки!M115</f>
        <v>250</v>
      </c>
      <c r="R115" s="138">
        <f>[1]Планки!N115</f>
        <v>285</v>
      </c>
      <c r="S115" s="229">
        <f>[1]Планки!O115</f>
        <v>45</v>
      </c>
      <c r="T115" s="138">
        <f>[1]Планки!P115</f>
        <v>58</v>
      </c>
      <c r="U115" s="138">
        <f>[1]Планки!Q115</f>
        <v>110</v>
      </c>
      <c r="V115" s="230" t="str">
        <f>[1]Планки!R115</f>
        <v>модель нашита  (L4=24 L5=35 L6=90)</v>
      </c>
      <c r="AB115" s="258">
        <f t="shared" si="0"/>
        <v>180</v>
      </c>
      <c r="AC115" s="259" t="str">
        <f>IF(COUNTIF(AD$78:AD115,AD115)=1,MAX(AC$78:AC114)+1,"")</f>
        <v/>
      </c>
      <c r="AD115" s="220">
        <f>'[2]Изложницы без бурта'!B115</f>
        <v>95</v>
      </c>
      <c r="AE115" s="220">
        <f>'[2]Изложницы без бурта'!C115</f>
        <v>240</v>
      </c>
      <c r="AF115" s="56">
        <f>'[2]Изложницы без бурта'!D115</f>
        <v>140</v>
      </c>
      <c r="AG115" s="56">
        <f>'[2]Изложницы без бурта'!E115</f>
        <v>115</v>
      </c>
      <c r="AH115" s="56" t="str">
        <f>'[2]Изложницы без бурта'!F115</f>
        <v>72.11867 - 15</v>
      </c>
      <c r="AI115" s="56">
        <f>'[2]Изложницы без бурта'!G115</f>
        <v>0</v>
      </c>
      <c r="AJ115" s="56">
        <f>'[2]Изложницы без бурта'!H115</f>
        <v>0</v>
      </c>
      <c r="AK115" s="56">
        <f>'[2]Изложницы без бурта'!I115</f>
        <v>0</v>
      </c>
      <c r="AL115" s="56" t="s">
        <v>573</v>
      </c>
      <c r="AM115" s="56">
        <f>'[2]Изложницы без бурта'!K115</f>
        <v>0</v>
      </c>
      <c r="AR115" s="368">
        <v>388</v>
      </c>
      <c r="AS115" s="368">
        <v>375</v>
      </c>
      <c r="AT115" s="368">
        <v>170</v>
      </c>
      <c r="AU115" s="368">
        <v>135</v>
      </c>
      <c r="AV115" s="368">
        <v>470</v>
      </c>
      <c r="AW115" s="368">
        <v>400</v>
      </c>
      <c r="AX115" s="393" t="s">
        <v>553</v>
      </c>
    </row>
    <row r="116" spans="1:50" ht="15" x14ac:dyDescent="0.25">
      <c r="A116" s="276"/>
      <c r="B116" s="271"/>
      <c r="C116" s="271"/>
      <c r="D116" s="278">
        <f>Втулка!N6</f>
        <v>7.6</v>
      </c>
      <c r="E116" s="270">
        <f>E113+C113+E111</f>
        <v>1230</v>
      </c>
      <c r="F116" s="278">
        <f>Втулка!N6</f>
        <v>7.6</v>
      </c>
      <c r="G116" s="270" t="s">
        <v>210</v>
      </c>
      <c r="H116" s="271"/>
      <c r="I116" s="291"/>
      <c r="L116" s="228">
        <f>[1]Планки!H116</f>
        <v>112</v>
      </c>
      <c r="M116" s="138">
        <f>[1]Планки!I116</f>
        <v>1280</v>
      </c>
      <c r="N116" s="138">
        <f>[1]Планки!J116</f>
        <v>200</v>
      </c>
      <c r="O116" s="229">
        <f>[1]Планки!K116</f>
        <v>1095</v>
      </c>
      <c r="P116" s="229">
        <f>[1]Планки!L116</f>
        <v>335</v>
      </c>
      <c r="Q116" s="138">
        <f>[1]Планки!M116</f>
        <v>360</v>
      </c>
      <c r="R116" s="138">
        <f>[1]Планки!N116</f>
        <v>400</v>
      </c>
      <c r="S116" s="229">
        <f>[1]Планки!O116</f>
        <v>55</v>
      </c>
      <c r="T116" s="138">
        <f>[1]Планки!P116</f>
        <v>80</v>
      </c>
      <c r="U116" s="138">
        <f>[1]Планки!Q116</f>
        <v>155</v>
      </c>
      <c r="V116" s="230" t="str">
        <f>[1]Планки!R116</f>
        <v>модель нашита  (L4=30 L5=55 L6=130)</v>
      </c>
      <c r="AB116" s="258">
        <f t="shared" si="0"/>
        <v>182.5</v>
      </c>
      <c r="AC116" s="259" t="str">
        <f>IF(COUNTIF(AD$78:AD116,AD116)=1,MAX(AC$78:AC115)+1,"")</f>
        <v/>
      </c>
      <c r="AD116" s="220">
        <f>'[2]Изложницы без бурта'!B116</f>
        <v>95</v>
      </c>
      <c r="AE116" s="220">
        <f>'[2]Изложницы без бурта'!C116</f>
        <v>243</v>
      </c>
      <c r="AF116" s="56">
        <f>'[2]Изложницы без бурта'!D116</f>
        <v>140</v>
      </c>
      <c r="AG116" s="56">
        <f>'[2]Изложницы без бурта'!E116</f>
        <v>115</v>
      </c>
      <c r="AH116" s="56" t="str">
        <f>'[2]Изложницы без бурта'!F116</f>
        <v>72.11867 - 15</v>
      </c>
      <c r="AI116" s="56">
        <f>'[2]Изложницы без бурта'!G116</f>
        <v>0</v>
      </c>
      <c r="AJ116" s="56">
        <f>'[2]Изложницы без бурта'!H116</f>
        <v>0</v>
      </c>
      <c r="AK116" s="56">
        <f>'[2]Изложницы без бурта'!I116</f>
        <v>0</v>
      </c>
      <c r="AL116" s="56" t="s">
        <v>573</v>
      </c>
      <c r="AM116" s="56">
        <f>'[2]Изложницы без бурта'!K116</f>
        <v>0</v>
      </c>
      <c r="AR116" s="368">
        <v>495</v>
      </c>
      <c r="AS116" s="368">
        <v>382.5</v>
      </c>
      <c r="AT116" s="368">
        <v>578</v>
      </c>
      <c r="AU116" s="368">
        <v>510</v>
      </c>
      <c r="AV116" s="368">
        <v>520</v>
      </c>
      <c r="AW116" s="368">
        <v>400</v>
      </c>
      <c r="AX116" s="393" t="s">
        <v>554</v>
      </c>
    </row>
    <row r="117" spans="1:50" ht="16.2" thickBot="1" x14ac:dyDescent="0.35">
      <c r="A117" s="283"/>
      <c r="B117" s="284"/>
      <c r="C117" s="284"/>
      <c r="D117" s="285">
        <f>D109*D111*D113*D115*D116/1000000</f>
        <v>0.64676</v>
      </c>
      <c r="E117" s="284"/>
      <c r="F117" s="286">
        <f>F109*F111*F113*F116/1000000</f>
        <v>37.003185607248</v>
      </c>
      <c r="G117" s="285">
        <f>F117/360*G115</f>
        <v>21.585191604228001</v>
      </c>
      <c r="H117" s="294"/>
      <c r="I117" s="287">
        <f>B112+D117+G117+H111</f>
        <v>43.881459462959498</v>
      </c>
      <c r="L117" s="228">
        <f>[1]Планки!H117</f>
        <v>108</v>
      </c>
      <c r="M117" s="138">
        <f>[1]Планки!I117</f>
        <v>1305</v>
      </c>
      <c r="N117" s="138">
        <f>[1]Планки!J117</f>
        <v>185</v>
      </c>
      <c r="O117" s="229">
        <f>[1]Планки!K117</f>
        <v>1120</v>
      </c>
      <c r="P117" s="229">
        <f>[1]Планки!L117</f>
        <v>240</v>
      </c>
      <c r="Q117" s="138">
        <f>[1]Планки!M117</f>
        <v>260</v>
      </c>
      <c r="R117" s="138">
        <f>[1]Планки!N117</f>
        <v>295</v>
      </c>
      <c r="S117" s="229">
        <f>[1]Планки!O117</f>
        <v>32</v>
      </c>
      <c r="T117" s="138">
        <f>[1]Планки!P117</f>
        <v>41</v>
      </c>
      <c r="U117" s="138">
        <f>[1]Планки!Q117</f>
        <v>110</v>
      </c>
      <c r="V117" s="230">
        <f>[1]Планки!R117</f>
        <v>0</v>
      </c>
      <c r="AB117" s="258">
        <f t="shared" si="0"/>
        <v>185</v>
      </c>
      <c r="AC117" s="259" t="str">
        <f>IF(COUNTIF(AD$78:AD117,AD117)=1,MAX(AC$78:AC116)+1,"")</f>
        <v/>
      </c>
      <c r="AD117" s="220">
        <f>'[2]Изложницы без бурта'!B117</f>
        <v>95</v>
      </c>
      <c r="AE117" s="220">
        <f>'[2]Изложницы без бурта'!C117</f>
        <v>243</v>
      </c>
      <c r="AF117" s="56">
        <f>'[2]Изложницы без бурта'!D117</f>
        <v>140</v>
      </c>
      <c r="AG117" s="56">
        <f>'[2]Изложницы без бурта'!E117</f>
        <v>115</v>
      </c>
      <c r="AH117" s="56" t="str">
        <f>'[2]Изложницы без бурта'!F117</f>
        <v>72.11867 - 15</v>
      </c>
      <c r="AI117" s="56">
        <f>'[2]Изложницы без бурта'!G117</f>
        <v>0</v>
      </c>
      <c r="AJ117" s="56">
        <f>'[2]Изложницы без бурта'!H117</f>
        <v>0</v>
      </c>
      <c r="AK117" s="56">
        <f>'[2]Изложницы без бурта'!I117</f>
        <v>0</v>
      </c>
      <c r="AL117" s="56" t="s">
        <v>573</v>
      </c>
      <c r="AM117" s="56">
        <f>'[2]Изложницы без бурта'!K117</f>
        <v>0</v>
      </c>
      <c r="AR117" s="368">
        <v>420</v>
      </c>
      <c r="AS117" s="368">
        <v>382.5</v>
      </c>
      <c r="AT117" s="368">
        <v>357</v>
      </c>
      <c r="AU117" s="368">
        <v>230</v>
      </c>
      <c r="AV117" s="368">
        <v>500</v>
      </c>
      <c r="AW117" s="368">
        <v>400</v>
      </c>
      <c r="AX117" s="393" t="s">
        <v>555</v>
      </c>
    </row>
    <row r="118" spans="1:50" ht="14.4" x14ac:dyDescent="0.25">
      <c r="L118" s="228">
        <f>[1]Планки!H118</f>
        <v>24</v>
      </c>
      <c r="M118" s="138">
        <f>[1]Планки!I118</f>
        <v>1305</v>
      </c>
      <c r="N118" s="138">
        <f>[1]Планки!J118</f>
        <v>165</v>
      </c>
      <c r="O118" s="229">
        <f>[1]Планки!K118</f>
        <v>1140</v>
      </c>
      <c r="P118" s="229">
        <f>[1]Планки!L118</f>
        <v>195</v>
      </c>
      <c r="Q118" s="138">
        <f>[1]Планки!M118</f>
        <v>200</v>
      </c>
      <c r="R118" s="138">
        <f>[1]Планки!N118</f>
        <v>240</v>
      </c>
      <c r="S118" s="229">
        <f>[1]Планки!O118</f>
        <v>30</v>
      </c>
      <c r="T118" s="138">
        <f>[1]Планки!P118</f>
        <v>42</v>
      </c>
      <c r="U118" s="138">
        <f>[1]Планки!Q118</f>
        <v>75</v>
      </c>
      <c r="V118" s="230" t="str">
        <f>[1]Планки!R118</f>
        <v>модель нашита  (L4=25 L5=37 L6=70)</v>
      </c>
      <c r="AB118" s="258">
        <f t="shared" si="0"/>
        <v>187.5</v>
      </c>
      <c r="AC118" s="259" t="str">
        <f>IF(COUNTIF(AD$78:AD118,AD118)=1,MAX(AC$78:AC117)+1,"")</f>
        <v/>
      </c>
      <c r="AD118" s="220">
        <f>'[2]Изложницы без бурта'!B118</f>
        <v>95</v>
      </c>
      <c r="AE118" s="220">
        <f>'[2]Изложницы без бурта'!C118</f>
        <v>244</v>
      </c>
      <c r="AF118" s="56">
        <f>'[2]Изложницы без бурта'!D118</f>
        <v>140</v>
      </c>
      <c r="AG118" s="56">
        <f>'[2]Изложницы без бурта'!E118</f>
        <v>115</v>
      </c>
      <c r="AH118" s="56" t="str">
        <f>'[2]Изложницы без бурта'!F118</f>
        <v>72.11867 - 15</v>
      </c>
      <c r="AI118" s="56">
        <f>'[2]Изложницы без бурта'!G118</f>
        <v>0</v>
      </c>
      <c r="AJ118" s="56">
        <f>'[2]Изложницы без бурта'!H118</f>
        <v>0</v>
      </c>
      <c r="AK118" s="56">
        <f>'[2]Изложницы без бурта'!I118</f>
        <v>0</v>
      </c>
      <c r="AL118" s="56" t="s">
        <v>573</v>
      </c>
      <c r="AM118" s="56">
        <f>'[2]Изложницы без бурта'!K118</f>
        <v>0</v>
      </c>
      <c r="AR118" s="368">
        <v>457</v>
      </c>
      <c r="AS118" s="368">
        <v>390</v>
      </c>
      <c r="AT118" s="368">
        <v>410</v>
      </c>
      <c r="AU118" s="368">
        <v>340</v>
      </c>
      <c r="AV118" s="368">
        <v>520</v>
      </c>
      <c r="AW118" s="368">
        <v>400</v>
      </c>
      <c r="AX118" s="393" t="s">
        <v>521</v>
      </c>
    </row>
    <row r="119" spans="1:50" ht="15" thickBot="1" x14ac:dyDescent="0.3">
      <c r="A119" s="56" t="s">
        <v>214</v>
      </c>
      <c r="I119" s="366" t="s">
        <v>765</v>
      </c>
      <c r="J119" s="366"/>
      <c r="L119" s="228">
        <f>[1]Планки!H119</f>
        <v>119</v>
      </c>
      <c r="M119" s="138">
        <f>[1]Планки!I119</f>
        <v>1470</v>
      </c>
      <c r="N119" s="138">
        <f>[1]Планки!J119</f>
        <v>280</v>
      </c>
      <c r="O119" s="229">
        <f>[1]Планки!K119</f>
        <v>1190</v>
      </c>
      <c r="P119" s="229">
        <f>[1]Планки!L119</f>
        <v>220</v>
      </c>
      <c r="Q119" s="138">
        <f>[1]Планки!M119</f>
        <v>235</v>
      </c>
      <c r="R119" s="138">
        <f>[1]Планки!N119</f>
        <v>285</v>
      </c>
      <c r="S119" s="229">
        <f>[1]Планки!O119</f>
        <v>51</v>
      </c>
      <c r="T119" s="138">
        <f>[1]Планки!P119</f>
        <v>60</v>
      </c>
      <c r="U119" s="138">
        <f>[1]Планки!Q119</f>
        <v>150</v>
      </c>
      <c r="V119" s="230">
        <f>[1]Планки!R119</f>
        <v>0</v>
      </c>
      <c r="AB119" s="258">
        <f t="shared" si="0"/>
        <v>190</v>
      </c>
      <c r="AC119" s="259" t="str">
        <f>IF(COUNTIF(AD$78:AD119,AD119)=1,MAX(AC$78:AC118)+1,"")</f>
        <v/>
      </c>
      <c r="AD119" s="220">
        <f>'[2]Изложницы без бурта'!B119</f>
        <v>95</v>
      </c>
      <c r="AE119" s="220">
        <f>'[2]Изложницы без бурта'!C119</f>
        <v>245</v>
      </c>
      <c r="AF119" s="56">
        <f>'[2]Изложницы без бурта'!D119</f>
        <v>140</v>
      </c>
      <c r="AG119" s="56">
        <f>'[2]Изложницы без бурта'!E119</f>
        <v>115</v>
      </c>
      <c r="AH119" s="56" t="str">
        <f>'[2]Изложницы без бурта'!F119</f>
        <v>72.11867 - 15</v>
      </c>
      <c r="AI119" s="56">
        <f>'[2]Изложницы без бурта'!G119</f>
        <v>0</v>
      </c>
      <c r="AJ119" s="56">
        <f>'[2]Изложницы без бурта'!H119</f>
        <v>0</v>
      </c>
      <c r="AK119" s="56">
        <f>'[2]Изложницы без бурта'!I119</f>
        <v>0</v>
      </c>
      <c r="AL119" s="56" t="s">
        <v>573</v>
      </c>
      <c r="AM119" s="56">
        <f>'[2]Изложницы без бурта'!K119</f>
        <v>0</v>
      </c>
      <c r="AR119" s="368">
        <v>430</v>
      </c>
      <c r="AS119" s="368">
        <v>390</v>
      </c>
      <c r="AT119" s="368">
        <v>265</v>
      </c>
      <c r="AU119" s="369">
        <v>150</v>
      </c>
      <c r="AV119" s="368">
        <v>500</v>
      </c>
      <c r="AW119" s="368">
        <v>400</v>
      </c>
      <c r="AX119" s="393" t="s">
        <v>522</v>
      </c>
    </row>
    <row r="120" spans="1:50" ht="16.2" thickBot="1" x14ac:dyDescent="0.35">
      <c r="A120" s="262" t="s">
        <v>215</v>
      </c>
      <c r="B120" s="264"/>
      <c r="C120" s="264" t="s">
        <v>150</v>
      </c>
      <c r="D120" s="264"/>
      <c r="E120" s="264" t="s">
        <v>216</v>
      </c>
      <c r="F120" s="264"/>
      <c r="G120" s="295" t="s">
        <v>203</v>
      </c>
      <c r="H120" s="296"/>
      <c r="I120" s="396">
        <v>1.5</v>
      </c>
      <c r="J120" s="396"/>
      <c r="L120" s="228">
        <f>[1]Планки!H120</f>
        <v>41</v>
      </c>
      <c r="M120" s="138">
        <f>[1]Планки!I120</f>
        <v>1470</v>
      </c>
      <c r="N120" s="138">
        <f>[1]Планки!J120</f>
        <v>280</v>
      </c>
      <c r="O120" s="229">
        <f>[1]Планки!K120</f>
        <v>1190</v>
      </c>
      <c r="P120" s="229">
        <f>[1]Планки!L120</f>
        <v>223</v>
      </c>
      <c r="Q120" s="138">
        <f>[1]Планки!M120</f>
        <v>237</v>
      </c>
      <c r="R120" s="138">
        <f>[1]Планки!N120</f>
        <v>290</v>
      </c>
      <c r="S120" s="229">
        <f>[1]Планки!O120</f>
        <v>60</v>
      </c>
      <c r="T120" s="138">
        <f>[1]Планки!P120</f>
        <v>73</v>
      </c>
      <c r="U120" s="138">
        <f>[1]Планки!Q120</f>
        <v>185</v>
      </c>
      <c r="V120" s="230" t="str">
        <f>[1]Планки!R120</f>
        <v>модель нашита  (L4=55 L5=68 L6=180)</v>
      </c>
      <c r="AB120" s="258">
        <f t="shared" si="0"/>
        <v>192.5</v>
      </c>
      <c r="AC120" s="259">
        <f>IF(COUNTIF(AD$78:AD120,AD120)=1,MAX(AC$78:AC119)+1,"")</f>
        <v>6</v>
      </c>
      <c r="AD120" s="220">
        <f>'[2]Изложницы без бурта'!B120</f>
        <v>100</v>
      </c>
      <c r="AE120" s="220">
        <f>'[2]Изложницы без бурта'!C120</f>
        <v>250</v>
      </c>
      <c r="AF120" s="56">
        <f>'[2]Изложницы без бурта'!D120</f>
        <v>185</v>
      </c>
      <c r="AG120" s="56">
        <f>'[2]Изложницы без бурта'!E120</f>
        <v>320</v>
      </c>
      <c r="AH120" s="56" t="str">
        <f>'[2]Изложницы без бурта'!F120</f>
        <v>72.11868 - 1</v>
      </c>
      <c r="AI120" s="56">
        <f>'[2]Изложницы без бурта'!G120</f>
        <v>0</v>
      </c>
      <c r="AJ120" s="56">
        <f>'[2]Изложницы без бурта'!H120</f>
        <v>0</v>
      </c>
      <c r="AK120" s="56">
        <f>'[2]Изложницы без бурта'!I120</f>
        <v>0</v>
      </c>
      <c r="AL120" s="56" t="s">
        <v>574</v>
      </c>
      <c r="AM120" s="56">
        <f>'[2]Изложницы без бурта'!K120</f>
        <v>0</v>
      </c>
      <c r="AR120" s="368">
        <v>495</v>
      </c>
      <c r="AS120" s="368">
        <v>415</v>
      </c>
      <c r="AT120" s="375">
        <v>235</v>
      </c>
      <c r="AU120" s="376">
        <v>155</v>
      </c>
      <c r="AV120" s="377">
        <v>550</v>
      </c>
      <c r="AW120" s="368">
        <v>400</v>
      </c>
      <c r="AX120" s="393" t="s">
        <v>556</v>
      </c>
    </row>
    <row r="121" spans="1:50" ht="15" x14ac:dyDescent="0.25">
      <c r="A121" s="297" t="s">
        <v>217</v>
      </c>
      <c r="B121" s="298"/>
      <c r="C121" s="270" t="s">
        <v>179</v>
      </c>
      <c r="D121" s="298"/>
      <c r="E121" s="298" t="s">
        <v>151</v>
      </c>
      <c r="F121" s="298"/>
      <c r="G121" s="299"/>
      <c r="H121" s="296"/>
      <c r="I121" s="396">
        <v>1.6</v>
      </c>
      <c r="J121" s="396"/>
      <c r="L121" s="228">
        <f>[1]Планки!H121</f>
        <v>66</v>
      </c>
      <c r="M121" s="138">
        <f>[1]Планки!I121</f>
        <v>1470</v>
      </c>
      <c r="N121" s="138">
        <f>[1]Планки!J121</f>
        <v>240</v>
      </c>
      <c r="O121" s="229">
        <f>[1]Планки!K121</f>
        <v>1230</v>
      </c>
      <c r="P121" s="229">
        <f>[1]Планки!L121</f>
        <v>245</v>
      </c>
      <c r="Q121" s="138">
        <f>[1]Планки!M121</f>
        <v>270</v>
      </c>
      <c r="R121" s="138">
        <f>[1]Планки!N121</f>
        <v>320</v>
      </c>
      <c r="S121" s="229">
        <f>[1]Планки!O121</f>
        <v>42</v>
      </c>
      <c r="T121" s="138">
        <f>[1]Планки!P121</f>
        <v>55</v>
      </c>
      <c r="U121" s="138">
        <f>[1]Планки!Q121</f>
        <v>140</v>
      </c>
      <c r="V121" s="230">
        <f>[1]Планки!R121</f>
        <v>0</v>
      </c>
      <c r="AB121" s="258">
        <f t="shared" si="0"/>
        <v>195</v>
      </c>
      <c r="AC121" s="259" t="str">
        <f>IF(COUNTIF(AD$78:AD121,AD121)=1,MAX(AC$78:AC120)+1,"")</f>
        <v/>
      </c>
      <c r="AD121" s="220">
        <f>'[2]Изложницы без бурта'!B121</f>
        <v>100</v>
      </c>
      <c r="AE121" s="220">
        <f>'[2]Изложницы без бурта'!C121</f>
        <v>255</v>
      </c>
      <c r="AF121" s="56">
        <f>'[2]Изложницы без бурта'!D121</f>
        <v>185</v>
      </c>
      <c r="AG121" s="56">
        <f>'[2]Изложницы без бурта'!E121</f>
        <v>320</v>
      </c>
      <c r="AH121" s="56" t="str">
        <f>'[2]Изложницы без бурта'!F121</f>
        <v>72.11868 - 1</v>
      </c>
      <c r="AI121" s="56">
        <f>'[2]Изложницы без бурта'!G121</f>
        <v>0</v>
      </c>
      <c r="AJ121" s="56">
        <f>'[2]Изложницы без бурта'!H121</f>
        <v>0</v>
      </c>
      <c r="AK121" s="56">
        <f>'[2]Изложницы без бурта'!I121</f>
        <v>0</v>
      </c>
      <c r="AL121" s="56" t="s">
        <v>574</v>
      </c>
      <c r="AM121" s="56">
        <f>'[2]Изложницы без бурта'!K121</f>
        <v>0</v>
      </c>
      <c r="AR121" s="368">
        <v>460</v>
      </c>
      <c r="AS121" s="368">
        <v>415</v>
      </c>
      <c r="AT121" s="368">
        <v>350</v>
      </c>
      <c r="AU121" s="367">
        <v>285</v>
      </c>
      <c r="AV121" s="368">
        <v>500</v>
      </c>
      <c r="AW121" s="368">
        <v>400</v>
      </c>
      <c r="AX121" s="393" t="s">
        <v>557</v>
      </c>
    </row>
    <row r="122" spans="1:50" ht="15.6" thickBot="1" x14ac:dyDescent="0.3">
      <c r="A122" s="300" t="e">
        <f>VLOOKUP(F30,B46:I55,5,FALSE)</f>
        <v>#N/A</v>
      </c>
      <c r="B122" s="298" t="e">
        <f>A122</f>
        <v>#N/A</v>
      </c>
      <c r="C122" s="275" t="e">
        <f>VLOOKUP(F30,B46:I55,2,FALSE)</f>
        <v>#N/A</v>
      </c>
      <c r="D122" s="298"/>
      <c r="E122" s="301" t="e">
        <f>VLOOKUP(F30,B46:I55,7,FALSE)</f>
        <v>#N/A</v>
      </c>
      <c r="F122" s="298"/>
      <c r="G122" s="299"/>
      <c r="H122" s="296"/>
      <c r="I122" s="396">
        <v>1.7</v>
      </c>
      <c r="J122" s="396"/>
      <c r="L122" s="228">
        <f>[1]Планки!H122</f>
        <v>140</v>
      </c>
      <c r="M122" s="138">
        <f>[1]Планки!I122</f>
        <v>1460</v>
      </c>
      <c r="N122" s="138">
        <f>[1]Планки!J122</f>
        <v>230</v>
      </c>
      <c r="O122" s="229">
        <f>[1]Планки!K122</f>
        <v>1230</v>
      </c>
      <c r="P122" s="229">
        <f>[1]Планки!L122</f>
        <v>300</v>
      </c>
      <c r="Q122" s="138">
        <f>[1]Планки!M122</f>
        <v>320</v>
      </c>
      <c r="R122" s="138">
        <f>[1]Планки!N122</f>
        <v>370</v>
      </c>
      <c r="S122" s="229">
        <f>[1]Планки!O122</f>
        <v>75</v>
      </c>
      <c r="T122" s="138">
        <f>[1]Планки!P122</f>
        <v>90</v>
      </c>
      <c r="U122" s="138">
        <f>[1]Планки!Q122</f>
        <v>170</v>
      </c>
      <c r="V122" s="230" t="str">
        <f>[1]Планки!R122</f>
        <v>модель нашита  (L4=35 L5=50 L6=130)</v>
      </c>
      <c r="AB122" s="258">
        <f t="shared" si="0"/>
        <v>197.5</v>
      </c>
      <c r="AC122" s="259" t="str">
        <f>IF(COUNTIF(AD$78:AD122,AD122)=1,MAX(AC$78:AC121)+1,"")</f>
        <v/>
      </c>
      <c r="AD122" s="220">
        <f>'[2]Изложницы без бурта'!B122</f>
        <v>100</v>
      </c>
      <c r="AE122" s="220">
        <f>'[2]Изложницы без бурта'!C122</f>
        <v>243</v>
      </c>
      <c r="AF122" s="56">
        <f>'[2]Изложницы без бурта'!D122</f>
        <v>140</v>
      </c>
      <c r="AG122" s="56">
        <f>'[2]Изложницы без бурта'!E122</f>
        <v>115</v>
      </c>
      <c r="AH122" s="56" t="str">
        <f>'[2]Изложницы без бурта'!F122</f>
        <v>72.11868 - 1</v>
      </c>
      <c r="AI122" s="56">
        <f>'[2]Изложницы без бурта'!G122</f>
        <v>0</v>
      </c>
      <c r="AJ122" s="56">
        <f>'[2]Изложницы без бурта'!H122</f>
        <v>0</v>
      </c>
      <c r="AK122" s="56">
        <f>'[2]Изложницы без бурта'!I122</f>
        <v>0</v>
      </c>
      <c r="AL122" s="56" t="s">
        <v>574</v>
      </c>
      <c r="AM122" s="56">
        <f>'[2]Изложницы без бурта'!K122</f>
        <v>0</v>
      </c>
      <c r="AR122" s="369">
        <v>466</v>
      </c>
      <c r="AS122" s="368">
        <v>445</v>
      </c>
      <c r="AT122" s="369">
        <v>190</v>
      </c>
      <c r="AU122" s="368">
        <v>115</v>
      </c>
      <c r="AV122" s="368">
        <v>500</v>
      </c>
      <c r="AW122" s="368">
        <v>400</v>
      </c>
      <c r="AX122" s="393" t="s">
        <v>558</v>
      </c>
    </row>
    <row r="123" spans="1:50" ht="15.6" thickBot="1" x14ac:dyDescent="0.3">
      <c r="A123" s="302"/>
      <c r="B123" s="298"/>
      <c r="C123" s="270" t="s">
        <v>180</v>
      </c>
      <c r="D123" s="298"/>
      <c r="E123" s="298" t="s">
        <v>152</v>
      </c>
      <c r="F123" s="298"/>
      <c r="G123" s="299"/>
      <c r="H123" s="296"/>
      <c r="I123" s="396">
        <v>1.8</v>
      </c>
      <c r="J123" s="396"/>
      <c r="L123" s="228">
        <f>[1]Планки!H123</f>
        <v>7</v>
      </c>
      <c r="M123" s="138">
        <f>[1]Планки!I123</f>
        <v>1480</v>
      </c>
      <c r="N123" s="138">
        <f>[1]Планки!J123</f>
        <v>245</v>
      </c>
      <c r="O123" s="229">
        <f>[1]Планки!K123</f>
        <v>1235</v>
      </c>
      <c r="P123" s="229">
        <f>[1]Планки!L123</f>
        <v>465</v>
      </c>
      <c r="Q123" s="138">
        <f>[1]Планки!M123</f>
        <v>488</v>
      </c>
      <c r="R123" s="138">
        <f>[1]Планки!N123</f>
        <v>540</v>
      </c>
      <c r="S123" s="229">
        <f>[1]Планки!O123</f>
        <v>42</v>
      </c>
      <c r="T123" s="138">
        <f>[1]Планки!P123</f>
        <v>57</v>
      </c>
      <c r="U123" s="138">
        <f>[1]Планки!Q123</f>
        <v>153</v>
      </c>
      <c r="V123" s="230" t="str">
        <f>[1]Планки!R123</f>
        <v>не найдена</v>
      </c>
      <c r="AB123" s="258">
        <f t="shared" si="0"/>
        <v>200</v>
      </c>
      <c r="AC123" s="259" t="str">
        <f>IF(COUNTIF(AD$78:AD123,AD123)=1,MAX(AC$78:AC122)+1,"")</f>
        <v/>
      </c>
      <c r="AD123" s="220">
        <f>'[2]Изложницы без бурта'!B123</f>
        <v>100</v>
      </c>
      <c r="AE123" s="220">
        <f>'[2]Изложницы без бурта'!C123</f>
        <v>260</v>
      </c>
      <c r="AF123" s="56">
        <f>'[2]Изложницы без бурта'!D123</f>
        <v>185</v>
      </c>
      <c r="AG123" s="56">
        <f>'[2]Изложницы без бурта'!E123</f>
        <v>320</v>
      </c>
      <c r="AH123" s="56" t="str">
        <f>'[2]Изложницы без бурта'!F123</f>
        <v>72.11868 - 1</v>
      </c>
      <c r="AI123" s="56">
        <f>'[2]Изложницы без бурта'!G123</f>
        <v>0</v>
      </c>
      <c r="AJ123" s="56">
        <f>'[2]Изложницы без бурта'!H123</f>
        <v>0</v>
      </c>
      <c r="AK123" s="56">
        <f>'[2]Изложницы без бурта'!I123</f>
        <v>0</v>
      </c>
      <c r="AL123" s="56" t="s">
        <v>574</v>
      </c>
      <c r="AM123" s="56">
        <f>'[2]Изложницы без бурта'!K123</f>
        <v>0</v>
      </c>
      <c r="AR123" s="376">
        <v>481</v>
      </c>
      <c r="AS123" s="388">
        <v>455</v>
      </c>
      <c r="AT123" s="376">
        <v>397</v>
      </c>
      <c r="AU123" s="377">
        <v>350</v>
      </c>
      <c r="AV123" s="368">
        <v>520</v>
      </c>
      <c r="AW123" s="368">
        <v>400</v>
      </c>
      <c r="AX123" s="393" t="s">
        <v>559</v>
      </c>
    </row>
    <row r="124" spans="1:50" ht="15" x14ac:dyDescent="0.25">
      <c r="A124" s="297" t="s">
        <v>218</v>
      </c>
      <c r="B124" s="298"/>
      <c r="C124" s="275" t="e">
        <f>VLOOKUP(F30,B46:I55,3,FALSE)</f>
        <v>#N/A</v>
      </c>
      <c r="D124" s="298" t="e">
        <f>(C122+C124)/2</f>
        <v>#N/A</v>
      </c>
      <c r="E124" s="301" t="e">
        <f>VLOOKUP(F30,B46:I55,8,FALSE)</f>
        <v>#N/A</v>
      </c>
      <c r="F124" s="298"/>
      <c r="G124" s="299"/>
      <c r="H124" s="296"/>
      <c r="I124" s="396">
        <v>1.9</v>
      </c>
      <c r="J124" s="396"/>
      <c r="L124" s="228">
        <f>[1]Планки!H124</f>
        <v>9</v>
      </c>
      <c r="M124" s="138">
        <f>[1]Планки!I124</f>
        <v>1410</v>
      </c>
      <c r="N124" s="138">
        <f>[1]Планки!J124</f>
        <v>160</v>
      </c>
      <c r="O124" s="229">
        <f>[1]Планки!K124</f>
        <v>1250</v>
      </c>
      <c r="P124" s="229">
        <f>[1]Планки!L124</f>
        <v>360</v>
      </c>
      <c r="Q124" s="138">
        <f>[1]Планки!M124</f>
        <v>377</v>
      </c>
      <c r="R124" s="138">
        <f>[1]Планки!N124</f>
        <v>420</v>
      </c>
      <c r="S124" s="229">
        <f>[1]Планки!O124</f>
        <v>53</v>
      </c>
      <c r="T124" s="138">
        <f>[1]Планки!P124</f>
        <v>63</v>
      </c>
      <c r="U124" s="138">
        <f>[1]Планки!Q124</f>
        <v>125</v>
      </c>
      <c r="V124" s="230" t="str">
        <f>[1]Планки!R124</f>
        <v>модель нашита  (L4=28 L5=40 L6=100)</v>
      </c>
      <c r="AB124" s="258">
        <f t="shared" si="0"/>
        <v>202.5</v>
      </c>
      <c r="AC124" s="259">
        <f>IF(COUNTIF(AD$78:AD124,AD124)=1,MAX(AC$78:AC123)+1,"")</f>
        <v>7</v>
      </c>
      <c r="AD124" s="220">
        <f>'[2]Изложницы без бурта'!B124</f>
        <v>102.5</v>
      </c>
      <c r="AE124" s="220">
        <f>'[2]Изложницы без бурта'!C124</f>
        <v>255</v>
      </c>
      <c r="AF124" s="56">
        <f>'[2]Изложницы без бурта'!D124</f>
        <v>185</v>
      </c>
      <c r="AG124" s="56">
        <f>'[2]Изложницы без бурта'!E124</f>
        <v>320</v>
      </c>
      <c r="AH124" s="56" t="str">
        <f>'[2]Изложницы без бурта'!F124</f>
        <v>72.11868 - 2</v>
      </c>
      <c r="AI124" s="56">
        <f>'[2]Изложницы без бурта'!G124</f>
        <v>0</v>
      </c>
      <c r="AJ124" s="56">
        <f>'[2]Изложницы без бурта'!H124</f>
        <v>0</v>
      </c>
      <c r="AK124" s="56">
        <f>'[2]Изложницы без бурта'!I124</f>
        <v>0</v>
      </c>
      <c r="AL124" s="56" t="s">
        <v>575</v>
      </c>
      <c r="AM124" s="56">
        <f>'[2]Изложницы без бурта'!K124</f>
        <v>0</v>
      </c>
      <c r="AR124" s="367">
        <v>490</v>
      </c>
      <c r="AS124" s="368">
        <v>455</v>
      </c>
      <c r="AT124" s="367">
        <v>405</v>
      </c>
      <c r="AU124" s="368">
        <v>355</v>
      </c>
      <c r="AV124" s="377">
        <v>550</v>
      </c>
      <c r="AW124" s="368">
        <v>400</v>
      </c>
      <c r="AX124" s="393" t="s">
        <v>559</v>
      </c>
    </row>
    <row r="125" spans="1:50" ht="15.6" thickBot="1" x14ac:dyDescent="0.3">
      <c r="A125" s="300" t="e">
        <f>VLOOKUP(F30,B46:I55,6,FALSE)</f>
        <v>#N/A</v>
      </c>
      <c r="B125" s="298" t="e">
        <f>A125</f>
        <v>#N/A</v>
      </c>
      <c r="C125" s="270" t="s">
        <v>205</v>
      </c>
      <c r="D125" s="298"/>
      <c r="E125" s="298" t="s">
        <v>153</v>
      </c>
      <c r="F125" s="298"/>
      <c r="G125" s="299"/>
      <c r="H125" s="296"/>
      <c r="I125" s="396">
        <v>2</v>
      </c>
      <c r="J125" s="396"/>
      <c r="L125" s="228">
        <f>[1]Планки!H125</f>
        <v>118</v>
      </c>
      <c r="M125" s="138">
        <f>[1]Планки!I125</f>
        <v>1520</v>
      </c>
      <c r="N125" s="138">
        <f>[1]Планки!J125</f>
        <v>245</v>
      </c>
      <c r="O125" s="229">
        <f>[1]Планки!K125</f>
        <v>1275</v>
      </c>
      <c r="P125" s="229">
        <f>[1]Планки!L125</f>
        <v>183</v>
      </c>
      <c r="Q125" s="138">
        <f>[1]Планки!M125</f>
        <v>207</v>
      </c>
      <c r="R125" s="138">
        <f>[1]Планки!N125</f>
        <v>250</v>
      </c>
      <c r="S125" s="229">
        <f>[1]Планки!O125</f>
        <v>40</v>
      </c>
      <c r="T125" s="138">
        <f>[1]Планки!P125</f>
        <v>56</v>
      </c>
      <c r="U125" s="138">
        <f>[1]Планки!Q125</f>
        <v>155</v>
      </c>
      <c r="V125" s="230">
        <f>[1]Планки!R125</f>
        <v>0</v>
      </c>
      <c r="AB125" s="258">
        <f t="shared" si="0"/>
        <v>205</v>
      </c>
      <c r="AC125" s="259" t="str">
        <f>IF(COUNTIF(AD$78:AD125,AD125)=1,MAX(AC$78:AC124)+1,"")</f>
        <v/>
      </c>
      <c r="AD125" s="220">
        <f>'[2]Изложницы без бурта'!B125</f>
        <v>102.5</v>
      </c>
      <c r="AE125" s="220">
        <f>'[2]Изложницы без бурта'!C125</f>
        <v>252</v>
      </c>
      <c r="AF125" s="56">
        <f>'[2]Изложницы без бурта'!D125</f>
        <v>185</v>
      </c>
      <c r="AG125" s="56">
        <f>'[2]Изложницы без бурта'!E125</f>
        <v>320</v>
      </c>
      <c r="AH125" s="56" t="str">
        <f>'[2]Изложницы без бурта'!F125</f>
        <v>72.11868 - 2</v>
      </c>
      <c r="AI125" s="56">
        <f>'[2]Изложницы без бурта'!G125</f>
        <v>0</v>
      </c>
      <c r="AJ125" s="56">
        <f>'[2]Изложницы без бурта'!H125</f>
        <v>0</v>
      </c>
      <c r="AK125" s="56">
        <f>'[2]Изложницы без бурта'!I125</f>
        <v>0</v>
      </c>
      <c r="AL125" s="56" t="s">
        <v>575</v>
      </c>
      <c r="AM125" s="56">
        <f>'[2]Изложницы без бурта'!K125</f>
        <v>0</v>
      </c>
      <c r="AR125" s="368">
        <v>490</v>
      </c>
      <c r="AS125" s="368">
        <v>455</v>
      </c>
      <c r="AT125" s="369">
        <v>395</v>
      </c>
      <c r="AU125" s="368">
        <v>345</v>
      </c>
      <c r="AV125" s="377">
        <v>550</v>
      </c>
      <c r="AW125" s="368">
        <v>400</v>
      </c>
      <c r="AX125" s="393" t="s">
        <v>559</v>
      </c>
    </row>
    <row r="126" spans="1:50" ht="15.6" thickBot="1" x14ac:dyDescent="0.3">
      <c r="A126" s="302"/>
      <c r="B126" s="298"/>
      <c r="C126" s="275" t="e">
        <f>VLOOKUP(F30,B46:I55,4,FALSE)</f>
        <v>#N/A</v>
      </c>
      <c r="D126" s="298" t="e">
        <f>C126</f>
        <v>#N/A</v>
      </c>
      <c r="E126" s="301">
        <f>B128</f>
        <v>479</v>
      </c>
      <c r="F126" s="298"/>
      <c r="G126" s="299"/>
      <c r="H126" s="296"/>
      <c r="I126" s="396">
        <v>2.1</v>
      </c>
      <c r="J126" s="396"/>
      <c r="L126" s="228">
        <f>[1]Планки!H126</f>
        <v>74</v>
      </c>
      <c r="M126" s="138">
        <f>[1]Планки!I126</f>
        <v>1530</v>
      </c>
      <c r="N126" s="138">
        <f>[1]Планки!J126</f>
        <v>250</v>
      </c>
      <c r="O126" s="229">
        <f>[1]Планки!K126</f>
        <v>1280</v>
      </c>
      <c r="P126" s="229">
        <f>[1]Планки!L126</f>
        <v>160</v>
      </c>
      <c r="Q126" s="138">
        <f>[1]Планки!M126</f>
        <v>178</v>
      </c>
      <c r="R126" s="138">
        <f>[1]Планки!N126</f>
        <v>240</v>
      </c>
      <c r="S126" s="229">
        <f>[1]Планки!O126</f>
        <v>40</v>
      </c>
      <c r="T126" s="138">
        <f>[1]Планки!P126</f>
        <v>54</v>
      </c>
      <c r="U126" s="138">
        <f>[1]Планки!Q126</f>
        <v>160</v>
      </c>
      <c r="V126" s="230">
        <f>[1]Планки!R126</f>
        <v>0</v>
      </c>
      <c r="AB126" s="258">
        <f t="shared" si="0"/>
        <v>207.5</v>
      </c>
      <c r="AC126" s="259" t="str">
        <f>IF(COUNTIF(AD$78:AD126,AD126)=1,MAX(AC$78:AC125)+1,"")</f>
        <v/>
      </c>
      <c r="AD126" s="220">
        <f>'[2]Изложницы без бурта'!B126</f>
        <v>102.5</v>
      </c>
      <c r="AE126" s="220">
        <f>'[2]Изложницы без бурта'!C126</f>
        <v>256</v>
      </c>
      <c r="AF126" s="56">
        <f>'[2]Изложницы без бурта'!D126</f>
        <v>185</v>
      </c>
      <c r="AG126" s="56">
        <f>'[2]Изложницы без бурта'!E126</f>
        <v>320</v>
      </c>
      <c r="AH126" s="56" t="str">
        <f>'[2]Изложницы без бурта'!F126</f>
        <v>72.11868 - 2</v>
      </c>
      <c r="AI126" s="56">
        <f>'[2]Изложницы без бурта'!G126</f>
        <v>0</v>
      </c>
      <c r="AJ126" s="56">
        <f>'[2]Изложницы без бурта'!H126</f>
        <v>0</v>
      </c>
      <c r="AK126" s="56">
        <f>'[2]Изложницы без бурта'!I126</f>
        <v>0</v>
      </c>
      <c r="AL126" s="56" t="s">
        <v>575</v>
      </c>
      <c r="AM126" s="56">
        <f>'[2]Изложницы без бурта'!K126</f>
        <v>0</v>
      </c>
      <c r="AR126" s="368">
        <v>488</v>
      </c>
      <c r="AS126" s="375">
        <v>457.5</v>
      </c>
      <c r="AT126" s="376">
        <v>355</v>
      </c>
      <c r="AU126" s="377">
        <v>308</v>
      </c>
      <c r="AV126" s="377">
        <v>550</v>
      </c>
      <c r="AW126" s="368">
        <v>400</v>
      </c>
      <c r="AX126" s="393" t="s">
        <v>559</v>
      </c>
    </row>
    <row r="127" spans="1:50" ht="14.4" x14ac:dyDescent="0.3">
      <c r="A127" s="303" t="s">
        <v>8</v>
      </c>
      <c r="B127" s="298"/>
      <c r="C127" s="281" t="s">
        <v>1108</v>
      </c>
      <c r="D127" s="298"/>
      <c r="E127" s="298"/>
      <c r="F127" s="298"/>
      <c r="G127" s="299"/>
      <c r="H127" s="296"/>
      <c r="I127" s="396">
        <v>2.2000000000000002</v>
      </c>
      <c r="J127" s="396"/>
      <c r="L127" s="228">
        <f>[1]Планки!H127</f>
        <v>117</v>
      </c>
      <c r="M127" s="138">
        <f>[1]Планки!I127</f>
        <v>1670</v>
      </c>
      <c r="N127" s="138">
        <f>[1]Планки!J127</f>
        <v>330</v>
      </c>
      <c r="O127" s="229">
        <f>[1]Планки!K127</f>
        <v>1340</v>
      </c>
      <c r="P127" s="229">
        <f>[1]Планки!L127</f>
        <v>443</v>
      </c>
      <c r="Q127" s="138">
        <f>[1]Планки!M127</f>
        <v>470</v>
      </c>
      <c r="R127" s="138">
        <f>[1]Планки!N127</f>
        <v>530</v>
      </c>
      <c r="S127" s="229">
        <f>[1]Планки!O127</f>
        <v>80</v>
      </c>
      <c r="T127" s="138">
        <f>[1]Планки!P127</f>
        <v>90</v>
      </c>
      <c r="U127" s="138">
        <f>[1]Планки!Q127</f>
        <v>220</v>
      </c>
      <c r="V127" s="230" t="str">
        <f>[1]Планки!R127</f>
        <v>модель нашита  (L4=62 L5=75 L6=205)</v>
      </c>
      <c r="AB127" s="258">
        <f t="shared" si="0"/>
        <v>210</v>
      </c>
      <c r="AC127" s="259" t="str">
        <f>IF(COUNTIF(AD$78:AD127,AD127)=1,MAX(AC$78:AC126)+1,"")</f>
        <v/>
      </c>
      <c r="AD127" s="220">
        <f>'[2]Изложницы без бурта'!B127</f>
        <v>102.5</v>
      </c>
      <c r="AE127" s="220">
        <f>'[2]Изложницы без бурта'!C127</f>
        <v>255</v>
      </c>
      <c r="AF127" s="56">
        <f>'[2]Изложницы без бурта'!D127</f>
        <v>185</v>
      </c>
      <c r="AG127" s="56">
        <f>'[2]Изложницы без бурта'!E127</f>
        <v>320</v>
      </c>
      <c r="AH127" s="56" t="str">
        <f>'[2]Изложницы без бурта'!F127</f>
        <v>72.11868 - 2</v>
      </c>
      <c r="AI127" s="56">
        <f>'[2]Изложницы без бурта'!G127</f>
        <v>0</v>
      </c>
      <c r="AJ127" s="56">
        <f>'[2]Изложницы без бурта'!H127</f>
        <v>0</v>
      </c>
      <c r="AK127" s="56">
        <f>'[2]Изложницы без бурта'!I127</f>
        <v>0</v>
      </c>
      <c r="AL127" s="56" t="s">
        <v>575</v>
      </c>
      <c r="AM127" s="56">
        <f>'[2]Изложницы без бурта'!K127</f>
        <v>0</v>
      </c>
      <c r="AR127" s="368">
        <v>520</v>
      </c>
      <c r="AS127" s="368">
        <v>470</v>
      </c>
      <c r="AT127" s="367">
        <v>340</v>
      </c>
      <c r="AU127" s="368">
        <v>265</v>
      </c>
      <c r="AV127" s="368">
        <v>570</v>
      </c>
      <c r="AW127" s="368">
        <v>400</v>
      </c>
      <c r="AX127" s="393" t="s">
        <v>560</v>
      </c>
    </row>
    <row r="128" spans="1:50" ht="15.6" x14ac:dyDescent="0.3">
      <c r="A128" s="304">
        <f>Втулка!N5+Втулка!N8</f>
        <v>479</v>
      </c>
      <c r="B128" s="298">
        <f>A128</f>
        <v>479</v>
      </c>
      <c r="C128" s="275">
        <v>210</v>
      </c>
      <c r="D128" s="298" t="e">
        <f>2*3.1415926*C131/2</f>
        <v>#N/A</v>
      </c>
      <c r="E128" s="456">
        <f>B130-1</f>
        <v>2</v>
      </c>
      <c r="F128" s="298" t="e">
        <f>E122*E124*E126*B129*E128/1000000</f>
        <v>#N/A</v>
      </c>
      <c r="G128" s="299"/>
      <c r="H128" s="296"/>
      <c r="I128" s="396">
        <v>2.2999999999999998</v>
      </c>
      <c r="J128" s="396"/>
      <c r="L128" s="228">
        <f>[1]Планки!H128</f>
        <v>68</v>
      </c>
      <c r="M128" s="138">
        <f>[1]Планки!I128</f>
        <v>1695</v>
      </c>
      <c r="N128" s="138">
        <f>[1]Планки!J128</f>
        <v>250</v>
      </c>
      <c r="O128" s="229">
        <f>[1]Планки!K128</f>
        <v>1445</v>
      </c>
      <c r="P128" s="229">
        <f>[1]Планки!L128</f>
        <v>215</v>
      </c>
      <c r="Q128" s="138">
        <f>[1]Планки!M128</f>
        <v>244</v>
      </c>
      <c r="R128" s="138">
        <f>[1]Планки!N128</f>
        <v>305</v>
      </c>
      <c r="S128" s="229">
        <f>[1]Планки!O128</f>
        <v>38</v>
      </c>
      <c r="T128" s="138">
        <f>[1]Планки!P128</f>
        <v>57</v>
      </c>
      <c r="U128" s="138">
        <f>[1]Планки!Q128</f>
        <v>160</v>
      </c>
      <c r="V128" s="230">
        <f>[1]Планки!R128</f>
        <v>0</v>
      </c>
      <c r="AB128" s="258">
        <f t="shared" si="0"/>
        <v>212.5</v>
      </c>
      <c r="AC128" s="259" t="str">
        <f>IF(COUNTIF(AD$78:AD128,AD128)=1,MAX(AC$78:AC127)+1,"")</f>
        <v/>
      </c>
      <c r="AD128" s="220">
        <f>'[2]Изложницы без бурта'!B128</f>
        <v>102.5</v>
      </c>
      <c r="AE128" s="220">
        <f>'[2]Изложницы без бурта'!C128</f>
        <v>255</v>
      </c>
      <c r="AF128" s="56">
        <f>'[2]Изложницы без бурта'!D128</f>
        <v>185</v>
      </c>
      <c r="AG128" s="56">
        <f>'[2]Изложницы без бурта'!E128</f>
        <v>320</v>
      </c>
      <c r="AH128" s="56" t="str">
        <f>'[2]Изложницы без бурта'!F128</f>
        <v>72.11868 - 2</v>
      </c>
      <c r="AI128" s="56">
        <f>'[2]Изложницы без бурта'!G128</f>
        <v>0</v>
      </c>
      <c r="AJ128" s="56">
        <f>'[2]Изложницы без бурта'!H128</f>
        <v>0</v>
      </c>
      <c r="AK128" s="56">
        <f>'[2]Изложницы без бурта'!I128</f>
        <v>0</v>
      </c>
      <c r="AL128" s="56" t="s">
        <v>575</v>
      </c>
      <c r="AM128" s="56">
        <f>'[2]Изложницы без бурта'!K128</f>
        <v>0</v>
      </c>
      <c r="AR128" s="368">
        <v>520</v>
      </c>
      <c r="AS128" s="368">
        <v>470</v>
      </c>
      <c r="AT128" s="368">
        <v>310</v>
      </c>
      <c r="AU128" s="368">
        <v>255</v>
      </c>
      <c r="AV128" s="368">
        <v>610</v>
      </c>
      <c r="AW128" s="368">
        <v>400</v>
      </c>
      <c r="AX128" s="393" t="s">
        <v>561</v>
      </c>
    </row>
    <row r="129" spans="1:50" ht="15.6" x14ac:dyDescent="0.3">
      <c r="A129" s="302"/>
      <c r="B129" s="305">
        <f>Втулка!N6</f>
        <v>7.6</v>
      </c>
      <c r="C129" s="281" t="s">
        <v>207</v>
      </c>
      <c r="D129" s="298">
        <v>150</v>
      </c>
      <c r="E129" s="298"/>
      <c r="F129" s="298"/>
      <c r="G129" s="299"/>
      <c r="H129" s="296"/>
      <c r="I129" s="396">
        <v>2.4</v>
      </c>
      <c r="J129" s="396"/>
      <c r="L129" s="228">
        <f>[1]Планки!H129</f>
        <v>67</v>
      </c>
      <c r="M129" s="138">
        <f>[1]Планки!I129</f>
        <v>1695</v>
      </c>
      <c r="N129" s="138">
        <f>[1]Планки!J129</f>
        <v>240</v>
      </c>
      <c r="O129" s="229">
        <f>[1]Планки!K129</f>
        <v>1455</v>
      </c>
      <c r="P129" s="229">
        <f>[1]Планки!L129</f>
        <v>220</v>
      </c>
      <c r="Q129" s="138">
        <f>[1]Планки!M129</f>
        <v>240</v>
      </c>
      <c r="R129" s="138">
        <f>[1]Планки!N129</f>
        <v>310</v>
      </c>
      <c r="S129" s="229">
        <f>[1]Планки!O129</f>
        <v>38</v>
      </c>
      <c r="T129" s="138">
        <f>[1]Планки!P129</f>
        <v>55</v>
      </c>
      <c r="U129" s="138">
        <f>[1]Планки!Q129</f>
        <v>150</v>
      </c>
      <c r="V129" s="230">
        <f>[1]Планки!R129</f>
        <v>0</v>
      </c>
      <c r="AB129" s="258">
        <f t="shared" si="0"/>
        <v>215</v>
      </c>
      <c r="AC129" s="259" t="str">
        <f>IF(COUNTIF(AD$78:AD129,AD129)=1,MAX(AC$78:AC128)+1,"")</f>
        <v/>
      </c>
      <c r="AD129" s="220">
        <f>'[2]Изложницы без бурта'!B129</f>
        <v>102.5</v>
      </c>
      <c r="AE129" s="220">
        <f>'[2]Изложницы без бурта'!C129</f>
        <v>253</v>
      </c>
      <c r="AF129" s="56">
        <f>'[2]Изложницы без бурта'!D129</f>
        <v>185</v>
      </c>
      <c r="AG129" s="56">
        <f>'[2]Изложницы без бурта'!E129</f>
        <v>320</v>
      </c>
      <c r="AH129" s="56" t="str">
        <f>'[2]Изложницы без бурта'!F129</f>
        <v>72.11868 - 2</v>
      </c>
      <c r="AI129" s="56">
        <f>'[2]Изложницы без бурта'!G129</f>
        <v>0</v>
      </c>
      <c r="AJ129" s="56">
        <f>'[2]Изложницы без бурта'!H129</f>
        <v>0</v>
      </c>
      <c r="AK129" s="56">
        <f>'[2]Изложницы без бурта'!I129</f>
        <v>0</v>
      </c>
      <c r="AL129" s="56" t="s">
        <v>575</v>
      </c>
      <c r="AM129" s="56">
        <f>'[2]Изложницы без бурта'!K129</f>
        <v>0</v>
      </c>
      <c r="AR129" s="368">
        <v>520</v>
      </c>
      <c r="AS129" s="368">
        <v>470</v>
      </c>
      <c r="AT129" s="368">
        <v>315</v>
      </c>
      <c r="AU129" s="368">
        <v>260</v>
      </c>
      <c r="AV129" s="368">
        <v>610</v>
      </c>
      <c r="AW129" s="368">
        <v>400</v>
      </c>
      <c r="AX129" s="393" t="s">
        <v>561</v>
      </c>
    </row>
    <row r="130" spans="1:50" ht="15.6" x14ac:dyDescent="0.3">
      <c r="A130" s="302"/>
      <c r="B130" s="306">
        <f>IF(Втулка!N3&lt;=1000,2,3)</f>
        <v>3</v>
      </c>
      <c r="C130" s="281" t="s">
        <v>209</v>
      </c>
      <c r="D130" s="298" t="e">
        <f>IF(B130=1,D129,D128)</f>
        <v>#N/A</v>
      </c>
      <c r="E130" s="298"/>
      <c r="F130" s="298"/>
      <c r="G130" s="299"/>
      <c r="H130" s="296"/>
      <c r="I130" s="396">
        <v>2.5</v>
      </c>
      <c r="J130" s="396"/>
      <c r="L130" s="228">
        <f>[1]Планки!H130</f>
        <v>139</v>
      </c>
      <c r="M130" s="138">
        <f>[1]Планки!I130</f>
        <v>1655</v>
      </c>
      <c r="N130" s="138">
        <f>[1]Планки!J130</f>
        <v>260</v>
      </c>
      <c r="O130" s="229">
        <f>[1]Планки!K130</f>
        <v>1395</v>
      </c>
      <c r="P130" s="229">
        <f>[1]Планки!L130</f>
        <v>275</v>
      </c>
      <c r="Q130" s="138">
        <f>[1]Планки!M130</f>
        <v>305</v>
      </c>
      <c r="R130" s="138">
        <f>[1]Планки!N130</f>
        <v>355</v>
      </c>
      <c r="S130" s="229">
        <f>[1]Планки!O130</f>
        <v>70</v>
      </c>
      <c r="T130" s="138">
        <f>[1]Планки!P130</f>
        <v>85</v>
      </c>
      <c r="U130" s="138">
        <f>[1]Планки!Q130</f>
        <v>200</v>
      </c>
      <c r="V130" s="230" t="str">
        <f>[1]Планки!R130</f>
        <v>модель нашита  (H1=1480 h2=1220 L4=40 L5=55 L6=170)</v>
      </c>
      <c r="AB130" s="258">
        <f t="shared" si="0"/>
        <v>217.5</v>
      </c>
      <c r="AC130" s="259">
        <f>IF(COUNTIF(AD$78:AD130,AD130)=1,MAX(AC$78:AC129)+1,"")</f>
        <v>8</v>
      </c>
      <c r="AD130" s="220">
        <f>'[2]Изложницы без бурта'!B130</f>
        <v>105</v>
      </c>
      <c r="AE130" s="220">
        <f>'[2]Изложницы без бурта'!C130</f>
        <v>250</v>
      </c>
      <c r="AF130" s="56">
        <f>'[2]Изложницы без бурта'!D130</f>
        <v>185</v>
      </c>
      <c r="AG130" s="56">
        <f>'[2]Изложницы без бурта'!E130</f>
        <v>320</v>
      </c>
      <c r="AH130" s="56" t="str">
        <f>'[2]Изложницы без бурта'!F130</f>
        <v>72.11868 - 3</v>
      </c>
      <c r="AI130" s="56">
        <f>'[2]Изложницы без бурта'!G130</f>
        <v>0</v>
      </c>
      <c r="AJ130" s="56">
        <f>'[2]Изложницы без бурта'!H130</f>
        <v>0</v>
      </c>
      <c r="AK130" s="56">
        <f>'[2]Изложницы без бурта'!I130</f>
        <v>0</v>
      </c>
      <c r="AL130" s="56" t="s">
        <v>576</v>
      </c>
      <c r="AM130" s="56">
        <f>'[2]Изложницы без бурта'!K130</f>
        <v>0</v>
      </c>
      <c r="AR130" s="368">
        <v>520</v>
      </c>
      <c r="AS130" s="368">
        <v>470</v>
      </c>
      <c r="AT130" s="368">
        <v>340</v>
      </c>
      <c r="AU130" s="368">
        <v>265</v>
      </c>
      <c r="AV130" s="368">
        <v>570</v>
      </c>
      <c r="AW130" s="368">
        <v>400</v>
      </c>
      <c r="AX130" s="393" t="s">
        <v>560</v>
      </c>
    </row>
    <row r="131" spans="1:50" ht="15.6" thickBot="1" x14ac:dyDescent="0.3">
      <c r="A131" s="307"/>
      <c r="B131" s="308" t="e">
        <f>B122*B122*3.1415926*B128*B129/4000000+(B125*B125*3.1415926*B128*B129*B130/4000000)</f>
        <v>#N/A</v>
      </c>
      <c r="C131" s="309" t="e">
        <f>C128+E124+B125</f>
        <v>#N/A</v>
      </c>
      <c r="D131" s="308" t="e">
        <f>D124*D126*D130*B129/1000000/360*180</f>
        <v>#N/A</v>
      </c>
      <c r="E131" s="308"/>
      <c r="F131" s="308"/>
      <c r="G131" s="310" t="e">
        <f>B131+D131+F128</f>
        <v>#N/A</v>
      </c>
      <c r="H131" s="296"/>
      <c r="I131" s="396">
        <v>2.6</v>
      </c>
      <c r="J131" s="396"/>
      <c r="L131" s="311">
        <f>[1]Планки!H131</f>
        <v>0</v>
      </c>
      <c r="M131" s="312">
        <f>[1]Планки!I131</f>
        <v>0</v>
      </c>
      <c r="N131" s="312">
        <f>[1]Планки!J131</f>
        <v>0</v>
      </c>
      <c r="O131" s="313">
        <f>[1]Планки!K131</f>
        <v>0</v>
      </c>
      <c r="P131" s="313">
        <f>[1]Планки!L131</f>
        <v>0</v>
      </c>
      <c r="Q131" s="312">
        <f>[1]Планки!M131</f>
        <v>0</v>
      </c>
      <c r="R131" s="312">
        <f>[1]Планки!N131</f>
        <v>0</v>
      </c>
      <c r="S131" s="313">
        <f>[1]Планки!O131</f>
        <v>0</v>
      </c>
      <c r="T131" s="312">
        <f>[1]Планки!P131</f>
        <v>0</v>
      </c>
      <c r="U131" s="312">
        <f>[1]Планки!Q131</f>
        <v>0</v>
      </c>
      <c r="V131" s="314">
        <f>[1]Планки!R131</f>
        <v>0</v>
      </c>
      <c r="AB131" s="258">
        <f t="shared" si="0"/>
        <v>220</v>
      </c>
      <c r="AC131" s="259" t="str">
        <f>IF(COUNTIF(AD$78:AD131,AD131)=1,MAX(AC$78:AC130)+1,"")</f>
        <v/>
      </c>
      <c r="AD131" s="220">
        <f>'[2]Изложницы без бурта'!B131</f>
        <v>105</v>
      </c>
      <c r="AE131" s="220">
        <f>'[2]Изложницы без бурта'!C131</f>
        <v>255</v>
      </c>
      <c r="AF131" s="56">
        <f>'[2]Изложницы без бурта'!D131</f>
        <v>185</v>
      </c>
      <c r="AG131" s="56">
        <f>'[2]Изложницы без бурта'!E131</f>
        <v>320</v>
      </c>
      <c r="AH131" s="56" t="str">
        <f>'[2]Изложницы без бурта'!F131</f>
        <v>72.11868 - 3</v>
      </c>
      <c r="AI131" s="56">
        <f>'[2]Изложницы без бурта'!G131</f>
        <v>0</v>
      </c>
      <c r="AJ131" s="56">
        <f>'[2]Изложницы без бурта'!H131</f>
        <v>0</v>
      </c>
      <c r="AK131" s="56">
        <f>'[2]Изложницы без бурта'!I131</f>
        <v>0</v>
      </c>
      <c r="AL131" s="56" t="s">
        <v>576</v>
      </c>
      <c r="AM131" s="56">
        <f>'[2]Изложницы без бурта'!K131</f>
        <v>0</v>
      </c>
      <c r="AR131" s="368">
        <v>520</v>
      </c>
      <c r="AS131" s="368">
        <v>470</v>
      </c>
      <c r="AT131" s="368">
        <v>340</v>
      </c>
      <c r="AU131" s="368">
        <v>265</v>
      </c>
      <c r="AV131" s="368">
        <v>570</v>
      </c>
      <c r="AW131" s="368">
        <v>400</v>
      </c>
      <c r="AX131" s="393" t="s">
        <v>560</v>
      </c>
    </row>
    <row r="132" spans="1:50" ht="15.6" thickBot="1" x14ac:dyDescent="0.3">
      <c r="A132" s="296"/>
      <c r="B132" s="296"/>
      <c r="C132" s="315"/>
      <c r="D132" s="296"/>
      <c r="E132" s="296"/>
      <c r="F132" s="296"/>
      <c r="G132" s="296"/>
      <c r="H132" s="296"/>
      <c r="I132" s="396">
        <v>2.7</v>
      </c>
      <c r="J132" s="396"/>
      <c r="AB132" s="258">
        <f t="shared" si="0"/>
        <v>222.5</v>
      </c>
      <c r="AC132" s="259" t="str">
        <f>IF(COUNTIF(AD$78:AD132,AD132)=1,MAX(AC$78:AC131)+1,"")</f>
        <v/>
      </c>
      <c r="AD132" s="220">
        <f>'[2]Изложницы без бурта'!B132</f>
        <v>105</v>
      </c>
      <c r="AE132" s="220">
        <f>'[2]Изложницы без бурта'!C132</f>
        <v>260</v>
      </c>
      <c r="AF132" s="56">
        <f>'[2]Изложницы без бурта'!D132</f>
        <v>185</v>
      </c>
      <c r="AG132" s="56">
        <f>'[2]Изложницы без бурта'!E132</f>
        <v>320</v>
      </c>
      <c r="AH132" s="56" t="str">
        <f>'[2]Изложницы без бурта'!F132</f>
        <v>72.11868 - 3</v>
      </c>
      <c r="AI132" s="56">
        <f>'[2]Изложницы без бурта'!G132</f>
        <v>0</v>
      </c>
      <c r="AJ132" s="56">
        <f>'[2]Изложницы без бурта'!H132</f>
        <v>0</v>
      </c>
      <c r="AK132" s="56">
        <f>'[2]Изложницы без бурта'!I132</f>
        <v>0</v>
      </c>
      <c r="AL132" s="56" t="s">
        <v>576</v>
      </c>
      <c r="AM132" s="56">
        <f>'[2]Изложницы без бурта'!K132</f>
        <v>0</v>
      </c>
      <c r="AR132" s="368">
        <v>510</v>
      </c>
      <c r="AS132" s="368">
        <v>470</v>
      </c>
      <c r="AT132" s="368">
        <v>350</v>
      </c>
      <c r="AU132" s="368">
        <v>290</v>
      </c>
      <c r="AV132" s="377">
        <v>550</v>
      </c>
      <c r="AW132" s="368">
        <v>400</v>
      </c>
      <c r="AX132" s="393" t="s">
        <v>562</v>
      </c>
    </row>
    <row r="133" spans="1:50" ht="14.4" x14ac:dyDescent="0.25">
      <c r="H133" s="316"/>
      <c r="I133" s="396">
        <v>2.8</v>
      </c>
      <c r="J133" s="396"/>
      <c r="L133" s="896" t="s">
        <v>347</v>
      </c>
      <c r="M133" s="897" t="s">
        <v>345</v>
      </c>
      <c r="N133" s="898" t="s">
        <v>350</v>
      </c>
      <c r="O133" s="897" t="s">
        <v>346</v>
      </c>
      <c r="P133" s="897"/>
      <c r="Q133" s="897" t="s">
        <v>348</v>
      </c>
      <c r="R133" s="899">
        <f>VLOOKUP(Планка!J4,Данные!L3:U134,4,FALSE())</f>
        <v>640</v>
      </c>
      <c r="AB133" s="258">
        <f t="shared" si="0"/>
        <v>225</v>
      </c>
      <c r="AC133" s="259" t="str">
        <f>IF(COUNTIF(AD$78:AD133,AD133)=1,MAX(AC$78:AC132)+1,"")</f>
        <v/>
      </c>
      <c r="AD133" s="220">
        <f>'[2]Изложницы без бурта'!B133</f>
        <v>105</v>
      </c>
      <c r="AE133" s="220">
        <f>'[2]Изложницы без бурта'!C133</f>
        <v>260</v>
      </c>
      <c r="AF133" s="56">
        <f>'[2]Изложницы без бурта'!D133</f>
        <v>185</v>
      </c>
      <c r="AG133" s="56">
        <f>'[2]Изложницы без бурта'!E133</f>
        <v>320</v>
      </c>
      <c r="AH133" s="56" t="str">
        <f>'[2]Изложницы без бурта'!F133</f>
        <v>72.11868 - 3</v>
      </c>
      <c r="AI133" s="56">
        <f>'[2]Изложницы без бурта'!H133</f>
        <v>0</v>
      </c>
      <c r="AJ133" s="56">
        <f>'[2]Изложницы без бурта'!I133</f>
        <v>0</v>
      </c>
      <c r="AK133" s="56">
        <f>'[2]Изложницы без бурта'!J133</f>
        <v>0</v>
      </c>
      <c r="AL133" s="56" t="s">
        <v>577</v>
      </c>
      <c r="AR133" s="368">
        <v>500</v>
      </c>
      <c r="AS133" s="368">
        <v>480</v>
      </c>
      <c r="AT133" s="368">
        <v>825</v>
      </c>
      <c r="AU133" s="368">
        <v>740</v>
      </c>
      <c r="AV133" s="368">
        <v>550</v>
      </c>
      <c r="AW133" s="368">
        <v>400</v>
      </c>
      <c r="AX133" s="393" t="s">
        <v>563</v>
      </c>
    </row>
    <row r="134" spans="1:50" ht="15" thickBot="1" x14ac:dyDescent="0.3">
      <c r="B134" s="56" t="s">
        <v>222</v>
      </c>
      <c r="C134" s="246"/>
      <c r="H134" s="239"/>
      <c r="I134" s="396">
        <v>2.9</v>
      </c>
      <c r="J134" s="396"/>
      <c r="L134" s="900" t="s">
        <v>461</v>
      </c>
      <c r="M134" s="901" t="b">
        <f>Планка!M8&lt;=300</f>
        <v>0</v>
      </c>
      <c r="N134" s="902">
        <v>5</v>
      </c>
      <c r="O134" s="901">
        <v>2.5</v>
      </c>
      <c r="P134" s="901"/>
      <c r="Q134" s="901" t="s">
        <v>349</v>
      </c>
      <c r="R134" s="903">
        <f>VLOOKUP(Планка!J4,Данные!L3:U134,9,FALSE())</f>
        <v>35</v>
      </c>
      <c r="AB134" s="258">
        <f t="shared" si="0"/>
        <v>227.5</v>
      </c>
      <c r="AC134" s="259">
        <f>IF(COUNTIF(AD$78:AD134,AD134)=1,MAX(AC$78:AC133)+1,"")</f>
        <v>9</v>
      </c>
      <c r="AD134" s="220">
        <f>'[2]Изложницы без бурта'!B134</f>
        <v>107.5</v>
      </c>
      <c r="AE134" s="220">
        <f>'[2]Изложницы без бурта'!C134</f>
        <v>250</v>
      </c>
      <c r="AF134" s="56">
        <f>'[2]Изложницы без бурта'!D134</f>
        <v>185</v>
      </c>
      <c r="AG134" s="56">
        <f>'[2]Изложницы без бурта'!E134</f>
        <v>320</v>
      </c>
      <c r="AH134" s="56" t="str">
        <f>'[2]Изложницы без бурта'!F134</f>
        <v>72.11868 - 4</v>
      </c>
      <c r="AI134" s="56">
        <f>'[2]Изложницы без бурта'!H134</f>
        <v>0</v>
      </c>
      <c r="AJ134" s="56">
        <f>'[2]Изложницы без бурта'!I134</f>
        <v>0</v>
      </c>
      <c r="AK134" s="56">
        <f>'[2]Изложницы без бурта'!J134</f>
        <v>0</v>
      </c>
      <c r="AL134" s="56" t="s">
        <v>578</v>
      </c>
      <c r="AR134" s="368">
        <v>508</v>
      </c>
      <c r="AS134" s="368">
        <v>490</v>
      </c>
      <c r="AT134" s="368">
        <v>140</v>
      </c>
      <c r="AU134" s="368">
        <v>90</v>
      </c>
      <c r="AV134" s="368">
        <v>570</v>
      </c>
      <c r="AW134" s="368">
        <v>400</v>
      </c>
      <c r="AX134" s="393" t="s">
        <v>564</v>
      </c>
    </row>
    <row r="135" spans="1:50" ht="17.399999999999999" x14ac:dyDescent="0.3">
      <c r="B135" s="318"/>
      <c r="C135" s="319" t="s">
        <v>223</v>
      </c>
      <c r="D135" s="319"/>
      <c r="E135" s="319" t="s">
        <v>224</v>
      </c>
      <c r="F135" s="320"/>
      <c r="H135" s="321"/>
      <c r="I135" s="396">
        <v>3</v>
      </c>
      <c r="J135" s="396"/>
      <c r="L135" s="228">
        <f>IF(B38=FALSE,ROUNDUP(R134*R135,0),L137)</f>
        <v>123</v>
      </c>
      <c r="M135" s="901" t="b">
        <f>AND(301&lt;Планка!M8,Планка!M8&lt;=600)</f>
        <v>0</v>
      </c>
      <c r="N135" s="902">
        <v>6</v>
      </c>
      <c r="O135" s="901">
        <v>3</v>
      </c>
      <c r="P135" s="901"/>
      <c r="Q135" s="901"/>
      <c r="R135" s="903">
        <f>VLOOKUP(TRUE,M134:O140,3,FALSE)</f>
        <v>3.5</v>
      </c>
      <c r="AB135" s="258">
        <f t="shared" si="0"/>
        <v>230</v>
      </c>
      <c r="AC135" s="259" t="str">
        <f>IF(COUNTIF(AD$78:AD135,AD135)=1,MAX(AC$78:AC134)+1,"")</f>
        <v/>
      </c>
      <c r="AD135" s="220">
        <f>'[2]Изложницы без бурта'!B135</f>
        <v>107.5</v>
      </c>
      <c r="AE135" s="220">
        <f>'[2]Изложницы без бурта'!C135</f>
        <v>255</v>
      </c>
      <c r="AF135" s="56">
        <f>'[2]Изложницы без бурта'!D135</f>
        <v>185</v>
      </c>
      <c r="AG135" s="56">
        <f>'[2]Изложницы без бурта'!E135</f>
        <v>320</v>
      </c>
      <c r="AH135" s="56" t="str">
        <f>'[2]Изложницы без бурта'!F135</f>
        <v>72.11868 - 4</v>
      </c>
      <c r="AI135" s="56">
        <f>'[2]Изложницы без бурта'!H135</f>
        <v>0</v>
      </c>
      <c r="AJ135" s="56">
        <f>'[2]Изложницы без бурта'!I135</f>
        <v>0</v>
      </c>
      <c r="AK135" s="56">
        <f>'[2]Изложницы без бурта'!J135</f>
        <v>0</v>
      </c>
      <c r="AL135" s="56" t="s">
        <v>579</v>
      </c>
      <c r="AR135" s="368">
        <v>507</v>
      </c>
      <c r="AS135" s="368">
        <v>490</v>
      </c>
      <c r="AT135" s="368">
        <v>140</v>
      </c>
      <c r="AU135" s="368">
        <v>90</v>
      </c>
      <c r="AV135" s="368">
        <v>570</v>
      </c>
      <c r="AW135" s="368">
        <v>400</v>
      </c>
      <c r="AX135" s="393" t="s">
        <v>564</v>
      </c>
    </row>
    <row r="136" spans="1:50" ht="14.4" x14ac:dyDescent="0.25">
      <c r="B136" s="322" t="s">
        <v>226</v>
      </c>
      <c r="C136" s="323" t="s">
        <v>245</v>
      </c>
      <c r="D136" s="323" t="s">
        <v>225</v>
      </c>
      <c r="E136" s="323" t="s">
        <v>245</v>
      </c>
      <c r="F136" s="324" t="s">
        <v>225</v>
      </c>
      <c r="H136" s="239"/>
      <c r="I136" s="396">
        <v>3.1</v>
      </c>
      <c r="J136" s="396"/>
      <c r="L136" s="228" t="s">
        <v>763</v>
      </c>
      <c r="M136" s="901" t="b">
        <f>AND(601&lt;Планка!M8,Планка!M8&lt;=1000)</f>
        <v>1</v>
      </c>
      <c r="N136" s="902">
        <v>8</v>
      </c>
      <c r="O136" s="901">
        <v>3.5</v>
      </c>
      <c r="P136" s="901"/>
      <c r="Q136" s="901"/>
      <c r="R136" s="903"/>
      <c r="AB136" s="258">
        <f t="shared" si="0"/>
        <v>232.5</v>
      </c>
      <c r="AC136" s="259" t="str">
        <f>IF(COUNTIF(AD$78:AD136,AD136)=1,MAX(AC$78:AC135)+1,"")</f>
        <v/>
      </c>
      <c r="AD136" s="220">
        <f>'[2]Изложницы без бурта'!B136</f>
        <v>107.5</v>
      </c>
      <c r="AE136" s="220">
        <f>'[2]Изложницы без бурта'!C136</f>
        <v>255</v>
      </c>
      <c r="AF136" s="56">
        <f>'[2]Изложницы без бурта'!D136</f>
        <v>185</v>
      </c>
      <c r="AG136" s="56">
        <f>'[2]Изложницы без бурта'!E136</f>
        <v>320</v>
      </c>
      <c r="AH136" s="56" t="str">
        <f>'[2]Изложницы без бурта'!F136</f>
        <v>72.11868 - 4</v>
      </c>
      <c r="AI136" s="56">
        <f>'[2]Изложницы без бурта'!H136</f>
        <v>0</v>
      </c>
      <c r="AJ136" s="56">
        <f>'[2]Изложницы без бурта'!I136</f>
        <v>0</v>
      </c>
      <c r="AK136" s="56">
        <f>'[2]Изложницы без бурта'!J136</f>
        <v>0</v>
      </c>
      <c r="AL136" s="56" t="s">
        <v>579</v>
      </c>
      <c r="AR136" s="368">
        <v>507</v>
      </c>
      <c r="AS136" s="368">
        <v>490</v>
      </c>
      <c r="AT136" s="368">
        <v>137</v>
      </c>
      <c r="AU136" s="368">
        <v>90</v>
      </c>
      <c r="AV136" s="368">
        <v>570</v>
      </c>
      <c r="AW136" s="368">
        <v>400</v>
      </c>
      <c r="AX136" s="393" t="s">
        <v>564</v>
      </c>
    </row>
    <row r="137" spans="1:50" ht="15" thickBot="1" x14ac:dyDescent="0.3">
      <c r="A137" s="56">
        <v>1</v>
      </c>
      <c r="B137" s="325" t="s">
        <v>227</v>
      </c>
      <c r="C137" s="326" t="s">
        <v>246</v>
      </c>
      <c r="D137" s="326">
        <v>0.5</v>
      </c>
      <c r="E137" s="326" t="s">
        <v>252</v>
      </c>
      <c r="F137" s="327">
        <v>1</v>
      </c>
      <c r="H137" s="239"/>
      <c r="I137" s="396">
        <v>3.2</v>
      </c>
      <c r="J137" s="396"/>
      <c r="L137" s="228">
        <f>ROUNDUP(R134*R135*0.841,0)</f>
        <v>104</v>
      </c>
      <c r="M137" s="901" t="b">
        <f>AND(1001&lt;Планка!M8,Планка!M8&lt;=1200)</f>
        <v>0</v>
      </c>
      <c r="N137" s="902">
        <v>8</v>
      </c>
      <c r="O137" s="901">
        <v>4</v>
      </c>
      <c r="P137" s="901"/>
      <c r="Q137" s="901"/>
      <c r="R137" s="903"/>
      <c r="AB137" s="258">
        <f t="shared" si="0"/>
        <v>235</v>
      </c>
      <c r="AC137" s="259" t="str">
        <f>IF(COUNTIF(AD$78:AD137,AD137)=1,MAX(AC$78:AC136)+1,"")</f>
        <v/>
      </c>
      <c r="AD137" s="220">
        <f>'[2]Изложницы без бурта'!B137</f>
        <v>107.5</v>
      </c>
      <c r="AE137" s="220">
        <f>'[2]Изложницы без бурта'!C137</f>
        <v>257</v>
      </c>
      <c r="AF137" s="56">
        <f>'[2]Изложницы без бурта'!D137</f>
        <v>185</v>
      </c>
      <c r="AG137" s="56">
        <f>'[2]Изложницы без бурта'!E137</f>
        <v>320</v>
      </c>
      <c r="AH137" s="56" t="str">
        <f>'[2]Изложницы без бурта'!F137</f>
        <v>72.11868 - 4</v>
      </c>
      <c r="AI137" s="56">
        <f>'[2]Изложницы без бурта'!H137</f>
        <v>0</v>
      </c>
      <c r="AJ137" s="56">
        <f>'[2]Изложницы без бурта'!I137</f>
        <v>0</v>
      </c>
      <c r="AK137" s="56">
        <f>'[2]Изложницы без бурта'!J137</f>
        <v>0</v>
      </c>
      <c r="AL137" s="56" t="s">
        <v>580</v>
      </c>
      <c r="AR137" s="368">
        <v>508</v>
      </c>
      <c r="AS137" s="368">
        <v>490</v>
      </c>
      <c r="AT137" s="368">
        <v>140</v>
      </c>
      <c r="AU137" s="369">
        <v>87</v>
      </c>
      <c r="AV137" s="368">
        <v>570</v>
      </c>
      <c r="AW137" s="368">
        <v>400</v>
      </c>
      <c r="AX137" s="393" t="s">
        <v>564</v>
      </c>
    </row>
    <row r="138" spans="1:50" ht="15" thickBot="1" x14ac:dyDescent="0.3">
      <c r="A138" s="56">
        <v>2</v>
      </c>
      <c r="B138" s="325" t="s">
        <v>228</v>
      </c>
      <c r="C138" s="326" t="s">
        <v>247</v>
      </c>
      <c r="D138" s="326">
        <v>1</v>
      </c>
      <c r="E138" s="326" t="s">
        <v>246</v>
      </c>
      <c r="F138" s="327">
        <v>1.3</v>
      </c>
      <c r="H138" s="239"/>
      <c r="I138" s="396">
        <v>3.3</v>
      </c>
      <c r="J138" s="396"/>
      <c r="L138" s="228" t="s">
        <v>764</v>
      </c>
      <c r="M138" s="901" t="b">
        <f>AND(1201&lt;Планка!M8,Планка!M8&lt;=1350)</f>
        <v>0</v>
      </c>
      <c r="N138" s="902">
        <v>9</v>
      </c>
      <c r="O138" s="901">
        <v>4.5</v>
      </c>
      <c r="P138" s="901"/>
      <c r="Q138" s="901"/>
      <c r="R138" s="903"/>
      <c r="AB138" s="258">
        <f t="shared" si="0"/>
        <v>237.5</v>
      </c>
      <c r="AC138" s="259" t="str">
        <f>IF(COUNTIF(AD$78:AD138,AD138)=1,MAX(AC$78:AC137)+1,"")</f>
        <v/>
      </c>
      <c r="AD138" s="220">
        <f>'[2]Изложницы без бурта'!B138</f>
        <v>107.5</v>
      </c>
      <c r="AE138" s="220">
        <f>'[2]Изложницы без бурта'!C138</f>
        <v>260</v>
      </c>
      <c r="AF138" s="56">
        <f>'[2]Изложницы без бурта'!D138</f>
        <v>185</v>
      </c>
      <c r="AG138" s="56">
        <f>'[2]Изложницы без бурта'!E138</f>
        <v>320</v>
      </c>
      <c r="AH138" s="56" t="str">
        <f>'[2]Изложницы без бурта'!F138</f>
        <v>72.11868 - 4</v>
      </c>
      <c r="AI138" s="56">
        <f>'[2]Изложницы без бурта'!H138</f>
        <v>0</v>
      </c>
      <c r="AJ138" s="56">
        <f>'[2]Изложницы без бурта'!I138</f>
        <v>0</v>
      </c>
      <c r="AK138" s="56">
        <f>'[2]Изложницы без бурта'!J138</f>
        <v>0</v>
      </c>
      <c r="AL138" s="56" t="s">
        <v>577</v>
      </c>
      <c r="AR138" s="368">
        <v>575</v>
      </c>
      <c r="AS138" s="368">
        <v>507.5</v>
      </c>
      <c r="AT138" s="375">
        <v>490</v>
      </c>
      <c r="AU138" s="376">
        <v>420</v>
      </c>
      <c r="AV138" s="377">
        <v>640</v>
      </c>
      <c r="AW138" s="368">
        <v>400</v>
      </c>
      <c r="AX138" s="393" t="s">
        <v>523</v>
      </c>
    </row>
    <row r="139" spans="1:50" ht="15" thickBot="1" x14ac:dyDescent="0.3">
      <c r="A139" s="56">
        <v>3</v>
      </c>
      <c r="B139" s="325" t="s">
        <v>229</v>
      </c>
      <c r="C139" s="326" t="s">
        <v>248</v>
      </c>
      <c r="D139" s="326">
        <v>1.3</v>
      </c>
      <c r="E139" s="326" t="s">
        <v>247</v>
      </c>
      <c r="F139" s="327">
        <v>1.7</v>
      </c>
      <c r="H139" s="239"/>
      <c r="I139" s="396">
        <v>3.4</v>
      </c>
      <c r="J139" s="396"/>
      <c r="L139" s="228"/>
      <c r="M139" s="901" t="b">
        <f>AND(1351&lt;Планка!M8,Планка!M8&lt;=1500)</f>
        <v>0</v>
      </c>
      <c r="N139" s="902">
        <v>10</v>
      </c>
      <c r="O139" s="901">
        <v>5</v>
      </c>
      <c r="P139" s="901"/>
      <c r="Q139" s="901"/>
      <c r="R139" s="903"/>
      <c r="AB139" s="258">
        <f t="shared" si="0"/>
        <v>240</v>
      </c>
      <c r="AC139" s="259" t="str">
        <f>IF(COUNTIF(AD$78:AD139,AD139)=1,MAX(AC$78:AC138)+1,"")</f>
        <v/>
      </c>
      <c r="AD139" s="220">
        <f>'[2]Изложницы без бурта'!B139</f>
        <v>107.5</v>
      </c>
      <c r="AE139" s="220">
        <f>'[2]Изложницы без бурта'!C139</f>
        <v>257</v>
      </c>
      <c r="AF139" s="56">
        <f>'[2]Изложницы без бурта'!D139</f>
        <v>185</v>
      </c>
      <c r="AG139" s="56">
        <f>'[2]Изложницы без бурта'!E139</f>
        <v>320</v>
      </c>
      <c r="AH139" s="56" t="str">
        <f>'[2]Изложницы без бурта'!F139</f>
        <v>72.11868 - 4</v>
      </c>
      <c r="AI139" s="56">
        <f>'[2]Изложницы без бурта'!H139</f>
        <v>0</v>
      </c>
      <c r="AJ139" s="56">
        <f>'[2]Изложницы без бурта'!I139</f>
        <v>0</v>
      </c>
      <c r="AK139" s="56">
        <f>'[2]Изложницы без бурта'!J139</f>
        <v>0</v>
      </c>
      <c r="AL139" s="56" t="s">
        <v>580</v>
      </c>
      <c r="AR139" s="368">
        <v>575</v>
      </c>
      <c r="AS139" s="368">
        <v>510</v>
      </c>
      <c r="AT139" s="375">
        <v>490</v>
      </c>
      <c r="AU139" s="376">
        <v>420</v>
      </c>
      <c r="AV139" s="377">
        <v>640</v>
      </c>
      <c r="AW139" s="368">
        <v>400</v>
      </c>
      <c r="AX139" s="393" t="s">
        <v>524</v>
      </c>
    </row>
    <row r="140" spans="1:50" ht="15" thickBot="1" x14ac:dyDescent="0.3">
      <c r="A140" s="56">
        <v>4</v>
      </c>
      <c r="B140" s="325" t="s">
        <v>230</v>
      </c>
      <c r="C140" s="326" t="s">
        <v>249</v>
      </c>
      <c r="D140" s="326">
        <v>1.7</v>
      </c>
      <c r="E140" s="326" t="s">
        <v>248</v>
      </c>
      <c r="F140" s="327">
        <v>2.5</v>
      </c>
      <c r="H140" s="239"/>
      <c r="I140" s="396">
        <v>3.5</v>
      </c>
      <c r="J140" s="396"/>
      <c r="L140" s="311"/>
      <c r="M140" s="904" t="b">
        <f>AND(1501&lt;Планка!M8,Планка!M8&lt;=1900)</f>
        <v>0</v>
      </c>
      <c r="N140" s="905">
        <v>12</v>
      </c>
      <c r="O140" s="904">
        <v>5.5</v>
      </c>
      <c r="P140" s="904"/>
      <c r="Q140" s="904"/>
      <c r="R140" s="906"/>
      <c r="AB140" s="258">
        <f t="shared" si="0"/>
        <v>242.5</v>
      </c>
      <c r="AC140" s="259" t="str">
        <f>IF(COUNTIF(AD$78:AD140,AD140)=1,MAX(AC$78:AC139)+1,"")</f>
        <v/>
      </c>
      <c r="AD140" s="220">
        <f>'[2]Изложницы без бурта'!B140</f>
        <v>107.5</v>
      </c>
      <c r="AE140" s="220">
        <f>'[2]Изложницы без бурта'!C140</f>
        <v>257</v>
      </c>
      <c r="AF140" s="56">
        <f>'[2]Изложницы без бурта'!D140</f>
        <v>185</v>
      </c>
      <c r="AG140" s="56">
        <f>'[2]Изложницы без бурта'!E140</f>
        <v>320</v>
      </c>
      <c r="AH140" s="56" t="str">
        <f>'[2]Изложницы без бурта'!F140</f>
        <v>72.11868 - 4</v>
      </c>
      <c r="AI140" s="56">
        <f>'[2]Изложницы без бурта'!H140</f>
        <v>0</v>
      </c>
      <c r="AJ140" s="56">
        <f>'[2]Изложницы без бурта'!I140</f>
        <v>0</v>
      </c>
      <c r="AK140" s="56">
        <f>'[2]Изложницы без бурта'!J140</f>
        <v>0</v>
      </c>
      <c r="AL140" s="56" t="s">
        <v>580</v>
      </c>
      <c r="AR140" s="368">
        <v>583</v>
      </c>
      <c r="AS140" s="368">
        <v>512.5</v>
      </c>
      <c r="AT140" s="368">
        <v>490</v>
      </c>
      <c r="AU140" s="367">
        <v>420</v>
      </c>
      <c r="AV140" s="377">
        <v>640</v>
      </c>
      <c r="AW140" s="368">
        <v>400</v>
      </c>
      <c r="AX140" s="393" t="s">
        <v>525</v>
      </c>
    </row>
    <row r="141" spans="1:50" ht="15" thickBot="1" x14ac:dyDescent="0.3">
      <c r="A141" s="56">
        <v>5</v>
      </c>
      <c r="B141" s="325" t="s">
        <v>231</v>
      </c>
      <c r="C141" s="326" t="s">
        <v>249</v>
      </c>
      <c r="D141" s="326">
        <v>2</v>
      </c>
      <c r="E141" s="326" t="s">
        <v>249</v>
      </c>
      <c r="F141" s="327">
        <v>3</v>
      </c>
      <c r="H141" s="239"/>
      <c r="I141" s="396">
        <v>3.6</v>
      </c>
      <c r="J141" s="396"/>
      <c r="AB141" s="258">
        <f t="shared" si="0"/>
        <v>245</v>
      </c>
      <c r="AC141" s="259" t="str">
        <f>IF(COUNTIF(AD$78:AD141,AD141)=1,MAX(AC$78:AC140)+1,"")</f>
        <v/>
      </c>
      <c r="AD141" s="220">
        <f>'[2]Изложницы без бурта'!B141</f>
        <v>107.5</v>
      </c>
      <c r="AE141" s="220">
        <f>'[2]Изложницы без бурта'!C141</f>
        <v>255</v>
      </c>
      <c r="AF141" s="56">
        <f>'[2]Изложницы без бурта'!D141</f>
        <v>185</v>
      </c>
      <c r="AG141" s="56">
        <f>'[2]Изложницы без бурта'!E141</f>
        <v>320</v>
      </c>
      <c r="AH141" s="56" t="str">
        <f>'[2]Изложницы без бурта'!F141</f>
        <v>72.11868 - 4</v>
      </c>
      <c r="AI141" s="56">
        <f>'[2]Изложницы без бурта'!G141</f>
        <v>0</v>
      </c>
      <c r="AJ141" s="56">
        <f>'[2]Изложницы без бурта'!H141</f>
        <v>0</v>
      </c>
      <c r="AK141" s="56">
        <f>'[2]Изложницы без бурта'!I141</f>
        <v>0</v>
      </c>
      <c r="AL141" s="56" t="s">
        <v>581</v>
      </c>
      <c r="AM141" s="56">
        <f>'[2]Изложницы без бурта'!K141</f>
        <v>0</v>
      </c>
      <c r="AR141" s="368">
        <v>561</v>
      </c>
      <c r="AS141" s="368">
        <v>530</v>
      </c>
      <c r="AT141" s="368">
        <v>403</v>
      </c>
      <c r="AU141" s="368">
        <v>345</v>
      </c>
      <c r="AV141" s="377">
        <v>640</v>
      </c>
      <c r="AW141" s="368">
        <v>400</v>
      </c>
      <c r="AX141" s="393" t="s">
        <v>565</v>
      </c>
    </row>
    <row r="142" spans="1:50" ht="15.6" x14ac:dyDescent="0.3">
      <c r="A142" s="56">
        <v>6</v>
      </c>
      <c r="B142" s="325" t="s">
        <v>232</v>
      </c>
      <c r="C142" s="326" t="s">
        <v>250</v>
      </c>
      <c r="D142" s="326">
        <v>2.5</v>
      </c>
      <c r="E142" s="326" t="s">
        <v>249</v>
      </c>
      <c r="F142" s="327">
        <v>3.5</v>
      </c>
      <c r="H142" s="239"/>
      <c r="I142" s="396">
        <v>3.7</v>
      </c>
      <c r="J142" s="396"/>
      <c r="K142" s="896" t="s">
        <v>980</v>
      </c>
      <c r="L142" s="911" t="s">
        <v>396</v>
      </c>
      <c r="M142" s="912">
        <f>IF(OR('цб с буртом'!N9=7.5,'цб с буртом'!N9=7.6,'цб с буртом'!N9=7.7,'цб с буртом'!N9=7.8,'цб с буртом'!N9=7.9,'цб с буртом'!N9=8,'цб с буртом'!N9=8.1),1,IF('цб с буртом'!N9=8.5,2,3))</f>
        <v>3</v>
      </c>
      <c r="N142" s="1045">
        <f>HLOOKUP(TRUE,K147:S148,2,FALSE)</f>
        <v>20</v>
      </c>
      <c r="O142" s="786">
        <f>HLOOKUP(TRUE,K146:S148,3,FALSE)</f>
        <v>80</v>
      </c>
      <c r="P142" s="1732" t="s">
        <v>985</v>
      </c>
      <c r="Q142" s="1732"/>
      <c r="R142" s="1732"/>
      <c r="S142" s="1732"/>
      <c r="T142" s="927" t="s">
        <v>957</v>
      </c>
      <c r="U142" s="919" t="s">
        <v>961</v>
      </c>
      <c r="V142" s="918"/>
      <c r="W142" s="920"/>
      <c r="X142" s="921" t="s">
        <v>959</v>
      </c>
      <c r="Y142" s="934">
        <f>_xlfn.FLOOR.MATH('цб с буртом'!N6-(S144*2),2.5)</f>
        <v>145</v>
      </c>
      <c r="Z142" s="922"/>
      <c r="AB142" s="258">
        <f t="shared" si="0"/>
        <v>247.5</v>
      </c>
      <c r="AC142" s="259" t="str">
        <f>IF(COUNTIF(AD$78:AD142,AD142)=1,MAX(AC$78:AC141)+1,"")</f>
        <v/>
      </c>
      <c r="AD142" s="220">
        <f>'[2]Изложницы без бурта'!B142</f>
        <v>107.5</v>
      </c>
      <c r="AE142" s="220">
        <f>'[2]Изложницы без бурта'!C142</f>
        <v>260</v>
      </c>
      <c r="AF142" s="56">
        <f>'[2]Изложницы без бурта'!D142</f>
        <v>185</v>
      </c>
      <c r="AG142" s="56">
        <f>'[2]Изложницы без бурта'!E142</f>
        <v>320</v>
      </c>
      <c r="AH142" s="56" t="str">
        <f>'[2]Изложницы без бурта'!F142</f>
        <v>72.11868 - 4</v>
      </c>
      <c r="AI142" s="56">
        <f>'[2]Изложницы без бурта'!G142</f>
        <v>0</v>
      </c>
      <c r="AJ142" s="56">
        <f>'[2]Изложницы без бурта'!H142</f>
        <v>0</v>
      </c>
      <c r="AK142" s="56">
        <f>'[2]Изложницы без бурта'!I142</f>
        <v>0</v>
      </c>
      <c r="AL142" s="56" t="s">
        <v>581</v>
      </c>
      <c r="AM142" s="56">
        <f>'[2]Изложницы без бурта'!K142</f>
        <v>0</v>
      </c>
      <c r="AR142" s="368">
        <v>563</v>
      </c>
      <c r="AS142" s="368">
        <v>540</v>
      </c>
      <c r="AT142" s="368">
        <v>360</v>
      </c>
      <c r="AU142" s="368">
        <v>305</v>
      </c>
      <c r="AV142" s="377">
        <v>640</v>
      </c>
      <c r="AW142" s="368">
        <v>400</v>
      </c>
      <c r="AX142" s="393" t="s">
        <v>566</v>
      </c>
    </row>
    <row r="143" spans="1:50" ht="17.399999999999999" x14ac:dyDescent="0.3">
      <c r="A143" s="56">
        <v>7</v>
      </c>
      <c r="B143" s="325" t="s">
        <v>233</v>
      </c>
      <c r="C143" s="326" t="s">
        <v>250</v>
      </c>
      <c r="D143" s="326">
        <v>3</v>
      </c>
      <c r="E143" s="326" t="s">
        <v>249</v>
      </c>
      <c r="F143" s="327">
        <v>4.3</v>
      </c>
      <c r="H143" s="321"/>
      <c r="I143" s="396">
        <v>3.8</v>
      </c>
      <c r="J143" s="396"/>
      <c r="K143" s="325" t="s">
        <v>981</v>
      </c>
      <c r="L143" s="245">
        <f>('цб с буртом'!N4-'цб с буртом'!N6)/2</f>
        <v>75</v>
      </c>
      <c r="M143" s="862" t="s">
        <v>983</v>
      </c>
      <c r="N143" s="245">
        <f>_xlfn.IFS('цб с буртом'!N4&lt;=100,B161,AND('цб с буртом'!N4&gt;=101,'цб с буртом'!N4&lt;201),C161,AND('цб с буртом'!N4&gt;=201,'цб с буртом'!N4&lt;301),D161,AND('цб с буртом'!N4&gt;=301,'цб с буртом'!N4&lt;401),E161,AND('цб с буртом'!N4&gt;=401,'цб с буртом'!N4&lt;501),F161,AND('цб с буртом'!N4&gt;=501,'цб с буртом'!N4&lt;601),G161,AND('цб с буртом'!N4&gt;=601,'цб с буртом'!N4&lt;701),H161)</f>
        <v>400</v>
      </c>
      <c r="O143" s="245">
        <f>N143/100+1</f>
        <v>5</v>
      </c>
      <c r="P143" s="245" t="s">
        <v>986</v>
      </c>
      <c r="Q143" s="245">
        <f>IF(E157=1,HLOOKUP(N143,A161:H171,2,FALSE),IF(E157=2,HLOOKUP(N143,A175:H185,2,FALSE),HLOOKUP(N143,A190:H199,2,FALSE)))</f>
        <v>6.5</v>
      </c>
      <c r="R143" s="245" t="s">
        <v>987</v>
      </c>
      <c r="S143" s="245">
        <f>IF(M142=1,VLOOKUP(O142,A161:H171,O143,FALSE),IF(M142=2,VLOOKUP(O142,A175:H184,O143,FALSE),VLOOKUP(O142,A190:H199,O143,FALSE)))</f>
        <v>18</v>
      </c>
      <c r="T143" s="928"/>
      <c r="U143" s="924" t="s">
        <v>958</v>
      </c>
      <c r="V143" s="923"/>
      <c r="W143" s="925"/>
      <c r="X143" s="923" t="s">
        <v>960</v>
      </c>
      <c r="Y143" s="935">
        <f>_xlfn.FLOOR.MATH('цб с буртом'!N6-(S143*2),2.5)</f>
        <v>122.5</v>
      </c>
      <c r="Z143" s="926"/>
      <c r="AB143" s="258">
        <f t="shared" si="0"/>
        <v>250</v>
      </c>
      <c r="AC143" s="259" t="str">
        <f>IF(COUNTIF(AD$78:AD143,AD143)=1,MAX(AC$78:AC142)+1,"")</f>
        <v/>
      </c>
      <c r="AD143" s="220">
        <f>'[2]Изложницы без бурта'!B143</f>
        <v>107.5</v>
      </c>
      <c r="AE143" s="220">
        <f>'[2]Изложницы без бурта'!C143</f>
        <v>257</v>
      </c>
      <c r="AF143" s="56">
        <f>'[2]Изложницы без бурта'!D143</f>
        <v>185</v>
      </c>
      <c r="AG143" s="56">
        <f>'[2]Изложницы без бурта'!E143</f>
        <v>320</v>
      </c>
      <c r="AH143" s="56" t="str">
        <f>'[2]Изложницы без бурта'!F143</f>
        <v>72.11868 - 4</v>
      </c>
      <c r="AI143" s="56">
        <f>'[2]Изложницы без бурта'!G143</f>
        <v>0</v>
      </c>
      <c r="AJ143" s="56">
        <f>'[2]Изложницы без бурта'!H143</f>
        <v>0</v>
      </c>
      <c r="AK143" s="56">
        <f>'[2]Изложницы без бурта'!I143</f>
        <v>0</v>
      </c>
      <c r="AL143" s="56" t="s">
        <v>581</v>
      </c>
      <c r="AM143" s="56">
        <f>'[2]Изложницы без бурта'!K143</f>
        <v>0</v>
      </c>
      <c r="AR143" s="368">
        <v>605</v>
      </c>
      <c r="AS143" s="368">
        <v>600</v>
      </c>
      <c r="AT143" s="368">
        <v>820</v>
      </c>
      <c r="AU143" s="368">
        <v>660</v>
      </c>
      <c r="AV143" s="377">
        <v>640</v>
      </c>
      <c r="AW143" s="368">
        <v>400</v>
      </c>
      <c r="AX143" s="393" t="s">
        <v>526</v>
      </c>
    </row>
    <row r="144" spans="1:50" ht="16.2" thickBot="1" x14ac:dyDescent="0.35">
      <c r="A144" s="56">
        <v>8</v>
      </c>
      <c r="B144" s="325" t="s">
        <v>234</v>
      </c>
      <c r="C144" s="326" t="s">
        <v>250</v>
      </c>
      <c r="D144" s="326">
        <v>3.5</v>
      </c>
      <c r="E144" s="326" t="s">
        <v>249</v>
      </c>
      <c r="F144" s="327">
        <v>5.3</v>
      </c>
      <c r="H144" s="239"/>
      <c r="I144" s="396">
        <v>3.9</v>
      </c>
      <c r="J144" s="396"/>
      <c r="K144" s="915" t="s">
        <v>982</v>
      </c>
      <c r="L144" s="916">
        <f>('цб с буртом'!N5-'цб с буртом'!N6)/2</f>
        <v>20</v>
      </c>
      <c r="M144" s="917" t="s">
        <v>984</v>
      </c>
      <c r="N144" s="916">
        <f>_xlfn.IFS('цб с буртом'!N5&lt;=100,B161,AND('цб с буртом'!N5&gt;=101,'цб с буртом'!N5&lt;201),C161,AND('цб с буртом'!N5&gt;=201,'цб с буртом'!N5&lt;301),D161,AND('цб с буртом'!N5&gt;=301,'цб с буртом'!N5&lt;401),E161,AND('цб с буртом'!N5&gt;=401,'цб с буртом'!N5&lt;501),F161,AND('цб с буртом'!N5&gt;=501,'цб с буртом'!N5&lt;601),G161,AND('цб с буртом'!N5&gt;=601,'цб с буртом'!N5&lt;701),H161)</f>
        <v>200</v>
      </c>
      <c r="O144" s="916">
        <f>N144/100+1</f>
        <v>3</v>
      </c>
      <c r="P144" s="916" t="s">
        <v>986</v>
      </c>
      <c r="Q144" s="916">
        <f>IF(E157=1,HLOOKUP(N144,A161:H171,2,FALSE),IF(E157=2,HLOOKUP(N144,A175:H185,2,FALSE),HLOOKUP(N144,A190:H199,2,FALSE)))</f>
        <v>4.5</v>
      </c>
      <c r="R144" s="916" t="s">
        <v>987</v>
      </c>
      <c r="S144" s="916">
        <f>IF(M142=1,VLOOKUP(N142,A161:H171,O144,FALSE),IF(M142=2,VLOOKUP(N142,A175:H184,O144,FALSE),VLOOKUP(N142,A190:H199,O144,FALSE)))</f>
        <v>6.5</v>
      </c>
      <c r="T144" s="929"/>
      <c r="U144" s="930" t="s">
        <v>966</v>
      </c>
      <c r="V144" s="930"/>
      <c r="W144" s="931"/>
      <c r="X144" s="932"/>
      <c r="Y144" s="932"/>
      <c r="Z144" s="933"/>
      <c r="AB144" s="258">
        <f t="shared" ref="AB144:AB208" si="3">IF(MAX(AC144:AC1221)&lt;ROW(66:66),"",VLOOKUP(ROW(66:66),AC144:AD1221,2))</f>
        <v>252.5</v>
      </c>
      <c r="AC144" s="259" t="str">
        <f>IF(COUNTIF(AD$78:AD144,AD144)=1,MAX(AC$78:AC143)+1,"")</f>
        <v/>
      </c>
      <c r="AD144" s="220">
        <f>'[2]Изложницы без бурта'!B144</f>
        <v>107.5</v>
      </c>
      <c r="AE144" s="220">
        <f>'[2]Изложницы без бурта'!C144</f>
        <v>265</v>
      </c>
      <c r="AF144" s="56">
        <f>'[2]Изложницы без бурта'!D144</f>
        <v>185</v>
      </c>
      <c r="AG144" s="56">
        <f>'[2]Изложницы без бурта'!E144</f>
        <v>320</v>
      </c>
      <c r="AH144" s="56" t="str">
        <f>'[2]Изложницы без бурта'!F144</f>
        <v>72.11868 - 4</v>
      </c>
      <c r="AI144" s="56">
        <f>'[2]Изложницы без бурта'!G144</f>
        <v>0</v>
      </c>
      <c r="AJ144" s="56">
        <f>'[2]Изложницы без бурта'!H144</f>
        <v>0</v>
      </c>
      <c r="AK144" s="56">
        <f>'[2]Изложницы без бурта'!I144</f>
        <v>0</v>
      </c>
      <c r="AL144" s="56" t="s">
        <v>581</v>
      </c>
      <c r="AM144" s="56">
        <f>'[2]Изложницы без бурта'!K144</f>
        <v>0</v>
      </c>
      <c r="AR144" s="368">
        <v>600</v>
      </c>
      <c r="AS144" s="368">
        <v>567.5</v>
      </c>
      <c r="AT144" s="368">
        <v>647</v>
      </c>
      <c r="AU144" s="369">
        <v>565</v>
      </c>
      <c r="AV144" s="377">
        <v>640</v>
      </c>
      <c r="AW144" s="368">
        <v>400</v>
      </c>
      <c r="AX144" s="393" t="s">
        <v>527</v>
      </c>
    </row>
    <row r="145" spans="1:50" ht="15" thickBot="1" x14ac:dyDescent="0.3">
      <c r="A145" s="56">
        <v>9</v>
      </c>
      <c r="B145" s="325" t="s">
        <v>235</v>
      </c>
      <c r="C145" s="326" t="s">
        <v>250</v>
      </c>
      <c r="D145" s="326">
        <v>4</v>
      </c>
      <c r="E145" s="326" t="s">
        <v>249</v>
      </c>
      <c r="F145" s="327">
        <v>6</v>
      </c>
      <c r="H145" s="239"/>
      <c r="I145" s="396">
        <v>4</v>
      </c>
      <c r="J145" s="396"/>
      <c r="K145" s="228"/>
      <c r="L145" s="138"/>
      <c r="M145" s="138"/>
      <c r="N145" s="138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230"/>
      <c r="AB145" s="258">
        <f t="shared" si="3"/>
        <v>255</v>
      </c>
      <c r="AC145" s="259">
        <f>IF(COUNTIF(AD$78:AD145,AD145)=1,MAX(AC$78:AC144)+1,"")</f>
        <v>10</v>
      </c>
      <c r="AD145" s="220">
        <f>'[2]Изложницы без бурта'!B145</f>
        <v>110</v>
      </c>
      <c r="AE145" s="220">
        <f>'[2]Изложницы без бурта'!C145</f>
        <v>258</v>
      </c>
      <c r="AF145" s="56">
        <f>'[2]Изложницы без бурта'!D145</f>
        <v>185</v>
      </c>
      <c r="AG145" s="56">
        <f>'[2]Изложницы без бурта'!E145</f>
        <v>320</v>
      </c>
      <c r="AH145" s="56" t="str">
        <f>'[2]Изложницы без бурта'!F145</f>
        <v>72.11868 - 5</v>
      </c>
      <c r="AI145" s="56">
        <f>'[2]Изложницы без бурта'!G145</f>
        <v>0</v>
      </c>
      <c r="AJ145" s="56">
        <f>'[2]Изложницы без бурта'!H145</f>
        <v>0</v>
      </c>
      <c r="AK145" s="56">
        <f>'[2]Изложницы без бурта'!I145</f>
        <v>0</v>
      </c>
      <c r="AL145" s="56" t="s">
        <v>582</v>
      </c>
      <c r="AM145" s="56">
        <f>'[2]Изложницы без бурта'!K145</f>
        <v>0</v>
      </c>
      <c r="AR145" s="368">
        <v>622</v>
      </c>
      <c r="AS145" s="368">
        <v>575</v>
      </c>
      <c r="AT145" s="375">
        <v>645</v>
      </c>
      <c r="AU145" s="376">
        <v>570</v>
      </c>
      <c r="AV145" s="377">
        <v>700</v>
      </c>
      <c r="AW145" s="368">
        <v>400</v>
      </c>
      <c r="AX145" s="393" t="s">
        <v>528</v>
      </c>
    </row>
    <row r="146" spans="1:50" ht="15" thickBot="1" x14ac:dyDescent="0.3">
      <c r="A146" s="56">
        <v>10</v>
      </c>
      <c r="B146" s="325" t="s">
        <v>236</v>
      </c>
      <c r="C146" s="326" t="s">
        <v>251</v>
      </c>
      <c r="D146" s="326">
        <v>4.5</v>
      </c>
      <c r="E146" s="326" t="s">
        <v>250</v>
      </c>
      <c r="F146" s="327">
        <v>6.5</v>
      </c>
      <c r="H146" s="239"/>
      <c r="K146" s="913" t="b">
        <f>L143&lt;=A163</f>
        <v>0</v>
      </c>
      <c r="L146" s="914" t="b">
        <f>L143&lt;=A164</f>
        <v>0</v>
      </c>
      <c r="M146" s="914" t="b">
        <f>L143&lt;=A165</f>
        <v>0</v>
      </c>
      <c r="N146" s="914" t="b">
        <f>L143&lt;=A166</f>
        <v>0</v>
      </c>
      <c r="O146" s="914" t="b">
        <f>L143&lt;=A167</f>
        <v>1</v>
      </c>
      <c r="P146" s="914" t="b">
        <f>L143&lt;=A168</f>
        <v>1</v>
      </c>
      <c r="Q146" s="914" t="b">
        <f>L143&lt;=A169</f>
        <v>1</v>
      </c>
      <c r="R146" s="914" t="b">
        <f>L143&lt;=A170</f>
        <v>1</v>
      </c>
      <c r="S146" s="914" t="b">
        <f>L143&lt;=A171</f>
        <v>1</v>
      </c>
      <c r="T146" s="138"/>
      <c r="U146" s="138"/>
      <c r="V146" s="138"/>
      <c r="W146" s="138"/>
      <c r="X146" s="138"/>
      <c r="Y146" s="138"/>
      <c r="Z146" s="230"/>
      <c r="AB146" s="258">
        <f t="shared" si="3"/>
        <v>257.5</v>
      </c>
      <c r="AC146" s="259" t="str">
        <f>IF(COUNTIF(AD$78:AD146,AD146)=1,MAX(AC$78:AC145)+1,"")</f>
        <v/>
      </c>
      <c r="AD146" s="220">
        <f>'[2]Изложницы без бурта'!B146</f>
        <v>110</v>
      </c>
      <c r="AE146" s="220">
        <f>'[2]Изложницы без бурта'!C146</f>
        <v>260</v>
      </c>
      <c r="AF146" s="56">
        <f>'[2]Изложницы без бурта'!D146</f>
        <v>185</v>
      </c>
      <c r="AG146" s="56">
        <f>'[2]Изложницы без бурта'!E146</f>
        <v>320</v>
      </c>
      <c r="AH146" s="56" t="str">
        <f>'[2]Изложницы без бурта'!F146</f>
        <v>72.11868 - 5</v>
      </c>
      <c r="AI146" s="56">
        <f>'[2]Изложницы без бурта'!G146</f>
        <v>0</v>
      </c>
      <c r="AJ146" s="56">
        <f>'[2]Изложницы без бурта'!H146</f>
        <v>0</v>
      </c>
      <c r="AK146" s="56">
        <f>'[2]Изложницы без бурта'!I146</f>
        <v>0</v>
      </c>
      <c r="AL146" s="56" t="s">
        <v>582</v>
      </c>
      <c r="AM146" s="56">
        <f>'[2]Изложницы без бурта'!K146</f>
        <v>0</v>
      </c>
      <c r="AR146" s="368">
        <v>622</v>
      </c>
      <c r="AS146" s="369">
        <v>575</v>
      </c>
      <c r="AT146" s="375">
        <v>640</v>
      </c>
      <c r="AU146" s="376">
        <v>565</v>
      </c>
      <c r="AV146" s="377">
        <v>700</v>
      </c>
      <c r="AW146" s="368">
        <v>400</v>
      </c>
      <c r="AX146" s="393" t="s">
        <v>528</v>
      </c>
    </row>
    <row r="147" spans="1:50" ht="15" thickBot="1" x14ac:dyDescent="0.3">
      <c r="A147" s="56">
        <v>11</v>
      </c>
      <c r="B147" s="325" t="s">
        <v>237</v>
      </c>
      <c r="C147" s="326" t="s">
        <v>251</v>
      </c>
      <c r="D147" s="326">
        <v>5.3</v>
      </c>
      <c r="E147" s="326" t="s">
        <v>250</v>
      </c>
      <c r="F147" s="327">
        <v>7</v>
      </c>
      <c r="H147" s="239"/>
      <c r="K147" s="913" t="b">
        <f>$L144&lt;=$A163</f>
        <v>0</v>
      </c>
      <c r="L147" s="914" t="b">
        <f>$L144&lt;=$A164</f>
        <v>1</v>
      </c>
      <c r="M147" s="914" t="b">
        <f>$L144&lt;=$A165</f>
        <v>1</v>
      </c>
      <c r="N147" s="914" t="b">
        <f>$L144&lt;=$A166</f>
        <v>1</v>
      </c>
      <c r="O147" s="914" t="b">
        <f>$L144&lt;=$A167</f>
        <v>1</v>
      </c>
      <c r="P147" s="914" t="b">
        <f>$L144&lt;=$A168</f>
        <v>1</v>
      </c>
      <c r="Q147" s="914" t="b">
        <f>$L144&lt;=$A169</f>
        <v>1</v>
      </c>
      <c r="R147" s="914" t="b">
        <f>$L144&lt;=$A170</f>
        <v>1</v>
      </c>
      <c r="S147" s="914" t="b">
        <f>$L144&lt;=$A171</f>
        <v>1</v>
      </c>
      <c r="T147" s="138"/>
      <c r="U147" s="138"/>
      <c r="V147" s="138"/>
      <c r="W147" s="138"/>
      <c r="X147" s="138"/>
      <c r="Y147" s="138"/>
      <c r="Z147" s="230"/>
      <c r="AB147" s="258">
        <f t="shared" si="3"/>
        <v>260</v>
      </c>
      <c r="AC147" s="259" t="str">
        <f>IF(COUNTIF(AD$78:AD147,AD147)=1,MAX(AC$78:AC146)+1,"")</f>
        <v/>
      </c>
      <c r="AD147" s="220">
        <f>'[2]Изложницы без бурта'!B147</f>
        <v>110</v>
      </c>
      <c r="AE147" s="220">
        <f>'[2]Изложницы без бурта'!C147</f>
        <v>255</v>
      </c>
      <c r="AF147" s="56">
        <f>'[2]Изложницы без бурта'!D147</f>
        <v>185</v>
      </c>
      <c r="AG147" s="56">
        <f>'[2]Изложницы без бурта'!E147</f>
        <v>320</v>
      </c>
      <c r="AH147" s="56" t="str">
        <f>'[2]Изложницы без бурта'!F147</f>
        <v>72.11868 - 5</v>
      </c>
      <c r="AI147" s="56">
        <f>'[2]Изложницы без бурта'!G147</f>
        <v>0</v>
      </c>
      <c r="AJ147" s="56">
        <f>'[2]Изложницы без бурта'!H147</f>
        <v>0</v>
      </c>
      <c r="AK147" s="56">
        <f>'[2]Изложницы без бурта'!I147</f>
        <v>0</v>
      </c>
      <c r="AL147" s="56" t="s">
        <v>582</v>
      </c>
      <c r="AM147" s="56">
        <f>'[2]Изложницы без бурта'!K147</f>
        <v>0</v>
      </c>
      <c r="AR147" s="375">
        <v>620</v>
      </c>
      <c r="AS147" s="376">
        <v>580</v>
      </c>
      <c r="AT147" s="377">
        <v>638</v>
      </c>
      <c r="AU147" s="367">
        <v>583</v>
      </c>
      <c r="AV147" s="368">
        <v>670</v>
      </c>
      <c r="AW147" s="368">
        <v>400</v>
      </c>
      <c r="AX147" s="393" t="s">
        <v>529</v>
      </c>
    </row>
    <row r="148" spans="1:50" ht="15" thickBot="1" x14ac:dyDescent="0.3">
      <c r="A148" s="56">
        <v>12</v>
      </c>
      <c r="B148" s="325" t="s">
        <v>238</v>
      </c>
      <c r="C148" s="326" t="s">
        <v>251</v>
      </c>
      <c r="D148" s="326">
        <v>6.7</v>
      </c>
      <c r="E148" s="326" t="s">
        <v>250</v>
      </c>
      <c r="F148" s="327">
        <v>7.5</v>
      </c>
      <c r="H148" s="239"/>
      <c r="K148" s="913">
        <v>10</v>
      </c>
      <c r="L148" s="914">
        <v>20</v>
      </c>
      <c r="M148" s="914">
        <v>30</v>
      </c>
      <c r="N148" s="914">
        <v>50</v>
      </c>
      <c r="O148" s="914">
        <v>80</v>
      </c>
      <c r="P148" s="914">
        <v>120</v>
      </c>
      <c r="Q148" s="914">
        <v>150</v>
      </c>
      <c r="R148" s="914">
        <v>200</v>
      </c>
      <c r="S148" s="914">
        <v>300</v>
      </c>
      <c r="T148" s="138"/>
      <c r="U148" s="138"/>
      <c r="V148" s="138"/>
      <c r="W148" s="138"/>
      <c r="X148" s="138"/>
      <c r="Y148" s="138"/>
      <c r="Z148" s="230"/>
      <c r="AB148" s="258">
        <f t="shared" si="3"/>
        <v>262.5</v>
      </c>
      <c r="AC148" s="259" t="str">
        <f>IF(COUNTIF(AD$78:AD148,AD148)=1,MAX(AC$78:AC147)+1,"")</f>
        <v/>
      </c>
      <c r="AD148" s="220">
        <f>'[2]Изложницы без бурта'!B148</f>
        <v>110</v>
      </c>
      <c r="AE148" s="220">
        <f>'[2]Изложницы без бурта'!C148</f>
        <v>260</v>
      </c>
      <c r="AF148" s="56">
        <f>'[2]Изложницы без бурта'!D148</f>
        <v>185</v>
      </c>
      <c r="AG148" s="56">
        <f>'[2]Изложницы без бурта'!E148</f>
        <v>320</v>
      </c>
      <c r="AH148" s="56" t="str">
        <f>'[2]Изложницы без бурта'!F148</f>
        <v>72.11868 - 5</v>
      </c>
      <c r="AI148" s="56">
        <f>'[2]Изложницы без бурта'!G148</f>
        <v>0</v>
      </c>
      <c r="AJ148" s="56">
        <f>'[2]Изложницы без бурта'!H148</f>
        <v>0</v>
      </c>
      <c r="AK148" s="56">
        <f>'[2]Изложницы без бурта'!I148</f>
        <v>0</v>
      </c>
      <c r="AL148" s="56" t="s">
        <v>582</v>
      </c>
      <c r="AM148" s="56">
        <f>'[2]Изложницы без бурта'!K148</f>
        <v>0</v>
      </c>
      <c r="AR148" s="369">
        <v>620</v>
      </c>
      <c r="AS148" s="367">
        <v>590</v>
      </c>
      <c r="AT148" s="368">
        <v>643</v>
      </c>
      <c r="AU148" s="368">
        <v>588</v>
      </c>
      <c r="AV148" s="368">
        <v>670</v>
      </c>
      <c r="AW148" s="368">
        <v>400</v>
      </c>
      <c r="AX148" s="393" t="s">
        <v>530</v>
      </c>
    </row>
    <row r="149" spans="1:50" ht="14.4" customHeight="1" thickBot="1" x14ac:dyDescent="0.35">
      <c r="A149" s="56">
        <v>13</v>
      </c>
      <c r="B149" s="325" t="s">
        <v>239</v>
      </c>
      <c r="C149" s="326" t="s">
        <v>251</v>
      </c>
      <c r="D149" s="326">
        <v>7</v>
      </c>
      <c r="E149" s="326" t="s">
        <v>250</v>
      </c>
      <c r="F149" s="327">
        <v>8</v>
      </c>
      <c r="H149" s="321"/>
      <c r="K149" s="228"/>
      <c r="L149" s="138"/>
      <c r="M149" s="138"/>
      <c r="N149" s="138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230"/>
      <c r="AB149" s="258">
        <f t="shared" si="3"/>
        <v>265</v>
      </c>
      <c r="AC149" s="259" t="str">
        <f>IF(COUNTIF(AD$78:AD149,AD149)=1,MAX(AC$78:AC148)+1,"")</f>
        <v/>
      </c>
      <c r="AD149" s="220">
        <f>'[2]Изложницы без бурта'!B149</f>
        <v>110</v>
      </c>
      <c r="AE149" s="220">
        <f>'[2]Изложницы без бурта'!C149</f>
        <v>260</v>
      </c>
      <c r="AF149" s="56">
        <f>'[2]Изложницы без бурта'!D149</f>
        <v>185</v>
      </c>
      <c r="AG149" s="56">
        <f>'[2]Изложницы без бурта'!E149</f>
        <v>320</v>
      </c>
      <c r="AH149" s="56" t="str">
        <f>'[2]Изложницы без бурта'!F149</f>
        <v>72.11868 - 5</v>
      </c>
      <c r="AI149" s="56">
        <f>'[2]Изложницы без бурта'!G149</f>
        <v>0</v>
      </c>
      <c r="AJ149" s="56">
        <f>'[2]Изложницы без бурта'!H149</f>
        <v>0</v>
      </c>
      <c r="AK149" s="56">
        <f>'[2]Изложницы без бурта'!I149</f>
        <v>0</v>
      </c>
      <c r="AL149" s="56" t="s">
        <v>582</v>
      </c>
      <c r="AM149" s="56">
        <f>'[2]Изложницы без бурта'!K149</f>
        <v>0</v>
      </c>
      <c r="AR149" s="376">
        <v>667</v>
      </c>
      <c r="AS149" s="377">
        <v>615</v>
      </c>
      <c r="AT149" s="368">
        <v>490</v>
      </c>
      <c r="AU149" s="368">
        <v>400</v>
      </c>
      <c r="AV149" s="377">
        <v>700</v>
      </c>
      <c r="AW149" s="368">
        <v>400</v>
      </c>
      <c r="AX149" s="393" t="s">
        <v>567</v>
      </c>
    </row>
    <row r="150" spans="1:50" ht="15" customHeight="1" x14ac:dyDescent="0.3">
      <c r="A150" s="56">
        <v>14</v>
      </c>
      <c r="B150" s="325" t="s">
        <v>240</v>
      </c>
      <c r="C150" s="326" t="s">
        <v>251</v>
      </c>
      <c r="D150" s="326">
        <v>7</v>
      </c>
      <c r="E150" s="326" t="s">
        <v>250</v>
      </c>
      <c r="F150" s="327">
        <v>8.5</v>
      </c>
      <c r="H150" s="321"/>
      <c r="J150" s="316"/>
      <c r="K150" s="891"/>
      <c r="L150" s="239"/>
      <c r="M150" s="239"/>
      <c r="N150" s="239"/>
      <c r="O150" s="239"/>
      <c r="P150" s="239"/>
      <c r="Q150" s="239"/>
      <c r="R150" s="239"/>
      <c r="S150" s="138"/>
      <c r="T150" s="138"/>
      <c r="U150" s="138"/>
      <c r="V150" s="138"/>
      <c r="W150" s="138"/>
      <c r="X150" s="138"/>
      <c r="Y150" s="138"/>
      <c r="Z150" s="230"/>
      <c r="AB150" s="258">
        <f t="shared" si="3"/>
        <v>267.5</v>
      </c>
      <c r="AC150" s="259" t="str">
        <f>IF(COUNTIF(AD$78:AD150,AD150)=1,MAX(AC$78:AC149)+1,"")</f>
        <v/>
      </c>
      <c r="AD150" s="220">
        <f>'[2]Изложницы без бурта'!B150</f>
        <v>110</v>
      </c>
      <c r="AE150" s="220">
        <f>'[2]Изложницы без бурта'!C150</f>
        <v>260</v>
      </c>
      <c r="AF150" s="56">
        <f>'[2]Изложницы без бурта'!D150</f>
        <v>185</v>
      </c>
      <c r="AG150" s="56">
        <f>'[2]Изложницы без бурта'!E150</f>
        <v>320</v>
      </c>
      <c r="AH150" s="56" t="str">
        <f>'[2]Изложницы без бурта'!F150</f>
        <v>72.11868 - 5</v>
      </c>
      <c r="AI150" s="56">
        <f>'[2]Изложницы без бурта'!G150</f>
        <v>0</v>
      </c>
      <c r="AJ150" s="56">
        <f>'[2]Изложницы без бурта'!H150</f>
        <v>0</v>
      </c>
      <c r="AK150" s="56">
        <f>'[2]Изложницы без бурта'!I150</f>
        <v>0</v>
      </c>
      <c r="AL150" s="56" t="s">
        <v>582</v>
      </c>
      <c r="AM150" s="56">
        <f>'[2]Изложницы без бурта'!K150</f>
        <v>0</v>
      </c>
      <c r="AR150" s="367">
        <v>682</v>
      </c>
      <c r="AS150" s="368">
        <v>640</v>
      </c>
      <c r="AT150" s="368">
        <v>410</v>
      </c>
      <c r="AU150" s="368">
        <v>343</v>
      </c>
      <c r="AV150" s="377">
        <v>700</v>
      </c>
      <c r="AW150" s="368">
        <v>400</v>
      </c>
      <c r="AX150" s="393" t="s">
        <v>531</v>
      </c>
    </row>
    <row r="151" spans="1:50" ht="15" customHeight="1" x14ac:dyDescent="0.3">
      <c r="A151" s="56">
        <v>15</v>
      </c>
      <c r="B151" s="325" t="s">
        <v>241</v>
      </c>
      <c r="C151" s="326" t="s">
        <v>251</v>
      </c>
      <c r="D151" s="326">
        <v>7</v>
      </c>
      <c r="E151" s="326" t="s">
        <v>251</v>
      </c>
      <c r="F151" s="327">
        <v>9</v>
      </c>
      <c r="H151" s="321"/>
      <c r="J151" s="316"/>
      <c r="K151" s="892"/>
      <c r="L151" s="893"/>
      <c r="M151" s="893"/>
      <c r="N151" s="893"/>
      <c r="O151" s="893"/>
      <c r="P151" s="893"/>
      <c r="Q151" s="239"/>
      <c r="R151" s="239"/>
      <c r="S151" s="138"/>
      <c r="T151" s="138"/>
      <c r="U151" s="138"/>
      <c r="V151" s="138"/>
      <c r="W151" s="138"/>
      <c r="X151" s="138"/>
      <c r="Y151" s="138"/>
      <c r="Z151" s="230"/>
      <c r="AB151" s="258">
        <f t="shared" si="3"/>
        <v>270</v>
      </c>
      <c r="AC151" s="259" t="str">
        <f>IF(COUNTIF(AD$78:AD151,AD151)=1,MAX(AC$78:AC150)+1,"")</f>
        <v/>
      </c>
      <c r="AD151" s="220">
        <f>'[2]Изложницы без бурта'!B151</f>
        <v>110</v>
      </c>
      <c r="AE151" s="220">
        <f>'[2]Изложницы без бурта'!C151</f>
        <v>250</v>
      </c>
      <c r="AF151" s="56">
        <f>'[2]Изложницы без бурта'!D151</f>
        <v>185</v>
      </c>
      <c r="AG151" s="56">
        <f>'[2]Изложницы без бурта'!E151</f>
        <v>320</v>
      </c>
      <c r="AH151" s="56" t="str">
        <f>'[2]Изложницы без бурта'!F151</f>
        <v>72.11868 - 5</v>
      </c>
      <c r="AI151" s="56">
        <f>'[2]Изложницы без бурта'!G151</f>
        <v>0</v>
      </c>
      <c r="AJ151" s="56">
        <f>'[2]Изложницы без бурта'!H151</f>
        <v>0</v>
      </c>
      <c r="AK151" s="56">
        <f>'[2]Изложницы без бурта'!I151</f>
        <v>0</v>
      </c>
      <c r="AL151" s="56" t="s">
        <v>582</v>
      </c>
      <c r="AM151" s="56">
        <f>'[2]Изложницы без бурта'!K151</f>
        <v>0</v>
      </c>
    </row>
    <row r="152" spans="1:50" ht="14.4" customHeight="1" x14ac:dyDescent="0.3">
      <c r="A152" s="56">
        <v>16</v>
      </c>
      <c r="B152" s="325" t="s">
        <v>242</v>
      </c>
      <c r="C152" s="326" t="s">
        <v>251</v>
      </c>
      <c r="D152" s="326">
        <v>7</v>
      </c>
      <c r="E152" s="326" t="s">
        <v>251</v>
      </c>
      <c r="F152" s="327">
        <v>9.5</v>
      </c>
      <c r="H152" s="321"/>
      <c r="J152" s="316"/>
      <c r="K152" s="891"/>
      <c r="L152" s="239"/>
      <c r="M152" s="239"/>
      <c r="N152" s="239"/>
      <c r="O152" s="239"/>
      <c r="P152" s="239"/>
      <c r="Q152" s="239"/>
      <c r="R152" s="239"/>
      <c r="S152" s="138"/>
      <c r="T152" s="138"/>
      <c r="U152" s="138"/>
      <c r="V152" s="138"/>
      <c r="W152" s="138"/>
      <c r="X152" s="138"/>
      <c r="Y152" s="138"/>
      <c r="Z152" s="230"/>
      <c r="AB152" s="258">
        <f t="shared" si="3"/>
        <v>275</v>
      </c>
      <c r="AC152" s="259" t="str">
        <f>IF(COUNTIF(AD$78:AD152,AD152)=1,MAX(AC$78:AC151)+1,"")</f>
        <v/>
      </c>
      <c r="AD152" s="220">
        <f>'[2]Изложницы без бурта'!B152</f>
        <v>110</v>
      </c>
      <c r="AE152" s="220">
        <f>'[2]Изложницы без бурта'!C152</f>
        <v>260</v>
      </c>
      <c r="AF152" s="56">
        <f>'[2]Изложницы без бурта'!D152</f>
        <v>185</v>
      </c>
      <c r="AG152" s="56">
        <f>'[2]Изложницы без бурта'!E152</f>
        <v>320</v>
      </c>
      <c r="AH152" s="56" t="str">
        <f>'[2]Изложницы без бурта'!F152</f>
        <v>72.11868 - 5</v>
      </c>
      <c r="AI152" s="56">
        <f>'[2]Изложницы без бурта'!G152</f>
        <v>0</v>
      </c>
      <c r="AJ152" s="56">
        <f>'[2]Изложницы без бурта'!H152</f>
        <v>0</v>
      </c>
      <c r="AK152" s="56">
        <f>'[2]Изложницы без бурта'!I152</f>
        <v>0</v>
      </c>
      <c r="AL152" s="56" t="s">
        <v>582</v>
      </c>
      <c r="AM152" s="56">
        <f>'[2]Изложницы без бурта'!K152</f>
        <v>0</v>
      </c>
    </row>
    <row r="153" spans="1:50" x14ac:dyDescent="0.25">
      <c r="A153" s="56">
        <v>17</v>
      </c>
      <c r="B153" s="325" t="s">
        <v>243</v>
      </c>
      <c r="C153" s="326" t="s">
        <v>251</v>
      </c>
      <c r="D153" s="326">
        <v>7</v>
      </c>
      <c r="E153" s="326" t="s">
        <v>251</v>
      </c>
      <c r="F153" s="327">
        <v>11</v>
      </c>
      <c r="H153" s="239"/>
      <c r="J153" s="316"/>
      <c r="K153" s="891"/>
      <c r="L153" s="239"/>
      <c r="M153" s="239"/>
      <c r="N153" s="239"/>
      <c r="O153" s="239"/>
      <c r="P153" s="239"/>
      <c r="Q153" s="239"/>
      <c r="R153" s="239"/>
      <c r="S153" s="138"/>
      <c r="T153" s="138"/>
      <c r="U153" s="138"/>
      <c r="V153" s="138"/>
      <c r="W153" s="138"/>
      <c r="X153" s="138"/>
      <c r="Y153" s="138"/>
      <c r="Z153" s="230"/>
      <c r="AB153" s="258">
        <f t="shared" si="3"/>
        <v>277.5</v>
      </c>
      <c r="AC153" s="259" t="str">
        <f>IF(COUNTIF(AD$78:AD153,AD153)=1,MAX(AC$78:AC152)+1,"")</f>
        <v/>
      </c>
      <c r="AD153" s="220">
        <f>'[2]Изложницы без бурта'!B153</f>
        <v>110</v>
      </c>
      <c r="AE153" s="220">
        <f>'[2]Изложницы без бурта'!C153</f>
        <v>257</v>
      </c>
      <c r="AF153" s="56">
        <f>'[2]Изложницы без бурта'!D153</f>
        <v>185</v>
      </c>
      <c r="AG153" s="56">
        <f>'[2]Изложницы без бурта'!E153</f>
        <v>320</v>
      </c>
      <c r="AH153" s="56" t="str">
        <f>'[2]Изложницы без бурта'!F153</f>
        <v>72.11868 - 5</v>
      </c>
      <c r="AI153" s="56">
        <f>'[2]Изложницы без бурта'!G153</f>
        <v>0</v>
      </c>
      <c r="AJ153" s="56">
        <f>'[2]Изложницы без бурта'!H153</f>
        <v>0</v>
      </c>
      <c r="AK153" s="56">
        <f>'[2]Изложницы без бурта'!I153</f>
        <v>0</v>
      </c>
      <c r="AL153" s="56" t="s">
        <v>582</v>
      </c>
      <c r="AM153" s="56">
        <f>'[2]Изложницы без бурта'!K153</f>
        <v>0</v>
      </c>
    </row>
    <row r="154" spans="1:50" ht="14.4" thickBot="1" x14ac:dyDescent="0.3">
      <c r="A154" s="56">
        <v>18</v>
      </c>
      <c r="B154" s="328" t="s">
        <v>244</v>
      </c>
      <c r="C154" s="329" t="s">
        <v>251</v>
      </c>
      <c r="D154" s="329">
        <v>7</v>
      </c>
      <c r="E154" s="329" t="s">
        <v>251</v>
      </c>
      <c r="F154" s="330">
        <v>11</v>
      </c>
      <c r="J154" s="316"/>
      <c r="K154" s="894"/>
      <c r="L154" s="895"/>
      <c r="M154" s="895"/>
      <c r="N154" s="895"/>
      <c r="O154" s="895"/>
      <c r="P154" s="895"/>
      <c r="Q154" s="895"/>
      <c r="R154" s="895"/>
      <c r="S154" s="312"/>
      <c r="T154" s="312"/>
      <c r="U154" s="312"/>
      <c r="V154" s="312"/>
      <c r="W154" s="312"/>
      <c r="X154" s="312"/>
      <c r="Y154" s="312"/>
      <c r="Z154" s="314"/>
      <c r="AB154" s="258">
        <f t="shared" si="3"/>
        <v>280</v>
      </c>
      <c r="AC154" s="259" t="str">
        <f>IF(COUNTIF(AD$78:AD154,AD154)=1,MAX(AC$78:AC153)+1,"")</f>
        <v/>
      </c>
      <c r="AD154" s="220">
        <f>'[2]Изложницы без бурта'!B154</f>
        <v>110</v>
      </c>
      <c r="AE154" s="220">
        <f>'[2]Изложницы без бурта'!C154</f>
        <v>260</v>
      </c>
      <c r="AF154" s="56">
        <f>'[2]Изложницы без бурта'!D154</f>
        <v>185</v>
      </c>
      <c r="AG154" s="56">
        <f>'[2]Изложницы без бурта'!E154</f>
        <v>320</v>
      </c>
      <c r="AH154" s="56" t="str">
        <f>'[2]Изложницы без бурта'!F154</f>
        <v>72.11868 - 5</v>
      </c>
      <c r="AI154" s="56">
        <f>'[2]Изложницы без бурта'!G154</f>
        <v>0</v>
      </c>
      <c r="AJ154" s="56">
        <f>'[2]Изложницы без бурта'!H154</f>
        <v>0</v>
      </c>
      <c r="AK154" s="56">
        <f>'[2]Изложницы без бурта'!I154</f>
        <v>0</v>
      </c>
      <c r="AL154" s="56" t="s">
        <v>582</v>
      </c>
      <c r="AM154" s="56">
        <f>'[2]Изложницы без бурта'!K154</f>
        <v>0</v>
      </c>
    </row>
    <row r="155" spans="1:50" ht="14.4" thickBot="1" x14ac:dyDescent="0.3">
      <c r="J155" s="316"/>
      <c r="K155" s="316"/>
      <c r="L155" s="316"/>
      <c r="M155" s="316"/>
      <c r="N155" s="316"/>
      <c r="O155" s="316"/>
      <c r="P155" s="316"/>
      <c r="Q155" s="316"/>
      <c r="R155" s="316"/>
      <c r="AB155" s="258">
        <f t="shared" ref="AB155:AB201" si="4">IF(MAX(AC155:AC1232)&lt;ROW(77:77),"",VLOOKUP(ROW(77:77),AC155:AD1232,2))</f>
        <v>282.5</v>
      </c>
      <c r="AC155" s="259" t="str">
        <f>IF(COUNTIF(AD$78:AD155,AD155)=1,MAX(AC$78:AC154)+1,"")</f>
        <v/>
      </c>
      <c r="AD155" s="220">
        <f>'[2]Изложницы без бурта'!B155</f>
        <v>110</v>
      </c>
      <c r="AE155" s="220">
        <f>'[2]Изложницы без бурта'!C155</f>
        <v>260</v>
      </c>
      <c r="AF155" s="56">
        <f>'[2]Изложницы без бурта'!D155</f>
        <v>185</v>
      </c>
      <c r="AG155" s="56">
        <f>'[2]Изложницы без бурта'!E155</f>
        <v>320</v>
      </c>
      <c r="AH155" s="56" t="str">
        <f>'[2]Изложницы без бурта'!F155</f>
        <v>72.11868 - 5</v>
      </c>
      <c r="AI155" s="56">
        <f>'[2]Изложницы без бурта'!G155</f>
        <v>0</v>
      </c>
      <c r="AJ155" s="56">
        <f>'[2]Изложницы без бурта'!H155</f>
        <v>0</v>
      </c>
      <c r="AK155" s="56">
        <f>'[2]Изложницы без бурта'!I155</f>
        <v>0</v>
      </c>
      <c r="AL155" s="56" t="s">
        <v>582</v>
      </c>
      <c r="AM155" s="56">
        <f>'[2]Изложницы без бурта'!K155</f>
        <v>0</v>
      </c>
    </row>
    <row r="156" spans="1:50" x14ac:dyDescent="0.25">
      <c r="K156" s="217"/>
      <c r="L156" s="218"/>
      <c r="M156" s="218"/>
      <c r="N156" s="218"/>
      <c r="O156" s="218"/>
      <c r="P156" s="218"/>
      <c r="Q156" s="218">
        <f ca="1">(цб!N18-цб!N19)/2</f>
        <v>93.541666666666686</v>
      </c>
      <c r="R156" s="907" t="b">
        <v>0</v>
      </c>
      <c r="S156" s="219"/>
      <c r="AB156" s="258">
        <f t="shared" si="4"/>
        <v>285</v>
      </c>
      <c r="AC156" s="259" t="str">
        <f>IF(COUNTIF(AD$78:AD156,AD156)=1,MAX(AC$78:AC155)+1,"")</f>
        <v/>
      </c>
      <c r="AD156" s="220">
        <f>'[2]Изложницы без бурта'!B156</f>
        <v>110</v>
      </c>
      <c r="AE156" s="220">
        <f>'[2]Изложницы без бурта'!C156</f>
        <v>255</v>
      </c>
      <c r="AF156" s="56">
        <f>'[2]Изложницы без бурта'!D156</f>
        <v>185</v>
      </c>
      <c r="AG156" s="56">
        <f>'[2]Изложницы без бурта'!E156</f>
        <v>320</v>
      </c>
      <c r="AH156" s="56" t="str">
        <f>'[2]Изложницы без бурта'!F156</f>
        <v>72.11868 - 5</v>
      </c>
      <c r="AI156" s="56">
        <f>'[2]Изложницы без бурта'!G156</f>
        <v>0</v>
      </c>
      <c r="AJ156" s="56">
        <f>'[2]Изложницы без бурта'!H156</f>
        <v>0</v>
      </c>
      <c r="AK156" s="56">
        <f>'[2]Изложницы без бурта'!I156</f>
        <v>0</v>
      </c>
      <c r="AL156" s="56" t="s">
        <v>582</v>
      </c>
      <c r="AM156" s="56">
        <f>'[2]Изложницы без бурта'!K156</f>
        <v>0</v>
      </c>
    </row>
    <row r="157" spans="1:50" x14ac:dyDescent="0.25">
      <c r="A157" s="331" t="s">
        <v>321</v>
      </c>
      <c r="D157" s="246" t="s">
        <v>396</v>
      </c>
      <c r="E157" s="332">
        <f>IF(OR(цб!N8=7.5,цб!N8=7.6,цб!N8=7.7,цб!N8=7.8,цб!N8=7.9,цб!N8=8,цб!N8=8.1),1,IF(цб!N8=8.5,2,3))</f>
        <v>3</v>
      </c>
      <c r="K157" s="891"/>
      <c r="L157" s="239"/>
      <c r="M157" s="239"/>
      <c r="N157" s="138"/>
      <c r="O157" s="138"/>
      <c r="P157" s="138"/>
      <c r="Q157" s="138"/>
      <c r="R157" s="138"/>
      <c r="S157" s="230"/>
      <c r="AB157" s="258">
        <f t="shared" si="4"/>
        <v>287.5</v>
      </c>
      <c r="AC157" s="259" t="str">
        <f>IF(COUNTIF(AD$78:AD157,AD157)=1,MAX(AC$78:AC156)+1,"")</f>
        <v/>
      </c>
      <c r="AD157" s="220">
        <f>'[2]Изложницы без бурта'!B157</f>
        <v>110</v>
      </c>
      <c r="AE157" s="220">
        <f>'[2]Изложницы без бурта'!C157</f>
        <v>255</v>
      </c>
      <c r="AF157" s="56">
        <f>'[2]Изложницы без бурта'!D157</f>
        <v>185</v>
      </c>
      <c r="AG157" s="56">
        <f>'[2]Изложницы без бурта'!E157</f>
        <v>320</v>
      </c>
      <c r="AH157" s="56" t="str">
        <f>'[2]Изложницы без бурта'!F157</f>
        <v>72.11868 - 5</v>
      </c>
      <c r="AI157" s="56">
        <f>'[2]Изложницы без бурта'!G157</f>
        <v>0</v>
      </c>
      <c r="AJ157" s="56">
        <f>'[2]Изложницы без бурта'!H157</f>
        <v>0</v>
      </c>
      <c r="AK157" s="56">
        <f>'[2]Изложницы без бурта'!I157</f>
        <v>0</v>
      </c>
      <c r="AL157" s="56" t="s">
        <v>582</v>
      </c>
      <c r="AM157" s="56">
        <f>'[2]Изложницы без бурта'!K157</f>
        <v>0</v>
      </c>
    </row>
    <row r="158" spans="1:50" ht="14.4" thickBot="1" x14ac:dyDescent="0.3">
      <c r="A158" s="333" t="s">
        <v>322</v>
      </c>
      <c r="K158" s="1723" t="s">
        <v>383</v>
      </c>
      <c r="L158" s="1724"/>
      <c r="M158" s="1724"/>
      <c r="N158" s="1724"/>
      <c r="O158" s="1724"/>
      <c r="P158" s="1724"/>
      <c r="Q158" s="908"/>
      <c r="R158" s="138"/>
      <c r="S158" s="908">
        <f ca="1">IF(R156=TRUE,32,((цб!N25*0.985-2*M167)-цб!N5)/2)</f>
        <v>33.625</v>
      </c>
      <c r="T158" s="239"/>
      <c r="U158" s="239"/>
      <c r="V158" s="239"/>
      <c r="AB158" s="258">
        <f t="shared" si="4"/>
        <v>290</v>
      </c>
      <c r="AC158" s="259">
        <f>IF(COUNTIF(AD$78:AD158,AD158)=1,MAX(AC$78:AC157)+1,"")</f>
        <v>11</v>
      </c>
      <c r="AD158" s="220">
        <f>'[2]Изложницы без бурта'!B158</f>
        <v>112.5</v>
      </c>
      <c r="AE158" s="220">
        <f>'[2]Изложницы без бурта'!C158</f>
        <v>320</v>
      </c>
      <c r="AF158" s="56">
        <f>'[2]Изложницы без бурта'!D158</f>
        <v>140</v>
      </c>
      <c r="AG158" s="56">
        <f>'[2]Изложницы без бурта'!E158</f>
        <v>115</v>
      </c>
      <c r="AH158" s="56" t="str">
        <f>'[2]Изложницы без бурта'!F158</f>
        <v>72.11869 - 6</v>
      </c>
      <c r="AI158" s="56" t="str">
        <f>'[2]Изложницы без бурта'!G158</f>
        <v>В наличии только один кокиль</v>
      </c>
      <c r="AJ158" s="56" t="str">
        <f>'[2]Изложницы без бурта'!H158</f>
        <v>6 шт. - 5 новых, 1 старый</v>
      </c>
      <c r="AK158" s="56">
        <f>'[2]Изложницы без бурта'!I158</f>
        <v>0</v>
      </c>
      <c r="AL158" s="56" t="s">
        <v>583</v>
      </c>
      <c r="AM158" s="56">
        <f>'[2]Изложницы без бурта'!K158</f>
        <v>45070</v>
      </c>
    </row>
    <row r="159" spans="1:50" ht="16.2" thickBot="1" x14ac:dyDescent="0.35">
      <c r="A159" s="56" t="s">
        <v>334</v>
      </c>
      <c r="K159" s="910" t="s">
        <v>384</v>
      </c>
      <c r="L159" s="908">
        <f>HLOOKUP(TRUE,K161:S162,2,FALSE)</f>
        <v>80</v>
      </c>
      <c r="M159" s="908" t="s">
        <v>391</v>
      </c>
      <c r="N159" s="908">
        <f>_xlfn.IFS(цб!N4&lt;=100,B161,AND(цб!N4&gt;=101,цб!N4&lt;201),C161,AND(цб!N4&gt;=201,цб!N4&lt;301),D161,AND(цб!N4&gt;=301,цб!N4&lt;401),E161,AND(цб!N4&gt;=401,цб!N4&lt;501),F161,AND(цб!N4&gt;=501,цб!N4&lt;601),G161,AND(цб!N4&gt;=601,цб!N4&lt;701),H161)</f>
        <v>700</v>
      </c>
      <c r="O159" s="908">
        <f>N159/100+1</f>
        <v>8</v>
      </c>
      <c r="P159" s="1010" t="s">
        <v>401</v>
      </c>
      <c r="Q159" s="1011">
        <f>IF(R156=TRUE,32,((цб!N4-цб!N5)/2))</f>
        <v>51</v>
      </c>
      <c r="R159" s="1012"/>
      <c r="S159" s="909"/>
      <c r="T159" s="455"/>
      <c r="U159" s="455"/>
      <c r="V159" s="239"/>
      <c r="AB159" s="258">
        <f t="shared" si="4"/>
        <v>292.5</v>
      </c>
      <c r="AC159" s="259" t="str">
        <f>IF(COUNTIF(AD$78:AD159,AD159)=1,MAX(AC$78:AC158)+1,"")</f>
        <v/>
      </c>
      <c r="AD159" s="220">
        <f>'[2]Изложницы без бурта'!B159</f>
        <v>112.5</v>
      </c>
      <c r="AE159" s="220">
        <f>'[2]Изложницы без бурта'!C159</f>
        <v>315</v>
      </c>
      <c r="AF159" s="56">
        <f>'[2]Изложницы без бурта'!D159</f>
        <v>185</v>
      </c>
      <c r="AG159" s="56">
        <f>'[2]Изложницы без бурта'!E159</f>
        <v>320</v>
      </c>
      <c r="AH159" s="56" t="str">
        <f>'[2]Изложницы без бурта'!F159</f>
        <v>72.11869 - 6</v>
      </c>
      <c r="AI159" s="56">
        <f>'[2]Изложницы без бурта'!G159</f>
        <v>0</v>
      </c>
      <c r="AJ159" s="56" t="str">
        <f>'[2]Изложницы без бурта'!H159</f>
        <v>длиной 320 мм</v>
      </c>
      <c r="AK159" s="56">
        <f>'[2]Изложницы без бурта'!I159</f>
        <v>0</v>
      </c>
      <c r="AL159" s="56" t="s">
        <v>583</v>
      </c>
      <c r="AM159" s="56">
        <f>'[2]Изложницы без бурта'!K159</f>
        <v>0</v>
      </c>
    </row>
    <row r="160" spans="1:50" x14ac:dyDescent="0.25">
      <c r="A160" s="138"/>
      <c r="B160" s="138"/>
      <c r="C160" s="138"/>
      <c r="D160" s="138"/>
      <c r="E160" s="138"/>
      <c r="F160" s="138"/>
      <c r="G160" s="138"/>
      <c r="H160" s="138"/>
      <c r="K160" s="910" t="s">
        <v>390</v>
      </c>
      <c r="L160" s="908">
        <f ca="1">IF(Q160&lt;60,1,1.3)</f>
        <v>1.3</v>
      </c>
      <c r="M160" s="908"/>
      <c r="N160" s="908"/>
      <c r="O160" s="908"/>
      <c r="P160" s="908" t="s">
        <v>402</v>
      </c>
      <c r="Q160" s="908">
        <f ca="1">IF(R156=TRUE,32,(цб!N25*0.99-цб!N19)/2)</f>
        <v>89.350000000000023</v>
      </c>
      <c r="R160" s="785"/>
      <c r="S160" s="909"/>
      <c r="T160" s="239"/>
      <c r="U160" s="239"/>
      <c r="V160" s="239"/>
      <c r="AB160" s="258">
        <f t="shared" si="4"/>
        <v>295</v>
      </c>
      <c r="AC160" s="259" t="str">
        <f>IF(COUNTIF(AD$78:AD160,AD160)=1,MAX(AC$78:AC159)+1,"")</f>
        <v/>
      </c>
      <c r="AD160" s="220">
        <f>'[2]Изложницы без бурта'!B160</f>
        <v>112.5</v>
      </c>
      <c r="AE160" s="220">
        <f>'[2]Изложницы без бурта'!C160</f>
        <v>320</v>
      </c>
      <c r="AF160" s="56">
        <f>'[2]Изложницы без бурта'!D160</f>
        <v>140</v>
      </c>
      <c r="AG160" s="56">
        <f>'[2]Изложницы без бурта'!E160</f>
        <v>115</v>
      </c>
      <c r="AH160" s="56" t="str">
        <f>'[2]Изложницы без бурта'!F160</f>
        <v>72.11869 - 6</v>
      </c>
      <c r="AI160" s="56">
        <f>'[2]Изложницы без бурта'!G160</f>
        <v>0</v>
      </c>
      <c r="AJ160" s="56">
        <f>'[2]Изложницы без бурта'!H160</f>
        <v>0</v>
      </c>
      <c r="AK160" s="56">
        <f>'[2]Изложницы без бурта'!I160</f>
        <v>0</v>
      </c>
      <c r="AL160" s="56" t="s">
        <v>583</v>
      </c>
      <c r="AM160" s="56">
        <f>'[2]Изложницы без бурта'!K160</f>
        <v>0</v>
      </c>
    </row>
    <row r="161" spans="1:39" x14ac:dyDescent="0.25">
      <c r="A161" s="334"/>
      <c r="B161" s="335">
        <v>100</v>
      </c>
      <c r="C161" s="335">
        <v>200</v>
      </c>
      <c r="D161" s="335">
        <v>300</v>
      </c>
      <c r="E161" s="335">
        <v>400</v>
      </c>
      <c r="F161" s="335">
        <v>500</v>
      </c>
      <c r="G161" s="335">
        <v>600</v>
      </c>
      <c r="H161" s="336">
        <v>700</v>
      </c>
      <c r="K161" s="228" t="b">
        <f>Q159&lt;=A163</f>
        <v>0</v>
      </c>
      <c r="L161" s="138" t="b">
        <f>Q159&lt;=A164</f>
        <v>0</v>
      </c>
      <c r="M161" s="138" t="b">
        <f>Q159&lt;=A165</f>
        <v>0</v>
      </c>
      <c r="N161" s="138" t="b">
        <f>Q159&lt;=A166</f>
        <v>0</v>
      </c>
      <c r="O161" s="138" t="b">
        <f>Q159&lt;=A167</f>
        <v>1</v>
      </c>
      <c r="P161" s="138" t="b">
        <f>Q159&lt;=A168</f>
        <v>1</v>
      </c>
      <c r="Q161" s="138" t="b">
        <f>Q159&lt;=A169</f>
        <v>1</v>
      </c>
      <c r="R161" s="138" t="b">
        <f>Q159&lt;=A170</f>
        <v>1</v>
      </c>
      <c r="S161" s="909" t="b">
        <f>Q159&lt;=A171</f>
        <v>1</v>
      </c>
      <c r="T161" s="239"/>
      <c r="U161" s="239"/>
      <c r="V161" s="239"/>
      <c r="AB161" s="258">
        <f t="shared" si="4"/>
        <v>297.5</v>
      </c>
      <c r="AC161" s="259" t="str">
        <f>IF(COUNTIF(AD$78:AD161,AD161)=1,MAX(AC$78:AC160)+1,"")</f>
        <v/>
      </c>
      <c r="AD161" s="220">
        <f>'[2]Изложницы без бурта'!B161</f>
        <v>112.5</v>
      </c>
      <c r="AE161" s="220">
        <f>'[2]Изложницы без бурта'!C161</f>
        <v>255</v>
      </c>
      <c r="AF161" s="56">
        <f>'[2]Изложницы без бурта'!D161</f>
        <v>185</v>
      </c>
      <c r="AG161" s="56">
        <f>'[2]Изложницы без бурта'!E161</f>
        <v>320</v>
      </c>
      <c r="AH161" s="56" t="str">
        <f>'[2]Изложницы без бурта'!F161</f>
        <v>72.11868 - 6</v>
      </c>
      <c r="AI161" s="56">
        <f>'[2]Изложницы без бурта'!G161</f>
        <v>0</v>
      </c>
      <c r="AJ161" s="56">
        <f>'[2]Изложницы без бурта'!H161</f>
        <v>0</v>
      </c>
      <c r="AK161" s="56">
        <f>'[2]Изложницы без бурта'!I161</f>
        <v>0</v>
      </c>
      <c r="AL161" s="56" t="s">
        <v>583</v>
      </c>
      <c r="AM161" s="56">
        <f>'[2]Изложницы без бурта'!K161</f>
        <v>0</v>
      </c>
    </row>
    <row r="162" spans="1:39" ht="14.4" thickBot="1" x14ac:dyDescent="0.3">
      <c r="A162" s="334">
        <v>0</v>
      </c>
      <c r="B162" s="335">
        <v>3.5</v>
      </c>
      <c r="C162" s="335">
        <v>4.5</v>
      </c>
      <c r="D162" s="335">
        <v>5.5</v>
      </c>
      <c r="E162" s="335">
        <v>6.5</v>
      </c>
      <c r="F162" s="335">
        <v>7.5</v>
      </c>
      <c r="G162" s="335">
        <v>10</v>
      </c>
      <c r="H162" s="336">
        <v>10</v>
      </c>
      <c r="K162" s="311">
        <v>10</v>
      </c>
      <c r="L162" s="312">
        <v>20</v>
      </c>
      <c r="M162" s="312">
        <v>30</v>
      </c>
      <c r="N162" s="312">
        <v>50</v>
      </c>
      <c r="O162" s="312">
        <v>80</v>
      </c>
      <c r="P162" s="312">
        <v>120</v>
      </c>
      <c r="Q162" s="312">
        <v>150</v>
      </c>
      <c r="R162" s="312">
        <v>200</v>
      </c>
      <c r="S162" s="314">
        <v>300</v>
      </c>
      <c r="AB162" s="258">
        <f t="shared" si="4"/>
        <v>300</v>
      </c>
      <c r="AC162" s="259" t="str">
        <f>IF(COUNTIF(AD$78:AD162,AD162)=1,MAX(AC$78:AC161)+1,"")</f>
        <v/>
      </c>
      <c r="AD162" s="220">
        <f>'[2]Изложницы без бурта'!B162</f>
        <v>112.5</v>
      </c>
      <c r="AE162" s="220">
        <f>'[2]Изложницы без бурта'!C162</f>
        <v>260</v>
      </c>
      <c r="AF162" s="56">
        <f>'[2]Изложницы без бурта'!D162</f>
        <v>185</v>
      </c>
      <c r="AG162" s="56">
        <f>'[2]Изложницы без бурта'!E162</f>
        <v>320</v>
      </c>
      <c r="AH162" s="56" t="str">
        <f>'[2]Изложницы без бурта'!F162</f>
        <v>72.11868 - 6</v>
      </c>
      <c r="AI162" s="56">
        <f>'[2]Изложницы без бурта'!G162</f>
        <v>0</v>
      </c>
      <c r="AJ162" s="56">
        <f>'[2]Изложницы без бурта'!H162</f>
        <v>0</v>
      </c>
      <c r="AK162" s="56">
        <f>'[2]Изложницы без бурта'!I162</f>
        <v>0</v>
      </c>
      <c r="AL162" s="56" t="s">
        <v>583</v>
      </c>
      <c r="AM162" s="56">
        <f>'[2]Изложницы без бурта'!K162</f>
        <v>0</v>
      </c>
    </row>
    <row r="163" spans="1:39" x14ac:dyDescent="0.25">
      <c r="A163" s="334">
        <v>10</v>
      </c>
      <c r="B163" s="336">
        <v>4</v>
      </c>
      <c r="C163" s="335">
        <v>5</v>
      </c>
      <c r="D163" s="334">
        <v>6</v>
      </c>
      <c r="E163" s="334">
        <v>7.5</v>
      </c>
      <c r="F163" s="334">
        <v>8</v>
      </c>
      <c r="G163" s="334">
        <v>10</v>
      </c>
      <c r="H163" s="336">
        <v>10</v>
      </c>
      <c r="AB163" s="258">
        <f t="shared" si="4"/>
        <v>302.5</v>
      </c>
      <c r="AC163" s="259" t="str">
        <f>IF(COUNTIF(AD$78:AD163,AD163)=1,MAX(AC$78:AC162)+1,"")</f>
        <v/>
      </c>
      <c r="AD163" s="220">
        <f>'[2]Изложницы без бурта'!B163</f>
        <v>112.5</v>
      </c>
      <c r="AE163" s="220">
        <f>'[2]Изложницы без бурта'!C163</f>
        <v>255</v>
      </c>
      <c r="AF163" s="56">
        <f>'[2]Изложницы без бурта'!D163</f>
        <v>185</v>
      </c>
      <c r="AG163" s="56">
        <f>'[2]Изложницы без бурта'!E163</f>
        <v>320</v>
      </c>
      <c r="AH163" s="56" t="str">
        <f>'[2]Изложницы без бурта'!F163</f>
        <v>72.11868 - 6</v>
      </c>
      <c r="AI163" s="56">
        <f>'[2]Изложницы без бурта'!G163</f>
        <v>0</v>
      </c>
      <c r="AJ163" s="56">
        <f>'[2]Изложницы без бурта'!H163</f>
        <v>0</v>
      </c>
      <c r="AK163" s="56">
        <f>'[2]Изложницы без бурта'!I163</f>
        <v>0</v>
      </c>
      <c r="AL163" s="56" t="s">
        <v>583</v>
      </c>
      <c r="AM163" s="56">
        <f>'[2]Изложницы без бурта'!K163</f>
        <v>0</v>
      </c>
    </row>
    <row r="164" spans="1:39" x14ac:dyDescent="0.25">
      <c r="A164" s="334">
        <v>20</v>
      </c>
      <c r="B164" s="335">
        <v>7</v>
      </c>
      <c r="C164" s="334">
        <v>8</v>
      </c>
      <c r="D164" s="334">
        <v>10</v>
      </c>
      <c r="E164" s="334">
        <v>11.5</v>
      </c>
      <c r="F164" s="334">
        <v>12.5</v>
      </c>
      <c r="G164" s="334">
        <v>14</v>
      </c>
      <c r="H164" s="336">
        <v>14</v>
      </c>
      <c r="AB164" s="258">
        <f t="shared" si="4"/>
        <v>305</v>
      </c>
      <c r="AC164" s="259" t="str">
        <f>IF(COUNTIF(AD$78:AD164,AD164)=1,MAX(AC$78:AC163)+1,"")</f>
        <v/>
      </c>
      <c r="AD164" s="220">
        <f>'[2]Изложницы без бурта'!B164</f>
        <v>112.5</v>
      </c>
      <c r="AE164" s="220">
        <f>'[2]Изложницы без бурта'!C164</f>
        <v>260</v>
      </c>
      <c r="AF164" s="56">
        <f>'[2]Изложницы без бурта'!D164</f>
        <v>185</v>
      </c>
      <c r="AG164" s="56">
        <f>'[2]Изложницы без бурта'!E164</f>
        <v>320</v>
      </c>
      <c r="AH164" s="56" t="str">
        <f>'[2]Изложницы без бурта'!F164</f>
        <v>72.11868 - 6</v>
      </c>
      <c r="AI164" s="56">
        <f>'[2]Изложницы без бурта'!G164</f>
        <v>0</v>
      </c>
      <c r="AJ164" s="56">
        <f>'[2]Изложницы без бурта'!H164</f>
        <v>0</v>
      </c>
      <c r="AK164" s="56">
        <f>'[2]Изложницы без бурта'!I164</f>
        <v>0</v>
      </c>
      <c r="AL164" s="56" t="s">
        <v>583</v>
      </c>
      <c r="AM164" s="56">
        <f>'[2]Изложницы без бурта'!K164</f>
        <v>0</v>
      </c>
    </row>
    <row r="165" spans="1:39" x14ac:dyDescent="0.25">
      <c r="A165" s="334">
        <v>30</v>
      </c>
      <c r="B165" s="335">
        <v>10</v>
      </c>
      <c r="C165" s="335">
        <v>11</v>
      </c>
      <c r="D165" s="334">
        <v>12</v>
      </c>
      <c r="E165" s="334">
        <v>14</v>
      </c>
      <c r="F165" s="334">
        <v>15</v>
      </c>
      <c r="G165" s="334">
        <v>16.5</v>
      </c>
      <c r="H165" s="336">
        <v>16.5</v>
      </c>
      <c r="AB165" s="258">
        <f t="shared" si="4"/>
        <v>307.5</v>
      </c>
      <c r="AC165" s="259" t="str">
        <f>IF(COUNTIF(AD$78:AD165,AD165)=1,MAX(AC$78:AC164)+1,"")</f>
        <v/>
      </c>
      <c r="AD165" s="220">
        <f>'[2]Изложницы без бурта'!B165</f>
        <v>112.5</v>
      </c>
      <c r="AE165" s="220">
        <f>'[2]Изложницы без бурта'!C165</f>
        <v>258</v>
      </c>
      <c r="AF165" s="56">
        <f>'[2]Изложницы без бурта'!D165</f>
        <v>185</v>
      </c>
      <c r="AG165" s="56">
        <f>'[2]Изложницы без бурта'!E165</f>
        <v>320</v>
      </c>
      <c r="AH165" s="56" t="str">
        <f>'[2]Изложницы без бурта'!F165</f>
        <v>72.11868 - 6</v>
      </c>
      <c r="AI165" s="56">
        <f>'[2]Изложницы без бурта'!G165</f>
        <v>0</v>
      </c>
      <c r="AJ165" s="56">
        <f>'[2]Изложницы без бурта'!H165</f>
        <v>0</v>
      </c>
      <c r="AK165" s="56">
        <f>'[2]Изложницы без бурта'!I165</f>
        <v>0</v>
      </c>
      <c r="AL165" s="56" t="s">
        <v>583</v>
      </c>
      <c r="AM165" s="56">
        <f>'[2]Изложницы без бурта'!K165</f>
        <v>0</v>
      </c>
    </row>
    <row r="166" spans="1:39" x14ac:dyDescent="0.25">
      <c r="A166" s="336">
        <v>50</v>
      </c>
      <c r="B166" s="335">
        <v>13</v>
      </c>
      <c r="C166" s="335">
        <v>15</v>
      </c>
      <c r="D166" s="334">
        <v>18</v>
      </c>
      <c r="E166" s="334">
        <v>19.5</v>
      </c>
      <c r="F166" s="334">
        <v>21.5</v>
      </c>
      <c r="G166" s="334">
        <v>23</v>
      </c>
      <c r="H166" s="336">
        <v>23</v>
      </c>
      <c r="K166" s="220" t="s">
        <v>393</v>
      </c>
      <c r="L166" s="220">
        <f>IF(E157=1,HLOOKUP(N159,A161:H171,2,FALSE),IF(E157=2,HLOOKUP(N159,A175:H185,2,FALSE),HLOOKUP(N159,A190:H199,2,FALSE)))</f>
        <v>10</v>
      </c>
      <c r="M166" s="317" t="s">
        <v>400</v>
      </c>
      <c r="AB166" s="258">
        <f t="shared" si="4"/>
        <v>310</v>
      </c>
      <c r="AC166" s="259" t="str">
        <f>IF(COUNTIF(AD$78:AD166,AD166)=1,MAX(AC$78:AC165)+1,"")</f>
        <v/>
      </c>
      <c r="AD166" s="220">
        <f>'[2]Изложницы без бурта'!B166</f>
        <v>112.5</v>
      </c>
      <c r="AE166" s="220">
        <f>'[2]Изложницы без бурта'!C166</f>
        <v>255</v>
      </c>
      <c r="AF166" s="56">
        <f>'[2]Изложницы без бурта'!D166</f>
        <v>185</v>
      </c>
      <c r="AG166" s="56">
        <f>'[2]Изложницы без бурта'!E166</f>
        <v>320</v>
      </c>
      <c r="AH166" s="56" t="str">
        <f>'[2]Изложницы без бурта'!F166</f>
        <v>72.11868 - 6</v>
      </c>
      <c r="AI166" s="56">
        <f>'[2]Изложницы без бурта'!G166</f>
        <v>0</v>
      </c>
      <c r="AJ166" s="56">
        <f>'[2]Изложницы без бурта'!H166</f>
        <v>0</v>
      </c>
      <c r="AK166" s="56">
        <f>'[2]Изложницы без бурта'!I166</f>
        <v>0</v>
      </c>
      <c r="AL166" s="56" t="s">
        <v>583</v>
      </c>
      <c r="AM166" s="56">
        <f>'[2]Изложницы без бурта'!K166</f>
        <v>0</v>
      </c>
    </row>
    <row r="167" spans="1:39" x14ac:dyDescent="0.25">
      <c r="A167" s="336">
        <v>80</v>
      </c>
      <c r="B167" s="335">
        <v>13</v>
      </c>
      <c r="C167" s="335">
        <v>18</v>
      </c>
      <c r="D167" s="334">
        <v>20</v>
      </c>
      <c r="E167" s="334">
        <v>24.5</v>
      </c>
      <c r="F167" s="334">
        <v>25.5</v>
      </c>
      <c r="G167" s="334">
        <v>27</v>
      </c>
      <c r="H167" s="336">
        <v>27</v>
      </c>
      <c r="K167" s="220" t="s">
        <v>394</v>
      </c>
      <c r="L167" s="220">
        <f>IF(E157=1,VLOOKUP(L159,A161:H171,O159,FALSE),IF(E157=2,VLOOKUP(L159,A175:H184,O159,FALSE),VLOOKUP(L159,A190:H199,O159,FALSE)))</f>
        <v>20.5</v>
      </c>
      <c r="M167" s="317">
        <f ca="1">L167*L160</f>
        <v>26.650000000000002</v>
      </c>
      <c r="AB167" s="258">
        <f t="shared" si="4"/>
        <v>312.5</v>
      </c>
      <c r="AC167" s="259" t="str">
        <f>IF(COUNTIF(AD$78:AD167,AD167)=1,MAX(AC$78:AC166)+1,"")</f>
        <v/>
      </c>
      <c r="AD167" s="220">
        <f>'[2]Изложницы без бурта'!B167</f>
        <v>112.5</v>
      </c>
      <c r="AE167" s="220">
        <f>'[2]Изложницы без бурта'!C167</f>
        <v>255</v>
      </c>
      <c r="AF167" s="56">
        <f>'[2]Изложницы без бурта'!D167</f>
        <v>185</v>
      </c>
      <c r="AG167" s="56">
        <f>'[2]Изложницы без бурта'!E167</f>
        <v>320</v>
      </c>
      <c r="AH167" s="56" t="str">
        <f>'[2]Изложницы без бурта'!F167</f>
        <v>72.11868 - 6</v>
      </c>
      <c r="AI167" s="56">
        <f>'[2]Изложницы без бурта'!G167</f>
        <v>0</v>
      </c>
      <c r="AJ167" s="56">
        <f>'[2]Изложницы без бурта'!H167</f>
        <v>0</v>
      </c>
      <c r="AK167" s="56">
        <f>'[2]Изложницы без бурта'!I167</f>
        <v>0</v>
      </c>
      <c r="AL167" s="56" t="s">
        <v>583</v>
      </c>
      <c r="AM167" s="56">
        <f>'[2]Изложницы без бурта'!K167</f>
        <v>0</v>
      </c>
    </row>
    <row r="168" spans="1:39" x14ac:dyDescent="0.25">
      <c r="A168" s="336">
        <v>120</v>
      </c>
      <c r="B168" s="335">
        <v>13</v>
      </c>
      <c r="C168" s="335">
        <v>18</v>
      </c>
      <c r="D168" s="334">
        <v>22</v>
      </c>
      <c r="E168" s="334">
        <v>27.5</v>
      </c>
      <c r="F168" s="334">
        <v>28.5</v>
      </c>
      <c r="G168" s="334">
        <v>30</v>
      </c>
      <c r="H168" s="336">
        <v>30</v>
      </c>
      <c r="AB168" s="258">
        <f t="shared" si="4"/>
        <v>315</v>
      </c>
      <c r="AC168" s="259" t="str">
        <f>IF(COUNTIF(AD$78:AD168,AD168)=1,MAX(AC$78:AC167)+1,"")</f>
        <v/>
      </c>
      <c r="AD168" s="220">
        <f>'[2]Изложницы без бурта'!B168</f>
        <v>112.5</v>
      </c>
      <c r="AE168" s="220">
        <f>'[2]Изложницы без бурта'!C168</f>
        <v>260</v>
      </c>
      <c r="AF168" s="56">
        <f>'[2]Изложницы без бурта'!D168</f>
        <v>185</v>
      </c>
      <c r="AG168" s="56">
        <f>'[2]Изложницы без бурта'!E168</f>
        <v>320</v>
      </c>
      <c r="AH168" s="56" t="str">
        <f>'[2]Изложницы без бурта'!F168</f>
        <v>72.11868 - 6</v>
      </c>
      <c r="AI168" s="56">
        <f>'[2]Изложницы без бурта'!G168</f>
        <v>0</v>
      </c>
      <c r="AJ168" s="56">
        <f>'[2]Изложницы без бурта'!H168</f>
        <v>0</v>
      </c>
      <c r="AK168" s="56">
        <f>'[2]Изложницы без бурта'!I168</f>
        <v>0</v>
      </c>
      <c r="AL168" s="56" t="s">
        <v>583</v>
      </c>
      <c r="AM168" s="56">
        <f>'[2]Изложницы без бурта'!K168</f>
        <v>0</v>
      </c>
    </row>
    <row r="169" spans="1:39" x14ac:dyDescent="0.25">
      <c r="A169" s="336">
        <v>150</v>
      </c>
      <c r="B169" s="335">
        <v>13</v>
      </c>
      <c r="C169" s="335">
        <v>18</v>
      </c>
      <c r="D169" s="334">
        <v>24.5</v>
      </c>
      <c r="E169" s="334">
        <v>27.5</v>
      </c>
      <c r="F169" s="334">
        <v>28.5</v>
      </c>
      <c r="G169" s="336">
        <v>30</v>
      </c>
      <c r="H169" s="336">
        <v>32.5</v>
      </c>
      <c r="J169" s="334" t="s">
        <v>387</v>
      </c>
      <c r="K169" s="56">
        <f ca="1">VLOOKUP(E157,I173:O175,M169,FALSE)</f>
        <v>40</v>
      </c>
      <c r="L169" s="56" t="s">
        <v>403</v>
      </c>
      <c r="M169" s="334">
        <f ca="1">HLOOKUP(TRUE,J171:O172,2,FALSE)</f>
        <v>6</v>
      </c>
      <c r="AB169" s="258">
        <f t="shared" si="4"/>
        <v>317.5</v>
      </c>
      <c r="AC169" s="259" t="str">
        <f>IF(COUNTIF(AD$78:AD169,AD169)=1,MAX(AC$78:AC168)+1,"")</f>
        <v/>
      </c>
      <c r="AD169" s="220">
        <f>'[2]Изложницы без бурта'!B169</f>
        <v>112.5</v>
      </c>
      <c r="AE169" s="220">
        <f>'[2]Изложницы без бурта'!C169</f>
        <v>255</v>
      </c>
      <c r="AF169" s="56">
        <f>'[2]Изложницы без бурта'!D169</f>
        <v>185</v>
      </c>
      <c r="AG169" s="56">
        <f>'[2]Изложницы без бурта'!E169</f>
        <v>320</v>
      </c>
      <c r="AH169" s="56" t="str">
        <f>'[2]Изложницы без бурта'!F169</f>
        <v>72.11868 - 6</v>
      </c>
      <c r="AI169" s="56">
        <f>'[2]Изложницы без бурта'!G169</f>
        <v>0</v>
      </c>
      <c r="AJ169" s="56">
        <f>'[2]Изложницы без бурта'!H169</f>
        <v>0</v>
      </c>
      <c r="AK169" s="56">
        <f>'[2]Изложницы без бурта'!I169</f>
        <v>0</v>
      </c>
      <c r="AL169" s="56" t="s">
        <v>583</v>
      </c>
      <c r="AM169" s="56">
        <f>'[2]Изложницы без бурта'!K169</f>
        <v>0</v>
      </c>
    </row>
    <row r="170" spans="1:39" x14ac:dyDescent="0.25">
      <c r="A170" s="336">
        <v>200</v>
      </c>
      <c r="B170" s="335">
        <v>13</v>
      </c>
      <c r="C170" s="335">
        <v>18</v>
      </c>
      <c r="D170" s="334">
        <v>24.5</v>
      </c>
      <c r="E170" s="334">
        <v>27.5</v>
      </c>
      <c r="F170" s="334">
        <v>28.5</v>
      </c>
      <c r="G170" s="336">
        <v>30</v>
      </c>
      <c r="H170" s="336">
        <v>32.5</v>
      </c>
      <c r="J170" s="334">
        <v>15</v>
      </c>
      <c r="K170" s="334">
        <v>25</v>
      </c>
      <c r="L170" s="334">
        <v>35</v>
      </c>
      <c r="M170" s="334">
        <v>60</v>
      </c>
      <c r="N170" s="334">
        <v>100</v>
      </c>
      <c r="O170" s="334">
        <v>300</v>
      </c>
      <c r="AB170" s="258">
        <f t="shared" si="4"/>
        <v>320</v>
      </c>
      <c r="AC170" s="259">
        <f>IF(COUNTIF(AD$78:AD170,AD170)=1,MAX(AC$78:AC169)+1,"")</f>
        <v>12</v>
      </c>
      <c r="AD170" s="220">
        <f>'[2]Изложницы без бурта'!B170</f>
        <v>115</v>
      </c>
      <c r="AE170" s="220">
        <f>'[2]Изложницы без бурта'!C170</f>
        <v>255</v>
      </c>
      <c r="AF170" s="56">
        <f>'[2]Изложницы без бурта'!D170</f>
        <v>185</v>
      </c>
      <c r="AG170" s="56">
        <f>'[2]Изложницы без бурта'!E170</f>
        <v>320</v>
      </c>
      <c r="AH170" s="56" t="str">
        <f>'[2]Изложницы без бурта'!F170</f>
        <v>72.11868 - 7</v>
      </c>
      <c r="AI170" s="56">
        <f>'[2]Изложницы без бурта'!G170</f>
        <v>0</v>
      </c>
      <c r="AJ170" s="56">
        <f>'[2]Изложницы без бурта'!H170</f>
        <v>0</v>
      </c>
      <c r="AK170" s="56">
        <f>'[2]Изложницы без бурта'!I170</f>
        <v>0</v>
      </c>
      <c r="AL170" s="56" t="s">
        <v>584</v>
      </c>
      <c r="AM170" s="56">
        <f>'[2]Изложницы без бурта'!K170</f>
        <v>0</v>
      </c>
    </row>
    <row r="171" spans="1:39" x14ac:dyDescent="0.25">
      <c r="A171" s="336">
        <v>300</v>
      </c>
      <c r="B171" s="335">
        <v>13</v>
      </c>
      <c r="C171" s="335">
        <v>18</v>
      </c>
      <c r="D171" s="334">
        <v>24.5</v>
      </c>
      <c r="E171" s="334">
        <v>27.5</v>
      </c>
      <c r="F171" s="334">
        <v>28.5</v>
      </c>
      <c r="G171" s="336">
        <v>30</v>
      </c>
      <c r="H171" s="336">
        <v>32.5</v>
      </c>
      <c r="J171" s="56" t="b">
        <f t="shared" ref="J171:O171" ca="1" si="5">J170&gt;$Q160</f>
        <v>0</v>
      </c>
      <c r="K171" s="56" t="b">
        <f t="shared" ca="1" si="5"/>
        <v>0</v>
      </c>
      <c r="L171" s="56" t="b">
        <f t="shared" ca="1" si="5"/>
        <v>0</v>
      </c>
      <c r="M171" s="56" t="b">
        <f t="shared" ca="1" si="5"/>
        <v>0</v>
      </c>
      <c r="N171" s="56" t="b">
        <f t="shared" ca="1" si="5"/>
        <v>1</v>
      </c>
      <c r="O171" s="56" t="b">
        <f t="shared" ca="1" si="5"/>
        <v>1</v>
      </c>
      <c r="AB171" s="258">
        <f t="shared" si="4"/>
        <v>322.5</v>
      </c>
      <c r="AC171" s="259" t="str">
        <f>IF(COUNTIF(AD$78:AD171,AD171)=1,MAX(AC$78:AC170)+1,"")</f>
        <v/>
      </c>
      <c r="AD171" s="220">
        <f>'[2]Изложницы без бурта'!B171</f>
        <v>115</v>
      </c>
      <c r="AE171" s="220">
        <f>'[2]Изложницы без бурта'!C171</f>
        <v>257</v>
      </c>
      <c r="AF171" s="56">
        <f>'[2]Изложницы без бурта'!D171</f>
        <v>185</v>
      </c>
      <c r="AG171" s="56">
        <f>'[2]Изложницы без бурта'!E171</f>
        <v>320</v>
      </c>
      <c r="AH171" s="56" t="str">
        <f>'[2]Изложницы без бурта'!F171</f>
        <v>72.11868 - 7</v>
      </c>
      <c r="AI171" s="56">
        <f>'[2]Изложницы без бурта'!G171</f>
        <v>0</v>
      </c>
      <c r="AJ171" s="56">
        <f>'[2]Изложницы без бурта'!H171</f>
        <v>0</v>
      </c>
      <c r="AK171" s="56">
        <f>'[2]Изложницы без бурта'!I171</f>
        <v>0</v>
      </c>
      <c r="AL171" s="56" t="s">
        <v>584</v>
      </c>
      <c r="AM171" s="56">
        <f>'[2]Изложницы без бурта'!K171</f>
        <v>0</v>
      </c>
    </row>
    <row r="172" spans="1:39" x14ac:dyDescent="0.25">
      <c r="A172" s="138"/>
      <c r="B172" s="138"/>
      <c r="C172" s="138"/>
      <c r="D172" s="138"/>
      <c r="E172" s="138"/>
      <c r="F172" s="138"/>
      <c r="G172" s="138"/>
      <c r="H172" s="138"/>
      <c r="J172" s="334">
        <v>2</v>
      </c>
      <c r="K172" s="334">
        <v>3</v>
      </c>
      <c r="L172" s="334">
        <v>4</v>
      </c>
      <c r="M172" s="334">
        <v>5</v>
      </c>
      <c r="N172" s="334">
        <v>6</v>
      </c>
      <c r="O172" s="334">
        <v>7</v>
      </c>
      <c r="AB172" s="258">
        <f t="shared" si="4"/>
        <v>325</v>
      </c>
      <c r="AC172" s="259" t="str">
        <f>IF(COUNTIF(AD$78:AD172,AD172)=1,MAX(AC$78:AC171)+1,"")</f>
        <v/>
      </c>
      <c r="AD172" s="220">
        <f>'[2]Изложницы без бурта'!B172</f>
        <v>115</v>
      </c>
      <c r="AE172" s="220">
        <f>'[2]Изложницы без бурта'!C172</f>
        <v>257</v>
      </c>
      <c r="AF172" s="56">
        <f>'[2]Изложницы без бурта'!D172</f>
        <v>185</v>
      </c>
      <c r="AG172" s="56">
        <f>'[2]Изложницы без бурта'!E172</f>
        <v>320</v>
      </c>
      <c r="AH172" s="56" t="str">
        <f>'[2]Изложницы без бурта'!F172</f>
        <v>72.11868 - 7</v>
      </c>
      <c r="AI172" s="56">
        <f>'[2]Изложницы без бурта'!G172</f>
        <v>0</v>
      </c>
      <c r="AJ172" s="56">
        <f>'[2]Изложницы без бурта'!H172</f>
        <v>0</v>
      </c>
      <c r="AK172" s="56">
        <f>'[2]Изложницы без бурта'!I172</f>
        <v>0</v>
      </c>
      <c r="AL172" s="56" t="s">
        <v>584</v>
      </c>
      <c r="AM172" s="56">
        <f>'[2]Изложницы без бурта'!K172</f>
        <v>0</v>
      </c>
    </row>
    <row r="173" spans="1:39" x14ac:dyDescent="0.25">
      <c r="A173" s="56" t="s">
        <v>392</v>
      </c>
      <c r="H173" s="138"/>
      <c r="I173" s="56">
        <v>1</v>
      </c>
      <c r="J173" s="334">
        <v>25</v>
      </c>
      <c r="K173" s="334">
        <v>32</v>
      </c>
      <c r="L173" s="334">
        <v>37</v>
      </c>
      <c r="M173" s="334">
        <v>45</v>
      </c>
      <c r="N173" s="334">
        <v>55</v>
      </c>
      <c r="O173" s="334">
        <v>60</v>
      </c>
      <c r="AB173" s="258">
        <f t="shared" si="4"/>
        <v>327.5</v>
      </c>
      <c r="AC173" s="259" t="str">
        <f>IF(COUNTIF(AD$78:AD173,AD173)=1,MAX(AC$78:AC172)+1,"")</f>
        <v/>
      </c>
      <c r="AD173" s="220">
        <f>'[2]Изложницы без бурта'!B173</f>
        <v>115</v>
      </c>
      <c r="AE173" s="220">
        <f>'[2]Изложницы без бурта'!C173</f>
        <v>260</v>
      </c>
      <c r="AF173" s="56">
        <f>'[2]Изложницы без бурта'!D173</f>
        <v>185</v>
      </c>
      <c r="AG173" s="56">
        <f>'[2]Изложницы без бурта'!E173</f>
        <v>320</v>
      </c>
      <c r="AH173" s="56" t="str">
        <f>'[2]Изложницы без бурта'!F173</f>
        <v>72.11868 - 7</v>
      </c>
      <c r="AI173" s="56">
        <f>'[2]Изложницы без бурта'!G173</f>
        <v>0</v>
      </c>
      <c r="AJ173" s="56">
        <f>'[2]Изложницы без бурта'!H173</f>
        <v>0</v>
      </c>
      <c r="AK173" s="56">
        <f>'[2]Изложницы без бурта'!I173</f>
        <v>0</v>
      </c>
      <c r="AL173" s="56" t="s">
        <v>584</v>
      </c>
      <c r="AM173" s="56">
        <f>'[2]Изложницы без бурта'!K173</f>
        <v>0</v>
      </c>
    </row>
    <row r="174" spans="1:39" x14ac:dyDescent="0.25">
      <c r="A174" s="336"/>
      <c r="B174" s="336"/>
      <c r="C174" s="336"/>
      <c r="D174" s="336"/>
      <c r="E174" s="336"/>
      <c r="F174" s="336"/>
      <c r="G174" s="336"/>
      <c r="H174" s="336"/>
      <c r="I174" s="56">
        <v>2</v>
      </c>
      <c r="J174" s="334">
        <v>20</v>
      </c>
      <c r="K174" s="334">
        <v>28</v>
      </c>
      <c r="L174" s="334">
        <v>32</v>
      </c>
      <c r="M174" s="334">
        <v>40</v>
      </c>
      <c r="N174" s="334">
        <v>45</v>
      </c>
      <c r="O174" s="334">
        <v>50</v>
      </c>
      <c r="AB174" s="258">
        <f t="shared" si="4"/>
        <v>330</v>
      </c>
      <c r="AC174" s="259" t="str">
        <f>IF(COUNTIF(AD$78:AD174,AD174)=1,MAX(AC$78:AC173)+1,"")</f>
        <v/>
      </c>
      <c r="AD174" s="220">
        <f>'[2]Изложницы без бурта'!B174</f>
        <v>115</v>
      </c>
      <c r="AE174" s="220">
        <f>'[2]Изложницы без бурта'!C174</f>
        <v>260</v>
      </c>
      <c r="AF174" s="56">
        <f>'[2]Изложницы без бурта'!D174</f>
        <v>185</v>
      </c>
      <c r="AG174" s="56">
        <f>'[2]Изложницы без бурта'!E174</f>
        <v>320</v>
      </c>
      <c r="AH174" s="56" t="str">
        <f>'[2]Изложницы без бурта'!F174</f>
        <v>72.11868 - 7</v>
      </c>
      <c r="AI174" s="56">
        <f>'[2]Изложницы без бурта'!G174</f>
        <v>0</v>
      </c>
      <c r="AJ174" s="56">
        <f>'[2]Изложницы без бурта'!H174</f>
        <v>0</v>
      </c>
      <c r="AK174" s="56">
        <f>'[2]Изложницы без бурта'!I174</f>
        <v>0</v>
      </c>
      <c r="AL174" s="56" t="s">
        <v>584</v>
      </c>
      <c r="AM174" s="56">
        <f>'[2]Изложницы без бурта'!K174</f>
        <v>0</v>
      </c>
    </row>
    <row r="175" spans="1:39" x14ac:dyDescent="0.25">
      <c r="A175" s="334"/>
      <c r="B175" s="335">
        <v>100</v>
      </c>
      <c r="C175" s="335">
        <v>200</v>
      </c>
      <c r="D175" s="335">
        <v>300</v>
      </c>
      <c r="E175" s="335">
        <v>400</v>
      </c>
      <c r="F175" s="335">
        <v>500</v>
      </c>
      <c r="G175" s="335">
        <v>600</v>
      </c>
      <c r="H175" s="334">
        <v>700</v>
      </c>
      <c r="I175" s="56">
        <v>3</v>
      </c>
      <c r="J175" s="334">
        <v>20</v>
      </c>
      <c r="K175" s="334">
        <v>25</v>
      </c>
      <c r="L175" s="334">
        <v>30</v>
      </c>
      <c r="M175" s="334">
        <v>35</v>
      </c>
      <c r="N175" s="334">
        <v>40</v>
      </c>
      <c r="O175" s="334">
        <v>45</v>
      </c>
      <c r="AB175" s="258">
        <f t="shared" si="4"/>
        <v>332.5</v>
      </c>
      <c r="AC175" s="259" t="str">
        <f>IF(COUNTIF(AD$78:AD175,AD175)=1,MAX(AC$78:AC174)+1,"")</f>
        <v/>
      </c>
      <c r="AD175" s="220">
        <f>'[2]Изложницы без бурта'!B175</f>
        <v>115</v>
      </c>
      <c r="AE175" s="220">
        <f>'[2]Изложницы без бурта'!C175</f>
        <v>257</v>
      </c>
      <c r="AF175" s="56">
        <f>'[2]Изложницы без бурта'!D175</f>
        <v>185</v>
      </c>
      <c r="AG175" s="56">
        <f>'[2]Изложницы без бурта'!E175</f>
        <v>320</v>
      </c>
      <c r="AH175" s="56" t="str">
        <f>'[2]Изложницы без бурта'!F175</f>
        <v>72.11868 - 7</v>
      </c>
      <c r="AI175" s="56">
        <f>'[2]Изложницы без бурта'!G175</f>
        <v>0</v>
      </c>
      <c r="AJ175" s="56">
        <f>'[2]Изложницы без бурта'!H175</f>
        <v>0</v>
      </c>
      <c r="AK175" s="56">
        <f>'[2]Изложницы без бурта'!I175</f>
        <v>0</v>
      </c>
      <c r="AL175" s="56" t="s">
        <v>584</v>
      </c>
      <c r="AM175" s="56">
        <f>'[2]Изложницы без бурта'!K175</f>
        <v>0</v>
      </c>
    </row>
    <row r="176" spans="1:39" x14ac:dyDescent="0.25">
      <c r="A176" s="334">
        <v>0</v>
      </c>
      <c r="B176" s="335">
        <v>3.5</v>
      </c>
      <c r="C176" s="335">
        <v>4.5</v>
      </c>
      <c r="D176" s="335">
        <v>5.5</v>
      </c>
      <c r="E176" s="335">
        <v>6.5</v>
      </c>
      <c r="F176" s="335">
        <v>7.5</v>
      </c>
      <c r="G176" s="335">
        <v>10</v>
      </c>
      <c r="H176" s="334">
        <v>10</v>
      </c>
      <c r="J176" s="316"/>
      <c r="K176" s="316"/>
      <c r="L176" s="316"/>
      <c r="M176" s="316"/>
      <c r="N176" s="316"/>
      <c r="O176" s="316"/>
      <c r="AB176" s="258">
        <f t="shared" si="4"/>
        <v>335</v>
      </c>
      <c r="AC176" s="259" t="str">
        <f>IF(COUNTIF(AD$78:AD176,AD176)=1,MAX(AC$78:AC175)+1,"")</f>
        <v/>
      </c>
      <c r="AD176" s="220">
        <f>'[2]Изложницы без бурта'!B176</f>
        <v>115</v>
      </c>
      <c r="AE176" s="220">
        <f>'[2]Изложницы без бурта'!C176</f>
        <v>257</v>
      </c>
      <c r="AF176" s="56">
        <f>'[2]Изложницы без бурта'!D176</f>
        <v>185</v>
      </c>
      <c r="AG176" s="56">
        <f>'[2]Изложницы без бурта'!E176</f>
        <v>320</v>
      </c>
      <c r="AH176" s="56" t="str">
        <f>'[2]Изложницы без бурта'!F176</f>
        <v>72.11868 - 7</v>
      </c>
      <c r="AI176" s="56">
        <f>'[2]Изложницы без бурта'!G176</f>
        <v>0</v>
      </c>
      <c r="AJ176" s="56">
        <f>'[2]Изложницы без бурта'!H176</f>
        <v>0</v>
      </c>
      <c r="AK176" s="56">
        <f>'[2]Изложницы без бурта'!I176</f>
        <v>0</v>
      </c>
      <c r="AL176" s="56" t="s">
        <v>584</v>
      </c>
      <c r="AM176" s="56">
        <f>'[2]Изложницы без бурта'!K176</f>
        <v>0</v>
      </c>
    </row>
    <row r="177" spans="1:39" x14ac:dyDescent="0.25">
      <c r="A177" s="334">
        <v>10</v>
      </c>
      <c r="B177" s="336">
        <v>4</v>
      </c>
      <c r="C177" s="335">
        <v>5</v>
      </c>
      <c r="D177" s="334">
        <v>6</v>
      </c>
      <c r="E177" s="334">
        <v>7.5</v>
      </c>
      <c r="F177" s="334">
        <v>8.5</v>
      </c>
      <c r="G177" s="334">
        <v>10</v>
      </c>
      <c r="H177" s="334">
        <v>10</v>
      </c>
      <c r="J177" s="316"/>
      <c r="K177" s="316"/>
      <c r="L177" s="316"/>
      <c r="M177" s="316"/>
      <c r="N177" s="316"/>
      <c r="O177" s="316"/>
      <c r="AB177" s="258">
        <f t="shared" si="4"/>
        <v>337.5</v>
      </c>
      <c r="AC177" s="259" t="str">
        <f>IF(COUNTIF(AD$78:AD177,AD177)=1,MAX(AC$78:AC176)+1,"")</f>
        <v/>
      </c>
      <c r="AD177" s="220">
        <f>'[2]Изложницы без бурта'!B177</f>
        <v>115</v>
      </c>
      <c r="AE177" s="220">
        <f>'[2]Изложницы без бурта'!C177</f>
        <v>260</v>
      </c>
      <c r="AF177" s="56">
        <f>'[2]Изложницы без бурта'!D177</f>
        <v>185</v>
      </c>
      <c r="AG177" s="56">
        <f>'[2]Изложницы без бурта'!E177</f>
        <v>320</v>
      </c>
      <c r="AH177" s="56" t="str">
        <f>'[2]Изложницы без бурта'!F177</f>
        <v>72.11868 - 7</v>
      </c>
      <c r="AI177" s="56">
        <f>'[2]Изложницы без бурта'!G177</f>
        <v>0</v>
      </c>
      <c r="AJ177" s="56">
        <f>'[2]Изложницы без бурта'!H177</f>
        <v>0</v>
      </c>
      <c r="AK177" s="56">
        <f>'[2]Изложницы без бурта'!I177</f>
        <v>0</v>
      </c>
      <c r="AL177" s="56" t="s">
        <v>584</v>
      </c>
      <c r="AM177" s="56">
        <f>'[2]Изложницы без бурта'!K177</f>
        <v>0</v>
      </c>
    </row>
    <row r="178" spans="1:39" x14ac:dyDescent="0.25">
      <c r="A178" s="334">
        <v>20</v>
      </c>
      <c r="B178" s="335">
        <v>6.5</v>
      </c>
      <c r="C178" s="334">
        <v>7.5</v>
      </c>
      <c r="D178" s="334">
        <v>10.5</v>
      </c>
      <c r="E178" s="334">
        <v>10.5</v>
      </c>
      <c r="F178" s="334">
        <v>11.5</v>
      </c>
      <c r="G178" s="334">
        <v>13</v>
      </c>
      <c r="H178" s="334">
        <v>13</v>
      </c>
      <c r="J178" s="316"/>
      <c r="AB178" s="258">
        <f t="shared" si="4"/>
        <v>340</v>
      </c>
      <c r="AC178" s="259" t="str">
        <f>IF(COUNTIF(AD$78:AD178,AD178)=1,MAX(AC$78:AC177)+1,"")</f>
        <v/>
      </c>
      <c r="AD178" s="220">
        <f>'[2]Изложницы без бурта'!B178</f>
        <v>115</v>
      </c>
      <c r="AE178" s="220">
        <f>'[2]Изложницы без бурта'!C178</f>
        <v>257</v>
      </c>
      <c r="AF178" s="56">
        <f>'[2]Изложницы без бурта'!D178</f>
        <v>185</v>
      </c>
      <c r="AG178" s="56">
        <f>'[2]Изложницы без бурта'!E178</f>
        <v>320</v>
      </c>
      <c r="AH178" s="56" t="str">
        <f>'[2]Изложницы без бурта'!F178</f>
        <v>72.11868 - 7</v>
      </c>
      <c r="AI178" s="56">
        <f>'[2]Изложницы без бурта'!G178</f>
        <v>0</v>
      </c>
      <c r="AJ178" s="56">
        <f>'[2]Изложницы без бурта'!H178</f>
        <v>0</v>
      </c>
      <c r="AK178" s="56">
        <f>'[2]Изложницы без бурта'!I178</f>
        <v>0</v>
      </c>
      <c r="AL178" s="56" t="s">
        <v>584</v>
      </c>
      <c r="AM178" s="56">
        <f>'[2]Изложницы без бурта'!K178</f>
        <v>0</v>
      </c>
    </row>
    <row r="179" spans="1:39" x14ac:dyDescent="0.25">
      <c r="A179" s="334">
        <v>30</v>
      </c>
      <c r="B179" s="335">
        <v>8.5</v>
      </c>
      <c r="C179" s="335">
        <v>9.5</v>
      </c>
      <c r="D179" s="334">
        <v>10.5</v>
      </c>
      <c r="E179" s="334">
        <v>12.5</v>
      </c>
      <c r="F179" s="334">
        <v>13.5</v>
      </c>
      <c r="G179" s="334">
        <v>15</v>
      </c>
      <c r="H179" s="334">
        <v>15</v>
      </c>
      <c r="K179" s="333"/>
      <c r="L179" s="333" t="s">
        <v>399</v>
      </c>
      <c r="M179" s="333">
        <f>VLOOKUP(TRUE,Данные!J183:Q193,O179,FALSE)</f>
        <v>17</v>
      </c>
      <c r="N179" s="333" t="s">
        <v>965</v>
      </c>
      <c r="O179" s="333">
        <f>HLOOKUP(TRUE,L181:Q182,2,FALSE)+1</f>
        <v>6</v>
      </c>
      <c r="P179" s="333"/>
      <c r="AB179" s="258">
        <f t="shared" si="4"/>
        <v>347.5</v>
      </c>
      <c r="AC179" s="259">
        <f>IF(COUNTIF(AD$78:AD179,AD179)=1,MAX(AC$78:AC178)+1,"")</f>
        <v>13</v>
      </c>
      <c r="AD179" s="220">
        <f>'[2]Изложницы без бурта'!B179</f>
        <v>117.5</v>
      </c>
      <c r="AE179" s="220">
        <f>'[2]Изложницы без бурта'!C179</f>
        <v>255</v>
      </c>
      <c r="AF179" s="56">
        <f>'[2]Изложницы без бурта'!D179</f>
        <v>185</v>
      </c>
      <c r="AG179" s="56">
        <f>'[2]Изложницы без бурта'!E179</f>
        <v>320</v>
      </c>
      <c r="AH179" s="56" t="str">
        <f>'[2]Изложницы без бурта'!F179</f>
        <v>72.11868 - 8</v>
      </c>
      <c r="AI179" s="56">
        <f>'[2]Изложницы без бурта'!G179</f>
        <v>0</v>
      </c>
      <c r="AJ179" s="56">
        <f>'[2]Изложницы без бурта'!H179</f>
        <v>0</v>
      </c>
      <c r="AK179" s="56">
        <f>'[2]Изложницы без бурта'!I179</f>
        <v>0</v>
      </c>
      <c r="AL179" s="56" t="s">
        <v>585</v>
      </c>
      <c r="AM179" s="56">
        <f>'[2]Изложницы без бурта'!K179</f>
        <v>0</v>
      </c>
    </row>
    <row r="180" spans="1:39" x14ac:dyDescent="0.25">
      <c r="A180" s="336">
        <v>50</v>
      </c>
      <c r="B180" s="335">
        <v>8.5</v>
      </c>
      <c r="C180" s="335">
        <v>13</v>
      </c>
      <c r="D180" s="334">
        <v>15</v>
      </c>
      <c r="E180" s="334">
        <v>17.5</v>
      </c>
      <c r="F180" s="334">
        <v>19.5</v>
      </c>
      <c r="G180" s="334">
        <v>21</v>
      </c>
      <c r="H180" s="334">
        <v>21</v>
      </c>
      <c r="K180" s="333"/>
      <c r="L180" s="333">
        <v>15</v>
      </c>
      <c r="M180" s="333">
        <v>30</v>
      </c>
      <c r="N180" s="333">
        <v>45</v>
      </c>
      <c r="O180" s="333">
        <v>75</v>
      </c>
      <c r="P180" s="333">
        <v>100</v>
      </c>
      <c r="Q180" s="333">
        <v>300</v>
      </c>
      <c r="AB180" s="258">
        <f t="shared" si="4"/>
        <v>350</v>
      </c>
      <c r="AC180" s="259" t="str">
        <f>IF(COUNTIF(AD$78:AD180,AD180)=1,MAX(AC$78:AC179)+1,"")</f>
        <v/>
      </c>
      <c r="AD180" s="220">
        <f>'[2]Изложницы без бурта'!B180</f>
        <v>117.5</v>
      </c>
      <c r="AE180" s="220">
        <f>'[2]Изложницы без бурта'!C180</f>
        <v>260</v>
      </c>
      <c r="AF180" s="56">
        <f>'[2]Изложницы без бурта'!D180</f>
        <v>185</v>
      </c>
      <c r="AG180" s="56">
        <f>'[2]Изложницы без бурта'!E180</f>
        <v>320</v>
      </c>
      <c r="AH180" s="56" t="str">
        <f>'[2]Изложницы без бурта'!F180</f>
        <v>72.11868 - 8</v>
      </c>
      <c r="AI180" s="56">
        <f>'[2]Изложницы без бурта'!G180</f>
        <v>0</v>
      </c>
      <c r="AJ180" s="56">
        <f>'[2]Изложницы без бурта'!H180</f>
        <v>0</v>
      </c>
      <c r="AK180" s="56">
        <f>'[2]Изложницы без бурта'!I180</f>
        <v>0</v>
      </c>
      <c r="AL180" s="56" t="s">
        <v>585</v>
      </c>
      <c r="AM180" s="56">
        <f>'[2]Изложницы без бурта'!K180</f>
        <v>0</v>
      </c>
    </row>
    <row r="181" spans="1:39" x14ac:dyDescent="0.25">
      <c r="A181" s="336">
        <v>80</v>
      </c>
      <c r="B181" s="335">
        <v>8.5</v>
      </c>
      <c r="C181" s="335">
        <v>13</v>
      </c>
      <c r="D181" s="334">
        <v>17.5</v>
      </c>
      <c r="E181" s="334">
        <v>21</v>
      </c>
      <c r="F181" s="334">
        <v>22</v>
      </c>
      <c r="G181" s="334">
        <v>23.5</v>
      </c>
      <c r="H181" s="334">
        <v>23.5</v>
      </c>
      <c r="K181" s="317"/>
      <c r="L181" s="337" t="b">
        <f t="shared" ref="L181:Q181" si="6">$Q159&lt;L180</f>
        <v>0</v>
      </c>
      <c r="M181" s="337" t="b">
        <f t="shared" si="6"/>
        <v>0</v>
      </c>
      <c r="N181" s="337" t="b">
        <f t="shared" si="6"/>
        <v>0</v>
      </c>
      <c r="O181" s="337" t="b">
        <f t="shared" si="6"/>
        <v>1</v>
      </c>
      <c r="P181" s="337" t="b">
        <f t="shared" si="6"/>
        <v>1</v>
      </c>
      <c r="Q181" s="337" t="b">
        <f t="shared" si="6"/>
        <v>1</v>
      </c>
      <c r="AB181" s="258">
        <f t="shared" si="4"/>
        <v>355</v>
      </c>
      <c r="AC181" s="259" t="str">
        <f>IF(COUNTIF(AD$78:AD181,AD181)=1,MAX(AC$78:AC180)+1,"")</f>
        <v/>
      </c>
      <c r="AD181" s="220">
        <f>'[2]Изложницы без бурта'!B181</f>
        <v>117.5</v>
      </c>
      <c r="AE181" s="220">
        <f>'[2]Изложницы без бурта'!C181</f>
        <v>260</v>
      </c>
      <c r="AF181" s="56">
        <f>'[2]Изложницы без бурта'!D181</f>
        <v>185</v>
      </c>
      <c r="AG181" s="56">
        <f>'[2]Изложницы без бурта'!E181</f>
        <v>320</v>
      </c>
      <c r="AH181" s="56" t="str">
        <f>'[2]Изложницы без бурта'!F181</f>
        <v>72.11868 - 8</v>
      </c>
      <c r="AI181" s="56">
        <f>'[2]Изложницы без бурта'!G181</f>
        <v>0</v>
      </c>
      <c r="AJ181" s="56">
        <f>'[2]Изложницы без бурта'!H181</f>
        <v>0</v>
      </c>
      <c r="AK181" s="56">
        <f>'[2]Изложницы без бурта'!I181</f>
        <v>0</v>
      </c>
      <c r="AL181" s="56" t="s">
        <v>585</v>
      </c>
      <c r="AM181" s="56">
        <f>'[2]Изложницы без бурта'!K181</f>
        <v>0</v>
      </c>
    </row>
    <row r="182" spans="1:39" x14ac:dyDescent="0.25">
      <c r="A182" s="336">
        <v>120</v>
      </c>
      <c r="B182" s="335">
        <v>8.5</v>
      </c>
      <c r="C182" s="335">
        <v>13</v>
      </c>
      <c r="D182" s="334">
        <v>18.5</v>
      </c>
      <c r="E182" s="334">
        <v>23.5</v>
      </c>
      <c r="F182" s="334">
        <v>24.5</v>
      </c>
      <c r="G182" s="334">
        <v>26</v>
      </c>
      <c r="H182" s="334">
        <v>26</v>
      </c>
      <c r="K182" s="334">
        <v>1</v>
      </c>
      <c r="L182" s="334">
        <v>2</v>
      </c>
      <c r="M182" s="334">
        <v>3</v>
      </c>
      <c r="N182" s="334">
        <v>4</v>
      </c>
      <c r="O182" s="334">
        <v>5</v>
      </c>
      <c r="P182" s="334">
        <v>6</v>
      </c>
      <c r="Q182" s="334">
        <v>7</v>
      </c>
      <c r="AB182" s="258">
        <f t="shared" si="4"/>
        <v>360</v>
      </c>
      <c r="AC182" s="259">
        <f>IF(COUNTIF(AD$78:AD182,AD182)=1,MAX(AC$78:AC181)+1,"")</f>
        <v>14</v>
      </c>
      <c r="AD182" s="220">
        <f>'[2]Изложницы без бурта'!B182</f>
        <v>120</v>
      </c>
      <c r="AE182" s="220">
        <f>'[2]Изложницы без бурта'!C182</f>
        <v>260</v>
      </c>
      <c r="AF182" s="56">
        <f>'[2]Изложницы без бурта'!D182</f>
        <v>185</v>
      </c>
      <c r="AG182" s="56">
        <f>'[2]Изложницы без бурта'!E182</f>
        <v>320</v>
      </c>
      <c r="AH182" s="56" t="str">
        <f>'[2]Изложницы без бурта'!F182</f>
        <v>72.11868 - 9</v>
      </c>
      <c r="AI182" s="56">
        <f>'[2]Изложницы без бурта'!G182</f>
        <v>0</v>
      </c>
      <c r="AJ182" s="56">
        <f>'[2]Изложницы без бурта'!H182</f>
        <v>0</v>
      </c>
      <c r="AK182" s="56">
        <f>'[2]Изложницы без бурта'!I182</f>
        <v>0</v>
      </c>
      <c r="AL182" s="56" t="s">
        <v>586</v>
      </c>
      <c r="AM182" s="56">
        <f>'[2]Изложницы без бурта'!K182</f>
        <v>0</v>
      </c>
    </row>
    <row r="183" spans="1:39" x14ac:dyDescent="0.25">
      <c r="A183" s="336">
        <v>150</v>
      </c>
      <c r="B183" s="335">
        <v>8.5</v>
      </c>
      <c r="C183" s="335">
        <v>13</v>
      </c>
      <c r="D183" s="334">
        <v>18.5</v>
      </c>
      <c r="E183" s="334">
        <v>23.5</v>
      </c>
      <c r="F183" s="334">
        <v>24.5</v>
      </c>
      <c r="G183" s="336">
        <v>28</v>
      </c>
      <c r="H183" s="334">
        <v>28</v>
      </c>
      <c r="J183" s="56" t="b">
        <f>цб!$N$4&lt;=Данные!K183</f>
        <v>0</v>
      </c>
      <c r="K183" s="334">
        <v>100</v>
      </c>
      <c r="L183" s="334">
        <v>6</v>
      </c>
      <c r="M183" s="334">
        <v>8</v>
      </c>
      <c r="N183" s="334">
        <v>10</v>
      </c>
      <c r="O183" s="334">
        <v>12</v>
      </c>
      <c r="P183" s="334">
        <v>12</v>
      </c>
      <c r="Q183" s="334">
        <v>14</v>
      </c>
      <c r="AB183" s="258">
        <f t="shared" si="4"/>
        <v>365</v>
      </c>
      <c r="AC183" s="259" t="str">
        <f>IF(COUNTIF(AD$78:AD183,AD183)=1,MAX(AC$78:AC182)+1,"")</f>
        <v/>
      </c>
      <c r="AD183" s="220">
        <f>'[2]Изложницы без бурта'!B183</f>
        <v>120</v>
      </c>
      <c r="AE183" s="220">
        <f>'[2]Изложницы без бурта'!C183</f>
        <v>260</v>
      </c>
      <c r="AF183" s="56">
        <f>'[2]Изложницы без бурта'!D183</f>
        <v>185</v>
      </c>
      <c r="AG183" s="56">
        <f>'[2]Изложницы без бурта'!E183</f>
        <v>320</v>
      </c>
      <c r="AH183" s="56" t="str">
        <f>'[2]Изложницы без бурта'!F183</f>
        <v>72.11868 - 9</v>
      </c>
      <c r="AI183" s="56">
        <f>'[2]Изложницы без бурта'!G183</f>
        <v>0</v>
      </c>
      <c r="AJ183" s="56">
        <f>'[2]Изложницы без бурта'!H183</f>
        <v>0</v>
      </c>
      <c r="AK183" s="56">
        <f>'[2]Изложницы без бурта'!I183</f>
        <v>0</v>
      </c>
      <c r="AL183" s="56" t="s">
        <v>586</v>
      </c>
      <c r="AM183" s="56">
        <f>'[2]Изложницы без бурта'!K183</f>
        <v>0</v>
      </c>
    </row>
    <row r="184" spans="1:39" x14ac:dyDescent="0.25">
      <c r="A184" s="336">
        <v>200</v>
      </c>
      <c r="B184" s="335">
        <v>8.5</v>
      </c>
      <c r="C184" s="335">
        <v>13</v>
      </c>
      <c r="D184" s="334">
        <v>18.5</v>
      </c>
      <c r="E184" s="334">
        <v>23.5</v>
      </c>
      <c r="F184" s="334">
        <v>24.5</v>
      </c>
      <c r="G184" s="336">
        <v>28</v>
      </c>
      <c r="H184" s="334">
        <v>28</v>
      </c>
      <c r="J184" s="56" t="b">
        <f>цб!$N$4&lt;=Данные!K184</f>
        <v>0</v>
      </c>
      <c r="K184" s="334">
        <v>150</v>
      </c>
      <c r="L184" s="334">
        <v>6</v>
      </c>
      <c r="M184" s="334">
        <v>8</v>
      </c>
      <c r="N184" s="334">
        <v>10</v>
      </c>
      <c r="O184" s="334">
        <v>12</v>
      </c>
      <c r="P184" s="334">
        <v>12</v>
      </c>
      <c r="Q184" s="334">
        <v>14</v>
      </c>
      <c r="AB184" s="258">
        <f t="shared" si="4"/>
        <v>367.5</v>
      </c>
      <c r="AC184" s="259" t="str">
        <f>IF(COUNTIF(AD$78:AD184,AD184)=1,MAX(AC$78:AC183)+1,"")</f>
        <v/>
      </c>
      <c r="AD184" s="220">
        <f>'[2]Изложницы без бурта'!B184</f>
        <v>120</v>
      </c>
      <c r="AE184" s="220">
        <f>'[2]Изложницы без бурта'!C184</f>
        <v>255</v>
      </c>
      <c r="AF184" s="56">
        <f>'[2]Изложницы без бурта'!D184</f>
        <v>185</v>
      </c>
      <c r="AG184" s="56">
        <f>'[2]Изложницы без бурта'!E184</f>
        <v>320</v>
      </c>
      <c r="AH184" s="56" t="str">
        <f>'[2]Изложницы без бурта'!F184</f>
        <v>72.11868 - 9</v>
      </c>
      <c r="AI184" s="56">
        <f>'[2]Изложницы без бурта'!G184</f>
        <v>0</v>
      </c>
      <c r="AJ184" s="56">
        <f>'[2]Изложницы без бурта'!H184</f>
        <v>0</v>
      </c>
      <c r="AK184" s="56">
        <f>'[2]Изложницы без бурта'!I184</f>
        <v>0</v>
      </c>
      <c r="AL184" s="56" t="s">
        <v>586</v>
      </c>
      <c r="AM184" s="56">
        <f>'[2]Изложницы без бурта'!K184</f>
        <v>0</v>
      </c>
    </row>
    <row r="185" spans="1:39" x14ac:dyDescent="0.25">
      <c r="A185" s="336"/>
      <c r="B185" s="335"/>
      <c r="C185" s="335"/>
      <c r="D185" s="334"/>
      <c r="E185" s="334"/>
      <c r="F185" s="334"/>
      <c r="G185" s="336"/>
      <c r="H185" s="334"/>
      <c r="J185" s="56" t="b">
        <f>цб!$N$4&lt;=Данные!K185</f>
        <v>0</v>
      </c>
      <c r="K185" s="334">
        <v>200</v>
      </c>
      <c r="L185" s="334">
        <v>6</v>
      </c>
      <c r="M185" s="334">
        <v>8</v>
      </c>
      <c r="N185" s="334">
        <v>10</v>
      </c>
      <c r="O185" s="334">
        <v>12</v>
      </c>
      <c r="P185" s="334">
        <v>12</v>
      </c>
      <c r="Q185" s="334">
        <v>14</v>
      </c>
      <c r="AB185" s="258">
        <f t="shared" si="4"/>
        <v>370</v>
      </c>
      <c r="AC185" s="259" t="str">
        <f>IF(COUNTIF(AD$78:AD185,AD185)=1,MAX(AC$78:AC184)+1,"")</f>
        <v/>
      </c>
      <c r="AD185" s="220">
        <f>'[2]Изложницы без бурта'!B185</f>
        <v>120</v>
      </c>
      <c r="AE185" s="220">
        <f>'[2]Изложницы без бурта'!C185</f>
        <v>258</v>
      </c>
      <c r="AF185" s="56">
        <f>'[2]Изложницы без бурта'!D185</f>
        <v>185</v>
      </c>
      <c r="AG185" s="56">
        <f>'[2]Изложницы без бурта'!E185</f>
        <v>320</v>
      </c>
      <c r="AH185" s="56" t="str">
        <f>'[2]Изложницы без бурта'!F185</f>
        <v>72.11868 - 9</v>
      </c>
      <c r="AI185" s="56">
        <f>'[2]Изложницы без бурта'!G185</f>
        <v>0</v>
      </c>
      <c r="AJ185" s="56">
        <f>'[2]Изложницы без бурта'!H185</f>
        <v>0</v>
      </c>
      <c r="AK185" s="56">
        <f>'[2]Изложницы без бурта'!I185</f>
        <v>0</v>
      </c>
      <c r="AL185" s="56" t="s">
        <v>586</v>
      </c>
      <c r="AM185" s="56">
        <f>'[2]Изложницы без бурта'!K185</f>
        <v>0</v>
      </c>
    </row>
    <row r="186" spans="1:39" x14ac:dyDescent="0.25">
      <c r="A186" s="239"/>
      <c r="J186" s="56" t="b">
        <f>цб!$N$4&lt;=Данные!K186</f>
        <v>0</v>
      </c>
      <c r="K186" s="334">
        <v>250</v>
      </c>
      <c r="L186" s="334">
        <v>6</v>
      </c>
      <c r="M186" s="334">
        <v>8</v>
      </c>
      <c r="N186" s="334">
        <v>10</v>
      </c>
      <c r="O186" s="334">
        <v>12</v>
      </c>
      <c r="P186" s="334">
        <v>12</v>
      </c>
      <c r="Q186" s="334">
        <v>14</v>
      </c>
      <c r="AB186" s="258">
        <f t="shared" si="4"/>
        <v>372.5</v>
      </c>
      <c r="AC186" s="259" t="str">
        <f>IF(COUNTIF(AD$78:AD186,AD186)=1,MAX(AC$78:AC185)+1,"")</f>
        <v/>
      </c>
      <c r="AD186" s="220">
        <f>'[2]Изложницы без бурта'!B186</f>
        <v>120</v>
      </c>
      <c r="AE186" s="220">
        <f>'[2]Изложницы без бурта'!C186</f>
        <v>258</v>
      </c>
      <c r="AF186" s="56">
        <f>'[2]Изложницы без бурта'!D186</f>
        <v>185</v>
      </c>
      <c r="AG186" s="56">
        <f>'[2]Изложницы без бурта'!E186</f>
        <v>320</v>
      </c>
      <c r="AH186" s="56" t="str">
        <f>'[2]Изложницы без бурта'!F186</f>
        <v>72.11868 - 9</v>
      </c>
      <c r="AI186" s="56">
        <f>'[2]Изложницы без бурта'!G186</f>
        <v>0</v>
      </c>
      <c r="AJ186" s="56">
        <f>'[2]Изложницы без бурта'!H186</f>
        <v>0</v>
      </c>
      <c r="AK186" s="56">
        <f>'[2]Изложницы без бурта'!I186</f>
        <v>0</v>
      </c>
      <c r="AL186" s="56" t="s">
        <v>586</v>
      </c>
      <c r="AM186" s="56">
        <f>'[2]Изложницы без бурта'!K186</f>
        <v>0</v>
      </c>
    </row>
    <row r="187" spans="1:39" x14ac:dyDescent="0.25">
      <c r="A187" s="239"/>
      <c r="J187" s="56" t="b">
        <f>цб!$N$4&lt;=Данные!K187</f>
        <v>0</v>
      </c>
      <c r="K187" s="334">
        <v>300</v>
      </c>
      <c r="L187" s="334">
        <v>6</v>
      </c>
      <c r="M187" s="334">
        <v>8</v>
      </c>
      <c r="N187" s="334">
        <v>10</v>
      </c>
      <c r="O187" s="334">
        <v>12</v>
      </c>
      <c r="P187" s="334">
        <v>14</v>
      </c>
      <c r="Q187" s="334">
        <v>14</v>
      </c>
      <c r="AB187" s="258">
        <f t="shared" si="4"/>
        <v>377.5</v>
      </c>
      <c r="AC187" s="259">
        <f>IF(COUNTIF(AD$78:AD187,AD187)=1,MAX(AC$78:AC186)+1,"")</f>
        <v>15</v>
      </c>
      <c r="AD187" s="220">
        <f>'[2]Изложницы без бурта'!B187</f>
        <v>122.5</v>
      </c>
      <c r="AE187" s="220">
        <f>'[2]Изложницы без бурта'!C187</f>
        <v>257</v>
      </c>
      <c r="AF187" s="56">
        <f>'[2]Изложницы без бурта'!D187</f>
        <v>185</v>
      </c>
      <c r="AG187" s="56">
        <f>'[2]Изложницы без бурта'!E187</f>
        <v>320</v>
      </c>
      <c r="AH187" s="56" t="str">
        <f>'[2]Изложницы без бурта'!F187</f>
        <v>72.11868 - 10</v>
      </c>
      <c r="AI187" s="56">
        <f>'[2]Изложницы без бурта'!G187</f>
        <v>0</v>
      </c>
      <c r="AJ187" s="56">
        <f>'[2]Изложницы без бурта'!H187</f>
        <v>0</v>
      </c>
      <c r="AK187" s="56">
        <f>'[2]Изложницы без бурта'!I187</f>
        <v>0</v>
      </c>
      <c r="AL187" s="56" t="s">
        <v>587</v>
      </c>
      <c r="AM187" s="56">
        <f>'[2]Изложницы без бурта'!K187</f>
        <v>0</v>
      </c>
    </row>
    <row r="188" spans="1:39" x14ac:dyDescent="0.25">
      <c r="A188" s="56" t="s">
        <v>395</v>
      </c>
      <c r="J188" s="56" t="b">
        <f>цб!$N$4&lt;=Данные!K188</f>
        <v>0</v>
      </c>
      <c r="K188" s="334">
        <v>350</v>
      </c>
      <c r="L188" s="334">
        <v>6</v>
      </c>
      <c r="M188" s="334">
        <v>8</v>
      </c>
      <c r="N188" s="334">
        <v>10</v>
      </c>
      <c r="O188" s="334">
        <v>12</v>
      </c>
      <c r="P188" s="334">
        <v>14</v>
      </c>
      <c r="Q188" s="334">
        <v>14</v>
      </c>
      <c r="AB188" s="258">
        <f t="shared" si="4"/>
        <v>380</v>
      </c>
      <c r="AC188" s="259" t="str">
        <f>IF(COUNTIF(AD$78:AD188,AD188)=1,MAX(AC$78:AC187)+1,"")</f>
        <v/>
      </c>
      <c r="AD188" s="220">
        <f>'[2]Изложницы без бурта'!B188</f>
        <v>122.5</v>
      </c>
      <c r="AE188" s="220">
        <f>'[2]Изложницы без бурта'!C188</f>
        <v>260</v>
      </c>
      <c r="AF188" s="56">
        <f>'[2]Изложницы без бурта'!D188</f>
        <v>185</v>
      </c>
      <c r="AG188" s="56">
        <f>'[2]Изложницы без бурта'!E188</f>
        <v>320</v>
      </c>
      <c r="AH188" s="56" t="str">
        <f>'[2]Изложницы без бурта'!F188</f>
        <v>72.11868 - 10</v>
      </c>
      <c r="AI188" s="56">
        <f>'[2]Изложницы без бурта'!G188</f>
        <v>0</v>
      </c>
      <c r="AJ188" s="56">
        <f>'[2]Изложницы без бурта'!H188</f>
        <v>0</v>
      </c>
      <c r="AK188" s="56">
        <f>'[2]Изложницы без бурта'!I188</f>
        <v>0</v>
      </c>
      <c r="AL188" s="56" t="s">
        <v>587</v>
      </c>
      <c r="AM188" s="56">
        <f>'[2]Изложницы без бурта'!K188</f>
        <v>0</v>
      </c>
    </row>
    <row r="189" spans="1:39" x14ac:dyDescent="0.25">
      <c r="A189" s="336"/>
      <c r="B189" s="336"/>
      <c r="C189" s="336"/>
      <c r="D189" s="336"/>
      <c r="E189" s="336"/>
      <c r="F189" s="336"/>
      <c r="G189" s="336"/>
      <c r="H189" s="334"/>
      <c r="J189" s="56" t="b">
        <f>цб!$N$4&lt;=Данные!K189</f>
        <v>0</v>
      </c>
      <c r="K189" s="334">
        <v>400</v>
      </c>
      <c r="L189" s="334">
        <v>6</v>
      </c>
      <c r="M189" s="334">
        <v>10</v>
      </c>
      <c r="N189" s="334">
        <v>10</v>
      </c>
      <c r="O189" s="334">
        <v>12</v>
      </c>
      <c r="P189" s="334">
        <v>14</v>
      </c>
      <c r="Q189" s="334">
        <v>14</v>
      </c>
      <c r="AB189" s="258">
        <f t="shared" si="4"/>
        <v>382.5</v>
      </c>
      <c r="AC189" s="259" t="str">
        <f>IF(COUNTIF(AD$78:AD189,AD189)=1,MAX(AC$78:AC188)+1,"")</f>
        <v/>
      </c>
      <c r="AD189" s="220">
        <f>'[2]Изложницы без бурта'!B189</f>
        <v>122.5</v>
      </c>
      <c r="AE189" s="220">
        <f>'[2]Изложницы без бурта'!C189</f>
        <v>260</v>
      </c>
      <c r="AF189" s="56">
        <f>'[2]Изложницы без бурта'!D189</f>
        <v>185</v>
      </c>
      <c r="AG189" s="56">
        <f>'[2]Изложницы без бурта'!E189</f>
        <v>320</v>
      </c>
      <c r="AH189" s="56" t="str">
        <f>'[2]Изложницы без бурта'!F189</f>
        <v>72.11868 - 10</v>
      </c>
      <c r="AI189" s="56">
        <f>'[2]Изложницы без бурта'!G189</f>
        <v>0</v>
      </c>
      <c r="AJ189" s="56">
        <f>'[2]Изложницы без бурта'!H189</f>
        <v>0</v>
      </c>
      <c r="AK189" s="56">
        <f>'[2]Изложницы без бурта'!I189</f>
        <v>0</v>
      </c>
      <c r="AL189" s="56" t="s">
        <v>587</v>
      </c>
      <c r="AM189" s="56">
        <f>'[2]Изложницы без бурта'!K189</f>
        <v>0</v>
      </c>
    </row>
    <row r="190" spans="1:39" x14ac:dyDescent="0.25">
      <c r="A190" s="334"/>
      <c r="B190" s="335">
        <v>100</v>
      </c>
      <c r="C190" s="335">
        <v>200</v>
      </c>
      <c r="D190" s="335">
        <v>300</v>
      </c>
      <c r="E190" s="335">
        <v>400</v>
      </c>
      <c r="F190" s="335">
        <v>500</v>
      </c>
      <c r="G190" s="335">
        <v>600</v>
      </c>
      <c r="H190" s="334">
        <v>700</v>
      </c>
      <c r="J190" s="56" t="b">
        <f>цб!$N$4&lt;=Данные!K190</f>
        <v>0</v>
      </c>
      <c r="K190" s="334">
        <v>600</v>
      </c>
      <c r="L190" s="334">
        <v>10</v>
      </c>
      <c r="M190" s="334">
        <v>10</v>
      </c>
      <c r="N190" s="334">
        <v>12</v>
      </c>
      <c r="O190" s="334">
        <v>14</v>
      </c>
      <c r="P190" s="334">
        <v>14</v>
      </c>
      <c r="Q190" s="334">
        <v>14</v>
      </c>
      <c r="AB190" s="258">
        <f t="shared" si="4"/>
        <v>385</v>
      </c>
      <c r="AC190" s="259" t="str">
        <f>IF(COUNTIF(AD$78:AD190,AD190)=1,MAX(AC$78:AC189)+1,"")</f>
        <v/>
      </c>
      <c r="AD190" s="220">
        <f>'[2]Изложницы без бурта'!B190</f>
        <v>122.5</v>
      </c>
      <c r="AE190" s="220">
        <f>'[2]Изложницы без бурта'!C190</f>
        <v>260</v>
      </c>
      <c r="AF190" s="56">
        <f>'[2]Изложницы без бурта'!D190</f>
        <v>185</v>
      </c>
      <c r="AG190" s="56">
        <f>'[2]Изложницы без бурта'!E190</f>
        <v>320</v>
      </c>
      <c r="AH190" s="56" t="str">
        <f>'[2]Изложницы без бурта'!F190</f>
        <v>72.11868 - 10</v>
      </c>
      <c r="AI190" s="56">
        <f>'[2]Изложницы без бурта'!G190</f>
        <v>0</v>
      </c>
      <c r="AJ190" s="56">
        <f>'[2]Изложницы без бурта'!H190</f>
        <v>0</v>
      </c>
      <c r="AK190" s="56">
        <f>'[2]Изложницы без бурта'!I190</f>
        <v>0</v>
      </c>
      <c r="AL190" s="56" t="s">
        <v>587</v>
      </c>
      <c r="AM190" s="56">
        <f>'[2]Изложницы без бурта'!K190</f>
        <v>0</v>
      </c>
    </row>
    <row r="191" spans="1:39" x14ac:dyDescent="0.25">
      <c r="A191" s="334">
        <v>0</v>
      </c>
      <c r="B191" s="335">
        <v>3.5</v>
      </c>
      <c r="C191" s="335">
        <v>4.5</v>
      </c>
      <c r="D191" s="335">
        <v>5.5</v>
      </c>
      <c r="E191" s="335">
        <v>6.5</v>
      </c>
      <c r="F191" s="335">
        <v>7.5</v>
      </c>
      <c r="G191" s="335">
        <v>10</v>
      </c>
      <c r="H191" s="334">
        <v>10</v>
      </c>
      <c r="J191" s="56" t="b">
        <f>цб!$N$4&lt;=Данные!K191</f>
        <v>1</v>
      </c>
      <c r="K191" s="335">
        <v>800</v>
      </c>
      <c r="L191" s="335">
        <v>12</v>
      </c>
      <c r="M191" s="335">
        <v>12</v>
      </c>
      <c r="N191" s="335">
        <v>15</v>
      </c>
      <c r="O191" s="335">
        <v>17</v>
      </c>
      <c r="P191" s="335">
        <v>17</v>
      </c>
      <c r="Q191" s="335">
        <v>17</v>
      </c>
      <c r="AB191" s="258">
        <f t="shared" si="4"/>
        <v>390</v>
      </c>
      <c r="AC191" s="259" t="str">
        <f>IF(COUNTIF(AD$78:AD191,AD191)=1,MAX(AC$78:AC190)+1,"")</f>
        <v/>
      </c>
      <c r="AD191" s="220">
        <f>'[2]Изложницы без бурта'!B191</f>
        <v>122.5</v>
      </c>
      <c r="AE191" s="220">
        <f>'[2]Изложницы без бурта'!C191</f>
        <v>320</v>
      </c>
      <c r="AF191" s="56">
        <f>'[2]Изложницы без бурта'!D191</f>
        <v>185</v>
      </c>
      <c r="AG191" s="56">
        <f>'[2]Изложницы без бурта'!E191</f>
        <v>320</v>
      </c>
      <c r="AH191" s="56" t="str">
        <f>'[2]Изложницы без бурта'!F191</f>
        <v>72.11869 - 11</v>
      </c>
      <c r="AI191" s="56">
        <f>'[2]Изложницы без бурта'!G191</f>
        <v>0</v>
      </c>
      <c r="AJ191" s="56">
        <f>'[2]Изложницы без бурта'!H191</f>
        <v>0</v>
      </c>
      <c r="AK191" s="56">
        <f>'[2]Изложницы без бурта'!I191</f>
        <v>0</v>
      </c>
      <c r="AL191" s="56" t="s">
        <v>587</v>
      </c>
      <c r="AM191" s="56">
        <f>'[2]Изложницы без бурта'!K191</f>
        <v>0</v>
      </c>
    </row>
    <row r="192" spans="1:39" x14ac:dyDescent="0.25">
      <c r="A192" s="334">
        <v>10</v>
      </c>
      <c r="B192" s="336">
        <v>4</v>
      </c>
      <c r="C192" s="335">
        <v>5</v>
      </c>
      <c r="D192" s="334">
        <v>6</v>
      </c>
      <c r="E192" s="334">
        <v>7.5</v>
      </c>
      <c r="F192" s="334">
        <v>8.5</v>
      </c>
      <c r="G192" s="334">
        <v>10</v>
      </c>
      <c r="H192" s="334">
        <v>10</v>
      </c>
      <c r="J192" s="56" t="b">
        <f>цб!$N$4&lt;=Данные!K192</f>
        <v>1</v>
      </c>
      <c r="K192" s="335">
        <v>1200</v>
      </c>
      <c r="L192" s="335">
        <v>16</v>
      </c>
      <c r="M192" s="335">
        <v>16</v>
      </c>
      <c r="N192" s="335">
        <v>18</v>
      </c>
      <c r="O192" s="335">
        <v>20</v>
      </c>
      <c r="P192" s="335">
        <v>20</v>
      </c>
      <c r="Q192" s="335">
        <v>20</v>
      </c>
      <c r="AB192" s="258">
        <f t="shared" si="4"/>
        <v>392.5</v>
      </c>
      <c r="AC192" s="259">
        <f>IF(COUNTIF(AD$78:AD192,AD192)=1,MAX(AC$78:AC191)+1,"")</f>
        <v>16</v>
      </c>
      <c r="AD192" s="220">
        <f>'[2]Изложницы без бурта'!B192</f>
        <v>125</v>
      </c>
      <c r="AE192" s="220">
        <f>'[2]Изложницы без бурта'!C192</f>
        <v>255</v>
      </c>
      <c r="AF192" s="56">
        <f>'[2]Изложницы без бурта'!D192</f>
        <v>185</v>
      </c>
      <c r="AG192" s="56">
        <f>'[2]Изложницы без бурта'!E192</f>
        <v>320</v>
      </c>
      <c r="AH192" s="56" t="str">
        <f>'[2]Изложницы без бурта'!F192</f>
        <v>72.11868 - 11</v>
      </c>
      <c r="AI192" s="56">
        <f>'[2]Изложницы без бурта'!G192</f>
        <v>0</v>
      </c>
      <c r="AJ192" s="56">
        <f>'[2]Изложницы без бурта'!H192</f>
        <v>0</v>
      </c>
      <c r="AK192" s="56">
        <f>'[2]Изложницы без бурта'!I192</f>
        <v>0</v>
      </c>
      <c r="AL192" s="56" t="s">
        <v>588</v>
      </c>
      <c r="AM192" s="56">
        <f>'[2]Изложницы без бурта'!K192</f>
        <v>0</v>
      </c>
    </row>
    <row r="193" spans="1:39" x14ac:dyDescent="0.25">
      <c r="A193" s="334">
        <v>20</v>
      </c>
      <c r="B193" s="335">
        <v>5.5</v>
      </c>
      <c r="C193" s="334">
        <v>6.5</v>
      </c>
      <c r="D193" s="334">
        <v>7.5</v>
      </c>
      <c r="E193" s="334">
        <v>10</v>
      </c>
      <c r="F193" s="334">
        <v>11</v>
      </c>
      <c r="G193" s="334">
        <v>12.5</v>
      </c>
      <c r="H193" s="334">
        <v>15</v>
      </c>
      <c r="J193" s="56" t="b">
        <f>цб!$N$4&lt;=Данные!K193</f>
        <v>1</v>
      </c>
      <c r="K193" s="334">
        <v>1500</v>
      </c>
      <c r="L193" s="334">
        <v>20</v>
      </c>
      <c r="M193" s="334">
        <v>20</v>
      </c>
      <c r="N193" s="334">
        <v>25</v>
      </c>
      <c r="O193" s="334">
        <v>25</v>
      </c>
      <c r="P193" s="334">
        <v>25</v>
      </c>
      <c r="Q193" s="334">
        <v>25</v>
      </c>
      <c r="AB193" s="258">
        <f t="shared" si="4"/>
        <v>397.5</v>
      </c>
      <c r="AC193" s="259" t="str">
        <f>IF(COUNTIF(AD$78:AD193,AD193)=1,MAX(AC$78:AC192)+1,"")</f>
        <v/>
      </c>
      <c r="AD193" s="220">
        <f>'[2]Изложницы без бурта'!B193</f>
        <v>125</v>
      </c>
      <c r="AE193" s="220">
        <f>'[2]Изложницы без бурта'!C193</f>
        <v>260</v>
      </c>
      <c r="AF193" s="56">
        <f>'[2]Изложницы без бурта'!D193</f>
        <v>185</v>
      </c>
      <c r="AG193" s="56">
        <f>'[2]Изложницы без бурта'!E193</f>
        <v>320</v>
      </c>
      <c r="AH193" s="56" t="str">
        <f>'[2]Изложницы без бурта'!F193</f>
        <v>72.11868 - 11</v>
      </c>
      <c r="AI193" s="56">
        <f>'[2]Изложницы без бурта'!G193</f>
        <v>0</v>
      </c>
      <c r="AJ193" s="56">
        <f>'[2]Изложницы без бурта'!H193</f>
        <v>0</v>
      </c>
      <c r="AK193" s="56">
        <f>'[2]Изложницы без бурта'!I193</f>
        <v>0</v>
      </c>
      <c r="AL193" s="56" t="s">
        <v>588</v>
      </c>
      <c r="AM193" s="56">
        <f>'[2]Изложницы без бурта'!K193</f>
        <v>0</v>
      </c>
    </row>
    <row r="194" spans="1:39" ht="14.4" thickBot="1" x14ac:dyDescent="0.3">
      <c r="A194" s="334">
        <v>30</v>
      </c>
      <c r="B194" s="335">
        <v>7.5</v>
      </c>
      <c r="C194" s="335">
        <v>8.5</v>
      </c>
      <c r="D194" s="334">
        <v>9.5</v>
      </c>
      <c r="E194" s="334">
        <v>11.5</v>
      </c>
      <c r="F194" s="334">
        <v>12.5</v>
      </c>
      <c r="G194" s="334">
        <v>14</v>
      </c>
      <c r="H194" s="334">
        <v>14</v>
      </c>
      <c r="AB194" s="258">
        <f t="shared" si="4"/>
        <v>405</v>
      </c>
      <c r="AC194" s="259" t="str">
        <f>IF(COUNTIF(AD$78:AD194,AD194)=1,MAX(AC$78:AC193)+1,"")</f>
        <v/>
      </c>
      <c r="AD194" s="220">
        <f>'[2]Изложницы без бурта'!B194</f>
        <v>125</v>
      </c>
      <c r="AE194" s="220">
        <f>'[2]Изложницы без бурта'!C194</f>
        <v>257</v>
      </c>
      <c r="AF194" s="56">
        <f>'[2]Изложницы без бурта'!D194</f>
        <v>185</v>
      </c>
      <c r="AG194" s="56">
        <f>'[2]Изложницы без бурта'!E194</f>
        <v>320</v>
      </c>
      <c r="AH194" s="56" t="str">
        <f>'[2]Изложницы без бурта'!F194</f>
        <v>72.11868 - 11</v>
      </c>
      <c r="AI194" s="56">
        <f>'[2]Изложницы без бурта'!G194</f>
        <v>0</v>
      </c>
      <c r="AJ194" s="56">
        <f>'[2]Изложницы без бурта'!H194</f>
        <v>0</v>
      </c>
      <c r="AK194" s="56">
        <f>'[2]Изложницы без бурта'!I194</f>
        <v>0</v>
      </c>
      <c r="AL194" s="56" t="s">
        <v>588</v>
      </c>
      <c r="AM194" s="56">
        <f>'[2]Изложницы без бурта'!K194</f>
        <v>0</v>
      </c>
    </row>
    <row r="195" spans="1:39" x14ac:dyDescent="0.25">
      <c r="A195" s="336">
        <v>50</v>
      </c>
      <c r="B195" s="335">
        <v>7.5</v>
      </c>
      <c r="C195" s="335">
        <v>11</v>
      </c>
      <c r="D195" s="334">
        <v>13.5</v>
      </c>
      <c r="E195" s="334">
        <v>15</v>
      </c>
      <c r="F195" s="334">
        <v>16.5</v>
      </c>
      <c r="G195" s="334">
        <v>18</v>
      </c>
      <c r="H195" s="334">
        <v>18</v>
      </c>
      <c r="J195" s="316"/>
      <c r="K195" s="316"/>
      <c r="L195" s="316"/>
      <c r="M195" s="1338" t="s">
        <v>1233</v>
      </c>
      <c r="N195" s="1339"/>
      <c r="O195" s="1339"/>
      <c r="P195" s="1339"/>
      <c r="Q195" s="218"/>
      <c r="R195" s="218"/>
      <c r="S195" s="218"/>
      <c r="T195" s="218"/>
      <c r="U195" s="218"/>
      <c r="V195" s="218"/>
      <c r="W195" s="218"/>
      <c r="X195" s="218"/>
      <c r="Y195" s="218"/>
      <c r="Z195" s="218"/>
      <c r="AA195" s="219"/>
      <c r="AB195" s="258">
        <f t="shared" si="4"/>
        <v>410</v>
      </c>
      <c r="AC195" s="259" t="str">
        <f>IF(COUNTIF(AD$78:AD195,AD195)=1,MAX(AC$78:AC194)+1,"")</f>
        <v/>
      </c>
      <c r="AD195" s="220">
        <f>'[2]Изложницы без бурта'!B195</f>
        <v>125</v>
      </c>
      <c r="AE195" s="220">
        <f>'[2]Изложницы без бурта'!C195</f>
        <v>315</v>
      </c>
      <c r="AF195" s="56">
        <f>'[2]Изложницы без бурта'!D195</f>
        <v>185</v>
      </c>
      <c r="AG195" s="56">
        <f>'[2]Изложницы без бурта'!E195</f>
        <v>320</v>
      </c>
      <c r="AH195" s="56" t="str">
        <f>'[2]Изложницы без бурта'!F195</f>
        <v>72.11869 - 11</v>
      </c>
      <c r="AI195" s="56">
        <f>'[2]Изложницы без бурта'!G195</f>
        <v>0</v>
      </c>
      <c r="AJ195" s="56">
        <f>'[2]Изложницы без бурта'!H195</f>
        <v>0</v>
      </c>
      <c r="AK195" s="56">
        <f>'[2]Изложницы без бурта'!I195</f>
        <v>0</v>
      </c>
      <c r="AL195" s="56" t="s">
        <v>588</v>
      </c>
      <c r="AM195" s="56">
        <f>'[2]Изложницы без бурта'!K195</f>
        <v>0</v>
      </c>
    </row>
    <row r="196" spans="1:39" ht="14.4" thickBot="1" x14ac:dyDescent="0.3">
      <c r="A196" s="336">
        <v>80</v>
      </c>
      <c r="B196" s="335">
        <v>7.5</v>
      </c>
      <c r="C196" s="334">
        <v>15</v>
      </c>
      <c r="D196" s="334">
        <v>14.5</v>
      </c>
      <c r="E196" s="334">
        <v>18</v>
      </c>
      <c r="F196" s="334">
        <v>19</v>
      </c>
      <c r="G196" s="334">
        <v>20.5</v>
      </c>
      <c r="H196" s="334">
        <v>20.5</v>
      </c>
      <c r="J196" s="316"/>
      <c r="K196" s="316"/>
      <c r="L196" s="316"/>
      <c r="M196" s="228"/>
      <c r="N196" s="138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230"/>
      <c r="AB196" s="258">
        <f t="shared" si="4"/>
        <v>412.5</v>
      </c>
      <c r="AC196" s="259" t="str">
        <f>IF(COUNTIF(AD$78:AD196,AD196)=1,MAX(AC$78:AC195)+1,"")</f>
        <v/>
      </c>
      <c r="AD196" s="220">
        <f>'[2]Изложницы без бурта'!B196</f>
        <v>125</v>
      </c>
      <c r="AE196" s="220">
        <f>'[2]Изложницы без бурта'!C196</f>
        <v>260</v>
      </c>
      <c r="AF196" s="56">
        <f>'[2]Изложницы без бурта'!D196</f>
        <v>185</v>
      </c>
      <c r="AG196" s="56">
        <f>'[2]Изложницы без бурта'!E196</f>
        <v>320</v>
      </c>
      <c r="AH196" s="56" t="str">
        <f>'[2]Изложницы без бурта'!F196</f>
        <v>72.11868 - 11</v>
      </c>
      <c r="AI196" s="56">
        <f>'[2]Изложницы без бурта'!G196</f>
        <v>0</v>
      </c>
      <c r="AJ196" s="56">
        <f>'[2]Изложницы без бурта'!H196</f>
        <v>0</v>
      </c>
      <c r="AK196" s="56">
        <f>'[2]Изложницы без бурта'!I196</f>
        <v>0</v>
      </c>
      <c r="AL196" s="56" t="s">
        <v>588</v>
      </c>
      <c r="AM196" s="56">
        <f>'[2]Изложницы без бурта'!K196</f>
        <v>0</v>
      </c>
    </row>
    <row r="197" spans="1:39" ht="14.4" thickBot="1" x14ac:dyDescent="0.3">
      <c r="A197" s="336">
        <v>120</v>
      </c>
      <c r="B197" s="335">
        <v>7.5</v>
      </c>
      <c r="C197" s="334">
        <v>15</v>
      </c>
      <c r="D197" s="334">
        <v>16</v>
      </c>
      <c r="E197" s="334">
        <v>19.5</v>
      </c>
      <c r="F197" s="334">
        <v>20.5</v>
      </c>
      <c r="G197" s="334">
        <v>30</v>
      </c>
      <c r="H197" s="334">
        <v>30</v>
      </c>
      <c r="J197" s="316"/>
      <c r="K197" s="316"/>
      <c r="L197" s="316"/>
      <c r="M197" s="1334" t="s">
        <v>1234</v>
      </c>
      <c r="N197" s="1335">
        <f>Бандаж!P5</f>
        <v>216</v>
      </c>
      <c r="O197" s="1336" t="s">
        <v>313</v>
      </c>
      <c r="P197" s="1335">
        <f>_xlfn.IFNA(_xlfn.IFS(N197&lt;20,1,AND(N197&gt;=20,N197&lt;50),2,AND(N197&gt;=50,N197&lt;100),3,AND(N197&gt;=100,N197&lt;200),4,AND(N197&gt;=200,N197&lt;300),5,AND(N197&gt;=300,N197&lt;400),6,AND(N197&gt;=400,N197&lt;500),7,AND(N197&gt;=500,N197&lt;650),8,AND(N197&gt;=650,N197&lt;800),9,AND(N197&gt;=800,N197&lt;1000),10,AND(N197&gt;=1000,N197&lt;1200),11,AND(N197&gt;=1200,N197&lt;1400),12,AND(N197&gt;=1400,N197&lt;1600),13,AND(N197&gt;=1600,N197&lt;1800),14,AND(N197&gt;=1800,N197&lt;2000),15,AND(N197&gt;=2000,N197&lt;2250),16,AND(N197&gt;=2250,N197&lt;2500),17,N197&gt;=2500,18),"")</f>
        <v>5</v>
      </c>
      <c r="Q197" s="1335" t="s">
        <v>254</v>
      </c>
      <c r="R197" s="1337">
        <f>ROUND(VLOOKUP(P197,A137:F154,6,FALSE),0)</f>
        <v>3</v>
      </c>
      <c r="S197" s="138"/>
      <c r="T197" s="138"/>
      <c r="U197" s="138"/>
      <c r="V197" s="138"/>
      <c r="W197" s="138"/>
      <c r="X197" s="138"/>
      <c r="Y197" s="138"/>
      <c r="Z197" s="138"/>
      <c r="AA197" s="230"/>
      <c r="AB197" s="258">
        <f t="shared" si="4"/>
        <v>415</v>
      </c>
      <c r="AC197" s="259" t="str">
        <f>IF(COUNTIF(AD$78:AD197,AD197)=1,MAX(AC$78:AC196)+1,"")</f>
        <v/>
      </c>
      <c r="AD197" s="220">
        <f>'[2]Изложницы без бурта'!B197</f>
        <v>125</v>
      </c>
      <c r="AE197" s="220">
        <f>'[2]Изложницы без бурта'!C197</f>
        <v>255</v>
      </c>
      <c r="AF197" s="56">
        <f>'[2]Изложницы без бурта'!D197</f>
        <v>185</v>
      </c>
      <c r="AG197" s="56">
        <f>'[2]Изложницы без бурта'!E197</f>
        <v>320</v>
      </c>
      <c r="AH197" s="56" t="str">
        <f>'[2]Изложницы без бурта'!F197</f>
        <v>72.11868 - 11</v>
      </c>
      <c r="AI197" s="56">
        <f>'[2]Изложницы без бурта'!G197</f>
        <v>0</v>
      </c>
      <c r="AJ197" s="56">
        <f>'[2]Изложницы без бурта'!H197</f>
        <v>0</v>
      </c>
      <c r="AK197" s="56">
        <f>'[2]Изложницы без бурта'!I197</f>
        <v>0</v>
      </c>
      <c r="AL197" s="56" t="s">
        <v>588</v>
      </c>
      <c r="AM197" s="56">
        <f>'[2]Изложницы без бурта'!K197</f>
        <v>0</v>
      </c>
    </row>
    <row r="198" spans="1:39" x14ac:dyDescent="0.25">
      <c r="A198" s="336">
        <v>150</v>
      </c>
      <c r="B198" s="335">
        <v>7.5</v>
      </c>
      <c r="C198" s="334">
        <v>15</v>
      </c>
      <c r="D198" s="334">
        <v>16</v>
      </c>
      <c r="E198" s="334">
        <v>19.5</v>
      </c>
      <c r="F198" s="334">
        <v>20.5</v>
      </c>
      <c r="G198" s="336">
        <v>32.5</v>
      </c>
      <c r="H198" s="334">
        <v>32.5</v>
      </c>
      <c r="J198" s="316"/>
      <c r="K198" s="316"/>
      <c r="L198" s="316"/>
      <c r="M198" s="1449" t="s">
        <v>1235</v>
      </c>
      <c r="N198" s="1450">
        <f>ROUND(Кольцо!J18/0.985,0)</f>
        <v>106</v>
      </c>
      <c r="O198" s="1451" t="s">
        <v>313</v>
      </c>
      <c r="P198" s="1450">
        <f>_xlfn.IFNA(_xlfn.IFS(N198&lt;20,1,AND(N198&gt;=20,N198&lt;50),2,AND(N198&gt;=50,N198&lt;100),3,AND(N198&gt;=100,N198&lt;200),4,AND(N198&gt;=200,N198&lt;300),5,AND(N198&gt;=300,N198&lt;400),6,AND(N198&gt;=400,N198&lt;500),7,AND(N198&gt;=500,N198&lt;650),8,AND(N198&gt;=650,N198&lt;800),9,AND(N198&gt;=800,N198&lt;1000),10,AND(N198&gt;=1000,N198&lt;1200),11,AND(N198&gt;=1200,N198&lt;1400),12,AND(N198&gt;=1400,N198&lt;1600),13,AND(N198&gt;=1600,N198&lt;1800),14,AND(N198&gt;=1800,N198&lt;2000),15,AND(N198&gt;=2000,N198&lt;2250),16,AND(N198&gt;=2250,N198&lt;2500),17,N198&gt;=2500,18),"")</f>
        <v>4</v>
      </c>
      <c r="Q198" s="1450" t="s">
        <v>254</v>
      </c>
      <c r="R198" s="1452">
        <f>ROUND(VLOOKUP(P198,A137:F154,6,FALSE),0)</f>
        <v>3</v>
      </c>
      <c r="S198" s="138"/>
      <c r="T198" s="138"/>
      <c r="U198" s="138"/>
      <c r="V198" s="138"/>
      <c r="W198" s="138"/>
      <c r="X198" s="138"/>
      <c r="Y198" s="138"/>
      <c r="Z198" s="138"/>
      <c r="AA198" s="230"/>
      <c r="AB198" s="258">
        <f t="shared" si="4"/>
        <v>417.5</v>
      </c>
      <c r="AC198" s="259" t="str">
        <f>IF(COUNTIF(AD$78:AD198,AD198)=1,MAX(AC$78:AC197)+1,"")</f>
        <v/>
      </c>
      <c r="AD198" s="220">
        <f>'[2]Изложницы без бурта'!B198</f>
        <v>125</v>
      </c>
      <c r="AE198" s="220">
        <f>'[2]Изложницы без бурта'!C198</f>
        <v>260</v>
      </c>
      <c r="AF198" s="56">
        <f>'[2]Изложницы без бурта'!D198</f>
        <v>185</v>
      </c>
      <c r="AG198" s="56">
        <f>'[2]Изложницы без бурта'!E198</f>
        <v>320</v>
      </c>
      <c r="AH198" s="56" t="str">
        <f>'[2]Изложницы без бурта'!F198</f>
        <v>72.11868 - 11</v>
      </c>
      <c r="AI198" s="56">
        <f>'[2]Изложницы без бурта'!G198</f>
        <v>0</v>
      </c>
      <c r="AJ198" s="56">
        <f>'[2]Изложницы без бурта'!H198</f>
        <v>0</v>
      </c>
      <c r="AK198" s="56">
        <f>'[2]Изложницы без бурта'!I198</f>
        <v>0</v>
      </c>
      <c r="AL198" s="56" t="s">
        <v>588</v>
      </c>
      <c r="AM198" s="56">
        <f>'[2]Изложницы без бурта'!K198</f>
        <v>0</v>
      </c>
    </row>
    <row r="199" spans="1:39" x14ac:dyDescent="0.25">
      <c r="A199" s="334">
        <v>200</v>
      </c>
      <c r="B199" s="335">
        <v>7.5</v>
      </c>
      <c r="C199" s="334">
        <v>15</v>
      </c>
      <c r="D199" s="334">
        <v>16</v>
      </c>
      <c r="E199" s="334">
        <v>19.5</v>
      </c>
      <c r="F199" s="334">
        <v>20.5</v>
      </c>
      <c r="G199" s="334">
        <v>32.5</v>
      </c>
      <c r="H199" s="334">
        <v>32.5</v>
      </c>
      <c r="J199" s="316"/>
      <c r="K199" s="316"/>
      <c r="L199" s="316"/>
      <c r="M199" s="1453" t="s">
        <v>1278</v>
      </c>
      <c r="N199" s="1454">
        <f>Болваны!G26</f>
        <v>219.655</v>
      </c>
      <c r="O199" s="301" t="s">
        <v>313</v>
      </c>
      <c r="P199" s="1453">
        <f>_xlfn.IFNA(_xlfn.IFS(N199&lt;=20,1,AND(N199&gt;20,N199&lt;=50),2,AND(N199&gt;50,N199&lt;=100),3,AND(N199&gt;100,N199&lt;=200),4,AND(N199&gt;200,N199&lt;=300),5,AND(N199&gt;300,N199&lt;=400),6,AND(N199&gt;400,N199&lt;=500),7,AND(N199&gt;500,N199&lt;=650),8,AND(N199&gt;650,N199&lt;=800),9,AND(N199&gt;800,N199&lt;=1000),10,AND(N199&gt;1000,N199&lt;=1200),11,AND(N199&gt;1200,N199&lt;=1400),12,AND(N199&gt;1400,N199&lt;=1600),13,AND(N199&gt;1600,N199&lt;=1800),14,AND(N199&gt;1800,N199&lt;=2000),15,AND(N199&gt;2000,N199&lt;=2250),16,AND(N199&gt;2250,N199&lt;=2500),17,N199&gt;2500,18),"")</f>
        <v>5</v>
      </c>
      <c r="Q199" s="1453" t="s">
        <v>254</v>
      </c>
      <c r="R199" s="1453">
        <f>VLOOKUP(P199,A137:F154,4,FALSE)</f>
        <v>2</v>
      </c>
      <c r="S199" s="138"/>
      <c r="T199" s="138"/>
      <c r="U199" s="138"/>
      <c r="V199" s="138"/>
      <c r="W199" s="138"/>
      <c r="X199" s="138"/>
      <c r="Y199" s="138"/>
      <c r="Z199" s="138"/>
      <c r="AA199" s="230"/>
      <c r="AB199" s="258">
        <f t="shared" si="4"/>
        <v>420</v>
      </c>
      <c r="AC199" s="259">
        <f>IF(COUNTIF(AD$78:AD199,AD199)=1,MAX(AC$78:AC198)+1,"")</f>
        <v>17</v>
      </c>
      <c r="AD199" s="220">
        <f>'[2]Изложницы без бурта'!B199</f>
        <v>127.5</v>
      </c>
      <c r="AE199" s="220">
        <f>'[2]Изложницы без бурта'!C199</f>
        <v>255</v>
      </c>
      <c r="AF199" s="56">
        <f>'[2]Изложницы без бурта'!D199</f>
        <v>185</v>
      </c>
      <c r="AG199" s="56">
        <f>'[2]Изложницы без бурта'!E199</f>
        <v>320</v>
      </c>
      <c r="AH199" s="56" t="str">
        <f>'[2]Изложницы без бурта'!F199</f>
        <v>72.11868 - 12</v>
      </c>
      <c r="AI199" s="56">
        <f>'[2]Изложницы без бурта'!G199</f>
        <v>0</v>
      </c>
      <c r="AJ199" s="56">
        <f>'[2]Изложницы без бурта'!H199</f>
        <v>0</v>
      </c>
      <c r="AK199" s="56">
        <f>'[2]Изложницы без бурта'!I199</f>
        <v>0</v>
      </c>
      <c r="AL199" s="56" t="s">
        <v>589</v>
      </c>
      <c r="AM199" s="56">
        <f>'[2]Изложницы без бурта'!K199</f>
        <v>0</v>
      </c>
    </row>
    <row r="200" spans="1:39" x14ac:dyDescent="0.25">
      <c r="M200" s="228"/>
      <c r="N200" s="138"/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38"/>
      <c r="Z200" s="138"/>
      <c r="AA200" s="230"/>
      <c r="AB200" s="258">
        <f t="shared" si="4"/>
        <v>425</v>
      </c>
      <c r="AC200" s="259" t="str">
        <f>IF(COUNTIF(AD$78:AD200,AD200)=1,MAX(AC$78:AC199)+1,"")</f>
        <v/>
      </c>
      <c r="AD200" s="220">
        <f>'[2]Изложницы без бурта'!B200</f>
        <v>127.5</v>
      </c>
      <c r="AE200" s="220">
        <f>'[2]Изложницы без бурта'!C200</f>
        <v>315</v>
      </c>
      <c r="AF200" s="56">
        <f>'[2]Изложницы без бурта'!D200</f>
        <v>185</v>
      </c>
      <c r="AG200" s="56">
        <f>'[2]Изложницы без бурта'!E200</f>
        <v>320</v>
      </c>
      <c r="AH200" s="56" t="str">
        <f>'[2]Изложницы без бурта'!F200</f>
        <v>72.11869 - 12</v>
      </c>
      <c r="AI200" s="56">
        <f>'[2]Изложницы без бурта'!G200</f>
        <v>0</v>
      </c>
      <c r="AJ200" s="56">
        <f>'[2]Изложницы без бурта'!H200</f>
        <v>0</v>
      </c>
      <c r="AK200" s="56">
        <f>'[2]Изложницы без бурта'!I200</f>
        <v>0</v>
      </c>
      <c r="AL200" s="56" t="s">
        <v>589</v>
      </c>
      <c r="AM200" s="56">
        <f>'[2]Изложницы без бурта'!K200</f>
        <v>0</v>
      </c>
    </row>
    <row r="201" spans="1:39" x14ac:dyDescent="0.25">
      <c r="A201" s="338"/>
      <c r="B201" s="339"/>
      <c r="C201" s="338"/>
      <c r="M201" s="228"/>
      <c r="N201" s="138"/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38"/>
      <c r="Z201" s="138"/>
      <c r="AA201" s="230"/>
      <c r="AB201" s="258">
        <f t="shared" si="4"/>
        <v>427.5</v>
      </c>
      <c r="AC201" s="259" t="str">
        <f>IF(COUNTIF(AD$78:AD201,AD201)=1,MAX(AC$78:AC200)+1,"")</f>
        <v/>
      </c>
      <c r="AD201" s="220">
        <f>'[2]Изложницы без бурта'!B201</f>
        <v>127.5</v>
      </c>
      <c r="AE201" s="220">
        <f>'[2]Изложницы без бурта'!C201</f>
        <v>255</v>
      </c>
      <c r="AF201" s="56">
        <f>'[2]Изложницы без бурта'!D201</f>
        <v>185</v>
      </c>
      <c r="AG201" s="56">
        <f>'[2]Изложницы без бурта'!E201</f>
        <v>320</v>
      </c>
      <c r="AH201" s="56" t="str">
        <f>'[2]Изложницы без бурта'!F201</f>
        <v>72.11868 - 12</v>
      </c>
      <c r="AI201" s="56">
        <f>'[2]Изложницы без бурта'!G201</f>
        <v>0</v>
      </c>
      <c r="AJ201" s="56">
        <f>'[2]Изложницы без бурта'!H201</f>
        <v>0</v>
      </c>
      <c r="AK201" s="56">
        <f>'[2]Изложницы без бурта'!I201</f>
        <v>0</v>
      </c>
      <c r="AL201" s="56" t="s">
        <v>589</v>
      </c>
      <c r="AM201" s="56">
        <f>'[2]Изложницы без бурта'!K201</f>
        <v>0</v>
      </c>
    </row>
    <row r="202" spans="1:39" ht="14.4" thickBot="1" x14ac:dyDescent="0.3">
      <c r="A202" s="338"/>
      <c r="B202" s="339"/>
      <c r="C202" s="338"/>
      <c r="M202" s="228"/>
      <c r="N202" s="138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38"/>
      <c r="Z202" s="138"/>
      <c r="AA202" s="230"/>
      <c r="AB202" s="258">
        <f t="shared" si="3"/>
        <v>430</v>
      </c>
      <c r="AC202" s="259" t="str">
        <f>IF(COUNTIF(AD$78:AD202,AD202)=1,MAX(AC$78:AC201)+1,"")</f>
        <v/>
      </c>
      <c r="AD202" s="220">
        <f>'[2]Изложницы без бурта'!B202</f>
        <v>127.5</v>
      </c>
      <c r="AE202" s="220">
        <f>'[2]Изложницы без бурта'!C202</f>
        <v>315</v>
      </c>
      <c r="AF202" s="56">
        <f>'[2]Изложницы без бурта'!D202</f>
        <v>185</v>
      </c>
      <c r="AG202" s="56">
        <f>'[2]Изложницы без бурта'!E202</f>
        <v>320</v>
      </c>
      <c r="AH202" s="56" t="str">
        <f>'[2]Изложницы без бурта'!F202</f>
        <v>72.11868 - 12</v>
      </c>
      <c r="AI202" s="56">
        <f>'[2]Изложницы без бурта'!G202</f>
        <v>0</v>
      </c>
      <c r="AJ202" s="56">
        <f>'[2]Изложницы без бурта'!H202</f>
        <v>0</v>
      </c>
      <c r="AK202" s="56">
        <f>'[2]Изложницы без бурта'!I202</f>
        <v>0</v>
      </c>
      <c r="AL202" s="56" t="s">
        <v>589</v>
      </c>
      <c r="AM202" s="56">
        <f>'[2]Изложницы без бурта'!K202</f>
        <v>0</v>
      </c>
    </row>
    <row r="203" spans="1:39" ht="14.4" thickBot="1" x14ac:dyDescent="0.3">
      <c r="A203" s="950" t="s">
        <v>988</v>
      </c>
      <c r="B203" s="951"/>
      <c r="C203" s="950"/>
      <c r="D203" s="246" t="s">
        <v>396</v>
      </c>
      <c r="E203" s="332">
        <f>IF(AND(Втулка!N6&gt;=7.5,Втулка!N6&lt;=8.5),2,1)</f>
        <v>2</v>
      </c>
      <c r="F203" s="246" t="s">
        <v>993</v>
      </c>
      <c r="G203" s="56">
        <f>HLOOKUP(TRUE,A231:J233,2,FALSE)</f>
        <v>1500</v>
      </c>
      <c r="H203" s="246" t="s">
        <v>403</v>
      </c>
      <c r="I203" s="56">
        <f>HLOOKUP(TRUE,A234:J236,3,FALSE)</f>
        <v>5</v>
      </c>
      <c r="J203" s="1016" t="s">
        <v>1062</v>
      </c>
      <c r="K203" s="1012" t="b">
        <v>0</v>
      </c>
      <c r="M203" s="1340"/>
      <c r="N203" s="138"/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  <c r="AA203" s="230"/>
      <c r="AB203" s="258">
        <f t="shared" si="3"/>
        <v>432.5</v>
      </c>
      <c r="AC203" s="259">
        <f>IF(COUNTIF(AD$78:AD203,AD203)=1,MAX(AC$78:AC202)+1,"")</f>
        <v>18</v>
      </c>
      <c r="AD203" s="220">
        <f>'[2]Изложницы без бурта'!B203</f>
        <v>130</v>
      </c>
      <c r="AE203" s="220">
        <f>'[2]Изложницы без бурта'!C203</f>
        <v>255</v>
      </c>
      <c r="AF203" s="56">
        <f>'[2]Изложницы без бурта'!D203</f>
        <v>185</v>
      </c>
      <c r="AG203" s="56">
        <f>'[2]Изложницы без бурта'!E203</f>
        <v>320</v>
      </c>
      <c r="AH203" s="56" t="str">
        <f>'[2]Изложницы без бурта'!F203</f>
        <v>72.11868 - 13</v>
      </c>
      <c r="AI203" s="56">
        <f>'[2]Изложницы без бурта'!G203</f>
        <v>0</v>
      </c>
      <c r="AJ203" s="56">
        <f>'[2]Изложницы без бурта'!H203</f>
        <v>0</v>
      </c>
      <c r="AK203" s="56">
        <f>'[2]Изложницы без бурта'!I203</f>
        <v>0</v>
      </c>
      <c r="AL203" s="56" t="s">
        <v>590</v>
      </c>
      <c r="AM203" s="56">
        <f>'[2]Изложницы без бурта'!K203</f>
        <v>0</v>
      </c>
    </row>
    <row r="204" spans="1:39" ht="15.6" customHeight="1" thickBot="1" x14ac:dyDescent="0.3">
      <c r="A204" s="56" t="s">
        <v>991</v>
      </c>
      <c r="B204" s="56">
        <f>Втулка!N16</f>
        <v>1100</v>
      </c>
      <c r="C204" s="246" t="s">
        <v>994</v>
      </c>
      <c r="D204" s="56" t="str">
        <f>(IF(AND(Втулка!N6&gt;=7.5,Втулка!N6&lt;=8.5),VLOOKUP(G203,A220:K229,I203,FALSE),VLOOKUP(G203,A208:K217,I203,FALSE)))</f>
        <v>11 13 13</v>
      </c>
      <c r="E204" s="953" t="s">
        <v>995</v>
      </c>
      <c r="F204" s="954" t="s">
        <v>996</v>
      </c>
      <c r="G204" s="955" t="s">
        <v>997</v>
      </c>
      <c r="M204" s="228"/>
      <c r="N204" s="138"/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  <c r="AA204" s="230"/>
      <c r="AB204" s="258">
        <f t="shared" si="3"/>
        <v>440</v>
      </c>
      <c r="AC204" s="259" t="str">
        <f>IF(COUNTIF(AD$78:AD204,AD204)=1,MAX(AC$78:AC203)+1,"")</f>
        <v/>
      </c>
      <c r="AD204" s="220">
        <f>'[2]Изложницы без бурта'!B204</f>
        <v>130</v>
      </c>
      <c r="AE204" s="220">
        <f>'[2]Изложницы без бурта'!C204</f>
        <v>255</v>
      </c>
      <c r="AF204" s="56">
        <f>'[2]Изложницы без бурта'!D204</f>
        <v>185</v>
      </c>
      <c r="AG204" s="56">
        <f>'[2]Изложницы без бурта'!E204</f>
        <v>320</v>
      </c>
      <c r="AH204" s="56" t="str">
        <f>'[2]Изложницы без бурта'!F204</f>
        <v>72.11868 - 13</v>
      </c>
      <c r="AI204" s="56">
        <f>'[2]Изложницы без бурта'!G204</f>
        <v>0</v>
      </c>
      <c r="AJ204" s="56">
        <f>'[2]Изложницы без бурта'!H204</f>
        <v>0</v>
      </c>
      <c r="AK204" s="56">
        <f>'[2]Изложницы без бурта'!I204</f>
        <v>0</v>
      </c>
      <c r="AL204" s="56" t="s">
        <v>590</v>
      </c>
      <c r="AM204" s="56">
        <f>'[2]Изложницы без бурта'!K204</f>
        <v>0</v>
      </c>
    </row>
    <row r="205" spans="1:39" ht="15.6" customHeight="1" thickBot="1" x14ac:dyDescent="0.3">
      <c r="A205" s="56" t="s">
        <v>992</v>
      </c>
      <c r="B205" s="56">
        <f>IF(K203=TRUE,500,Втулка!N18)</f>
        <v>210</v>
      </c>
      <c r="E205" s="952" t="str">
        <f>LEFT(D204,SEARCH(" ",D204,1))</f>
        <v xml:space="preserve">11 </v>
      </c>
      <c r="F205" s="956" t="str">
        <f>LEFT(F206,SEARCH(" ",F206,2))</f>
        <v xml:space="preserve"> 13 </v>
      </c>
      <c r="G205" s="952" t="str">
        <f>RIGHT(F206,SEARCH(" ",D204,1))</f>
        <v xml:space="preserve"> 13</v>
      </c>
      <c r="J205" s="316"/>
      <c r="M205" s="228"/>
      <c r="N205" s="138"/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  <c r="AA205" s="230"/>
      <c r="AB205" s="258">
        <f t="shared" si="3"/>
        <v>442.5</v>
      </c>
      <c r="AC205" s="259" t="str">
        <f>IF(COUNTIF(AD$78:AD205,AD205)=1,MAX(AC$78:AC204)+1,"")</f>
        <v/>
      </c>
      <c r="AD205" s="220">
        <f>'[2]Изложницы без бурта'!B205</f>
        <v>130</v>
      </c>
      <c r="AE205" s="220">
        <f>'[2]Изложницы без бурта'!C205</f>
        <v>375</v>
      </c>
      <c r="AF205" s="56">
        <f>'[2]Изложницы без бурта'!D205</f>
        <v>185</v>
      </c>
      <c r="AG205" s="56">
        <f>'[2]Изложницы без бурта'!E205</f>
        <v>320</v>
      </c>
      <c r="AH205" s="56" t="str">
        <f>'[2]Изложницы без бурта'!F205</f>
        <v>72.43773 - 13</v>
      </c>
      <c r="AI205" s="56">
        <f>'[2]Изложницы без бурта'!G205</f>
        <v>0</v>
      </c>
      <c r="AJ205" s="56">
        <f>'[2]Изложницы без бурта'!H205</f>
        <v>0</v>
      </c>
      <c r="AK205" s="56">
        <f>'[2]Изложницы без бурта'!I205</f>
        <v>0</v>
      </c>
      <c r="AL205" s="56" t="s">
        <v>590</v>
      </c>
      <c r="AM205" s="56">
        <f>'[2]Изложницы без бурта'!K205</f>
        <v>0</v>
      </c>
    </row>
    <row r="206" spans="1:39" ht="14.4" thickBot="1" x14ac:dyDescent="0.3">
      <c r="A206" s="338" t="s">
        <v>989</v>
      </c>
      <c r="B206" s="340"/>
      <c r="C206" s="338"/>
      <c r="F206" s="957" t="str">
        <f>RIGHT(D204,LEN(D204)-SEARCH("",D204,2))</f>
        <v xml:space="preserve"> 13 13</v>
      </c>
      <c r="M206" s="228"/>
      <c r="N206" s="138"/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  <c r="AA206" s="230"/>
      <c r="AB206" s="258">
        <f t="shared" si="3"/>
        <v>445</v>
      </c>
      <c r="AC206" s="259" t="str">
        <f>IF(COUNTIF(AD$78:AD206,AD206)=1,MAX(AC$78:AC205)+1,"")</f>
        <v/>
      </c>
      <c r="AD206" s="220">
        <f>'[2]Изложницы без бурта'!B206</f>
        <v>130</v>
      </c>
      <c r="AE206" s="220">
        <f>'[2]Изложницы без бурта'!C206</f>
        <v>318</v>
      </c>
      <c r="AF206" s="56">
        <f>'[2]Изложницы без бурта'!D206</f>
        <v>185</v>
      </c>
      <c r="AG206" s="56">
        <f>'[2]Изложницы без бурта'!E206</f>
        <v>320</v>
      </c>
      <c r="AH206" s="56" t="str">
        <f>'[2]Изложницы без бурта'!F206</f>
        <v>72.11869 - 13</v>
      </c>
      <c r="AI206" s="56">
        <f>'[2]Изложницы без бурта'!G206</f>
        <v>0</v>
      </c>
      <c r="AJ206" s="56">
        <f>'[2]Изложницы без бурта'!H206</f>
        <v>0</v>
      </c>
      <c r="AK206" s="56">
        <f>'[2]Изложницы без бурта'!I206</f>
        <v>0</v>
      </c>
      <c r="AL206" s="56" t="s">
        <v>590</v>
      </c>
      <c r="AM206" s="56">
        <f>'[2]Изложницы без бурта'!K206</f>
        <v>0</v>
      </c>
    </row>
    <row r="207" spans="1:39" x14ac:dyDescent="0.25">
      <c r="A207" s="217"/>
      <c r="B207" s="958">
        <v>50</v>
      </c>
      <c r="C207" s="958">
        <v>100</v>
      </c>
      <c r="D207" s="218">
        <v>200</v>
      </c>
      <c r="E207" s="218">
        <v>300</v>
      </c>
      <c r="F207" s="218">
        <v>400</v>
      </c>
      <c r="G207" s="218">
        <v>600</v>
      </c>
      <c r="H207" s="218">
        <v>800</v>
      </c>
      <c r="I207" s="218">
        <v>1200</v>
      </c>
      <c r="J207" s="218">
        <v>1500</v>
      </c>
      <c r="K207" s="219">
        <v>2000</v>
      </c>
      <c r="M207" s="228"/>
      <c r="N207" s="138"/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  <c r="AA207" s="230"/>
      <c r="AB207" s="258">
        <f t="shared" si="3"/>
        <v>447.5</v>
      </c>
      <c r="AC207" s="259" t="str">
        <f>IF(COUNTIF(AD$78:AD207,AD207)=1,MAX(AC$78:AC206)+1,"")</f>
        <v/>
      </c>
      <c r="AD207" s="220">
        <f>'[2]Изложницы без бурта'!B207</f>
        <v>130</v>
      </c>
      <c r="AE207" s="220">
        <f>'[2]Изложницы без бурта'!C207</f>
        <v>320</v>
      </c>
      <c r="AF207" s="56">
        <f>'[2]Изложницы без бурта'!D207</f>
        <v>185</v>
      </c>
      <c r="AG207" s="56">
        <f>'[2]Изложницы без бурта'!E207</f>
        <v>320</v>
      </c>
      <c r="AH207" s="56" t="str">
        <f>'[2]Изложницы без бурта'!F207</f>
        <v>72.11869 - 13</v>
      </c>
      <c r="AI207" s="56">
        <f>'[2]Изложницы без бурта'!G207</f>
        <v>0</v>
      </c>
      <c r="AJ207" s="56">
        <f>'[2]Изложницы без бурта'!H207</f>
        <v>0</v>
      </c>
      <c r="AK207" s="56">
        <f>'[2]Изложницы без бурта'!I207</f>
        <v>0</v>
      </c>
      <c r="AL207" s="56" t="s">
        <v>590</v>
      </c>
      <c r="AM207" s="56">
        <f>'[2]Изложницы без бурта'!K207</f>
        <v>0</v>
      </c>
    </row>
    <row r="208" spans="1:39" x14ac:dyDescent="0.25">
      <c r="A208" s="959">
        <v>100</v>
      </c>
      <c r="B208" s="340" t="s">
        <v>999</v>
      </c>
      <c r="C208" s="340" t="s">
        <v>999</v>
      </c>
      <c r="D208" s="138"/>
      <c r="E208" s="138"/>
      <c r="F208" s="138"/>
      <c r="G208" s="138"/>
      <c r="H208" s="138"/>
      <c r="I208" s="138"/>
      <c r="J208" s="138"/>
      <c r="K208" s="230"/>
      <c r="M208" s="228"/>
      <c r="N208" s="138"/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38"/>
      <c r="Z208" s="138"/>
      <c r="AA208" s="230"/>
      <c r="AB208" s="258">
        <f t="shared" si="3"/>
        <v>457.5</v>
      </c>
      <c r="AC208" s="259" t="str">
        <f>IF(COUNTIF(AD$78:AD208,AD208)=1,MAX(AC$78:AC207)+1,"")</f>
        <v/>
      </c>
      <c r="AD208" s="220">
        <f>'[2]Изложницы без бурта'!B208</f>
        <v>130</v>
      </c>
      <c r="AE208" s="220">
        <f>'[2]Изложницы без бурта'!C208</f>
        <v>320</v>
      </c>
      <c r="AF208" s="56">
        <f>'[2]Изложницы без бурта'!D208</f>
        <v>185</v>
      </c>
      <c r="AG208" s="56">
        <f>'[2]Изложницы без бурта'!E208</f>
        <v>320</v>
      </c>
      <c r="AH208" s="56" t="str">
        <f>'[2]Изложницы без бурта'!F208</f>
        <v>72.11869 - 13</v>
      </c>
      <c r="AI208" s="56">
        <f>'[2]Изложницы без бурта'!G208</f>
        <v>0</v>
      </c>
      <c r="AJ208" s="56">
        <f>'[2]Изложницы без бурта'!H208</f>
        <v>0</v>
      </c>
      <c r="AK208" s="56">
        <f>'[2]Изложницы без бурта'!I208</f>
        <v>0</v>
      </c>
      <c r="AL208" s="56" t="s">
        <v>590</v>
      </c>
      <c r="AM208" s="56">
        <f>'[2]Изложницы без бурта'!K208</f>
        <v>0</v>
      </c>
    </row>
    <row r="209" spans="1:39" x14ac:dyDescent="0.25">
      <c r="A209" s="959">
        <v>200</v>
      </c>
      <c r="B209" s="340" t="s">
        <v>1003</v>
      </c>
      <c r="C209" s="340" t="s">
        <v>1003</v>
      </c>
      <c r="D209" s="138" t="s">
        <v>1004</v>
      </c>
      <c r="E209" s="138"/>
      <c r="F209" s="138"/>
      <c r="G209" s="138"/>
      <c r="H209" s="138"/>
      <c r="I209" s="138"/>
      <c r="J209" s="138"/>
      <c r="K209" s="230"/>
      <c r="M209" s="228"/>
      <c r="N209" s="138"/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38"/>
      <c r="Z209" s="138"/>
      <c r="AA209" s="230"/>
      <c r="AB209" s="258">
        <f t="shared" ref="AB209:AB217" si="7">IF(MAX(AC209:AC1286)&lt;ROW(131:131),"",VLOOKUP(ROW(131:131),AC209:AD1286,2))</f>
        <v>460</v>
      </c>
      <c r="AC209" s="259" t="str">
        <f>IF(COUNTIF(AD$78:AD209,AD209)=1,MAX(AC$78:AC208)+1,"")</f>
        <v/>
      </c>
      <c r="AD209" s="220">
        <f>'[2]Изложницы без бурта'!B209</f>
        <v>130</v>
      </c>
      <c r="AE209" s="220">
        <f>'[2]Изложницы без бурта'!C209</f>
        <v>318</v>
      </c>
      <c r="AF209" s="56">
        <f>'[2]Изложницы без бурта'!D209</f>
        <v>185</v>
      </c>
      <c r="AG209" s="56">
        <f>'[2]Изложницы без бурта'!E209</f>
        <v>320</v>
      </c>
      <c r="AH209" s="56" t="str">
        <f>'[2]Изложницы без бурта'!F209</f>
        <v>72.11869 - 13</v>
      </c>
      <c r="AI209" s="56">
        <f>'[2]Изложницы без бурта'!G209</f>
        <v>0</v>
      </c>
      <c r="AJ209" s="56">
        <f>'[2]Изложницы без бурта'!H209</f>
        <v>0</v>
      </c>
      <c r="AK209" s="56">
        <f>'[2]Изложницы без бурта'!I209</f>
        <v>0</v>
      </c>
      <c r="AL209" s="56" t="s">
        <v>590</v>
      </c>
      <c r="AM209" s="56">
        <f>'[2]Изложницы без бурта'!K209</f>
        <v>0</v>
      </c>
    </row>
    <row r="210" spans="1:39" x14ac:dyDescent="0.25">
      <c r="A210" s="959">
        <v>300</v>
      </c>
      <c r="B210" s="340" t="s">
        <v>1003</v>
      </c>
      <c r="C210" s="340" t="s">
        <v>1005</v>
      </c>
      <c r="D210" s="138" t="s">
        <v>1004</v>
      </c>
      <c r="E210" s="138" t="s">
        <v>1006</v>
      </c>
      <c r="F210" s="138"/>
      <c r="G210" s="138"/>
      <c r="H210" s="138"/>
      <c r="I210" s="138"/>
      <c r="J210" s="138"/>
      <c r="K210" s="230"/>
      <c r="M210" s="228"/>
      <c r="N210" s="138"/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38"/>
      <c r="Z210" s="138"/>
      <c r="AA210" s="230"/>
      <c r="AB210" s="258">
        <f t="shared" si="7"/>
        <v>475</v>
      </c>
      <c r="AC210" s="259" t="str">
        <f>IF(COUNTIF(AD$78:AD210,AD210)=1,MAX(AC$78:AC209)+1,"")</f>
        <v/>
      </c>
      <c r="AD210" s="220">
        <f>'[2]Изложницы без бурта'!B210</f>
        <v>130</v>
      </c>
      <c r="AE210" s="220">
        <f>'[2]Изложницы без бурта'!C210</f>
        <v>258</v>
      </c>
      <c r="AF210" s="56">
        <f>'[2]Изложницы без бурта'!D210</f>
        <v>185</v>
      </c>
      <c r="AG210" s="56">
        <f>'[2]Изложницы без бурта'!E210</f>
        <v>320</v>
      </c>
      <c r="AH210" s="56" t="str">
        <f>'[2]Изложницы без бурта'!F210</f>
        <v>72.11868 - 13</v>
      </c>
      <c r="AI210" s="56">
        <f>'[2]Изложницы без бурта'!G210</f>
        <v>0</v>
      </c>
      <c r="AJ210" s="56">
        <f>'[2]Изложницы без бурта'!H210</f>
        <v>0</v>
      </c>
      <c r="AK210" s="56">
        <f>'[2]Изложницы без бурта'!I210</f>
        <v>0</v>
      </c>
      <c r="AL210" s="56" t="s">
        <v>590</v>
      </c>
      <c r="AM210" s="56">
        <f>'[2]Изложницы без бурта'!K210</f>
        <v>0</v>
      </c>
    </row>
    <row r="211" spans="1:39" x14ac:dyDescent="0.25">
      <c r="A211" s="959">
        <v>400</v>
      </c>
      <c r="B211" s="340" t="s">
        <v>1004</v>
      </c>
      <c r="C211" s="340" t="s">
        <v>1004</v>
      </c>
      <c r="D211" s="138" t="s">
        <v>1007</v>
      </c>
      <c r="E211" s="138" t="s">
        <v>1008</v>
      </c>
      <c r="F211" s="138" t="s">
        <v>1011</v>
      </c>
      <c r="G211" s="138" t="s">
        <v>998</v>
      </c>
      <c r="H211" s="138"/>
      <c r="I211" s="138"/>
      <c r="J211" s="138"/>
      <c r="K211" s="230"/>
      <c r="M211" s="228"/>
      <c r="N211" s="138"/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  <c r="Y211" s="138"/>
      <c r="Z211" s="138"/>
      <c r="AA211" s="230"/>
      <c r="AB211" s="258">
        <f t="shared" si="7"/>
        <v>480</v>
      </c>
      <c r="AC211" s="259" t="str">
        <f>IF(COUNTIF(AD$78:AD211,AD211)=1,MAX(AC$78:AC210)+1,"")</f>
        <v/>
      </c>
      <c r="AD211" s="220">
        <f>'[2]Изложницы без бурта'!B211</f>
        <v>130</v>
      </c>
      <c r="AE211" s="220">
        <f>'[2]Изложницы без бурта'!C211</f>
        <v>315</v>
      </c>
      <c r="AF211" s="56">
        <f>'[2]Изложницы без бурта'!D211</f>
        <v>185</v>
      </c>
      <c r="AG211" s="56">
        <f>'[2]Изложницы без бурта'!E211</f>
        <v>320</v>
      </c>
      <c r="AH211" s="56" t="str">
        <f>'[2]Изложницы без бурта'!F211</f>
        <v>72.11869 - 13</v>
      </c>
      <c r="AI211" s="56">
        <f>'[2]Изложницы без бурта'!G211</f>
        <v>0</v>
      </c>
      <c r="AJ211" s="56">
        <f>'[2]Изложницы без бурта'!H211</f>
        <v>0</v>
      </c>
      <c r="AK211" s="56">
        <f>'[2]Изложницы без бурта'!I211</f>
        <v>0</v>
      </c>
      <c r="AL211" s="56" t="s">
        <v>590</v>
      </c>
      <c r="AM211" s="56">
        <f>'[2]Изложницы без бурта'!K211</f>
        <v>0</v>
      </c>
    </row>
    <row r="212" spans="1:39" x14ac:dyDescent="0.25">
      <c r="A212" s="959">
        <v>600</v>
      </c>
      <c r="B212" s="340" t="s">
        <v>1007</v>
      </c>
      <c r="C212" s="340" t="s">
        <v>1010</v>
      </c>
      <c r="D212" s="138" t="s">
        <v>1011</v>
      </c>
      <c r="E212" s="138" t="s">
        <v>1011</v>
      </c>
      <c r="F212" s="138" t="s">
        <v>1013</v>
      </c>
      <c r="G212" s="138" t="s">
        <v>998</v>
      </c>
      <c r="H212" s="138" t="s">
        <v>1014</v>
      </c>
      <c r="I212" s="138" t="s">
        <v>1002</v>
      </c>
      <c r="J212" s="138"/>
      <c r="K212" s="230"/>
      <c r="M212" s="228"/>
      <c r="N212" s="138"/>
      <c r="O212" s="138"/>
      <c r="P212" s="138"/>
      <c r="Q212" s="138"/>
      <c r="R212" s="138"/>
      <c r="S212" s="138"/>
      <c r="T212" s="138"/>
      <c r="U212" s="138"/>
      <c r="V212" s="138"/>
      <c r="W212" s="138"/>
      <c r="X212" s="138"/>
      <c r="Y212" s="138"/>
      <c r="Z212" s="138"/>
      <c r="AA212" s="230"/>
      <c r="AB212" s="258">
        <f t="shared" si="7"/>
        <v>482.5</v>
      </c>
      <c r="AC212" s="259" t="str">
        <f>IF(COUNTIF(AD$78:AD212,AD212)=1,MAX(AC$78:AC211)+1,"")</f>
        <v/>
      </c>
      <c r="AD212" s="220">
        <f>'[2]Изложницы без бурта'!B212</f>
        <v>130</v>
      </c>
      <c r="AE212" s="220">
        <f>'[2]Изложницы без бурта'!C212</f>
        <v>257</v>
      </c>
      <c r="AF212" s="56">
        <f>'[2]Изложницы без бурта'!D212</f>
        <v>185</v>
      </c>
      <c r="AG212" s="56">
        <f>'[2]Изложницы без бурта'!E212</f>
        <v>320</v>
      </c>
      <c r="AH212" s="56" t="str">
        <f>'[2]Изложницы без бурта'!F212</f>
        <v>72.11868 - 13</v>
      </c>
      <c r="AI212" s="56">
        <f>'[2]Изложницы без бурта'!G212</f>
        <v>0</v>
      </c>
      <c r="AJ212" s="56">
        <f>'[2]Изложницы без бурта'!H212</f>
        <v>0</v>
      </c>
      <c r="AK212" s="56">
        <f>'[2]Изложницы без бурта'!I212</f>
        <v>0</v>
      </c>
      <c r="AL212" s="56" t="s">
        <v>590</v>
      </c>
      <c r="AM212" s="56">
        <f>'[2]Изложницы без бурта'!K212</f>
        <v>0</v>
      </c>
    </row>
    <row r="213" spans="1:39" x14ac:dyDescent="0.25">
      <c r="A213" s="959">
        <v>800</v>
      </c>
      <c r="B213" s="340" t="s">
        <v>1007</v>
      </c>
      <c r="C213" s="340" t="s">
        <v>1010</v>
      </c>
      <c r="D213" s="138" t="s">
        <v>1011</v>
      </c>
      <c r="E213" s="138" t="s">
        <v>1013</v>
      </c>
      <c r="F213" s="138" t="s">
        <v>998</v>
      </c>
      <c r="G213" s="138" t="s">
        <v>1018</v>
      </c>
      <c r="H213" s="138" t="s">
        <v>1014</v>
      </c>
      <c r="I213" s="138" t="s">
        <v>1002</v>
      </c>
      <c r="J213" s="1006" t="s">
        <v>1017</v>
      </c>
      <c r="K213" s="230"/>
      <c r="M213" s="228"/>
      <c r="N213" s="138"/>
      <c r="O213" s="138"/>
      <c r="P213" s="138"/>
      <c r="Q213" s="138"/>
      <c r="R213" s="138"/>
      <c r="S213" s="138"/>
      <c r="T213" s="138"/>
      <c r="U213" s="138"/>
      <c r="V213" s="138"/>
      <c r="W213" s="138"/>
      <c r="X213" s="138"/>
      <c r="Y213" s="138"/>
      <c r="Z213" s="138"/>
      <c r="AA213" s="230"/>
      <c r="AB213" s="258">
        <f t="shared" si="7"/>
        <v>495</v>
      </c>
      <c r="AC213" s="259" t="str">
        <f>IF(COUNTIF(AD$78:AD213,AD213)=1,MAX(AC$78:AC212)+1,"")</f>
        <v/>
      </c>
      <c r="AD213" s="220">
        <f>'[2]Изложницы без бурта'!B213</f>
        <v>130</v>
      </c>
      <c r="AE213" s="220">
        <f>'[2]Изложницы без бурта'!C213</f>
        <v>255</v>
      </c>
      <c r="AF213" s="56">
        <f>'[2]Изложницы без бурта'!D213</f>
        <v>185</v>
      </c>
      <c r="AG213" s="56">
        <f>'[2]Изложницы без бурта'!E213</f>
        <v>320</v>
      </c>
      <c r="AH213" s="56" t="str">
        <f>'[2]Изложницы без бурта'!F213</f>
        <v>72.11868 - 13</v>
      </c>
      <c r="AI213" s="56">
        <f>'[2]Изложницы без бурта'!G213</f>
        <v>0</v>
      </c>
      <c r="AJ213" s="56">
        <f>'[2]Изложницы без бурта'!H213</f>
        <v>0</v>
      </c>
      <c r="AK213" s="56">
        <f>'[2]Изложницы без бурта'!I213</f>
        <v>0</v>
      </c>
      <c r="AL213" s="56" t="s">
        <v>590</v>
      </c>
      <c r="AM213" s="56">
        <f>'[2]Изложницы без бурта'!K213</f>
        <v>0</v>
      </c>
    </row>
    <row r="214" spans="1:39" x14ac:dyDescent="0.25">
      <c r="A214" s="959">
        <v>1000</v>
      </c>
      <c r="B214" s="340" t="s">
        <v>1009</v>
      </c>
      <c r="C214" s="340" t="s">
        <v>998</v>
      </c>
      <c r="D214" s="138" t="s">
        <v>1012</v>
      </c>
      <c r="E214" s="138" t="s">
        <v>1014</v>
      </c>
      <c r="F214" s="138" t="s">
        <v>1014</v>
      </c>
      <c r="G214" s="138" t="s">
        <v>1000</v>
      </c>
      <c r="H214" s="138" t="s">
        <v>1000</v>
      </c>
      <c r="I214" s="138" t="s">
        <v>1002</v>
      </c>
      <c r="J214" s="1006" t="s">
        <v>1017</v>
      </c>
      <c r="K214" s="230"/>
      <c r="M214" s="228"/>
      <c r="N214" s="138"/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  <c r="AA214" s="230"/>
      <c r="AB214" s="258">
        <f t="shared" si="7"/>
        <v>500</v>
      </c>
      <c r="AC214" s="259" t="str">
        <f>IF(COUNTIF(AD$78:AD214,AD214)=1,MAX(AC$78:AC213)+1,"")</f>
        <v/>
      </c>
      <c r="AD214" s="220">
        <f>'[2]Изложницы без бурта'!B214</f>
        <v>130</v>
      </c>
      <c r="AE214" s="220">
        <f>'[2]Изложницы без бурта'!C214</f>
        <v>320</v>
      </c>
      <c r="AF214" s="56">
        <f>'[2]Изложницы без бурта'!D214</f>
        <v>185</v>
      </c>
      <c r="AG214" s="56">
        <f>'[2]Изложницы без бурта'!E214</f>
        <v>320</v>
      </c>
      <c r="AH214" s="56" t="str">
        <f>'[2]Изложницы без бурта'!F214</f>
        <v>72.11869 - 13</v>
      </c>
      <c r="AI214" s="56">
        <f>'[2]Изложницы без бурта'!G214</f>
        <v>0</v>
      </c>
      <c r="AJ214" s="56">
        <f>'[2]Изложницы без бурта'!H214</f>
        <v>0</v>
      </c>
      <c r="AK214" s="56">
        <f>'[2]Изложницы без бурта'!I214</f>
        <v>0</v>
      </c>
      <c r="AL214" s="56" t="s">
        <v>590</v>
      </c>
      <c r="AM214" s="56">
        <f>'[2]Изложницы без бурта'!K214</f>
        <v>0</v>
      </c>
    </row>
    <row r="215" spans="1:39" x14ac:dyDescent="0.25">
      <c r="A215" s="959">
        <v>1500</v>
      </c>
      <c r="B215" s="340" t="s">
        <v>1000</v>
      </c>
      <c r="C215" s="340" t="s">
        <v>1000</v>
      </c>
      <c r="D215" s="138" t="s">
        <v>1002</v>
      </c>
      <c r="E215" s="138" t="s">
        <v>1015</v>
      </c>
      <c r="F215" s="138" t="s">
        <v>1015</v>
      </c>
      <c r="G215" s="138" t="s">
        <v>1016</v>
      </c>
      <c r="H215" s="138" t="s">
        <v>1016</v>
      </c>
      <c r="I215" s="138" t="s">
        <v>1017</v>
      </c>
      <c r="J215" s="138" t="s">
        <v>1059</v>
      </c>
      <c r="K215" s="230" t="s">
        <v>1054</v>
      </c>
      <c r="M215" s="228"/>
      <c r="N215" s="138"/>
      <c r="O215" s="138"/>
      <c r="P215" s="138"/>
      <c r="Q215" s="138"/>
      <c r="R215" s="138"/>
      <c r="S215" s="138"/>
      <c r="T215" s="138"/>
      <c r="U215" s="138"/>
      <c r="V215" s="138"/>
      <c r="W215" s="138"/>
      <c r="X215" s="138"/>
      <c r="Y215" s="138"/>
      <c r="Z215" s="138"/>
      <c r="AA215" s="230"/>
      <c r="AB215" s="258">
        <f t="shared" si="7"/>
        <v>502.5</v>
      </c>
      <c r="AC215" s="259">
        <f>IF(COUNTIF(AD$78:AD215,AD215)=1,MAX(AC$78:AC214)+1,"")</f>
        <v>19</v>
      </c>
      <c r="AD215" s="220">
        <f>'[2]Изложницы без бурта'!B215</f>
        <v>132.5</v>
      </c>
      <c r="AE215" s="220">
        <f>'[2]Изложницы без бурта'!C215</f>
        <v>375</v>
      </c>
      <c r="AF215" s="56">
        <f>'[2]Изложницы без бурта'!D215</f>
        <v>185</v>
      </c>
      <c r="AG215" s="56">
        <f>'[2]Изложницы без бурта'!E215</f>
        <v>320</v>
      </c>
      <c r="AH215" s="56" t="str">
        <f>'[2]Изложницы без бурта'!F215</f>
        <v>72.43773 - 14</v>
      </c>
      <c r="AI215" s="56">
        <f>'[2]Изложницы без бурта'!G215</f>
        <v>7260002</v>
      </c>
      <c r="AJ215" s="56">
        <f>'[2]Изложницы без бурта'!H215</f>
        <v>0</v>
      </c>
      <c r="AK215" s="56">
        <f>'[2]Изложницы без бурта'!I215</f>
        <v>0</v>
      </c>
      <c r="AL215" s="56" t="s">
        <v>591</v>
      </c>
      <c r="AM215" s="56">
        <f>'[2]Изложницы без бурта'!K215</f>
        <v>0</v>
      </c>
    </row>
    <row r="216" spans="1:39" x14ac:dyDescent="0.25">
      <c r="A216" s="959">
        <v>2000</v>
      </c>
      <c r="B216" s="340" t="s">
        <v>1000</v>
      </c>
      <c r="C216" s="340" t="s">
        <v>1000</v>
      </c>
      <c r="D216" s="138" t="s">
        <v>1002</v>
      </c>
      <c r="E216" s="138" t="s">
        <v>1016</v>
      </c>
      <c r="F216" s="138" t="s">
        <v>1017</v>
      </c>
      <c r="G216" s="138" t="s">
        <v>1001</v>
      </c>
      <c r="H216" s="138" t="s">
        <v>1001</v>
      </c>
      <c r="I216" s="138" t="s">
        <v>1019</v>
      </c>
      <c r="J216" s="138" t="s">
        <v>1060</v>
      </c>
      <c r="K216" s="230" t="s">
        <v>1054</v>
      </c>
      <c r="M216" s="228"/>
      <c r="N216" s="138"/>
      <c r="O216" s="138"/>
      <c r="P216" s="138"/>
      <c r="Q216" s="138"/>
      <c r="R216" s="138"/>
      <c r="S216" s="138"/>
      <c r="T216" s="138"/>
      <c r="U216" s="138"/>
      <c r="V216" s="138"/>
      <c r="W216" s="138"/>
      <c r="X216" s="138"/>
      <c r="Y216" s="138"/>
      <c r="Z216" s="138"/>
      <c r="AA216" s="230"/>
      <c r="AB216" s="258">
        <f t="shared" si="7"/>
        <v>505</v>
      </c>
      <c r="AC216" s="259" t="str">
        <f>IF(COUNTIF(AD$78:AD216,AD216)=1,MAX(AC$78:AC215)+1,"")</f>
        <v/>
      </c>
      <c r="AD216" s="220">
        <f>'[2]Изложницы без бурта'!B216</f>
        <v>132.5</v>
      </c>
      <c r="AE216" s="220">
        <f>'[2]Изложницы без бурта'!C216</f>
        <v>320</v>
      </c>
      <c r="AF216" s="56">
        <f>'[2]Изложницы без бурта'!D216</f>
        <v>185</v>
      </c>
      <c r="AG216" s="56">
        <f>'[2]Изложницы без бурта'!E216</f>
        <v>320</v>
      </c>
      <c r="AH216" s="56" t="str">
        <f>'[2]Изложницы без бурта'!F216</f>
        <v>72.11869 - 14</v>
      </c>
      <c r="AI216" s="56">
        <f>'[2]Изложницы без бурта'!G216</f>
        <v>7260003</v>
      </c>
      <c r="AJ216" s="56">
        <f>'[2]Изложницы без бурта'!H216</f>
        <v>0</v>
      </c>
      <c r="AK216" s="56">
        <f>'[2]Изложницы без бурта'!I216</f>
        <v>0</v>
      </c>
      <c r="AL216" s="56" t="s">
        <v>591</v>
      </c>
      <c r="AM216" s="56">
        <f>'[2]Изложницы без бурта'!K216</f>
        <v>0</v>
      </c>
    </row>
    <row r="217" spans="1:39" ht="14.4" thickBot="1" x14ac:dyDescent="0.3">
      <c r="A217" s="960">
        <v>2500</v>
      </c>
      <c r="B217" s="312" t="s">
        <v>1017</v>
      </c>
      <c r="C217" s="312" t="s">
        <v>1001</v>
      </c>
      <c r="D217" s="312" t="s">
        <v>1001</v>
      </c>
      <c r="E217" s="312" t="s">
        <v>1019</v>
      </c>
      <c r="F217" s="312" t="s">
        <v>1027</v>
      </c>
      <c r="G217" s="312" t="s">
        <v>1053</v>
      </c>
      <c r="H217" s="312" t="s">
        <v>1053</v>
      </c>
      <c r="I217" s="312" t="s">
        <v>1053</v>
      </c>
      <c r="J217" s="312" t="s">
        <v>1054</v>
      </c>
      <c r="K217" s="314" t="s">
        <v>1054</v>
      </c>
      <c r="M217" s="228"/>
      <c r="N217" s="138"/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38"/>
      <c r="Z217" s="138"/>
      <c r="AA217" s="230"/>
      <c r="AB217" s="258">
        <f t="shared" si="7"/>
        <v>507.5</v>
      </c>
      <c r="AC217" s="259" t="str">
        <f>IF(COUNTIF(AD$78:AD217,AD217)=1,MAX(AC$78:AC216)+1,"")</f>
        <v/>
      </c>
      <c r="AD217" s="220">
        <f>'[2]Изложницы без бурта'!B217</f>
        <v>132.5</v>
      </c>
      <c r="AE217" s="220">
        <f>'[2]Изложницы без бурта'!C217</f>
        <v>320</v>
      </c>
      <c r="AF217" s="56">
        <f>'[2]Изложницы без бурта'!D217</f>
        <v>185</v>
      </c>
      <c r="AG217" s="56">
        <f>'[2]Изложницы без бурта'!E217</f>
        <v>320</v>
      </c>
      <c r="AH217" s="56" t="str">
        <f>'[2]Изложницы без бурта'!F217</f>
        <v>72.47347 - 1</v>
      </c>
      <c r="AI217" s="56">
        <f>'[2]Изложницы без бурта'!G217</f>
        <v>7260004</v>
      </c>
      <c r="AJ217" s="56">
        <f>'[2]Изложницы без бурта'!H217</f>
        <v>0</v>
      </c>
      <c r="AK217" s="56">
        <f>'[2]Изложницы без бурта'!I217</f>
        <v>0</v>
      </c>
      <c r="AL217" s="56" t="s">
        <v>591</v>
      </c>
      <c r="AM217" s="56">
        <f>'[2]Изложницы без бурта'!K217</f>
        <v>0</v>
      </c>
    </row>
    <row r="218" spans="1:39" ht="14.4" thickBot="1" x14ac:dyDescent="0.3">
      <c r="A218" s="338" t="s">
        <v>990</v>
      </c>
      <c r="B218" s="340"/>
      <c r="C218" s="338"/>
      <c r="M218" s="228"/>
      <c r="N218" s="138"/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38"/>
      <c r="Z218" s="138"/>
      <c r="AA218" s="230"/>
      <c r="AB218" s="258">
        <f t="shared" ref="AB218" si="8">IF(MAX(AC218:AC1295)&lt;ROW(140:140),"",VLOOKUP(ROW(140:140),AC218:AD1295,2))</f>
        <v>510</v>
      </c>
      <c r="AC218" s="259" t="str">
        <f>IF(COUNTIF(AD$78:AD218,AD218)=1,MAX(AC$78:AC217)+1,"")</f>
        <v/>
      </c>
      <c r="AD218" s="220">
        <f>'[2]Изложницы без бурта'!B218</f>
        <v>132.5</v>
      </c>
      <c r="AE218" s="220">
        <f>'[2]Изложницы без бурта'!C218</f>
        <v>373</v>
      </c>
      <c r="AF218" s="56">
        <f>'[2]Изложницы без бурта'!D218</f>
        <v>185</v>
      </c>
      <c r="AG218" s="56">
        <f>'[2]Изложницы без бурта'!E218</f>
        <v>320</v>
      </c>
      <c r="AH218" s="56" t="str">
        <f>'[2]Изложницы без бурта'!F218</f>
        <v>72.43773 - 14</v>
      </c>
      <c r="AI218" s="56">
        <f>'[2]Изложницы без бурта'!G218</f>
        <v>7260002</v>
      </c>
      <c r="AJ218" s="56">
        <f>'[2]Изложницы без бурта'!H218</f>
        <v>0</v>
      </c>
      <c r="AK218" s="56">
        <f>'[2]Изложницы без бурта'!I218</f>
        <v>0</v>
      </c>
      <c r="AL218" s="56" t="s">
        <v>591</v>
      </c>
      <c r="AM218" s="56">
        <f>'[2]Изложницы без бурта'!K218</f>
        <v>0</v>
      </c>
    </row>
    <row r="219" spans="1:39" x14ac:dyDescent="0.25">
      <c r="A219" s="217"/>
      <c r="B219" s="958">
        <v>50</v>
      </c>
      <c r="C219" s="958">
        <v>100</v>
      </c>
      <c r="D219" s="218">
        <v>200</v>
      </c>
      <c r="E219" s="218">
        <v>300</v>
      </c>
      <c r="F219" s="218">
        <v>400</v>
      </c>
      <c r="G219" s="218">
        <v>600</v>
      </c>
      <c r="H219" s="218">
        <v>800</v>
      </c>
      <c r="I219" s="218">
        <v>1200</v>
      </c>
      <c r="J219" s="218">
        <v>1500</v>
      </c>
      <c r="K219" s="219">
        <v>2000</v>
      </c>
      <c r="M219" s="228"/>
      <c r="N219" s="138"/>
      <c r="O219" s="138"/>
      <c r="P219" s="138"/>
      <c r="Q219" s="138"/>
      <c r="R219" s="138"/>
      <c r="S219" s="138"/>
      <c r="T219" s="138"/>
      <c r="U219" s="138"/>
      <c r="V219" s="138"/>
      <c r="W219" s="138"/>
      <c r="X219" s="138"/>
      <c r="Y219" s="138"/>
      <c r="Z219" s="138"/>
      <c r="AA219" s="230"/>
      <c r="AB219" s="258">
        <f t="shared" ref="AB219:AB232" si="9">IF(MAX(AC219:AC1296)&lt;ROW(141:141),"",VLOOKUP(ROW(141:141),AC219:AD1296,2))</f>
        <v>515</v>
      </c>
      <c r="AC219" s="259">
        <f>IF(COUNTIF(AD$78:AD219,AD219)=1,MAX(AC$78:AC218)+1,"")</f>
        <v>20</v>
      </c>
      <c r="AD219" s="220">
        <f>'[2]Изложницы без бурта'!B219</f>
        <v>135</v>
      </c>
      <c r="AE219" s="220">
        <f>'[2]Изложницы без бурта'!C219</f>
        <v>377</v>
      </c>
      <c r="AF219" s="56">
        <f>'[2]Изложницы без бурта'!D219</f>
        <v>185</v>
      </c>
      <c r="AG219" s="56">
        <f>'[2]Изложницы без бурта'!E219</f>
        <v>320</v>
      </c>
      <c r="AH219" s="56" t="str">
        <f>'[2]Изложницы без бурта'!F219</f>
        <v>72.43773 - 15</v>
      </c>
      <c r="AI219" s="56">
        <f>'[2]Изложницы без бурта'!G219</f>
        <v>0</v>
      </c>
      <c r="AJ219" s="56">
        <f>'[2]Изложницы без бурта'!H219</f>
        <v>0</v>
      </c>
      <c r="AK219" s="56">
        <f>'[2]Изложницы без бурта'!I219</f>
        <v>0</v>
      </c>
      <c r="AL219" s="56" t="s">
        <v>592</v>
      </c>
      <c r="AM219" s="56">
        <f>'[2]Изложницы без бурта'!K219</f>
        <v>0</v>
      </c>
    </row>
    <row r="220" spans="1:39" x14ac:dyDescent="0.25">
      <c r="A220" s="959">
        <v>100</v>
      </c>
      <c r="B220" s="340" t="s">
        <v>1004</v>
      </c>
      <c r="C220" s="340" t="s">
        <v>1007</v>
      </c>
      <c r="D220" s="138" t="s">
        <v>1011</v>
      </c>
      <c r="E220" s="138"/>
      <c r="F220" s="138"/>
      <c r="G220" s="138"/>
      <c r="H220" s="138"/>
      <c r="I220" s="138"/>
      <c r="J220" s="138"/>
      <c r="K220" s="230"/>
      <c r="M220" s="228"/>
      <c r="N220" s="138"/>
      <c r="O220" s="138"/>
      <c r="P220" s="138"/>
      <c r="Q220" s="138"/>
      <c r="R220" s="138"/>
      <c r="S220" s="138"/>
      <c r="T220" s="138"/>
      <c r="U220" s="138"/>
      <c r="V220" s="138"/>
      <c r="W220" s="138"/>
      <c r="X220" s="138"/>
      <c r="Y220" s="138"/>
      <c r="Z220" s="138"/>
      <c r="AA220" s="230"/>
      <c r="AB220" s="258">
        <f t="shared" si="9"/>
        <v>517.5</v>
      </c>
      <c r="AC220" s="259" t="str">
        <f>IF(COUNTIF(AD$78:AD220,AD220)=1,MAX(AC$78:AC219)+1,"")</f>
        <v/>
      </c>
      <c r="AD220" s="220">
        <f>'[2]Изложницы без бурта'!B220</f>
        <v>135</v>
      </c>
      <c r="AE220" s="220">
        <f>'[2]Изложницы без бурта'!C220</f>
        <v>380</v>
      </c>
      <c r="AF220" s="56">
        <f>'[2]Изложницы без бурта'!D220</f>
        <v>185</v>
      </c>
      <c r="AG220" s="56">
        <f>'[2]Изложницы без бурта'!E220</f>
        <v>320</v>
      </c>
      <c r="AH220" s="56" t="str">
        <f>'[2]Изложницы без бурта'!F220</f>
        <v>72.43773 - 15</v>
      </c>
      <c r="AI220" s="56">
        <f>'[2]Изложницы без бурта'!G220</f>
        <v>0</v>
      </c>
      <c r="AJ220" s="56">
        <f>'[2]Изложницы без бурта'!H220</f>
        <v>0</v>
      </c>
      <c r="AK220" s="56">
        <f>'[2]Изложницы без бурта'!I220</f>
        <v>0</v>
      </c>
      <c r="AL220" s="56" t="s">
        <v>592</v>
      </c>
      <c r="AM220" s="56">
        <f>'[2]Изложницы без бурта'!K220</f>
        <v>0</v>
      </c>
    </row>
    <row r="221" spans="1:39" x14ac:dyDescent="0.25">
      <c r="A221" s="959">
        <v>200</v>
      </c>
      <c r="B221" s="340" t="s">
        <v>1004</v>
      </c>
      <c r="C221" s="340" t="s">
        <v>1007</v>
      </c>
      <c r="D221" s="138" t="s">
        <v>1010</v>
      </c>
      <c r="E221" s="138" t="s">
        <v>1014</v>
      </c>
      <c r="F221" s="138"/>
      <c r="G221" s="138"/>
      <c r="H221" s="138"/>
      <c r="I221" s="138"/>
      <c r="J221" s="138"/>
      <c r="K221" s="230"/>
      <c r="M221" s="228"/>
      <c r="N221" s="138"/>
      <c r="O221" s="138"/>
      <c r="P221" s="138"/>
      <c r="Q221" s="138"/>
      <c r="R221" s="138"/>
      <c r="S221" s="138"/>
      <c r="T221" s="138"/>
      <c r="U221" s="138"/>
      <c r="V221" s="138"/>
      <c r="W221" s="138"/>
      <c r="X221" s="138"/>
      <c r="Y221" s="138"/>
      <c r="Z221" s="138"/>
      <c r="AA221" s="230"/>
      <c r="AB221" s="258">
        <f t="shared" si="9"/>
        <v>520</v>
      </c>
      <c r="AC221" s="259" t="str">
        <f>IF(COUNTIF(AD$78:AD221,AD221)=1,MAX(AC$78:AC220)+1,"")</f>
        <v/>
      </c>
      <c r="AD221" s="220">
        <f>'[2]Изложницы без бурта'!B221</f>
        <v>135</v>
      </c>
      <c r="AE221" s="220">
        <f>'[2]Изложницы без бурта'!C221</f>
        <v>260</v>
      </c>
      <c r="AF221" s="56">
        <f>'[2]Изложницы без бурта'!D221</f>
        <v>185</v>
      </c>
      <c r="AG221" s="56">
        <f>'[2]Изложницы без бурта'!E221</f>
        <v>320</v>
      </c>
      <c r="AH221" s="56" t="str">
        <f>'[2]Изложницы без бурта'!F221</f>
        <v>72.11868 - 15</v>
      </c>
      <c r="AI221" s="56">
        <f>'[2]Изложницы без бурта'!G221</f>
        <v>0</v>
      </c>
      <c r="AJ221" s="56">
        <f>'[2]Изложницы без бурта'!H221</f>
        <v>0</v>
      </c>
      <c r="AK221" s="56">
        <f>'[2]Изложницы без бурта'!I221</f>
        <v>0</v>
      </c>
      <c r="AL221" s="56" t="s">
        <v>592</v>
      </c>
      <c r="AM221" s="56">
        <f>'[2]Изложницы без бурта'!K221</f>
        <v>0</v>
      </c>
    </row>
    <row r="222" spans="1:39" x14ac:dyDescent="0.25">
      <c r="A222" s="959">
        <v>300</v>
      </c>
      <c r="B222" s="340" t="s">
        <v>1020</v>
      </c>
      <c r="C222" s="340" t="s">
        <v>1006</v>
      </c>
      <c r="D222" s="138" t="s">
        <v>1011</v>
      </c>
      <c r="E222" s="138" t="s">
        <v>998</v>
      </c>
      <c r="F222" s="138" t="s">
        <v>1015</v>
      </c>
      <c r="G222" s="138"/>
      <c r="H222" s="138"/>
      <c r="I222" s="138"/>
      <c r="J222" s="138"/>
      <c r="K222" s="230"/>
      <c r="M222" s="228"/>
      <c r="N222" s="138"/>
      <c r="O222" s="138"/>
      <c r="P222" s="138"/>
      <c r="Q222" s="138"/>
      <c r="R222" s="138"/>
      <c r="S222" s="138"/>
      <c r="T222" s="138"/>
      <c r="U222" s="138"/>
      <c r="V222" s="138"/>
      <c r="W222" s="138"/>
      <c r="X222" s="138"/>
      <c r="Y222" s="138"/>
      <c r="Z222" s="138"/>
      <c r="AA222" s="230"/>
      <c r="AB222" s="258">
        <f t="shared" si="9"/>
        <v>522.5</v>
      </c>
      <c r="AC222" s="259" t="str">
        <f>IF(COUNTIF(AD$78:AD222,AD222)=1,MAX(AC$78:AC221)+1,"")</f>
        <v/>
      </c>
      <c r="AD222" s="220">
        <f>'[2]Изложницы без бурта'!B222</f>
        <v>135</v>
      </c>
      <c r="AE222" s="220">
        <f>'[2]Изложницы без бурта'!C222</f>
        <v>257</v>
      </c>
      <c r="AF222" s="56">
        <f>'[2]Изложницы без бурта'!D222</f>
        <v>185</v>
      </c>
      <c r="AG222" s="56">
        <f>'[2]Изложницы без бурта'!E222</f>
        <v>320</v>
      </c>
      <c r="AH222" s="56" t="str">
        <f>'[2]Изложницы без бурта'!F222</f>
        <v>72.11868 - 15</v>
      </c>
      <c r="AI222" s="56">
        <f>'[2]Изложницы без бурта'!G222</f>
        <v>0</v>
      </c>
      <c r="AJ222" s="56">
        <f>'[2]Изложницы без бурта'!H222</f>
        <v>0</v>
      </c>
      <c r="AK222" s="56">
        <f>'[2]Изложницы без бурта'!I222</f>
        <v>0</v>
      </c>
      <c r="AL222" s="56" t="s">
        <v>592</v>
      </c>
      <c r="AM222" s="56">
        <f>'[2]Изложницы без бурта'!K222</f>
        <v>0</v>
      </c>
    </row>
    <row r="223" spans="1:39" x14ac:dyDescent="0.25">
      <c r="A223" s="959">
        <v>400</v>
      </c>
      <c r="B223" s="340" t="s">
        <v>1011</v>
      </c>
      <c r="C223" s="340" t="s">
        <v>998</v>
      </c>
      <c r="D223" s="138" t="s">
        <v>1018</v>
      </c>
      <c r="E223" s="138" t="s">
        <v>1025</v>
      </c>
      <c r="F223" s="138" t="s">
        <v>1028</v>
      </c>
      <c r="G223" s="138" t="s">
        <v>1061</v>
      </c>
      <c r="H223" s="138"/>
      <c r="I223" s="138"/>
      <c r="J223" s="138"/>
      <c r="K223" s="230"/>
      <c r="M223" s="228"/>
      <c r="N223" s="138"/>
      <c r="O223" s="138"/>
      <c r="P223" s="138"/>
      <c r="Q223" s="138"/>
      <c r="R223" s="138"/>
      <c r="S223" s="138"/>
      <c r="T223" s="138"/>
      <c r="U223" s="138"/>
      <c r="V223" s="138"/>
      <c r="W223" s="138"/>
      <c r="X223" s="138"/>
      <c r="Y223" s="138"/>
      <c r="Z223" s="138"/>
      <c r="AA223" s="230"/>
      <c r="AB223" s="258">
        <f t="shared" si="9"/>
        <v>525</v>
      </c>
      <c r="AC223" s="259" t="str">
        <f>IF(COUNTIF(AD$78:AD223,AD223)=1,MAX(AC$78:AC222)+1,"")</f>
        <v/>
      </c>
      <c r="AD223" s="220">
        <f>'[2]Изложницы без бурта'!B223</f>
        <v>135</v>
      </c>
      <c r="AE223" s="220">
        <f>'[2]Изложницы без бурта'!C223</f>
        <v>257</v>
      </c>
      <c r="AF223" s="56">
        <f>'[2]Изложницы без бурта'!D223</f>
        <v>185</v>
      </c>
      <c r="AG223" s="56">
        <f>'[2]Изложницы без бурта'!E223</f>
        <v>320</v>
      </c>
      <c r="AH223" s="56" t="str">
        <f>'[2]Изложницы без бурта'!F223</f>
        <v>72.11868 - 15</v>
      </c>
      <c r="AI223" s="56">
        <f>'[2]Изложницы без бурта'!G223</f>
        <v>0</v>
      </c>
      <c r="AJ223" s="56">
        <f>'[2]Изложницы без бурта'!H223</f>
        <v>0</v>
      </c>
      <c r="AK223" s="56">
        <f>'[2]Изложницы без бурта'!I223</f>
        <v>0</v>
      </c>
      <c r="AL223" s="56" t="s">
        <v>592</v>
      </c>
      <c r="AM223" s="56">
        <f>'[2]Изложницы без бурта'!K223</f>
        <v>0</v>
      </c>
    </row>
    <row r="224" spans="1:39" x14ac:dyDescent="0.25">
      <c r="A224" s="959">
        <v>600</v>
      </c>
      <c r="B224" s="340" t="s">
        <v>1014</v>
      </c>
      <c r="C224" s="340" t="s">
        <v>1014</v>
      </c>
      <c r="D224" s="138" t="s">
        <v>1025</v>
      </c>
      <c r="E224" s="138" t="s">
        <v>1025</v>
      </c>
      <c r="F224" s="138" t="s">
        <v>1028</v>
      </c>
      <c r="G224" s="138" t="s">
        <v>1023</v>
      </c>
      <c r="H224" s="138" t="s">
        <v>1027</v>
      </c>
      <c r="I224" s="138"/>
      <c r="J224" s="138"/>
      <c r="K224" s="230"/>
      <c r="M224" s="228"/>
      <c r="N224" s="138"/>
      <c r="O224" s="138"/>
      <c r="P224" s="138"/>
      <c r="Q224" s="138"/>
      <c r="R224" s="138"/>
      <c r="S224" s="138"/>
      <c r="T224" s="138"/>
      <c r="U224" s="138"/>
      <c r="V224" s="138"/>
      <c r="W224" s="138"/>
      <c r="X224" s="138"/>
      <c r="Y224" s="138"/>
      <c r="Z224" s="138"/>
      <c r="AA224" s="230"/>
      <c r="AB224" s="258">
        <f t="shared" si="9"/>
        <v>527.5</v>
      </c>
      <c r="AC224" s="259" t="str">
        <f>IF(COUNTIF(AD$78:AD224,AD224)=1,MAX(AC$78:AC223)+1,"")</f>
        <v/>
      </c>
      <c r="AD224" s="220">
        <f>'[2]Изложницы без бурта'!B224</f>
        <v>135</v>
      </c>
      <c r="AE224" s="220">
        <f>'[2]Изложницы без бурта'!C224</f>
        <v>255</v>
      </c>
      <c r="AF224" s="56">
        <f>'[2]Изложницы без бурта'!D224</f>
        <v>185</v>
      </c>
      <c r="AG224" s="56">
        <f>'[2]Изложницы без бурта'!E224</f>
        <v>320</v>
      </c>
      <c r="AH224" s="56" t="str">
        <f>'[2]Изложницы без бурта'!F224</f>
        <v>72.471147 - 1</v>
      </c>
      <c r="AI224" s="56">
        <f>'[2]Изложницы без бурта'!G224</f>
        <v>7260005</v>
      </c>
      <c r="AJ224" s="56">
        <f>'[2]Изложницы без бурта'!H224</f>
        <v>0</v>
      </c>
      <c r="AK224" s="56">
        <f>'[2]Изложницы без бурта'!I224</f>
        <v>0</v>
      </c>
      <c r="AL224" s="56" t="s">
        <v>592</v>
      </c>
      <c r="AM224" s="56">
        <f>'[2]Изложницы без бурта'!K224</f>
        <v>0</v>
      </c>
    </row>
    <row r="225" spans="1:39" x14ac:dyDescent="0.25">
      <c r="A225" s="959">
        <v>800</v>
      </c>
      <c r="B225" s="340" t="s">
        <v>1000</v>
      </c>
      <c r="C225" s="340" t="s">
        <v>1002</v>
      </c>
      <c r="D225" s="138" t="s">
        <v>1002</v>
      </c>
      <c r="E225" s="138" t="s">
        <v>1023</v>
      </c>
      <c r="F225" s="138" t="s">
        <v>1029</v>
      </c>
      <c r="G225" s="138" t="s">
        <v>1016</v>
      </c>
      <c r="H225" s="138" t="s">
        <v>1017</v>
      </c>
      <c r="I225" s="138" t="s">
        <v>1027</v>
      </c>
      <c r="J225" s="138"/>
      <c r="K225" s="230"/>
      <c r="M225" s="228"/>
      <c r="N225" s="138"/>
      <c r="O225" s="138"/>
      <c r="P225" s="138"/>
      <c r="Q225" s="138"/>
      <c r="R225" s="138"/>
      <c r="S225" s="138"/>
      <c r="T225" s="138"/>
      <c r="U225" s="138"/>
      <c r="V225" s="138"/>
      <c r="W225" s="138"/>
      <c r="X225" s="138"/>
      <c r="Y225" s="138"/>
      <c r="Z225" s="138"/>
      <c r="AA225" s="230"/>
      <c r="AB225" s="258">
        <f t="shared" si="9"/>
        <v>530</v>
      </c>
      <c r="AC225" s="259" t="str">
        <f>IF(COUNTIF(AD$78:AD225,AD225)=1,MAX(AC$78:AC224)+1,"")</f>
        <v/>
      </c>
      <c r="AD225" s="220">
        <f>'[2]Изложницы без бурта'!B225</f>
        <v>135</v>
      </c>
      <c r="AE225" s="220">
        <f>'[2]Изложницы без бурта'!C225</f>
        <v>260</v>
      </c>
      <c r="AF225" s="56">
        <f>'[2]Изложницы без бурта'!D225</f>
        <v>185</v>
      </c>
      <c r="AG225" s="56">
        <f>'[2]Изложницы без бурта'!E225</f>
        <v>320</v>
      </c>
      <c r="AH225" s="56" t="str">
        <f>'[2]Изложницы без бурта'!F225</f>
        <v>72.11868 - 15</v>
      </c>
      <c r="AI225" s="56">
        <f>'[2]Изложницы без бурта'!G225</f>
        <v>0</v>
      </c>
      <c r="AJ225" s="56">
        <f>'[2]Изложницы без бурта'!H225</f>
        <v>0</v>
      </c>
      <c r="AK225" s="56">
        <f>'[2]Изложницы без бурта'!I225</f>
        <v>0</v>
      </c>
      <c r="AL225" s="56" t="s">
        <v>592</v>
      </c>
      <c r="AM225" s="56">
        <f>'[2]Изложницы без бурта'!K225</f>
        <v>0</v>
      </c>
    </row>
    <row r="226" spans="1:39" x14ac:dyDescent="0.25">
      <c r="A226" s="959">
        <v>1000</v>
      </c>
      <c r="B226" s="340" t="s">
        <v>1002</v>
      </c>
      <c r="C226" s="340" t="s">
        <v>1023</v>
      </c>
      <c r="D226" s="138" t="s">
        <v>1023</v>
      </c>
      <c r="E226" s="138" t="s">
        <v>1016</v>
      </c>
      <c r="F226" s="138" t="s">
        <v>1030</v>
      </c>
      <c r="G226" s="138" t="s">
        <v>1030</v>
      </c>
      <c r="H226" s="138" t="s">
        <v>1022</v>
      </c>
      <c r="I226" s="138" t="s">
        <v>1024</v>
      </c>
      <c r="J226" s="138" t="s">
        <v>1052</v>
      </c>
      <c r="K226" s="230"/>
      <c r="M226" s="228"/>
      <c r="N226" s="138"/>
      <c r="O226" s="138"/>
      <c r="P226" s="138"/>
      <c r="Q226" s="138"/>
      <c r="R226" s="138"/>
      <c r="S226" s="138"/>
      <c r="T226" s="138"/>
      <c r="U226" s="138"/>
      <c r="V226" s="138"/>
      <c r="W226" s="138"/>
      <c r="X226" s="138"/>
      <c r="Y226" s="138"/>
      <c r="Z226" s="138"/>
      <c r="AA226" s="230"/>
      <c r="AB226" s="258">
        <f t="shared" si="9"/>
        <v>532.5</v>
      </c>
      <c r="AC226" s="259" t="str">
        <f>IF(COUNTIF(AD$78:AD226,AD226)=1,MAX(AC$78:AC225)+1,"")</f>
        <v/>
      </c>
      <c r="AD226" s="220">
        <f>'[2]Изложницы без бурта'!B226</f>
        <v>135</v>
      </c>
      <c r="AE226" s="220">
        <f>'[2]Изложницы без бурта'!C226</f>
        <v>255</v>
      </c>
      <c r="AF226" s="56">
        <f>'[2]Изложницы без бурта'!D226</f>
        <v>185</v>
      </c>
      <c r="AG226" s="56">
        <f>'[2]Изложницы без бурта'!E226</f>
        <v>320</v>
      </c>
      <c r="AH226" s="56" t="str">
        <f>'[2]Изложницы без бурта'!F226</f>
        <v>72.11868 - 15</v>
      </c>
      <c r="AI226" s="56">
        <f>'[2]Изложницы без бурта'!G226</f>
        <v>0</v>
      </c>
      <c r="AJ226" s="56">
        <f>'[2]Изложницы без бурта'!H226</f>
        <v>0</v>
      </c>
      <c r="AK226" s="56">
        <f>'[2]Изложницы без бурта'!I226</f>
        <v>0</v>
      </c>
      <c r="AL226" s="56" t="s">
        <v>592</v>
      </c>
      <c r="AM226" s="56">
        <f>'[2]Изложницы без бурта'!K226</f>
        <v>0</v>
      </c>
    </row>
    <row r="227" spans="1:39" x14ac:dyDescent="0.25">
      <c r="A227" s="959">
        <v>1500</v>
      </c>
      <c r="B227" s="340" t="s">
        <v>1021</v>
      </c>
      <c r="C227" s="340" t="s">
        <v>1022</v>
      </c>
      <c r="D227" s="138" t="s">
        <v>1022</v>
      </c>
      <c r="E227" s="138" t="s">
        <v>1024</v>
      </c>
      <c r="F227" s="138" t="s">
        <v>1026</v>
      </c>
      <c r="G227" s="138" t="s">
        <v>1026</v>
      </c>
      <c r="H227" s="138" t="s">
        <v>1027</v>
      </c>
      <c r="I227" s="138" t="s">
        <v>1027</v>
      </c>
      <c r="J227" s="138" t="s">
        <v>1052</v>
      </c>
      <c r="K227" s="230" t="s">
        <v>1052</v>
      </c>
      <c r="M227" s="228"/>
      <c r="N227" s="138"/>
      <c r="O227" s="138"/>
      <c r="P227" s="138"/>
      <c r="Q227" s="138"/>
      <c r="R227" s="138"/>
      <c r="S227" s="138"/>
      <c r="T227" s="138"/>
      <c r="U227" s="138"/>
      <c r="V227" s="138"/>
      <c r="W227" s="138"/>
      <c r="X227" s="138"/>
      <c r="Y227" s="138"/>
      <c r="Z227" s="138"/>
      <c r="AA227" s="230"/>
      <c r="AB227" s="258">
        <f t="shared" si="9"/>
        <v>535</v>
      </c>
      <c r="AC227" s="259">
        <f>IF(COUNTIF(AD$78:AD227,AD227)=1,MAX(AC$78:AC226)+1,"")</f>
        <v>21</v>
      </c>
      <c r="AD227" s="220">
        <f>'[2]Изложницы без бурта'!B227</f>
        <v>137.5</v>
      </c>
      <c r="AE227" s="220">
        <f>'[2]Изложницы без бурта'!C227</f>
        <v>265</v>
      </c>
      <c r="AF227" s="56">
        <f>'[2]Изложницы без бурта'!D227</f>
        <v>285</v>
      </c>
      <c r="AG227" s="56">
        <f>'[2]Изложницы без бурта'!E227</f>
        <v>320</v>
      </c>
      <c r="AH227" s="56" t="str">
        <f>'[2]Изложницы без бурта'!F227</f>
        <v>72.11868 - 16</v>
      </c>
      <c r="AI227" s="56">
        <f>'[2]Изложницы без бурта'!G227</f>
        <v>0</v>
      </c>
      <c r="AJ227" s="56">
        <f>'[2]Изложницы без бурта'!H227</f>
        <v>0</v>
      </c>
      <c r="AK227" s="56">
        <f>'[2]Изложницы без бурта'!I227</f>
        <v>0</v>
      </c>
      <c r="AL227" s="56" t="s">
        <v>593</v>
      </c>
      <c r="AM227" s="56">
        <f>'[2]Изложницы без бурта'!K227</f>
        <v>0</v>
      </c>
    </row>
    <row r="228" spans="1:39" x14ac:dyDescent="0.25">
      <c r="A228" s="959">
        <v>2000</v>
      </c>
      <c r="B228" s="340" t="s">
        <v>1022</v>
      </c>
      <c r="C228" s="340" t="s">
        <v>1024</v>
      </c>
      <c r="D228" s="138" t="s">
        <v>1026</v>
      </c>
      <c r="E228" s="138" t="s">
        <v>1027</v>
      </c>
      <c r="F228" s="138" t="s">
        <v>1027</v>
      </c>
      <c r="G228" s="138" t="s">
        <v>1031</v>
      </c>
      <c r="H228" s="138" t="s">
        <v>1032</v>
      </c>
      <c r="I228" s="138" t="s">
        <v>1032</v>
      </c>
      <c r="J228" s="138" t="s">
        <v>1052</v>
      </c>
      <c r="K228" s="230" t="s">
        <v>1052</v>
      </c>
      <c r="M228" s="228"/>
      <c r="N228" s="138"/>
      <c r="O228" s="138"/>
      <c r="P228" s="138"/>
      <c r="Q228" s="138"/>
      <c r="R228" s="138"/>
      <c r="S228" s="138"/>
      <c r="T228" s="138"/>
      <c r="U228" s="138"/>
      <c r="V228" s="138"/>
      <c r="W228" s="138"/>
      <c r="X228" s="138"/>
      <c r="Y228" s="138"/>
      <c r="Z228" s="138"/>
      <c r="AA228" s="230"/>
      <c r="AB228" s="258">
        <f t="shared" si="9"/>
        <v>537.5</v>
      </c>
      <c r="AC228" s="259">
        <f>IF(COUNTIF(AD$78:AD228,AD228)=1,MAX(AC$78:AC227)+1,"")</f>
        <v>22</v>
      </c>
      <c r="AD228" s="220">
        <f>'[2]Изложницы без бурта'!B228</f>
        <v>140</v>
      </c>
      <c r="AE228" s="220">
        <f>'[2]Изложницы без бурта'!C228</f>
        <v>375</v>
      </c>
      <c r="AF228" s="56">
        <f>'[2]Изложницы без бурта'!D228</f>
        <v>285</v>
      </c>
      <c r="AG228" s="56">
        <f>'[2]Изложницы без бурта'!E228</f>
        <v>320</v>
      </c>
      <c r="AH228" s="56" t="str">
        <f>'[2]Изложницы без бурта'!F228</f>
        <v>72.42461 - 1</v>
      </c>
      <c r="AI228" s="56">
        <f>'[2]Изложницы без бурта'!G228</f>
        <v>0</v>
      </c>
      <c r="AJ228" s="56">
        <f>'[2]Изложницы без бурта'!H228</f>
        <v>0</v>
      </c>
      <c r="AK228" s="56">
        <f>'[2]Изложницы без бурта'!I228</f>
        <v>0</v>
      </c>
      <c r="AL228" s="56" t="s">
        <v>594</v>
      </c>
      <c r="AM228" s="56">
        <f>'[2]Изложницы без бурта'!K228</f>
        <v>0</v>
      </c>
    </row>
    <row r="229" spans="1:39" ht="14.4" thickBot="1" x14ac:dyDescent="0.3">
      <c r="A229" s="311">
        <v>2500</v>
      </c>
      <c r="B229" s="312" t="s">
        <v>1026</v>
      </c>
      <c r="C229" s="312" t="s">
        <v>1027</v>
      </c>
      <c r="D229" s="312" t="s">
        <v>1027</v>
      </c>
      <c r="E229" s="312" t="s">
        <v>1031</v>
      </c>
      <c r="F229" s="312" t="s">
        <v>1032</v>
      </c>
      <c r="G229" s="312" t="s">
        <v>1032</v>
      </c>
      <c r="H229" s="312" t="s">
        <v>1051</v>
      </c>
      <c r="I229" s="312" t="s">
        <v>1051</v>
      </c>
      <c r="J229" s="312" t="s">
        <v>1052</v>
      </c>
      <c r="K229" s="314" t="s">
        <v>1052</v>
      </c>
      <c r="M229" s="311"/>
      <c r="N229" s="312"/>
      <c r="O229" s="312"/>
      <c r="P229" s="312"/>
      <c r="Q229" s="312"/>
      <c r="R229" s="312"/>
      <c r="S229" s="312"/>
      <c r="T229" s="312"/>
      <c r="U229" s="312"/>
      <c r="V229" s="312"/>
      <c r="W229" s="312"/>
      <c r="X229" s="312"/>
      <c r="Y229" s="312"/>
      <c r="Z229" s="312"/>
      <c r="AA229" s="314"/>
      <c r="AB229" s="258">
        <f t="shared" si="9"/>
        <v>545</v>
      </c>
      <c r="AC229" s="259" t="str">
        <f>IF(COUNTIF(AD$78:AD229,AD229)=1,MAX(AC$78:AC228)+1,"")</f>
        <v/>
      </c>
      <c r="AD229" s="220">
        <f>'[2]Изложницы без бурта'!B229</f>
        <v>140</v>
      </c>
      <c r="AE229" s="220">
        <f>'[2]Изложницы без бурта'!C229</f>
        <v>317</v>
      </c>
      <c r="AF229" s="56">
        <f>'[2]Изложницы без бурта'!D229</f>
        <v>285</v>
      </c>
      <c r="AG229" s="56">
        <f>'[2]Изложницы без бурта'!E229</f>
        <v>320</v>
      </c>
      <c r="AH229" s="56" t="str">
        <f>'[2]Изложницы без бурта'!F229</f>
        <v>72.11871 - 1</v>
      </c>
      <c r="AI229" s="56">
        <f>'[2]Изложницы без бурта'!G229</f>
        <v>0</v>
      </c>
      <c r="AJ229" s="56">
        <f>'[2]Изложницы без бурта'!H229</f>
        <v>0</v>
      </c>
      <c r="AK229" s="56">
        <f>'[2]Изложницы без бурта'!I229</f>
        <v>0</v>
      </c>
      <c r="AL229" s="56" t="s">
        <v>594</v>
      </c>
      <c r="AM229" s="56">
        <f>'[2]Изложницы без бурта'!K229</f>
        <v>0</v>
      </c>
    </row>
    <row r="230" spans="1:39" x14ac:dyDescent="0.25">
      <c r="AB230" s="258">
        <f t="shared" si="9"/>
        <v>547.5</v>
      </c>
      <c r="AC230" s="259" t="str">
        <f>IF(COUNTIF(AD$78:AD230,AD230)=1,MAX(AC$78:AC229)+1,"")</f>
        <v/>
      </c>
      <c r="AD230" s="220">
        <f>'[2]Изложницы без бурта'!B230</f>
        <v>140</v>
      </c>
      <c r="AE230" s="220">
        <f>'[2]Изложницы без бурта'!C230</f>
        <v>377</v>
      </c>
      <c r="AF230" s="56">
        <f>'[2]Изложницы без бурта'!D230</f>
        <v>285</v>
      </c>
      <c r="AG230" s="56">
        <f>'[2]Изложницы без бурта'!E230</f>
        <v>320</v>
      </c>
      <c r="AH230" s="56" t="str">
        <f>'[2]Изложницы без бурта'!F230</f>
        <v>72.42461 - 1</v>
      </c>
      <c r="AI230" s="56">
        <f>'[2]Изложницы без бурта'!G230</f>
        <v>0</v>
      </c>
      <c r="AJ230" s="56">
        <f>'[2]Изложницы без бурта'!H230</f>
        <v>0</v>
      </c>
      <c r="AK230" s="56">
        <f>'[2]Изложницы без бурта'!I230</f>
        <v>0</v>
      </c>
      <c r="AL230" s="56" t="s">
        <v>594</v>
      </c>
      <c r="AM230" s="56">
        <f>'[2]Изложницы без бурта'!K230</f>
        <v>0</v>
      </c>
    </row>
    <row r="231" spans="1:39" x14ac:dyDescent="0.25">
      <c r="A231" s="56" t="b">
        <f>$B204&lt;=A208</f>
        <v>0</v>
      </c>
      <c r="B231" s="56" t="b">
        <f>$B204&lt;=A209</f>
        <v>0</v>
      </c>
      <c r="C231" s="56" t="b">
        <f>$B204&lt;=A210</f>
        <v>0</v>
      </c>
      <c r="D231" s="56" t="b">
        <f>$B204&lt;=A211</f>
        <v>0</v>
      </c>
      <c r="E231" s="56" t="b">
        <f>$B204&lt;=A212</f>
        <v>0</v>
      </c>
      <c r="F231" s="56" t="b">
        <f>$B204&lt;=A213</f>
        <v>0</v>
      </c>
      <c r="G231" s="56" t="b">
        <f>$B204&lt;=A214</f>
        <v>0</v>
      </c>
      <c r="H231" s="56" t="b">
        <f>$B204&lt;=A215</f>
        <v>1</v>
      </c>
      <c r="I231" s="56" t="b">
        <f>$B204&lt;=A216</f>
        <v>1</v>
      </c>
      <c r="J231" s="56" t="b">
        <f>$B204&lt;=A217</f>
        <v>1</v>
      </c>
      <c r="AB231" s="258">
        <f t="shared" si="9"/>
        <v>555</v>
      </c>
      <c r="AC231" s="259" t="str">
        <f>IF(COUNTIF(AD$78:AD231,AD231)=1,MAX(AC$78:AC230)+1,"")</f>
        <v/>
      </c>
      <c r="AD231" s="220">
        <f>'[2]Изложницы без бурта'!B231</f>
        <v>140</v>
      </c>
      <c r="AE231" s="220">
        <f>'[2]Изложницы без бурта'!C231</f>
        <v>263</v>
      </c>
      <c r="AF231" s="56">
        <f>'[2]Изложницы без бурта'!D231</f>
        <v>285</v>
      </c>
      <c r="AG231" s="56">
        <f>'[2]Изложницы без бурта'!E231</f>
        <v>320</v>
      </c>
      <c r="AH231" s="56" t="str">
        <f>'[2]Изложницы без бурта'!F231</f>
        <v>72.11870 - 1</v>
      </c>
      <c r="AI231" s="56">
        <f>'[2]Изложницы без бурта'!G231</f>
        <v>0</v>
      </c>
      <c r="AJ231" s="56">
        <f>'[2]Изложницы без бурта'!H231</f>
        <v>0</v>
      </c>
      <c r="AK231" s="56">
        <f>'[2]Изложницы без бурта'!I231</f>
        <v>0</v>
      </c>
      <c r="AL231" s="56" t="s">
        <v>594</v>
      </c>
      <c r="AM231" s="56">
        <f>'[2]Изложницы без бурта'!K231</f>
        <v>0</v>
      </c>
    </row>
    <row r="232" spans="1:39" x14ac:dyDescent="0.25">
      <c r="A232" s="56">
        <v>100</v>
      </c>
      <c r="B232" s="246">
        <v>200</v>
      </c>
      <c r="C232" s="56">
        <v>300</v>
      </c>
      <c r="D232" s="56">
        <v>400</v>
      </c>
      <c r="E232" s="56">
        <v>600</v>
      </c>
      <c r="F232" s="56">
        <v>800</v>
      </c>
      <c r="G232" s="56">
        <v>1000</v>
      </c>
      <c r="H232" s="56">
        <v>1500</v>
      </c>
      <c r="I232" s="56">
        <v>2000</v>
      </c>
      <c r="J232" s="56">
        <v>2500</v>
      </c>
      <c r="AB232" s="258">
        <f t="shared" si="9"/>
        <v>560</v>
      </c>
      <c r="AC232" s="259" t="str">
        <f>IF(COUNTIF(AD$78:AD232,AD232)=1,MAX(AC$78:AC231)+1,"")</f>
        <v/>
      </c>
      <c r="AD232" s="220">
        <f>'[2]Изложницы без бурта'!B232</f>
        <v>140</v>
      </c>
      <c r="AE232" s="220">
        <f>'[2]Изложницы без бурта'!C232</f>
        <v>377</v>
      </c>
      <c r="AF232" s="56">
        <f>'[2]Изложницы без бурта'!D232</f>
        <v>285</v>
      </c>
      <c r="AG232" s="56">
        <f>'[2]Изложницы без бурта'!E232</f>
        <v>320</v>
      </c>
      <c r="AH232" s="56" t="str">
        <f>'[2]Изложницы без бурта'!F232</f>
        <v>72.42461 - 1</v>
      </c>
      <c r="AI232" s="56">
        <f>'[2]Изложницы без бурта'!G232</f>
        <v>0</v>
      </c>
      <c r="AJ232" s="56">
        <f>'[2]Изложницы без бурта'!H232</f>
        <v>0</v>
      </c>
      <c r="AK232" s="56">
        <f>'[2]Изложницы без бурта'!I232</f>
        <v>0</v>
      </c>
      <c r="AL232" s="56" t="s">
        <v>594</v>
      </c>
      <c r="AM232" s="56">
        <f>'[2]Изложницы без бурта'!K232</f>
        <v>0</v>
      </c>
    </row>
    <row r="233" spans="1:39" x14ac:dyDescent="0.25">
      <c r="A233" s="56">
        <v>1</v>
      </c>
      <c r="B233" s="246">
        <v>2</v>
      </c>
      <c r="C233" s="56">
        <v>3</v>
      </c>
      <c r="D233" s="56">
        <v>4</v>
      </c>
      <c r="E233" s="56">
        <v>5</v>
      </c>
      <c r="F233" s="56">
        <v>6</v>
      </c>
      <c r="G233" s="56">
        <v>7</v>
      </c>
      <c r="H233" s="56">
        <v>8</v>
      </c>
      <c r="I233" s="56">
        <v>9</v>
      </c>
      <c r="J233" s="56">
        <v>10</v>
      </c>
      <c r="AB233" s="258">
        <f t="shared" ref="AB233:AB278" si="10">IF(MAX(AC233:AC1310)&lt;ROW(155:155),"",VLOOKUP(ROW(155:155),AC233:AD1310,2))</f>
        <v>565</v>
      </c>
      <c r="AC233" s="259" t="str">
        <f>IF(COUNTIF(AD$78:AD233,AD233)=1,MAX(AC$78:AC232)+1,"")</f>
        <v/>
      </c>
      <c r="AD233" s="220">
        <f>'[2]Изложницы без бурта'!B233</f>
        <v>140</v>
      </c>
      <c r="AE233" s="220">
        <f>'[2]Изложницы без бурта'!C233</f>
        <v>320</v>
      </c>
      <c r="AF233" s="56">
        <f>'[2]Изложницы без бурта'!D233</f>
        <v>285</v>
      </c>
      <c r="AG233" s="56">
        <f>'[2]Изложницы без бурта'!E233</f>
        <v>320</v>
      </c>
      <c r="AH233" s="56" t="str">
        <f>'[2]Изложницы без бурта'!F233</f>
        <v>72.11871 - 1</v>
      </c>
      <c r="AI233" s="56">
        <f>'[2]Изложницы без бурта'!G233</f>
        <v>0</v>
      </c>
      <c r="AJ233" s="56">
        <f>'[2]Изложницы без бурта'!H233</f>
        <v>0</v>
      </c>
      <c r="AK233" s="56">
        <f>'[2]Изложницы без бурта'!I233</f>
        <v>0</v>
      </c>
      <c r="AL233" s="56" t="s">
        <v>594</v>
      </c>
      <c r="AM233" s="56">
        <f>'[2]Изложницы без бурта'!K233</f>
        <v>0</v>
      </c>
    </row>
    <row r="234" spans="1:39" x14ac:dyDescent="0.25">
      <c r="A234" s="56" t="b">
        <f t="shared" ref="A234:H234" si="11">$B205&lt;=B207</f>
        <v>0</v>
      </c>
      <c r="B234" s="56" t="b">
        <f t="shared" si="11"/>
        <v>0</v>
      </c>
      <c r="C234" s="56" t="b">
        <f>$B205&lt;=D207</f>
        <v>0</v>
      </c>
      <c r="D234" s="56" t="b">
        <f t="shared" si="11"/>
        <v>1</v>
      </c>
      <c r="E234" s="56" t="b">
        <f t="shared" si="11"/>
        <v>1</v>
      </c>
      <c r="F234" s="56" t="b">
        <f t="shared" si="11"/>
        <v>1</v>
      </c>
      <c r="G234" s="56" t="b">
        <f t="shared" si="11"/>
        <v>1</v>
      </c>
      <c r="H234" s="56" t="b">
        <f t="shared" si="11"/>
        <v>1</v>
      </c>
      <c r="I234" s="56" t="b">
        <f>$B205&lt;=J207</f>
        <v>1</v>
      </c>
      <c r="J234" s="56" t="b">
        <f>$B205&lt;=K207</f>
        <v>1</v>
      </c>
      <c r="AB234" s="258">
        <f t="shared" si="10"/>
        <v>572.5</v>
      </c>
      <c r="AC234" s="259" t="str">
        <f>IF(COUNTIF(AD$78:AD234,AD234)=1,MAX(AC$78:AC233)+1,"")</f>
        <v/>
      </c>
      <c r="AD234" s="220">
        <f>'[2]Изложницы без бурта'!B234</f>
        <v>140</v>
      </c>
      <c r="AE234" s="220">
        <f>'[2]Изложницы без бурта'!C234</f>
        <v>320</v>
      </c>
      <c r="AF234" s="56">
        <f>'[2]Изложницы без бурта'!D234</f>
        <v>285</v>
      </c>
      <c r="AG234" s="56">
        <f>'[2]Изложницы без бурта'!E234</f>
        <v>320</v>
      </c>
      <c r="AH234" s="56" t="str">
        <f>'[2]Изложницы без бурта'!F234</f>
        <v>72.11871 - 1</v>
      </c>
      <c r="AI234" s="56">
        <f>'[2]Изложницы без бурта'!G234</f>
        <v>0</v>
      </c>
      <c r="AJ234" s="56">
        <f>'[2]Изложницы без бурта'!H234</f>
        <v>0</v>
      </c>
      <c r="AK234" s="56">
        <f>'[2]Изложницы без бурта'!I234</f>
        <v>0</v>
      </c>
      <c r="AL234" s="56" t="s">
        <v>594</v>
      </c>
      <c r="AM234" s="56">
        <f>'[2]Изложницы без бурта'!K234</f>
        <v>0</v>
      </c>
    </row>
    <row r="235" spans="1:39" x14ac:dyDescent="0.25">
      <c r="A235" s="56">
        <v>50</v>
      </c>
      <c r="B235" s="246">
        <v>100</v>
      </c>
      <c r="C235" s="56">
        <v>200</v>
      </c>
      <c r="D235" s="56">
        <v>300</v>
      </c>
      <c r="E235" s="56">
        <v>400</v>
      </c>
      <c r="F235" s="56">
        <v>600</v>
      </c>
      <c r="G235" s="56">
        <v>800</v>
      </c>
      <c r="H235" s="56">
        <v>1200</v>
      </c>
      <c r="I235" s="56">
        <v>1500</v>
      </c>
      <c r="J235" s="56">
        <v>2000</v>
      </c>
      <c r="AB235" s="258">
        <f t="shared" si="10"/>
        <v>575</v>
      </c>
      <c r="AC235" s="259" t="str">
        <f>IF(COUNTIF(AD$78:AD235,AD235)=1,MAX(AC$78:AC234)+1,"")</f>
        <v/>
      </c>
      <c r="AD235" s="220">
        <f>'[2]Изложницы без бурта'!B235</f>
        <v>140</v>
      </c>
      <c r="AE235" s="220">
        <f>'[2]Изложницы без бурта'!C235</f>
        <v>265</v>
      </c>
      <c r="AF235" s="56">
        <f>'[2]Изложницы без бурта'!D235</f>
        <v>285</v>
      </c>
      <c r="AG235" s="56">
        <f>'[2]Изложницы без бурта'!E235</f>
        <v>320</v>
      </c>
      <c r="AH235" s="56" t="str">
        <f>'[2]Изложницы без бурта'!F235</f>
        <v>72.11870 - 1</v>
      </c>
      <c r="AI235" s="56">
        <f>'[2]Изложницы без бурта'!G235</f>
        <v>0</v>
      </c>
      <c r="AJ235" s="56">
        <f>'[2]Изложницы без бурта'!H235</f>
        <v>0</v>
      </c>
      <c r="AK235" s="56">
        <f>'[2]Изложницы без бурта'!I235</f>
        <v>0</v>
      </c>
      <c r="AL235" s="56" t="s">
        <v>594</v>
      </c>
      <c r="AM235" s="56">
        <f>'[2]Изложницы без бурта'!K235</f>
        <v>0</v>
      </c>
    </row>
    <row r="236" spans="1:39" x14ac:dyDescent="0.25">
      <c r="A236" s="56">
        <v>2</v>
      </c>
      <c r="B236" s="246">
        <v>3</v>
      </c>
      <c r="C236" s="56">
        <v>4</v>
      </c>
      <c r="D236" s="56">
        <v>5</v>
      </c>
      <c r="E236" s="56">
        <v>6</v>
      </c>
      <c r="F236" s="56">
        <v>7</v>
      </c>
      <c r="G236" s="56">
        <v>8</v>
      </c>
      <c r="H236" s="56">
        <v>9</v>
      </c>
      <c r="I236" s="56">
        <v>10</v>
      </c>
      <c r="J236" s="56">
        <v>11</v>
      </c>
      <c r="AB236" s="258">
        <f t="shared" si="10"/>
        <v>580</v>
      </c>
      <c r="AC236" s="259" t="str">
        <f>IF(COUNTIF(AD$78:AD236,AD236)=1,MAX(AC$78:AC235)+1,"")</f>
        <v/>
      </c>
      <c r="AD236" s="220">
        <f>'[2]Изложницы без бурта'!B236</f>
        <v>140</v>
      </c>
      <c r="AE236" s="220">
        <f>'[2]Изложницы без бурта'!C236</f>
        <v>315</v>
      </c>
      <c r="AF236" s="56">
        <f>'[2]Изложницы без бурта'!D236</f>
        <v>285</v>
      </c>
      <c r="AG236" s="56">
        <f>'[2]Изложницы без бурта'!E236</f>
        <v>320</v>
      </c>
      <c r="AH236" s="56" t="str">
        <f>'[2]Изложницы без бурта'!F236</f>
        <v>72.11871 - 1</v>
      </c>
      <c r="AI236" s="56">
        <f>'[2]Изложницы без бурта'!G236</f>
        <v>0</v>
      </c>
      <c r="AJ236" s="56">
        <f>'[2]Изложницы без бурта'!H236</f>
        <v>0</v>
      </c>
      <c r="AK236" s="56">
        <f>'[2]Изложницы без бурта'!I236</f>
        <v>0</v>
      </c>
      <c r="AL236" s="56" t="s">
        <v>594</v>
      </c>
      <c r="AM236" s="56">
        <f>'[2]Изложницы без бурта'!K236</f>
        <v>0</v>
      </c>
    </row>
    <row r="237" spans="1:39" x14ac:dyDescent="0.25">
      <c r="AB237" s="258">
        <f t="shared" si="10"/>
        <v>585</v>
      </c>
      <c r="AC237" s="259" t="str">
        <f>IF(COUNTIF(AD$78:AD237,AD237)=1,MAX(AC$78:AC236)+1,"")</f>
        <v/>
      </c>
      <c r="AD237" s="220">
        <f>'[2]Изложницы без бурта'!B237</f>
        <v>140</v>
      </c>
      <c r="AE237" s="220">
        <f>'[2]Изложницы без бурта'!C237</f>
        <v>320</v>
      </c>
      <c r="AF237" s="56">
        <f>'[2]Изложницы без бурта'!D237</f>
        <v>285</v>
      </c>
      <c r="AG237" s="56">
        <f>'[2]Изложницы без бурта'!E237</f>
        <v>320</v>
      </c>
      <c r="AH237" s="56" t="str">
        <f>'[2]Изложницы без бурта'!F237</f>
        <v>72.11871 - 1</v>
      </c>
      <c r="AI237" s="56">
        <f>'[2]Изложницы без бурта'!G237</f>
        <v>0</v>
      </c>
      <c r="AJ237" s="56">
        <f>'[2]Изложницы без бурта'!H237</f>
        <v>0</v>
      </c>
      <c r="AK237" s="56">
        <f>'[2]Изложницы без бурта'!I237</f>
        <v>0</v>
      </c>
      <c r="AL237" s="56" t="s">
        <v>594</v>
      </c>
      <c r="AM237" s="56">
        <f>'[2]Изложницы без бурта'!K237</f>
        <v>0</v>
      </c>
    </row>
    <row r="238" spans="1:39" x14ac:dyDescent="0.25">
      <c r="A238" s="56" t="s">
        <v>1049</v>
      </c>
      <c r="B238" s="333">
        <f>(Втулка!J28-Втулка!I28)/2</f>
        <v>49.5</v>
      </c>
      <c r="C238" s="333" t="s">
        <v>399</v>
      </c>
      <c r="D238" s="333">
        <f>VLOOKUP(TRUE,Данные!A242:I253,F238,FALSE)</f>
        <v>20</v>
      </c>
      <c r="E238" s="333" t="s">
        <v>965</v>
      </c>
      <c r="F238" s="333">
        <f>_xlfn.IFNA(HLOOKUP(TRUE,C240:H241,2,FALSE)+1,9)</f>
        <v>6</v>
      </c>
      <c r="G238" s="333"/>
      <c r="K238" s="333">
        <f>(Втулка!S28-Втулка!R28)/2</f>
        <v>0</v>
      </c>
      <c r="AB238" s="258">
        <f t="shared" si="10"/>
        <v>590</v>
      </c>
      <c r="AC238" s="259" t="str">
        <f>IF(COUNTIF(AD$78:AD238,AD238)=1,MAX(AC$78:AC237)+1,"")</f>
        <v/>
      </c>
      <c r="AD238" s="220">
        <f>'[2]Изложницы без бурта'!B238</f>
        <v>140</v>
      </c>
      <c r="AE238" s="220">
        <f>'[2]Изложницы без бурта'!C238</f>
        <v>263</v>
      </c>
      <c r="AF238" s="56">
        <f>'[2]Изложницы без бурта'!D238</f>
        <v>285</v>
      </c>
      <c r="AG238" s="56">
        <f>'[2]Изложницы без бурта'!E238</f>
        <v>320</v>
      </c>
      <c r="AH238" s="56" t="str">
        <f>'[2]Изложницы без бурта'!F238</f>
        <v>72.11870 - 1</v>
      </c>
      <c r="AI238" s="56">
        <f>'[2]Изложницы без бурта'!G238</f>
        <v>0</v>
      </c>
      <c r="AJ238" s="56">
        <f>'[2]Изложницы без бурта'!H238</f>
        <v>0</v>
      </c>
      <c r="AK238" s="56">
        <f>'[2]Изложницы без бурта'!I238</f>
        <v>0</v>
      </c>
      <c r="AL238" s="56" t="s">
        <v>594</v>
      </c>
      <c r="AM238" s="56">
        <f>'[2]Изложницы без бурта'!K238</f>
        <v>0</v>
      </c>
    </row>
    <row r="239" spans="1:39" x14ac:dyDescent="0.25">
      <c r="B239" s="333"/>
      <c r="C239" s="333">
        <v>15</v>
      </c>
      <c r="D239" s="333">
        <v>30</v>
      </c>
      <c r="E239" s="333">
        <v>45</v>
      </c>
      <c r="F239" s="333">
        <v>75</v>
      </c>
      <c r="G239" s="333">
        <v>100</v>
      </c>
      <c r="H239" s="333">
        <v>300</v>
      </c>
      <c r="I239" s="56" t="s">
        <v>1101</v>
      </c>
      <c r="AB239" s="258">
        <f t="shared" si="10"/>
        <v>592.5</v>
      </c>
      <c r="AC239" s="259" t="str">
        <f>IF(COUNTIF(AD$78:AD239,AD239)=1,MAX(AC$78:AC238)+1,"")</f>
        <v/>
      </c>
      <c r="AD239" s="220">
        <f>'[2]Изложницы без бурта'!B239</f>
        <v>140</v>
      </c>
      <c r="AE239" s="220">
        <f>'[2]Изложницы без бурта'!C239</f>
        <v>263</v>
      </c>
      <c r="AF239" s="56">
        <f>'[2]Изложницы без бурта'!D239</f>
        <v>285</v>
      </c>
      <c r="AG239" s="56">
        <f>'[2]Изложницы без бурта'!E239</f>
        <v>320</v>
      </c>
      <c r="AH239" s="56" t="str">
        <f>'[2]Изложницы без бурта'!F239</f>
        <v>72.11870 - 1</v>
      </c>
      <c r="AI239" s="56">
        <f>'[2]Изложницы без бурта'!G239</f>
        <v>0</v>
      </c>
      <c r="AJ239" s="56">
        <f>'[2]Изложницы без бурта'!H239</f>
        <v>0</v>
      </c>
      <c r="AK239" s="56">
        <f>'[2]Изложницы без бурта'!I239</f>
        <v>0</v>
      </c>
      <c r="AL239" s="56" t="s">
        <v>594</v>
      </c>
      <c r="AM239" s="56">
        <f>'[2]Изложницы без бурта'!K239</f>
        <v>0</v>
      </c>
    </row>
    <row r="240" spans="1:39" x14ac:dyDescent="0.25">
      <c r="B240" s="317"/>
      <c r="C240" s="337" t="b">
        <f>$B238&lt;C239</f>
        <v>0</v>
      </c>
      <c r="D240" s="337" t="b">
        <f t="shared" ref="D240:H240" si="12">$B238&lt;D239</f>
        <v>0</v>
      </c>
      <c r="E240" s="337" t="b">
        <f t="shared" si="12"/>
        <v>0</v>
      </c>
      <c r="F240" s="337" t="b">
        <f t="shared" si="12"/>
        <v>1</v>
      </c>
      <c r="G240" s="337" t="b">
        <f t="shared" si="12"/>
        <v>1</v>
      </c>
      <c r="H240" s="337" t="b">
        <f t="shared" si="12"/>
        <v>1</v>
      </c>
      <c r="AB240" s="258">
        <f t="shared" si="10"/>
        <v>595</v>
      </c>
      <c r="AC240" s="259" t="str">
        <f>IF(COUNTIF(AD$78:AD240,AD240)=1,MAX(AC$78:AC239)+1,"")</f>
        <v/>
      </c>
      <c r="AD240" s="220">
        <f>'[2]Изложницы без бурта'!B240</f>
        <v>140</v>
      </c>
      <c r="AE240" s="220">
        <f>'[2]Изложницы без бурта'!C240</f>
        <v>320</v>
      </c>
      <c r="AF240" s="56">
        <f>'[2]Изложницы без бурта'!D240</f>
        <v>285</v>
      </c>
      <c r="AG240" s="56">
        <f>'[2]Изложницы без бурта'!E240</f>
        <v>320</v>
      </c>
      <c r="AH240" s="56" t="str">
        <f>'[2]Изложницы без бурта'!F240</f>
        <v>72.11871 - 1</v>
      </c>
      <c r="AI240" s="56">
        <f>'[2]Изложницы без бурта'!G240</f>
        <v>0</v>
      </c>
      <c r="AJ240" s="56">
        <f>'[2]Изложницы без бурта'!H240</f>
        <v>0</v>
      </c>
      <c r="AK240" s="56">
        <f>'[2]Изложницы без бурта'!I240</f>
        <v>0</v>
      </c>
      <c r="AL240" s="56" t="s">
        <v>594</v>
      </c>
      <c r="AM240" s="56">
        <f>'[2]Изложницы без бурта'!K240</f>
        <v>0</v>
      </c>
    </row>
    <row r="241" spans="1:39" x14ac:dyDescent="0.25">
      <c r="B241" s="334">
        <v>1</v>
      </c>
      <c r="C241" s="334">
        <v>2</v>
      </c>
      <c r="D241" s="334">
        <v>3</v>
      </c>
      <c r="E241" s="334">
        <v>4</v>
      </c>
      <c r="F241" s="334">
        <v>5</v>
      </c>
      <c r="G241" s="334">
        <v>6</v>
      </c>
      <c r="H241" s="334">
        <v>7</v>
      </c>
      <c r="I241" s="56">
        <v>0</v>
      </c>
      <c r="AB241" s="258">
        <f t="shared" si="10"/>
        <v>597.5</v>
      </c>
      <c r="AC241" s="259" t="str">
        <f>IF(COUNTIF(AD$78:AD241,AD241)=1,MAX(AC$78:AC240)+1,"")</f>
        <v/>
      </c>
      <c r="AD241" s="220">
        <f>'[2]Изложницы без бурта'!B241</f>
        <v>140</v>
      </c>
      <c r="AE241" s="220">
        <f>'[2]Изложницы без бурта'!C241</f>
        <v>262</v>
      </c>
      <c r="AF241" s="56">
        <f>'[2]Изложницы без бурта'!D241</f>
        <v>285</v>
      </c>
      <c r="AG241" s="56">
        <f>'[2]Изложницы без бурта'!E241</f>
        <v>320</v>
      </c>
      <c r="AH241" s="56" t="str">
        <f>'[2]Изложницы без бурта'!F241</f>
        <v>72.11870 - 1</v>
      </c>
      <c r="AI241" s="56">
        <f>'[2]Изложницы без бурта'!G241</f>
        <v>0</v>
      </c>
      <c r="AJ241" s="56">
        <f>'[2]Изложницы без бурта'!H241</f>
        <v>0</v>
      </c>
      <c r="AK241" s="56">
        <f>'[2]Изложницы без бурта'!I241</f>
        <v>0</v>
      </c>
      <c r="AL241" s="56" t="s">
        <v>594</v>
      </c>
      <c r="AM241" s="56">
        <f>'[2]Изложницы без бурта'!K241</f>
        <v>0</v>
      </c>
    </row>
    <row r="242" spans="1:39" x14ac:dyDescent="0.25">
      <c r="A242" s="56" t="b">
        <f>Втулка!N$16&lt;=Данные!B242</f>
        <v>0</v>
      </c>
      <c r="B242" s="334">
        <v>100</v>
      </c>
      <c r="C242" s="334">
        <v>6</v>
      </c>
      <c r="D242" s="334">
        <v>8</v>
      </c>
      <c r="E242" s="334">
        <v>10</v>
      </c>
      <c r="F242" s="334">
        <v>12</v>
      </c>
      <c r="G242" s="334">
        <v>12</v>
      </c>
      <c r="H242" s="334">
        <v>14</v>
      </c>
      <c r="I242" s="56">
        <v>0</v>
      </c>
      <c r="AB242" s="258">
        <f t="shared" si="10"/>
        <v>600</v>
      </c>
      <c r="AC242" s="259" t="str">
        <f>IF(COUNTIF(AD$78:AD242,AD242)=1,MAX(AC$78:AC241)+1,"")</f>
        <v/>
      </c>
      <c r="AD242" s="220">
        <f>'[2]Изложницы без бурта'!B242</f>
        <v>140</v>
      </c>
      <c r="AE242" s="220">
        <f>'[2]Изложницы без бурта'!C242</f>
        <v>320</v>
      </c>
      <c r="AF242" s="56">
        <f>'[2]Изложницы без бурта'!D242</f>
        <v>285</v>
      </c>
      <c r="AG242" s="56">
        <f>'[2]Изложницы без бурта'!E242</f>
        <v>320</v>
      </c>
      <c r="AH242" s="56" t="str">
        <f>'[2]Изложницы без бурта'!F242</f>
        <v>72.11871 - 1</v>
      </c>
      <c r="AI242" s="56">
        <f>'[2]Изложницы без бурта'!G242</f>
        <v>0</v>
      </c>
      <c r="AJ242" s="56">
        <f>'[2]Изложницы без бурта'!H242</f>
        <v>0</v>
      </c>
      <c r="AK242" s="56">
        <f>'[2]Изложницы без бурта'!I242</f>
        <v>0</v>
      </c>
      <c r="AL242" s="56" t="s">
        <v>594</v>
      </c>
      <c r="AM242" s="56">
        <f>'[2]Изложницы без бурта'!K242</f>
        <v>0</v>
      </c>
    </row>
    <row r="243" spans="1:39" x14ac:dyDescent="0.25">
      <c r="A243" s="56" t="b">
        <f>Втулка!N$16&lt;=Данные!B243</f>
        <v>0</v>
      </c>
      <c r="B243" s="334">
        <v>150</v>
      </c>
      <c r="C243" s="334">
        <v>6</v>
      </c>
      <c r="D243" s="334">
        <v>8</v>
      </c>
      <c r="E243" s="334">
        <v>10</v>
      </c>
      <c r="F243" s="334">
        <v>12</v>
      </c>
      <c r="G243" s="334">
        <v>12</v>
      </c>
      <c r="H243" s="334">
        <v>14</v>
      </c>
      <c r="I243" s="56">
        <v>0</v>
      </c>
      <c r="AB243" s="258">
        <f t="shared" si="10"/>
        <v>610</v>
      </c>
      <c r="AC243" s="259" t="str">
        <f>IF(COUNTIF(AD$78:AD243,AD243)=1,MAX(AC$78:AC242)+1,"")</f>
        <v/>
      </c>
      <c r="AD243" s="220">
        <f>'[2]Изложницы без бурта'!B243</f>
        <v>140</v>
      </c>
      <c r="AE243" s="220">
        <f>'[2]Изложницы без бурта'!C243</f>
        <v>320</v>
      </c>
      <c r="AF243" s="56">
        <f>'[2]Изложницы без бурта'!D243</f>
        <v>285</v>
      </c>
      <c r="AG243" s="56">
        <f>'[2]Изложницы без бурта'!E243</f>
        <v>320</v>
      </c>
      <c r="AH243" s="56" t="str">
        <f>'[2]Изложницы без бурта'!F243</f>
        <v>72.11871 - 1</v>
      </c>
      <c r="AI243" s="56">
        <f>'[2]Изложницы без бурта'!G243</f>
        <v>0</v>
      </c>
      <c r="AJ243" s="56">
        <f>'[2]Изложницы без бурта'!H243</f>
        <v>0</v>
      </c>
      <c r="AK243" s="56">
        <f>'[2]Изложницы без бурта'!I243</f>
        <v>0</v>
      </c>
      <c r="AL243" s="56" t="s">
        <v>594</v>
      </c>
      <c r="AM243" s="56">
        <f>'[2]Изложницы без бурта'!K243</f>
        <v>0</v>
      </c>
    </row>
    <row r="244" spans="1:39" x14ac:dyDescent="0.25">
      <c r="A244" s="56" t="b">
        <f>Втулка!N$16&lt;=Данные!B244</f>
        <v>0</v>
      </c>
      <c r="B244" s="334">
        <v>200</v>
      </c>
      <c r="C244" s="334">
        <v>6</v>
      </c>
      <c r="D244" s="334">
        <v>8</v>
      </c>
      <c r="E244" s="334">
        <v>10</v>
      </c>
      <c r="F244" s="334">
        <v>12</v>
      </c>
      <c r="G244" s="334">
        <v>12</v>
      </c>
      <c r="H244" s="334">
        <v>14</v>
      </c>
      <c r="I244" s="56">
        <v>0</v>
      </c>
      <c r="AB244" s="258">
        <f t="shared" si="10"/>
        <v>620</v>
      </c>
      <c r="AC244" s="259" t="str">
        <f>IF(COUNTIF(AD$78:AD244,AD244)=1,MAX(AC$78:AC243)+1,"")</f>
        <v/>
      </c>
      <c r="AD244" s="220">
        <f>'[2]Изложницы без бурта'!B244</f>
        <v>140</v>
      </c>
      <c r="AE244" s="220">
        <f>'[2]Изложницы без бурта'!C244</f>
        <v>260</v>
      </c>
      <c r="AF244" s="56">
        <f>'[2]Изложницы без бурта'!D244</f>
        <v>285</v>
      </c>
      <c r="AG244" s="56">
        <f>'[2]Изложницы без бурта'!E244</f>
        <v>320</v>
      </c>
      <c r="AH244" s="56" t="str">
        <f>'[2]Изложницы без бурта'!F244</f>
        <v>72.11870 - 1</v>
      </c>
      <c r="AI244" s="56">
        <f>'[2]Изложницы без бурта'!G244</f>
        <v>0</v>
      </c>
      <c r="AJ244" s="56">
        <f>'[2]Изложницы без бурта'!H244</f>
        <v>0</v>
      </c>
      <c r="AK244" s="56">
        <f>'[2]Изложницы без бурта'!I244</f>
        <v>0</v>
      </c>
      <c r="AL244" s="56" t="s">
        <v>594</v>
      </c>
      <c r="AM244" s="56">
        <f>'[2]Изложницы без бурта'!K244</f>
        <v>0</v>
      </c>
    </row>
    <row r="245" spans="1:39" x14ac:dyDescent="0.25">
      <c r="A245" s="56" t="b">
        <f>Втулка!N$16&lt;=Данные!B245</f>
        <v>0</v>
      </c>
      <c r="B245" s="334">
        <v>250</v>
      </c>
      <c r="C245" s="334">
        <v>6</v>
      </c>
      <c r="D245" s="334">
        <v>8</v>
      </c>
      <c r="E245" s="334">
        <v>10</v>
      </c>
      <c r="F245" s="334">
        <v>12</v>
      </c>
      <c r="G245" s="334">
        <v>12</v>
      </c>
      <c r="H245" s="334">
        <v>14</v>
      </c>
      <c r="I245" s="56">
        <v>0</v>
      </c>
      <c r="AB245" s="258">
        <f t="shared" si="10"/>
        <v>622.5</v>
      </c>
      <c r="AC245" s="259" t="str">
        <f>IF(COUNTIF(AD$78:AD245,AD245)=1,MAX(AC$78:AC244)+1,"")</f>
        <v/>
      </c>
      <c r="AD245" s="220">
        <f>'[2]Изложницы без бурта'!B245</f>
        <v>140</v>
      </c>
      <c r="AE245" s="220">
        <f>'[2]Изложницы без бурта'!C245</f>
        <v>265</v>
      </c>
      <c r="AF245" s="56">
        <f>'[2]Изложницы без бурта'!D245</f>
        <v>285</v>
      </c>
      <c r="AG245" s="56">
        <f>'[2]Изложницы без бурта'!E245</f>
        <v>320</v>
      </c>
      <c r="AH245" s="56" t="str">
        <f>'[2]Изложницы без бурта'!F245</f>
        <v>72.11870 - 1</v>
      </c>
      <c r="AI245" s="56">
        <f>'[2]Изложницы без бурта'!G245</f>
        <v>0</v>
      </c>
      <c r="AJ245" s="56">
        <f>'[2]Изложницы без бурта'!H245</f>
        <v>0</v>
      </c>
      <c r="AK245" s="56">
        <f>'[2]Изложницы без бурта'!I245</f>
        <v>0</v>
      </c>
      <c r="AL245" s="56" t="s">
        <v>594</v>
      </c>
      <c r="AM245" s="56">
        <f>'[2]Изложницы без бурта'!K245</f>
        <v>0</v>
      </c>
    </row>
    <row r="246" spans="1:39" x14ac:dyDescent="0.25">
      <c r="A246" s="56" t="b">
        <f>Втулка!N$16&lt;=Данные!B246</f>
        <v>0</v>
      </c>
      <c r="B246" s="334">
        <v>300</v>
      </c>
      <c r="C246" s="334">
        <v>6</v>
      </c>
      <c r="D246" s="334">
        <v>8</v>
      </c>
      <c r="E246" s="334">
        <v>10</v>
      </c>
      <c r="F246" s="334">
        <v>12</v>
      </c>
      <c r="G246" s="334">
        <v>14</v>
      </c>
      <c r="H246" s="334">
        <v>14</v>
      </c>
      <c r="I246" s="56">
        <v>0</v>
      </c>
      <c r="AB246" s="258">
        <f t="shared" si="10"/>
        <v>625</v>
      </c>
      <c r="AC246" s="259" t="str">
        <f>IF(COUNTIF(AD$78:AD246,AD246)=1,MAX(AC$78:AC245)+1,"")</f>
        <v/>
      </c>
      <c r="AD246" s="220">
        <f>'[2]Изложницы без бурта'!B246</f>
        <v>140</v>
      </c>
      <c r="AE246" s="220">
        <f>'[2]Изложницы без бурта'!C246</f>
        <v>263</v>
      </c>
      <c r="AF246" s="56">
        <f>'[2]Изложницы без бурта'!D246</f>
        <v>285</v>
      </c>
      <c r="AG246" s="56">
        <f>'[2]Изложницы без бурта'!E246</f>
        <v>320</v>
      </c>
      <c r="AH246" s="56" t="str">
        <f>'[2]Изложницы без бурта'!F246</f>
        <v>72.11870 - 1</v>
      </c>
      <c r="AI246" s="56">
        <f>'[2]Изложницы без бурта'!G246</f>
        <v>0</v>
      </c>
      <c r="AJ246" s="56">
        <f>'[2]Изложницы без бурта'!H246</f>
        <v>0</v>
      </c>
      <c r="AK246" s="56">
        <f>'[2]Изложницы без бурта'!I246</f>
        <v>0</v>
      </c>
      <c r="AL246" s="56" t="s">
        <v>594</v>
      </c>
      <c r="AM246" s="56">
        <f>'[2]Изложницы без бурта'!K246</f>
        <v>0</v>
      </c>
    </row>
    <row r="247" spans="1:39" x14ac:dyDescent="0.25">
      <c r="A247" s="56" t="b">
        <f>Втулка!N$16&lt;=Данные!B247</f>
        <v>0</v>
      </c>
      <c r="B247" s="334">
        <v>350</v>
      </c>
      <c r="C247" s="334">
        <v>6</v>
      </c>
      <c r="D247" s="334">
        <v>8</v>
      </c>
      <c r="E247" s="334">
        <v>10</v>
      </c>
      <c r="F247" s="334">
        <v>12</v>
      </c>
      <c r="G247" s="334">
        <v>14</v>
      </c>
      <c r="H247" s="334">
        <v>14</v>
      </c>
      <c r="I247" s="56">
        <v>0</v>
      </c>
      <c r="AB247" s="258">
        <f t="shared" si="10"/>
        <v>627.5</v>
      </c>
      <c r="AC247" s="259" t="str">
        <f>IF(COUNTIF(AD$78:AD247,AD247)=1,MAX(AC$78:AC246)+1,"")</f>
        <v/>
      </c>
      <c r="AD247" s="220">
        <f>'[2]Изложницы без бурта'!B247</f>
        <v>140</v>
      </c>
      <c r="AE247" s="220">
        <f>'[2]Изложницы без бурта'!C247</f>
        <v>265</v>
      </c>
      <c r="AF247" s="56">
        <f>'[2]Изложницы без бурта'!D247</f>
        <v>285</v>
      </c>
      <c r="AG247" s="56">
        <f>'[2]Изложницы без бурта'!E247</f>
        <v>320</v>
      </c>
      <c r="AH247" s="56" t="str">
        <f>'[2]Изложницы без бурта'!F247</f>
        <v>72.11870 - 1</v>
      </c>
      <c r="AI247" s="56">
        <f>'[2]Изложницы без бурта'!G247</f>
        <v>0</v>
      </c>
      <c r="AJ247" s="56">
        <f>'[2]Изложницы без бурта'!H247</f>
        <v>0</v>
      </c>
      <c r="AK247" s="56">
        <f>'[2]Изложницы без бурта'!I247</f>
        <v>0</v>
      </c>
      <c r="AL247" s="56" t="s">
        <v>594</v>
      </c>
      <c r="AM247" s="56">
        <f>'[2]Изложницы без бурта'!K247</f>
        <v>0</v>
      </c>
    </row>
    <row r="248" spans="1:39" x14ac:dyDescent="0.25">
      <c r="A248" s="56" t="b">
        <f>Втулка!N$16&lt;=Данные!B248</f>
        <v>0</v>
      </c>
      <c r="B248" s="334">
        <v>400</v>
      </c>
      <c r="C248" s="334">
        <v>6</v>
      </c>
      <c r="D248" s="334">
        <v>10</v>
      </c>
      <c r="E248" s="334">
        <v>10</v>
      </c>
      <c r="F248" s="334">
        <v>12</v>
      </c>
      <c r="G248" s="334">
        <v>14</v>
      </c>
      <c r="H248" s="334">
        <v>14</v>
      </c>
      <c r="I248" s="56">
        <v>0</v>
      </c>
      <c r="AB248" s="258">
        <f t="shared" si="10"/>
        <v>630</v>
      </c>
      <c r="AC248" s="259" t="str">
        <f>IF(COUNTIF(AD$78:AD248,AD248)=1,MAX(AC$78:AC247)+1,"")</f>
        <v/>
      </c>
      <c r="AD248" s="220">
        <f>'[2]Изложницы без бурта'!B248</f>
        <v>140</v>
      </c>
      <c r="AE248" s="220">
        <f>'[2]Изложницы без бурта'!C248</f>
        <v>265</v>
      </c>
      <c r="AF248" s="56">
        <f>'[2]Изложницы без бурта'!D248</f>
        <v>285</v>
      </c>
      <c r="AG248" s="56">
        <f>'[2]Изложницы без бурта'!E248</f>
        <v>320</v>
      </c>
      <c r="AH248" s="56" t="str">
        <f>'[2]Изложницы без бурта'!F248</f>
        <v>72.11870 - 1</v>
      </c>
      <c r="AI248" s="56">
        <f>'[2]Изложницы без бурта'!G248</f>
        <v>0</v>
      </c>
      <c r="AJ248" s="56">
        <f>'[2]Изложницы без бурта'!H248</f>
        <v>0</v>
      </c>
      <c r="AK248" s="56">
        <f>'[2]Изложницы без бурта'!I248</f>
        <v>0</v>
      </c>
      <c r="AL248" s="56" t="s">
        <v>594</v>
      </c>
      <c r="AM248" s="56">
        <f>'[2]Изложницы без бурта'!K248</f>
        <v>0</v>
      </c>
    </row>
    <row r="249" spans="1:39" x14ac:dyDescent="0.25">
      <c r="A249" s="56" t="b">
        <f>Втулка!N$16&lt;=Данные!B249</f>
        <v>0</v>
      </c>
      <c r="B249" s="334">
        <v>600</v>
      </c>
      <c r="C249" s="334">
        <v>10</v>
      </c>
      <c r="D249" s="334">
        <v>10</v>
      </c>
      <c r="E249" s="334">
        <v>12</v>
      </c>
      <c r="F249" s="334">
        <v>14</v>
      </c>
      <c r="G249" s="334">
        <v>14</v>
      </c>
      <c r="H249" s="334">
        <v>14</v>
      </c>
      <c r="I249" s="56">
        <v>0</v>
      </c>
      <c r="AB249" s="258">
        <f t="shared" si="10"/>
        <v>635</v>
      </c>
      <c r="AC249" s="259" t="str">
        <f>IF(COUNTIF(AD$78:AD249,AD249)=1,MAX(AC$78:AC248)+1,"")</f>
        <v/>
      </c>
      <c r="AD249" s="220">
        <f>'[2]Изложницы без бурта'!B249</f>
        <v>140</v>
      </c>
      <c r="AE249" s="220">
        <f>'[2]Изложницы без бурта'!C249</f>
        <v>378</v>
      </c>
      <c r="AF249" s="56">
        <f>'[2]Изложницы без бурта'!D249</f>
        <v>285</v>
      </c>
      <c r="AG249" s="56">
        <f>'[2]Изложницы без бурта'!E249</f>
        <v>320</v>
      </c>
      <c r="AH249" s="56" t="str">
        <f>'[2]Изложницы без бурта'!F249</f>
        <v>72.42461 - 1</v>
      </c>
      <c r="AI249" s="56">
        <f>'[2]Изложницы без бурта'!G249</f>
        <v>0</v>
      </c>
      <c r="AJ249" s="56">
        <f>'[2]Изложницы без бурта'!H249</f>
        <v>0</v>
      </c>
      <c r="AK249" s="56">
        <f>'[2]Изложницы без бурта'!I249</f>
        <v>0</v>
      </c>
      <c r="AL249" s="56" t="s">
        <v>594</v>
      </c>
      <c r="AM249" s="56">
        <f>'[2]Изложницы без бурта'!K249</f>
        <v>0</v>
      </c>
    </row>
    <row r="250" spans="1:39" x14ac:dyDescent="0.25">
      <c r="A250" s="56" t="b">
        <f>Втулка!N$16&lt;=Данные!B250</f>
        <v>0</v>
      </c>
      <c r="B250" s="335">
        <v>800</v>
      </c>
      <c r="C250" s="335">
        <v>12</v>
      </c>
      <c r="D250" s="335">
        <v>12</v>
      </c>
      <c r="E250" s="335">
        <v>15</v>
      </c>
      <c r="F250" s="335">
        <v>17</v>
      </c>
      <c r="G250" s="335">
        <v>17</v>
      </c>
      <c r="H250" s="335">
        <v>17</v>
      </c>
      <c r="I250" s="56">
        <v>0</v>
      </c>
      <c r="AB250" s="258">
        <f t="shared" si="10"/>
        <v>637.5</v>
      </c>
      <c r="AC250" s="259">
        <f>IF(COUNTIF(AD$78:AD250,AD250)=1,MAX(AC$78:AC249)+1,"")</f>
        <v>23</v>
      </c>
      <c r="AD250" s="220">
        <f>'[2]Изложницы без бурта'!B250</f>
        <v>142.5</v>
      </c>
      <c r="AE250" s="220">
        <f>'[2]Изложницы без бурта'!C250</f>
        <v>320</v>
      </c>
      <c r="AF250" s="56">
        <f>'[2]Изложницы без бурта'!D250</f>
        <v>285</v>
      </c>
      <c r="AG250" s="56">
        <f>'[2]Изложницы без бурта'!E250</f>
        <v>320</v>
      </c>
      <c r="AH250" s="56" t="str">
        <f>'[2]Изложницы без бурта'!F250</f>
        <v>72.11871 - 2</v>
      </c>
      <c r="AI250" s="56">
        <f>'[2]Изложницы без бурта'!G250</f>
        <v>0</v>
      </c>
      <c r="AJ250" s="56">
        <f>'[2]Изложницы без бурта'!H250</f>
        <v>0</v>
      </c>
      <c r="AK250" s="56">
        <f>'[2]Изложницы без бурта'!I250</f>
        <v>0</v>
      </c>
      <c r="AL250" s="56" t="s">
        <v>595</v>
      </c>
      <c r="AM250" s="56">
        <f>'[2]Изложницы без бурта'!K250</f>
        <v>0</v>
      </c>
    </row>
    <row r="251" spans="1:39" x14ac:dyDescent="0.25">
      <c r="A251" s="56" t="b">
        <f>Втулка!N$16&lt;=Данные!B251</f>
        <v>1</v>
      </c>
      <c r="B251" s="335">
        <v>1200</v>
      </c>
      <c r="C251" s="335">
        <v>16</v>
      </c>
      <c r="D251" s="335">
        <v>16</v>
      </c>
      <c r="E251" s="335">
        <v>18</v>
      </c>
      <c r="F251" s="335">
        <v>20</v>
      </c>
      <c r="G251" s="335">
        <v>20</v>
      </c>
      <c r="H251" s="335">
        <v>20</v>
      </c>
      <c r="I251" s="56">
        <v>0</v>
      </c>
      <c r="AB251" s="258">
        <f t="shared" si="10"/>
        <v>642.5</v>
      </c>
      <c r="AC251" s="259" t="str">
        <f>IF(COUNTIF(AD$78:AD251,AD251)=1,MAX(AC$78:AC250)+1,"")</f>
        <v/>
      </c>
      <c r="AD251" s="220">
        <f>'[2]Изложницы без бурта'!B251</f>
        <v>142.5</v>
      </c>
      <c r="AE251" s="220">
        <f>'[2]Изложницы без бурта'!C251</f>
        <v>317</v>
      </c>
      <c r="AF251" s="56">
        <f>'[2]Изложницы без бурта'!D251</f>
        <v>285</v>
      </c>
      <c r="AG251" s="56">
        <f>'[2]Изложницы без бурта'!E251</f>
        <v>320</v>
      </c>
      <c r="AH251" s="56" t="str">
        <f>'[2]Изложницы без бурта'!F251</f>
        <v>72.11871 - 2</v>
      </c>
      <c r="AI251" s="56">
        <f>'[2]Изложницы без бурта'!G251</f>
        <v>0</v>
      </c>
      <c r="AJ251" s="56">
        <f>'[2]Изложницы без бурта'!H251</f>
        <v>0</v>
      </c>
      <c r="AK251" s="56">
        <f>'[2]Изложницы без бурта'!I251</f>
        <v>0</v>
      </c>
      <c r="AL251" s="56" t="s">
        <v>595</v>
      </c>
      <c r="AM251" s="56">
        <f>'[2]Изложницы без бурта'!K251</f>
        <v>0</v>
      </c>
    </row>
    <row r="252" spans="1:39" x14ac:dyDescent="0.25">
      <c r="A252" s="56" t="b">
        <f>Втулка!N$16&lt;=Данные!B252</f>
        <v>1</v>
      </c>
      <c r="B252" s="334">
        <v>1500</v>
      </c>
      <c r="C252" s="334">
        <v>20</v>
      </c>
      <c r="D252" s="334">
        <v>20</v>
      </c>
      <c r="E252" s="334">
        <v>25</v>
      </c>
      <c r="F252" s="334">
        <v>25</v>
      </c>
      <c r="G252" s="334">
        <v>25</v>
      </c>
      <c r="H252" s="334">
        <v>25</v>
      </c>
      <c r="I252" s="56">
        <v>0</v>
      </c>
      <c r="AB252" s="258">
        <f t="shared" si="10"/>
        <v>650</v>
      </c>
      <c r="AC252" s="259" t="str">
        <f>IF(COUNTIF(AD$78:AD252,AD252)=1,MAX(AC$78:AC251)+1,"")</f>
        <v/>
      </c>
      <c r="AD252" s="220">
        <f>'[2]Изложницы без бурта'!B252</f>
        <v>142.5</v>
      </c>
      <c r="AE252" s="220">
        <f>'[2]Изложницы без бурта'!C252</f>
        <v>265</v>
      </c>
      <c r="AF252" s="56">
        <f>'[2]Изложницы без бурта'!D252</f>
        <v>285</v>
      </c>
      <c r="AG252" s="56">
        <f>'[2]Изложницы без бурта'!E252</f>
        <v>320</v>
      </c>
      <c r="AH252" s="56" t="str">
        <f>'[2]Изложницы без бурта'!F252</f>
        <v>72.11870 - 2</v>
      </c>
      <c r="AI252" s="56">
        <f>'[2]Изложницы без бурта'!G252</f>
        <v>0</v>
      </c>
      <c r="AJ252" s="56">
        <f>'[2]Изложницы без бурта'!H252</f>
        <v>0</v>
      </c>
      <c r="AK252" s="56">
        <f>'[2]Изложницы без бурта'!I252</f>
        <v>0</v>
      </c>
      <c r="AL252" s="56" t="s">
        <v>595</v>
      </c>
      <c r="AM252" s="56">
        <f>'[2]Изложницы без бурта'!K252</f>
        <v>0</v>
      </c>
    </row>
    <row r="253" spans="1:39" x14ac:dyDescent="0.25">
      <c r="A253" s="56" t="b">
        <f>Втулка!N$16&lt;=Данные!B253</f>
        <v>1</v>
      </c>
      <c r="B253" s="335">
        <v>2500</v>
      </c>
      <c r="C253" s="334">
        <v>25</v>
      </c>
      <c r="D253" s="334">
        <v>25</v>
      </c>
      <c r="E253" s="334">
        <v>25</v>
      </c>
      <c r="F253" s="334">
        <v>25</v>
      </c>
      <c r="G253" s="334">
        <v>25</v>
      </c>
      <c r="H253" s="334">
        <v>25</v>
      </c>
      <c r="I253" s="56">
        <v>0</v>
      </c>
      <c r="AB253" s="258">
        <f t="shared" si="10"/>
        <v>652.5</v>
      </c>
      <c r="AC253" s="259" t="str">
        <f>IF(COUNTIF(AD$78:AD253,AD253)=1,MAX(AC$78:AC252)+1,"")</f>
        <v/>
      </c>
      <c r="AD253" s="220">
        <f>'[2]Изложницы без бурта'!B253</f>
        <v>142.5</v>
      </c>
      <c r="AE253" s="220">
        <f>'[2]Изложницы без бурта'!C253</f>
        <v>318</v>
      </c>
      <c r="AF253" s="56">
        <f>'[2]Изложницы без бурта'!D253</f>
        <v>285</v>
      </c>
      <c r="AG253" s="56">
        <f>'[2]Изложницы без бурта'!E253</f>
        <v>320</v>
      </c>
      <c r="AH253" s="56" t="str">
        <f>'[2]Изложницы без бурта'!F253</f>
        <v>72.11871 - 2</v>
      </c>
      <c r="AI253" s="56">
        <f>'[2]Изложницы без бурта'!G253</f>
        <v>0</v>
      </c>
      <c r="AJ253" s="56">
        <f>'[2]Изложницы без бурта'!H253</f>
        <v>0</v>
      </c>
      <c r="AK253" s="56">
        <f>'[2]Изложницы без бурта'!I253</f>
        <v>0</v>
      </c>
      <c r="AL253" s="56" t="s">
        <v>595</v>
      </c>
      <c r="AM253" s="56">
        <f>'[2]Изложницы без бурта'!K253</f>
        <v>0</v>
      </c>
    </row>
    <row r="254" spans="1:39" ht="14.4" thickBot="1" x14ac:dyDescent="0.3">
      <c r="AB254" s="258">
        <f t="shared" si="10"/>
        <v>655</v>
      </c>
      <c r="AC254" s="259" t="str">
        <f>IF(COUNTIF(AD$78:AD254,AD254)=1,MAX(AC$78:AC253)+1,"")</f>
        <v/>
      </c>
      <c r="AD254" s="220">
        <f>'[2]Изложницы без бурта'!B254</f>
        <v>142.5</v>
      </c>
      <c r="AE254" s="220">
        <f>'[2]Изложницы без бурта'!C254</f>
        <v>378</v>
      </c>
      <c r="AF254" s="56">
        <f>'[2]Изложницы без бурта'!D254</f>
        <v>285</v>
      </c>
      <c r="AG254" s="56">
        <f>'[2]Изложницы без бурта'!E254</f>
        <v>320</v>
      </c>
      <c r="AH254" s="56" t="str">
        <f>'[2]Изложницы без бурта'!F254</f>
        <v>72.42461 - 2</v>
      </c>
      <c r="AI254" s="56">
        <f>'[2]Изложницы без бурта'!G254</f>
        <v>0</v>
      </c>
      <c r="AJ254" s="56">
        <f>'[2]Изложницы без бурта'!H254</f>
        <v>0</v>
      </c>
      <c r="AK254" s="56">
        <f>'[2]Изложницы без бурта'!I254</f>
        <v>0</v>
      </c>
      <c r="AL254" s="56" t="s">
        <v>595</v>
      </c>
      <c r="AM254" s="56">
        <f>'[2]Изложницы без бурта'!K254</f>
        <v>0</v>
      </c>
    </row>
    <row r="255" spans="1:39" ht="14.4" thickBot="1" x14ac:dyDescent="0.3">
      <c r="A255" s="217"/>
      <c r="B255" s="911"/>
      <c r="C255" s="218"/>
      <c r="D255" s="218"/>
      <c r="E255" s="218"/>
      <c r="F255" s="218"/>
      <c r="G255" s="218"/>
      <c r="H255" s="218"/>
      <c r="I255" s="218"/>
      <c r="J255" s="218"/>
      <c r="K255" s="219"/>
      <c r="AB255" s="258">
        <f t="shared" si="10"/>
        <v>657.5</v>
      </c>
      <c r="AC255" s="259" t="str">
        <f>IF(COUNTIF(AD$78:AD255,AD255)=1,MAX(AC$78:AC254)+1,"")</f>
        <v/>
      </c>
      <c r="AD255" s="220">
        <f>'[2]Изложницы без бурта'!B255</f>
        <v>142.5</v>
      </c>
      <c r="AE255" s="220">
        <f>'[2]Изложницы без бурта'!C255</f>
        <v>260</v>
      </c>
      <c r="AF255" s="56">
        <f>'[2]Изложницы без бурта'!D255</f>
        <v>285</v>
      </c>
      <c r="AG255" s="56">
        <f>'[2]Изложницы без бурта'!E255</f>
        <v>320</v>
      </c>
      <c r="AH255" s="56" t="str">
        <f>'[2]Изложницы без бурта'!F255</f>
        <v>72.11870 - 2</v>
      </c>
      <c r="AI255" s="56">
        <f>'[2]Изложницы без бурта'!G255</f>
        <v>0</v>
      </c>
      <c r="AJ255" s="56">
        <f>'[2]Изложницы без бурта'!H255</f>
        <v>0</v>
      </c>
      <c r="AK255" s="56">
        <f>'[2]Изложницы без бурта'!I255</f>
        <v>0</v>
      </c>
      <c r="AL255" s="56" t="s">
        <v>595</v>
      </c>
      <c r="AM255" s="56">
        <f>'[2]Изложницы без бурта'!K255</f>
        <v>0</v>
      </c>
    </row>
    <row r="256" spans="1:39" x14ac:dyDescent="0.25">
      <c r="A256" s="241" t="s">
        <v>1199</v>
      </c>
      <c r="B256" s="64"/>
      <c r="C256" s="67"/>
      <c r="D256" s="64" t="s">
        <v>119</v>
      </c>
      <c r="E256" s="64" t="s">
        <v>123</v>
      </c>
      <c r="F256" s="64" t="s">
        <v>133</v>
      </c>
      <c r="G256" s="138"/>
      <c r="H256" s="138"/>
      <c r="I256" s="138"/>
      <c r="J256" s="138"/>
      <c r="K256" s="230"/>
      <c r="AB256" s="258">
        <f t="shared" si="10"/>
        <v>660</v>
      </c>
      <c r="AC256" s="259" t="str">
        <f>IF(COUNTIF(AD$78:AD256,AD256)=1,MAX(AC$78:AC255)+1,"")</f>
        <v/>
      </c>
      <c r="AD256" s="220">
        <f>'[2]Изложницы без бурта'!B256</f>
        <v>142.5</v>
      </c>
      <c r="AE256" s="220">
        <f>'[2]Изложницы без бурта'!C256</f>
        <v>320</v>
      </c>
      <c r="AF256" s="56">
        <f>'[2]Изложницы без бурта'!D256</f>
        <v>285</v>
      </c>
      <c r="AG256" s="56">
        <f>'[2]Изложницы без бурта'!E256</f>
        <v>320</v>
      </c>
      <c r="AH256" s="56" t="str">
        <f>'[2]Изложницы без бурта'!F256</f>
        <v>72.11871 - 2</v>
      </c>
      <c r="AI256" s="56">
        <f>'[2]Изложницы без бурта'!G256</f>
        <v>0</v>
      </c>
      <c r="AJ256" s="56">
        <f>'[2]Изложницы без бурта'!H256</f>
        <v>0</v>
      </c>
      <c r="AK256" s="56">
        <f>'[2]Изложницы без бурта'!I256</f>
        <v>0</v>
      </c>
      <c r="AL256" s="56" t="s">
        <v>595</v>
      </c>
      <c r="AM256" s="56">
        <f>'[2]Изложницы без бурта'!K256</f>
        <v>0</v>
      </c>
    </row>
    <row r="257" spans="1:39" x14ac:dyDescent="0.25">
      <c r="A257" s="68" t="s">
        <v>148</v>
      </c>
      <c r="B257" s="57" t="str">
        <f>_xlfn.IFNA(_xlfn.IFS(C257=D256,D257,C257=E256,E257,C257=F256,F257),H23)</f>
        <v>242.04.462-1</v>
      </c>
      <c r="C257" s="66" t="str">
        <f>VLOOKUP('Втулка с буртом'!F8,Марка_мет,8,FALSE())</f>
        <v>242.04.462</v>
      </c>
      <c r="D257" s="57" t="str">
        <f>_xlfn.IFNA(_xlfn.IFS(AND(C257=A45,B36&lt;600),B47,AND(C257=A45,B36&gt;=600,B36&lt;1500),B47,AND(C257=A45,B36&gt;=1500,B36&lt;2000),B48,AND(C257=A45,B36&gt;=2000,B36&lt;2500),B49,AND(C257=A45,B36&gt;=2500,B36&lt;3000),B50,AND(C257=A45,B36&gt;=3000,B36&lt;3500),B51,AND(C257=A45,B36&gt;=3500,B36&lt;4000),B52,AND(C257=A45,B36&gt;=4000,B36&lt;4500),B53,AND(C257=A45,B36&gt;=4500,B36&lt;5500),B54,AND(C257=A45,B36&gt;=5500),B55),"")</f>
        <v>242.04.462-1</v>
      </c>
      <c r="E257" s="57" t="str">
        <f>_xlfn.IFNA(_xlfn.IFS(AND(C257=A57,B36&lt;500),A60,AND(C257=A57,B36&gt;=500,B36&lt;1000),A60,AND(C257=A57,B36&gt;=1000,B36&lt;1500),A61,AND(C257=A57,B36&gt;=1500,B36&lt;2000),A62,AND(C257=A57,B36&gt;=2000,B36&lt;2500),A63,AND(C257=A57,B36&gt;=2500,B36&lt;3000),A64,AND(C257=A57,B36&gt;=3000,B36&lt;3500),A65,AND(C257=A57,B36&gt;=3500),A66),"")</f>
        <v/>
      </c>
      <c r="F257" s="57" t="str">
        <f>_xlfn.IFNA(_xlfn.IFS(AND(C257=A71,B36&lt;500),A73,AND(C257=A71,B36&gt;=500,B36&lt;1000),A74,AND(C257=A71,B36&gt;=1000,B36&lt;1500),A75,AND(C257=A71,B36&gt;=1500,B36&lt;2000),A76,AND(C257=A71,B36&gt;=2000,B36&lt;2500),A77,AND(C257=A71,B36&gt;=2500),A78),"")</f>
        <v/>
      </c>
      <c r="G257" s="138"/>
      <c r="H257" s="138"/>
      <c r="I257" s="138"/>
      <c r="J257" s="138"/>
      <c r="K257" s="230"/>
      <c r="AB257" s="258">
        <f t="shared" si="10"/>
        <v>665</v>
      </c>
      <c r="AC257" s="259" t="str">
        <f>IF(COUNTIF(AD$78:AD257,AD257)=1,MAX(AC$78:AC256)+1,"")</f>
        <v/>
      </c>
      <c r="AD257" s="220">
        <f>'[2]Изложницы без бурта'!B257</f>
        <v>142.5</v>
      </c>
      <c r="AE257" s="220">
        <f>'[2]Изложницы без бурта'!C257</f>
        <v>265</v>
      </c>
      <c r="AF257" s="56">
        <f>'[2]Изложницы без бурта'!D257</f>
        <v>285</v>
      </c>
      <c r="AG257" s="56">
        <f>'[2]Изложницы без бурта'!E257</f>
        <v>320</v>
      </c>
      <c r="AH257" s="56" t="str">
        <f>'[2]Изложницы без бурта'!F257</f>
        <v>72.11870 - 2</v>
      </c>
      <c r="AI257" s="56">
        <f>'[2]Изложницы без бурта'!G257</f>
        <v>0</v>
      </c>
      <c r="AJ257" s="56">
        <f>'[2]Изложницы без бурта'!H257</f>
        <v>0</v>
      </c>
      <c r="AK257" s="56">
        <f>'[2]Изложницы без бурта'!I257</f>
        <v>0</v>
      </c>
      <c r="AL257" s="56" t="s">
        <v>595</v>
      </c>
      <c r="AM257" s="56">
        <f>'[2]Изложницы без бурта'!K257</f>
        <v>0</v>
      </c>
    </row>
    <row r="258" spans="1:39" ht="14.4" thickBot="1" x14ac:dyDescent="0.3">
      <c r="A258" s="1277" t="s">
        <v>26</v>
      </c>
      <c r="B258" s="1278">
        <f>ROUND(_xlfn.IFS(C257=D256,D258,C257=E256,E258,C257=F256,F258),2)</f>
        <v>98.48</v>
      </c>
      <c r="C258" s="69"/>
      <c r="D258" s="69">
        <f>G303</f>
        <v>98.477761955356868</v>
      </c>
      <c r="E258" s="243" t="e">
        <f>H274</f>
        <v>#N/A</v>
      </c>
      <c r="F258" s="243" t="e">
        <f>I289</f>
        <v>#N/A</v>
      </c>
      <c r="G258" s="138"/>
      <c r="H258" s="138"/>
      <c r="I258" s="138"/>
      <c r="J258" s="138"/>
      <c r="K258" s="230"/>
      <c r="AB258" s="258">
        <f t="shared" si="10"/>
        <v>667.5</v>
      </c>
      <c r="AC258" s="259">
        <f>IF(COUNTIF(AD$78:AD258,AD258)=1,MAX(AC$78:AC257)+1,"")</f>
        <v>24</v>
      </c>
      <c r="AD258" s="220">
        <f>'[2]Изложницы без бурта'!B258</f>
        <v>145</v>
      </c>
      <c r="AE258" s="220">
        <f>'[2]Изложницы без бурта'!C258</f>
        <v>260</v>
      </c>
      <c r="AF258" s="56">
        <f>'[2]Изложницы без бурта'!D258</f>
        <v>285</v>
      </c>
      <c r="AG258" s="56">
        <f>'[2]Изложницы без бурта'!E258</f>
        <v>320</v>
      </c>
      <c r="AH258" s="56" t="str">
        <f>'[2]Изложницы без бурта'!F258</f>
        <v>72.11870 - 3</v>
      </c>
      <c r="AI258" s="56">
        <f>'[2]Изложницы без бурта'!G258</f>
        <v>0</v>
      </c>
      <c r="AJ258" s="56">
        <f>'[2]Изложницы без бурта'!H258</f>
        <v>0</v>
      </c>
      <c r="AK258" s="56">
        <f>'[2]Изложницы без бурта'!I258</f>
        <v>0</v>
      </c>
      <c r="AL258" s="56" t="s">
        <v>596</v>
      </c>
      <c r="AM258" s="56">
        <f>'[2]Изложницы без бурта'!K258</f>
        <v>0</v>
      </c>
    </row>
    <row r="259" spans="1:39" x14ac:dyDescent="0.25">
      <c r="A259" s="1315"/>
      <c r="B259" s="1279"/>
      <c r="C259" s="138"/>
      <c r="D259" s="138"/>
      <c r="E259" s="138"/>
      <c r="F259" s="138"/>
      <c r="G259" s="138"/>
      <c r="H259" s="138"/>
      <c r="I259" s="138"/>
      <c r="J259" s="138"/>
      <c r="K259" s="230"/>
      <c r="AB259" s="258">
        <f t="shared" si="10"/>
        <v>700</v>
      </c>
      <c r="AC259" s="259" t="str">
        <f>IF(COUNTIF(AD$78:AD259,AD259)=1,MAX(AC$78:AC258)+1,"")</f>
        <v/>
      </c>
      <c r="AD259" s="220">
        <f>'[2]Изложницы без бурта'!B259</f>
        <v>145</v>
      </c>
      <c r="AE259" s="220">
        <f>'[2]Изложницы без бурта'!C259</f>
        <v>265</v>
      </c>
      <c r="AF259" s="56">
        <f>'[2]Изложницы без бурта'!D259</f>
        <v>285</v>
      </c>
      <c r="AG259" s="56">
        <f>'[2]Изложницы без бурта'!E259</f>
        <v>320</v>
      </c>
      <c r="AH259" s="56" t="str">
        <f>'[2]Изложницы без бурта'!F259</f>
        <v>72.11870 - 3</v>
      </c>
      <c r="AI259" s="56">
        <f>'[2]Изложницы без бурта'!G259</f>
        <v>0</v>
      </c>
      <c r="AJ259" s="56">
        <f>'[2]Изложницы без бурта'!H259</f>
        <v>0</v>
      </c>
      <c r="AK259" s="56">
        <f>'[2]Изложницы без бурта'!I259</f>
        <v>0</v>
      </c>
      <c r="AL259" s="56" t="s">
        <v>596</v>
      </c>
      <c r="AM259" s="56">
        <f>'[2]Изложницы без бурта'!K259</f>
        <v>0</v>
      </c>
    </row>
    <row r="260" spans="1:39" x14ac:dyDescent="0.25">
      <c r="A260" s="228"/>
      <c r="B260" s="1316"/>
      <c r="C260" s="138"/>
      <c r="D260" s="138"/>
      <c r="E260" s="138"/>
      <c r="F260" s="138"/>
      <c r="G260" s="138"/>
      <c r="H260" s="138"/>
      <c r="I260" s="138"/>
      <c r="J260" s="138"/>
      <c r="K260" s="230"/>
      <c r="AB260" s="258" t="str">
        <f t="shared" si="10"/>
        <v/>
      </c>
      <c r="AC260" s="259" t="str">
        <f>IF(COUNTIF(AD$78:AD260,AD260)=1,MAX(AC$78:AC259)+1,"")</f>
        <v/>
      </c>
      <c r="AD260" s="220">
        <f>'[2]Изложницы без бурта'!B260</f>
        <v>145</v>
      </c>
      <c r="AE260" s="220">
        <f>'[2]Изложницы без бурта'!C260</f>
        <v>265</v>
      </c>
      <c r="AF260" s="56">
        <f>'[2]Изложницы без бурта'!D260</f>
        <v>285</v>
      </c>
      <c r="AG260" s="56">
        <f>'[2]Изложницы без бурта'!E260</f>
        <v>320</v>
      </c>
      <c r="AH260" s="56" t="str">
        <f>'[2]Изложницы без бурта'!F260</f>
        <v>72.11870 - 3</v>
      </c>
      <c r="AI260" s="56">
        <f>'[2]Изложницы без бурта'!G260</f>
        <v>0</v>
      </c>
      <c r="AJ260" s="56">
        <f>'[2]Изложницы без бурта'!H260</f>
        <v>0</v>
      </c>
      <c r="AK260" s="56">
        <f>'[2]Изложницы без бурта'!I260</f>
        <v>0</v>
      </c>
      <c r="AL260" s="56" t="s">
        <v>596</v>
      </c>
      <c r="AM260" s="56">
        <f>'[2]Изложницы без бурта'!K260</f>
        <v>0</v>
      </c>
    </row>
    <row r="261" spans="1:39" ht="15.6" thickBot="1" x14ac:dyDescent="0.3">
      <c r="A261" s="228" t="s">
        <v>200</v>
      </c>
      <c r="B261" s="224"/>
      <c r="C261" s="224"/>
      <c r="D261" s="224"/>
      <c r="E261" s="1317"/>
      <c r="F261" s="138"/>
      <c r="G261" s="138"/>
      <c r="H261" s="138"/>
      <c r="I261" s="138"/>
      <c r="J261" s="138"/>
      <c r="K261" s="230"/>
      <c r="AB261" s="258" t="str">
        <f t="shared" si="10"/>
        <v/>
      </c>
      <c r="AC261" s="259" t="str">
        <f>IF(COUNTIF(AD$78:AD261,AD261)=1,MAX(AC$78:AC260)+1,"")</f>
        <v/>
      </c>
      <c r="AD261" s="220">
        <f>'[2]Изложницы без бурта'!B261</f>
        <v>145</v>
      </c>
      <c r="AE261" s="220">
        <f>'[2]Изложницы без бурта'!C261</f>
        <v>270</v>
      </c>
      <c r="AF261" s="56">
        <f>'[2]Изложницы без бурта'!D261</f>
        <v>285</v>
      </c>
      <c r="AG261" s="56">
        <f>'[2]Изложницы без бурта'!E261</f>
        <v>320</v>
      </c>
      <c r="AH261" s="56" t="str">
        <f>'[2]Изложницы без бурта'!F261</f>
        <v>72.11870 - 3</v>
      </c>
      <c r="AI261" s="56">
        <f>'[2]Изложницы без бурта'!G261</f>
        <v>0</v>
      </c>
      <c r="AJ261" s="56">
        <f>'[2]Изложницы без бурта'!H261</f>
        <v>0</v>
      </c>
      <c r="AK261" s="56">
        <f>'[2]Изложницы без бурта'!I261</f>
        <v>0</v>
      </c>
      <c r="AL261" s="56" t="s">
        <v>596</v>
      </c>
      <c r="AM261" s="56">
        <f>'[2]Изложницы без бурта'!K261</f>
        <v>0</v>
      </c>
    </row>
    <row r="262" spans="1:39" ht="15.6" x14ac:dyDescent="0.3">
      <c r="A262" s="262" t="s">
        <v>201</v>
      </c>
      <c r="B262" s="263"/>
      <c r="C262" s="264" t="s">
        <v>202</v>
      </c>
      <c r="D262" s="263"/>
      <c r="E262" s="264" t="s">
        <v>150</v>
      </c>
      <c r="F262" s="265"/>
      <c r="G262" s="263"/>
      <c r="H262" s="266" t="s">
        <v>203</v>
      </c>
      <c r="I262" s="267"/>
      <c r="J262" s="138"/>
      <c r="K262" s="230"/>
      <c r="AB262" s="258" t="str">
        <f t="shared" si="10"/>
        <v/>
      </c>
      <c r="AC262" s="259" t="str">
        <f>IF(COUNTIF(AD$78:AD262,AD262)=1,MAX(AC$78:AC261)+1,"")</f>
        <v/>
      </c>
      <c r="AD262" s="220">
        <f>'[2]Изложницы без бурта'!B262</f>
        <v>145</v>
      </c>
      <c r="AE262" s="220">
        <f>'[2]Изложницы без бурта'!C262</f>
        <v>263</v>
      </c>
      <c r="AF262" s="56">
        <f>'[2]Изложницы без бурта'!D262</f>
        <v>285</v>
      </c>
      <c r="AG262" s="56">
        <f>'[2]Изложницы без бурта'!E262</f>
        <v>320</v>
      </c>
      <c r="AH262" s="56" t="str">
        <f>'[2]Изложницы без бурта'!F262</f>
        <v>72.11870 - 3</v>
      </c>
      <c r="AI262" s="56">
        <f>'[2]Изложницы без бурта'!G262</f>
        <v>0</v>
      </c>
      <c r="AJ262" s="56">
        <f>'[2]Изложницы без бурта'!H262</f>
        <v>0</v>
      </c>
      <c r="AK262" s="56">
        <f>'[2]Изложницы без бурта'!I262</f>
        <v>0</v>
      </c>
      <c r="AL262" s="56" t="s">
        <v>596</v>
      </c>
      <c r="AM262" s="56">
        <f>'[2]Изложницы без бурта'!K262</f>
        <v>0</v>
      </c>
    </row>
    <row r="263" spans="1:39" ht="15" x14ac:dyDescent="0.25">
      <c r="A263" s="268" t="s">
        <v>204</v>
      </c>
      <c r="B263" s="269"/>
      <c r="C263" s="270" t="s">
        <v>151</v>
      </c>
      <c r="D263" s="270"/>
      <c r="E263" s="270" t="s">
        <v>179</v>
      </c>
      <c r="F263" s="271"/>
      <c r="G263" s="270"/>
      <c r="H263" s="272"/>
      <c r="I263" s="138"/>
      <c r="J263" s="138"/>
      <c r="K263" s="230"/>
      <c r="AB263" s="258" t="str">
        <f t="shared" si="10"/>
        <v/>
      </c>
      <c r="AC263" s="259" t="str">
        <f>IF(COUNTIF(AD$78:AD263,AD263)=1,MAX(AC$78:AC262)+1,"")</f>
        <v/>
      </c>
      <c r="AD263" s="220">
        <f>'[2]Изложницы без бурта'!B263</f>
        <v>145</v>
      </c>
      <c r="AE263" s="220">
        <f>'[2]Изложницы без бурта'!C263</f>
        <v>265</v>
      </c>
      <c r="AF263" s="56">
        <f>'[2]Изложницы без бурта'!D263</f>
        <v>285</v>
      </c>
      <c r="AG263" s="56">
        <f>'[2]Изложницы без бурта'!E263</f>
        <v>320</v>
      </c>
      <c r="AH263" s="56" t="str">
        <f>'[2]Изложницы без бурта'!F263</f>
        <v>72.11870 - 3</v>
      </c>
      <c r="AI263" s="56">
        <f>'[2]Изложницы без бурта'!G263</f>
        <v>0</v>
      </c>
      <c r="AJ263" s="56">
        <f>'[2]Изложницы без бурта'!H263</f>
        <v>0</v>
      </c>
      <c r="AK263" s="56">
        <f>'[2]Изложницы без бурта'!I263</f>
        <v>0</v>
      </c>
      <c r="AL263" s="56" t="s">
        <v>596</v>
      </c>
      <c r="AM263" s="56">
        <f>'[2]Изложницы без бурта'!K263</f>
        <v>0</v>
      </c>
    </row>
    <row r="264" spans="1:39" ht="15" x14ac:dyDescent="0.25">
      <c r="A264" s="273" t="e">
        <f>VLOOKUP(B257,A60:I66,6,FALSE)</f>
        <v>#N/A</v>
      </c>
      <c r="B264" s="274" t="e">
        <f>A264</f>
        <v>#N/A</v>
      </c>
      <c r="C264" s="275" t="e">
        <f>VLOOKUP(B257,A60:I66,3,FALSE)</f>
        <v>#N/A</v>
      </c>
      <c r="D264" s="271"/>
      <c r="E264" s="275" t="e">
        <f>VLOOKUP(B257,A60:I66,7,FALSE)</f>
        <v>#N/A</v>
      </c>
      <c r="F264" s="271"/>
      <c r="G264" s="270"/>
      <c r="H264" s="272"/>
      <c r="I264" s="138"/>
      <c r="J264" s="138"/>
      <c r="K264" s="230"/>
      <c r="AB264" s="258" t="str">
        <f t="shared" si="10"/>
        <v/>
      </c>
      <c r="AC264" s="259" t="str">
        <f>IF(COUNTIF(AD$78:AD264,AD264)=1,MAX(AC$78:AC263)+1,"")</f>
        <v/>
      </c>
      <c r="AD264" s="220">
        <f>'[2]Изложницы без бурта'!B264</f>
        <v>145</v>
      </c>
      <c r="AE264" s="220">
        <f>'[2]Изложницы без бурта'!C264</f>
        <v>320</v>
      </c>
      <c r="AF264" s="56">
        <f>'[2]Изложницы без бурта'!D264</f>
        <v>285</v>
      </c>
      <c r="AG264" s="56">
        <f>'[2]Изложницы без бурта'!E264</f>
        <v>320</v>
      </c>
      <c r="AH264" s="56" t="str">
        <f>'[2]Изложницы без бурта'!F264</f>
        <v>72.11871 - 3</v>
      </c>
      <c r="AI264" s="56">
        <f>'[2]Изложницы без бурта'!G264</f>
        <v>0</v>
      </c>
      <c r="AJ264" s="56">
        <f>'[2]Изложницы без бурта'!H264</f>
        <v>0</v>
      </c>
      <c r="AK264" s="56">
        <f>'[2]Изложницы без бурта'!I264</f>
        <v>0</v>
      </c>
      <c r="AL264" s="56" t="s">
        <v>596</v>
      </c>
      <c r="AM264" s="56">
        <f>'[2]Изложницы без бурта'!K264</f>
        <v>0</v>
      </c>
    </row>
    <row r="265" spans="1:39" ht="15" x14ac:dyDescent="0.25">
      <c r="A265" s="276"/>
      <c r="B265" s="269"/>
      <c r="C265" s="270" t="s">
        <v>152</v>
      </c>
      <c r="D265" s="270"/>
      <c r="E265" s="270" t="s">
        <v>180</v>
      </c>
      <c r="F265" s="271"/>
      <c r="G265" s="270"/>
      <c r="H265" s="272"/>
      <c r="I265" s="138"/>
      <c r="J265" s="138"/>
      <c r="K265" s="230"/>
      <c r="AB265" s="258" t="str">
        <f t="shared" si="10"/>
        <v/>
      </c>
      <c r="AC265" s="259" t="str">
        <f>IF(COUNTIF(AD$78:AD265,AD265)=1,MAX(AC$78:AC264)+1,"")</f>
        <v/>
      </c>
      <c r="AD265" s="220">
        <f>'[2]Изложницы без бурта'!B265</f>
        <v>145</v>
      </c>
      <c r="AE265" s="220">
        <f>'[2]Изложницы без бурта'!C265</f>
        <v>318</v>
      </c>
      <c r="AF265" s="56">
        <f>'[2]Изложницы без бурта'!D265</f>
        <v>285</v>
      </c>
      <c r="AG265" s="56">
        <f>'[2]Изложницы без бурта'!E265</f>
        <v>320</v>
      </c>
      <c r="AH265" s="56" t="str">
        <f>'[2]Изложницы без бурта'!F265</f>
        <v>72.11871 - 3</v>
      </c>
      <c r="AI265" s="56">
        <f>'[2]Изложницы без бурта'!G265</f>
        <v>0</v>
      </c>
      <c r="AJ265" s="56">
        <f>'[2]Изложницы без бурта'!H265</f>
        <v>0</v>
      </c>
      <c r="AK265" s="56">
        <f>'[2]Изложницы без бурта'!I265</f>
        <v>0</v>
      </c>
      <c r="AL265" s="56" t="s">
        <v>596</v>
      </c>
      <c r="AM265" s="56">
        <f>'[2]Изложницы без бурта'!K265</f>
        <v>0</v>
      </c>
    </row>
    <row r="266" spans="1:39" ht="15.6" x14ac:dyDescent="0.3">
      <c r="A266" s="268" t="s">
        <v>89</v>
      </c>
      <c r="B266" s="269"/>
      <c r="C266" s="275" t="e">
        <f>VLOOKUP(B257,A60:I66,4,FALSE)</f>
        <v>#N/A</v>
      </c>
      <c r="D266" s="277" t="e">
        <f>(C264+C266)/2</f>
        <v>#N/A</v>
      </c>
      <c r="E266" s="275" t="e">
        <f>VLOOKUP(B257,A60:I66,8,FALSE)</f>
        <v>#N/A</v>
      </c>
      <c r="F266" s="270" t="e">
        <f>(E264+E266)/2</f>
        <v>#N/A</v>
      </c>
      <c r="G266" s="271"/>
      <c r="H266" s="272"/>
      <c r="I266" s="138"/>
      <c r="J266" s="138"/>
      <c r="K266" s="230"/>
      <c r="AB266" s="258" t="str">
        <f t="shared" si="10"/>
        <v/>
      </c>
      <c r="AC266" s="259" t="str">
        <f>IF(COUNTIF(AD$78:AD266,AD266)=1,MAX(AC$78:AC265)+1,"")</f>
        <v/>
      </c>
      <c r="AD266" s="220">
        <f>'[2]Изложницы без бурта'!B266</f>
        <v>145</v>
      </c>
      <c r="AE266" s="220">
        <f>'[2]Изложницы без бурта'!C266</f>
        <v>263</v>
      </c>
      <c r="AF266" s="56">
        <f>'[2]Изложницы без бурта'!D266</f>
        <v>285</v>
      </c>
      <c r="AG266" s="56">
        <f>'[2]Изложницы без бурта'!E266</f>
        <v>320</v>
      </c>
      <c r="AH266" s="56" t="str">
        <f>'[2]Изложницы без бурта'!F266</f>
        <v>72.11870 - 3</v>
      </c>
      <c r="AI266" s="56">
        <f>'[2]Изложницы без бурта'!G266</f>
        <v>0</v>
      </c>
      <c r="AJ266" s="56">
        <f>'[2]Изложницы без бурта'!H266</f>
        <v>0</v>
      </c>
      <c r="AK266" s="56">
        <f>'[2]Изложницы без бурта'!I266</f>
        <v>0</v>
      </c>
      <c r="AL266" s="56" t="s">
        <v>596</v>
      </c>
      <c r="AM266" s="56">
        <f>'[2]Изложницы без бурта'!K266</f>
        <v>0</v>
      </c>
    </row>
    <row r="267" spans="1:39" ht="15" x14ac:dyDescent="0.25">
      <c r="A267" s="273">
        <f>'Втулка с буртом'!M7+'Втулка с буртом'!M11</f>
        <v>1495</v>
      </c>
      <c r="B267" s="274">
        <f>A267</f>
        <v>1495</v>
      </c>
      <c r="C267" s="270" t="s">
        <v>153</v>
      </c>
      <c r="D267" s="270"/>
      <c r="E267" s="270" t="s">
        <v>205</v>
      </c>
      <c r="F267" s="270"/>
      <c r="G267" s="271"/>
      <c r="H267" s="272"/>
      <c r="I267" s="138"/>
      <c r="J267" s="138"/>
      <c r="K267" s="230"/>
      <c r="AB267" s="258" t="str">
        <f t="shared" si="10"/>
        <v/>
      </c>
      <c r="AC267" s="259" t="str">
        <f>IF(COUNTIF(AD$78:AD267,AD267)=1,MAX(AC$78:AC266)+1,"")</f>
        <v/>
      </c>
      <c r="AD267" s="220">
        <f>'[2]Изложницы без бурта'!B267</f>
        <v>145</v>
      </c>
      <c r="AE267" s="220">
        <f>'[2]Изложницы без бурта'!C267</f>
        <v>265</v>
      </c>
      <c r="AF267" s="56">
        <f>'[2]Изложницы без бурта'!D267</f>
        <v>285</v>
      </c>
      <c r="AG267" s="56">
        <f>'[2]Изложницы без бурта'!E267</f>
        <v>320</v>
      </c>
      <c r="AH267" s="56" t="str">
        <f>'[2]Изложницы без бурта'!F267</f>
        <v>72.11870 - 3</v>
      </c>
      <c r="AI267" s="56">
        <f>'[2]Изложницы без бурта'!G267</f>
        <v>0</v>
      </c>
      <c r="AJ267" s="56">
        <f>'[2]Изложницы без бурта'!H267</f>
        <v>0</v>
      </c>
      <c r="AK267" s="56">
        <f>'[2]Изложницы без бурта'!I267</f>
        <v>0</v>
      </c>
      <c r="AL267" s="56" t="s">
        <v>596</v>
      </c>
      <c r="AM267" s="56">
        <f>'[2]Изложницы без бурта'!K267</f>
        <v>0</v>
      </c>
    </row>
    <row r="268" spans="1:39" ht="15.6" x14ac:dyDescent="0.3">
      <c r="A268" s="276"/>
      <c r="B268" s="278">
        <f>'Втулка с буртом'!M8</f>
        <v>9.1</v>
      </c>
      <c r="C268" s="275" t="e">
        <f>VLOOKUP(B257,A60:I66,5,FALSE)</f>
        <v>#N/A</v>
      </c>
      <c r="D268" s="277" t="e">
        <f>C268</f>
        <v>#N/A</v>
      </c>
      <c r="E268" s="275" t="e">
        <f>VLOOKUP(B257,A60:I66,9,FALSE)</f>
        <v>#N/A</v>
      </c>
      <c r="F268" s="270" t="e">
        <f>E268</f>
        <v>#N/A</v>
      </c>
      <c r="G268" s="271"/>
      <c r="H268" s="279"/>
      <c r="I268" s="138"/>
      <c r="J268" s="138"/>
      <c r="K268" s="230"/>
      <c r="AB268" s="258" t="str">
        <f t="shared" si="10"/>
        <v/>
      </c>
      <c r="AC268" s="259" t="str">
        <f>IF(COUNTIF(AD$78:AD268,AD268)=1,MAX(AC$78:AC267)+1,"")</f>
        <v/>
      </c>
      <c r="AD268" s="220">
        <f>'[2]Изложницы без бурта'!B268</f>
        <v>145</v>
      </c>
      <c r="AE268" s="220">
        <f>'[2]Изложницы без бурта'!C268</f>
        <v>265</v>
      </c>
      <c r="AF268" s="56">
        <f>'[2]Изложницы без бурта'!D268</f>
        <v>285</v>
      </c>
      <c r="AG268" s="56">
        <f>'[2]Изложницы без бурта'!E268</f>
        <v>320</v>
      </c>
      <c r="AH268" s="56" t="str">
        <f>'[2]Изложницы без бурта'!F268</f>
        <v>72.11870 - 3</v>
      </c>
      <c r="AI268" s="56">
        <f>'[2]Изложницы без бурта'!G268</f>
        <v>0</v>
      </c>
      <c r="AJ268" s="56">
        <f>'[2]Изложницы без бурта'!H268</f>
        <v>0</v>
      </c>
      <c r="AK268" s="56">
        <f>'[2]Изложницы без бурта'!I268</f>
        <v>0</v>
      </c>
      <c r="AL268" s="56" t="s">
        <v>596</v>
      </c>
      <c r="AM268" s="56">
        <f>'[2]Изложницы без бурта'!K268</f>
        <v>0</v>
      </c>
    </row>
    <row r="269" spans="1:39" ht="15.6" x14ac:dyDescent="0.3">
      <c r="A269" s="276"/>
      <c r="B269" s="280" t="e">
        <f>B264*B264*3.1415926*B267*B268/4000000</f>
        <v>#N/A</v>
      </c>
      <c r="C269" s="281" t="s">
        <v>89</v>
      </c>
      <c r="D269" s="270"/>
      <c r="E269" s="281" t="s">
        <v>206</v>
      </c>
      <c r="F269" s="270"/>
      <c r="G269" s="271"/>
      <c r="H269" s="279"/>
      <c r="I269" s="138"/>
      <c r="J269" s="138"/>
      <c r="K269" s="230"/>
      <c r="AB269" s="258" t="str">
        <f t="shared" si="10"/>
        <v/>
      </c>
      <c r="AC269" s="259" t="str">
        <f>IF(COUNTIF(AD$78:AD269,AD269)=1,MAX(AC$78:AC268)+1,"")</f>
        <v/>
      </c>
      <c r="AD269" s="220">
        <f>'[2]Изложницы без бурта'!B269</f>
        <v>145</v>
      </c>
      <c r="AE269" s="220">
        <f>'[2]Изложницы без бурта'!C269</f>
        <v>265</v>
      </c>
      <c r="AF269" s="56">
        <f>'[2]Изложницы без бурта'!D269</f>
        <v>285</v>
      </c>
      <c r="AG269" s="56">
        <f>'[2]Изложницы без бурта'!E269</f>
        <v>320</v>
      </c>
      <c r="AH269" s="56" t="str">
        <f>'[2]Изложницы без бурта'!F269</f>
        <v>72.11870 - 3</v>
      </c>
      <c r="AI269" s="56">
        <f>'[2]Изложницы без бурта'!G269</f>
        <v>0</v>
      </c>
      <c r="AJ269" s="56">
        <f>'[2]Изложницы без бурта'!H269</f>
        <v>0</v>
      </c>
      <c r="AK269" s="56">
        <f>'[2]Изложницы без бурта'!I269</f>
        <v>0</v>
      </c>
      <c r="AL269" s="56" t="s">
        <v>596</v>
      </c>
      <c r="AM269" s="56">
        <f>'[2]Изложницы без бурта'!K269</f>
        <v>0</v>
      </c>
    </row>
    <row r="270" spans="1:39" ht="15.6" x14ac:dyDescent="0.3">
      <c r="A270" s="276"/>
      <c r="B270" s="270"/>
      <c r="C270" s="275">
        <v>50</v>
      </c>
      <c r="D270" s="277">
        <f>C270</f>
        <v>50</v>
      </c>
      <c r="E270" s="275">
        <f>'Втулка с буртом'!M4</f>
        <v>940</v>
      </c>
      <c r="F270" s="282" t="e">
        <f>2*3.1415926*E273/2</f>
        <v>#N/A</v>
      </c>
      <c r="G270" s="271"/>
      <c r="H270" s="279"/>
      <c r="I270" s="138"/>
      <c r="J270" s="138"/>
      <c r="K270" s="230"/>
      <c r="AB270" s="258" t="str">
        <f t="shared" si="10"/>
        <v/>
      </c>
      <c r="AC270" s="259" t="str">
        <f>IF(COUNTIF(AD$78:AD270,AD270)=1,MAX(AC$78:AC269)+1,"")</f>
        <v/>
      </c>
      <c r="AD270" s="220">
        <f>'[2]Изложницы без бурта'!B270</f>
        <v>145</v>
      </c>
      <c r="AE270" s="220">
        <f>'[2]Изложницы без бурта'!C270</f>
        <v>265</v>
      </c>
      <c r="AF270" s="56">
        <f>'[2]Изложницы без бурта'!D270</f>
        <v>285</v>
      </c>
      <c r="AG270" s="56">
        <f>'[2]Изложницы без бурта'!E270</f>
        <v>320</v>
      </c>
      <c r="AH270" s="56" t="str">
        <f>'[2]Изложницы без бурта'!F270</f>
        <v>72.11870 - 3</v>
      </c>
      <c r="AI270" s="56">
        <f>'[2]Изложницы без бурта'!G270</f>
        <v>0</v>
      </c>
      <c r="AJ270" s="56">
        <f>'[2]Изложницы без бурта'!H270</f>
        <v>0</v>
      </c>
      <c r="AK270" s="56">
        <f>'[2]Изложницы без бурта'!I270</f>
        <v>0</v>
      </c>
      <c r="AL270" s="56" t="s">
        <v>596</v>
      </c>
      <c r="AM270" s="56">
        <f>'[2]Изложницы без бурта'!K270</f>
        <v>0</v>
      </c>
    </row>
    <row r="271" spans="1:39" ht="15" x14ac:dyDescent="0.25">
      <c r="A271" s="276"/>
      <c r="B271" s="271"/>
      <c r="C271" s="281" t="s">
        <v>175</v>
      </c>
      <c r="D271" s="270"/>
      <c r="E271" s="281" t="s">
        <v>207</v>
      </c>
      <c r="F271" s="270"/>
      <c r="G271" s="281" t="s">
        <v>208</v>
      </c>
      <c r="H271" s="279"/>
      <c r="I271" s="138"/>
      <c r="J271" s="138"/>
      <c r="K271" s="230"/>
      <c r="AB271" s="258" t="str">
        <f t="shared" si="10"/>
        <v/>
      </c>
      <c r="AC271" s="259" t="str">
        <f>IF(COUNTIF(AD$78:AD271,AD271)=1,MAX(AC$78:AC270)+1,"")</f>
        <v/>
      </c>
      <c r="AD271" s="220">
        <f>'[2]Изложницы без бурта'!B271</f>
        <v>145</v>
      </c>
      <c r="AE271" s="220">
        <f>'[2]Изложницы без бурта'!C271</f>
        <v>265</v>
      </c>
      <c r="AF271" s="56">
        <f>'[2]Изложницы без бурта'!D271</f>
        <v>285</v>
      </c>
      <c r="AG271" s="56">
        <f>'[2]Изложницы без бурта'!E271</f>
        <v>320</v>
      </c>
      <c r="AH271" s="56" t="str">
        <f>'[2]Изложницы без бурта'!F271</f>
        <v>72.11870 - 3</v>
      </c>
      <c r="AI271" s="56">
        <f>'[2]Изложницы без бурта'!G271</f>
        <v>0</v>
      </c>
      <c r="AJ271" s="56">
        <f>'[2]Изложницы без бурта'!H271</f>
        <v>0</v>
      </c>
      <c r="AK271" s="56">
        <f>'[2]Изложницы без бурта'!I271</f>
        <v>0</v>
      </c>
      <c r="AL271" s="56" t="s">
        <v>596</v>
      </c>
      <c r="AM271" s="56">
        <f>'[2]Изложницы без бурта'!K271</f>
        <v>0</v>
      </c>
    </row>
    <row r="272" spans="1:39" ht="15.6" x14ac:dyDescent="0.3">
      <c r="A272" s="276"/>
      <c r="B272" s="271"/>
      <c r="C272" s="275" t="e">
        <f>VLOOKUP(B257,A60:I66,2,FALSE)</f>
        <v>#N/A</v>
      </c>
      <c r="D272" s="277" t="e">
        <f>C272</f>
        <v>#N/A</v>
      </c>
      <c r="E272" s="281" t="s">
        <v>209</v>
      </c>
      <c r="F272" s="270"/>
      <c r="G272" s="275">
        <v>270</v>
      </c>
      <c r="H272" s="279"/>
      <c r="I272" s="138"/>
      <c r="J272" s="138"/>
      <c r="K272" s="230"/>
      <c r="AB272" s="258" t="str">
        <f t="shared" si="10"/>
        <v/>
      </c>
      <c r="AC272" s="259" t="str">
        <f>IF(COUNTIF(AD$78:AD272,AD272)=1,MAX(AC$78:AC271)+1,"")</f>
        <v/>
      </c>
      <c r="AD272" s="220">
        <f>'[2]Изложницы без бурта'!B272</f>
        <v>145</v>
      </c>
      <c r="AE272" s="220">
        <f>'[2]Изложницы без бурта'!C272</f>
        <v>265</v>
      </c>
      <c r="AF272" s="56">
        <f>'[2]Изложницы без бурта'!D272</f>
        <v>285</v>
      </c>
      <c r="AG272" s="56">
        <f>'[2]Изложницы без бурта'!E272</f>
        <v>320</v>
      </c>
      <c r="AH272" s="56" t="str">
        <f>'[2]Изложницы без бурта'!F272</f>
        <v>72.11870 - 3</v>
      </c>
      <c r="AI272" s="56">
        <f>'[2]Изложницы без бурта'!G272</f>
        <v>0</v>
      </c>
      <c r="AJ272" s="56">
        <f>'[2]Изложницы без бурта'!H272</f>
        <v>0</v>
      </c>
      <c r="AK272" s="56">
        <f>'[2]Изложницы без бурта'!I272</f>
        <v>0</v>
      </c>
      <c r="AL272" s="56" t="s">
        <v>596</v>
      </c>
      <c r="AM272" s="56">
        <f>'[2]Изложницы без бурта'!K272</f>
        <v>0</v>
      </c>
    </row>
    <row r="273" spans="1:39" ht="15" x14ac:dyDescent="0.25">
      <c r="A273" s="276"/>
      <c r="B273" s="271"/>
      <c r="C273" s="271"/>
      <c r="D273" s="278">
        <f>B268</f>
        <v>9.1</v>
      </c>
      <c r="E273" s="270" t="e">
        <f>E270+C270+E268</f>
        <v>#N/A</v>
      </c>
      <c r="F273" s="278">
        <f>B268</f>
        <v>9.1</v>
      </c>
      <c r="G273" s="270" t="s">
        <v>210</v>
      </c>
      <c r="H273" s="279"/>
      <c r="I273" s="138"/>
      <c r="J273" s="138"/>
      <c r="K273" s="230"/>
      <c r="AB273" s="258" t="str">
        <f t="shared" si="10"/>
        <v/>
      </c>
      <c r="AC273" s="259" t="str">
        <f>IF(COUNTIF(AD$78:AD273,AD273)=1,MAX(AC$78:AC272)+1,"")</f>
        <v/>
      </c>
      <c r="AD273" s="220">
        <f>'[2]Изложницы без бурта'!B273</f>
        <v>145</v>
      </c>
      <c r="AE273" s="220">
        <f>'[2]Изложницы без бурта'!C273</f>
        <v>265</v>
      </c>
      <c r="AF273" s="56">
        <f>'[2]Изложницы без бурта'!D273</f>
        <v>285</v>
      </c>
      <c r="AG273" s="56">
        <f>'[2]Изложницы без бурта'!E273</f>
        <v>320</v>
      </c>
      <c r="AH273" s="56" t="str">
        <f>'[2]Изложницы без бурта'!F273</f>
        <v>72.11870 - 3</v>
      </c>
      <c r="AI273" s="56">
        <f>'[2]Изложницы без бурта'!G273</f>
        <v>0</v>
      </c>
      <c r="AJ273" s="56">
        <f>'[2]Изложницы без бурта'!H273</f>
        <v>0</v>
      </c>
      <c r="AK273" s="56">
        <f>'[2]Изложницы без бурта'!I273</f>
        <v>0</v>
      </c>
      <c r="AL273" s="56" t="s">
        <v>596</v>
      </c>
      <c r="AM273" s="56">
        <f>'[2]Изложницы без бурта'!K273</f>
        <v>0</v>
      </c>
    </row>
    <row r="274" spans="1:39" ht="16.2" thickBot="1" x14ac:dyDescent="0.35">
      <c r="A274" s="283"/>
      <c r="B274" s="284"/>
      <c r="C274" s="284"/>
      <c r="D274" s="285" t="e">
        <f>D266*D268*D270*D272*D273/1000000</f>
        <v>#N/A</v>
      </c>
      <c r="E274" s="284"/>
      <c r="F274" s="286" t="e">
        <f>F266*F268*F270*F273/1000000</f>
        <v>#N/A</v>
      </c>
      <c r="G274" s="285" t="e">
        <f>F274/360*G272</f>
        <v>#N/A</v>
      </c>
      <c r="H274" s="287" t="e">
        <f>B269+D274+G274</f>
        <v>#N/A</v>
      </c>
      <c r="I274" s="288"/>
      <c r="J274" s="138"/>
      <c r="K274" s="230"/>
      <c r="AB274" s="258" t="str">
        <f t="shared" si="10"/>
        <v/>
      </c>
      <c r="AC274" s="259">
        <f>IF(COUNTIF(AD$78:AD274,AD274)=1,MAX(AC$78:AC273)+1,"")</f>
        <v>25</v>
      </c>
      <c r="AD274" s="220">
        <f>'[2]Изложницы без бурта'!B274</f>
        <v>147.5</v>
      </c>
      <c r="AE274" s="220">
        <f>'[2]Изложницы без бурта'!C274</f>
        <v>380</v>
      </c>
      <c r="AF274" s="56">
        <f>'[2]Изложницы без бурта'!D274</f>
        <v>285</v>
      </c>
      <c r="AG274" s="56">
        <f>'[2]Изложницы без бурта'!E274</f>
        <v>320</v>
      </c>
      <c r="AH274" s="56" t="str">
        <f>'[2]Изложницы без бурта'!F274</f>
        <v>72.42461 - 4</v>
      </c>
      <c r="AI274" s="56">
        <f>'[2]Изложницы без бурта'!G274</f>
        <v>0</v>
      </c>
      <c r="AJ274" s="56">
        <f>'[2]Изложницы без бурта'!H274</f>
        <v>0</v>
      </c>
      <c r="AK274" s="56">
        <f>'[2]Изложницы без бурта'!I274</f>
        <v>0</v>
      </c>
      <c r="AL274" s="56" t="s">
        <v>597</v>
      </c>
      <c r="AM274" s="56">
        <f>'[2]Изложницы без бурта'!K274</f>
        <v>0</v>
      </c>
    </row>
    <row r="275" spans="1:39" x14ac:dyDescent="0.25">
      <c r="A275" s="228"/>
      <c r="B275" s="1316"/>
      <c r="C275" s="138"/>
      <c r="D275" s="138"/>
      <c r="E275" s="138"/>
      <c r="F275" s="138"/>
      <c r="G275" s="138"/>
      <c r="H275" s="138"/>
      <c r="I275" s="138"/>
      <c r="J275" s="138"/>
      <c r="K275" s="230"/>
      <c r="AB275" s="258" t="str">
        <f t="shared" si="10"/>
        <v/>
      </c>
      <c r="AC275" s="259" t="str">
        <f>IF(COUNTIF(AD$78:AD275,AD275)=1,MAX(AC$78:AC274)+1,"")</f>
        <v/>
      </c>
      <c r="AD275" s="220">
        <f>'[2]Изложницы без бурта'!B275</f>
        <v>147.5</v>
      </c>
      <c r="AE275" s="220">
        <f>'[2]Изложницы без бурта'!C275</f>
        <v>318</v>
      </c>
      <c r="AF275" s="56">
        <f>'[2]Изложницы без бурта'!D275</f>
        <v>285</v>
      </c>
      <c r="AG275" s="56">
        <f>'[2]Изложницы без бурта'!E275</f>
        <v>320</v>
      </c>
      <c r="AH275" s="56" t="str">
        <f>'[2]Изложницы без бурта'!F275</f>
        <v>72.11871 - 4</v>
      </c>
      <c r="AI275" s="56">
        <f>'[2]Изложницы без бурта'!G275</f>
        <v>0</v>
      </c>
      <c r="AJ275" s="56">
        <f>'[2]Изложницы без бурта'!H275</f>
        <v>0</v>
      </c>
      <c r="AK275" s="56">
        <f>'[2]Изложницы без бурта'!I275</f>
        <v>0</v>
      </c>
      <c r="AL275" s="56" t="s">
        <v>597</v>
      </c>
      <c r="AM275" s="56">
        <f>'[2]Изложницы без бурта'!K275</f>
        <v>0</v>
      </c>
    </row>
    <row r="276" spans="1:39" ht="14.4" thickBot="1" x14ac:dyDescent="0.3">
      <c r="A276" s="228" t="s">
        <v>211</v>
      </c>
      <c r="B276" s="1316"/>
      <c r="C276" s="138"/>
      <c r="D276" s="138"/>
      <c r="E276" s="138"/>
      <c r="F276" s="138"/>
      <c r="G276" s="138"/>
      <c r="H276" s="138"/>
      <c r="I276" s="138"/>
      <c r="J276" s="138"/>
      <c r="K276" s="230"/>
      <c r="AB276" s="258" t="str">
        <f t="shared" si="10"/>
        <v/>
      </c>
      <c r="AC276" s="259" t="str">
        <f>IF(COUNTIF(AD$78:AD276,AD276)=1,MAX(AC$78:AC275)+1,"")</f>
        <v/>
      </c>
      <c r="AD276" s="220">
        <f>'[2]Изложницы без бурта'!B276</f>
        <v>147.5</v>
      </c>
      <c r="AE276" s="220">
        <f>'[2]Изложницы без бурта'!C276</f>
        <v>320</v>
      </c>
      <c r="AF276" s="56">
        <f>'[2]Изложницы без бурта'!D276</f>
        <v>285</v>
      </c>
      <c r="AG276" s="56">
        <f>'[2]Изложницы без бурта'!E276</f>
        <v>320</v>
      </c>
      <c r="AH276" s="56" t="str">
        <f>'[2]Изложницы без бурта'!F276</f>
        <v>72.11871 - 4</v>
      </c>
      <c r="AI276" s="56">
        <f>'[2]Изложницы без бурта'!G276</f>
        <v>0</v>
      </c>
      <c r="AJ276" s="56">
        <f>'[2]Изложницы без бурта'!H276</f>
        <v>0</v>
      </c>
      <c r="AK276" s="56">
        <f>'[2]Изложницы без бурта'!I276</f>
        <v>0</v>
      </c>
      <c r="AL276" s="56" t="s">
        <v>597</v>
      </c>
      <c r="AM276" s="56">
        <f>'[2]Изложницы без бурта'!K276</f>
        <v>0</v>
      </c>
    </row>
    <row r="277" spans="1:39" ht="15.6" x14ac:dyDescent="0.3">
      <c r="A277" s="262" t="s">
        <v>201</v>
      </c>
      <c r="B277" s="263"/>
      <c r="C277" s="264" t="s">
        <v>202</v>
      </c>
      <c r="D277" s="263"/>
      <c r="E277" s="264" t="s">
        <v>150</v>
      </c>
      <c r="F277" s="265"/>
      <c r="G277" s="263"/>
      <c r="H277" s="289" t="s">
        <v>187</v>
      </c>
      <c r="I277" s="266" t="s">
        <v>203</v>
      </c>
      <c r="J277" s="138"/>
      <c r="K277" s="230"/>
      <c r="AB277" s="258" t="str">
        <f t="shared" si="10"/>
        <v/>
      </c>
      <c r="AC277" s="259" t="str">
        <f>IF(COUNTIF(AD$78:AD277,AD277)=1,MAX(AC$78:AC276)+1,"")</f>
        <v/>
      </c>
      <c r="AD277" s="220">
        <f>'[2]Изложницы без бурта'!B277</f>
        <v>147.5</v>
      </c>
      <c r="AE277" s="220">
        <f>'[2]Изложницы без бурта'!C277</f>
        <v>317</v>
      </c>
      <c r="AF277" s="56">
        <f>'[2]Изложницы без бурта'!D277</f>
        <v>285</v>
      </c>
      <c r="AG277" s="56">
        <f>'[2]Изложницы без бурта'!E277</f>
        <v>320</v>
      </c>
      <c r="AH277" s="56" t="str">
        <f>'[2]Изложницы без бурта'!F277</f>
        <v>72.11871 - 4</v>
      </c>
      <c r="AI277" s="56">
        <f>'[2]Изложницы без бурта'!G277</f>
        <v>0</v>
      </c>
      <c r="AJ277" s="56">
        <f>'[2]Изложницы без бурта'!H277</f>
        <v>0</v>
      </c>
      <c r="AK277" s="56">
        <f>'[2]Изложницы без бурта'!I277</f>
        <v>0</v>
      </c>
      <c r="AL277" s="56" t="s">
        <v>597</v>
      </c>
      <c r="AM277" s="56">
        <f>'[2]Изложницы без бурта'!K277</f>
        <v>0</v>
      </c>
    </row>
    <row r="278" spans="1:39" ht="15.6" thickBot="1" x14ac:dyDescent="0.3">
      <c r="A278" s="1142" t="s">
        <v>204</v>
      </c>
      <c r="B278" s="269"/>
      <c r="C278" s="270" t="s">
        <v>151</v>
      </c>
      <c r="D278" s="270"/>
      <c r="E278" s="270" t="s">
        <v>179</v>
      </c>
      <c r="F278" s="271"/>
      <c r="G278" s="270"/>
      <c r="H278" s="290" t="s">
        <v>180</v>
      </c>
      <c r="I278" s="291"/>
      <c r="J278" s="138"/>
      <c r="K278" s="230"/>
      <c r="AB278" s="258" t="str">
        <f t="shared" si="10"/>
        <v/>
      </c>
      <c r="AC278" s="259" t="str">
        <f>IF(COUNTIF(AD$78:AD278,AD278)=1,MAX(AC$78:AC277)+1,"")</f>
        <v/>
      </c>
      <c r="AD278" s="220">
        <f>'[2]Изложницы без бурта'!B278</f>
        <v>147.5</v>
      </c>
      <c r="AE278" s="220">
        <f>'[2]Изложницы без бурта'!C278</f>
        <v>263</v>
      </c>
      <c r="AF278" s="56">
        <f>'[2]Изложницы без бурта'!D278</f>
        <v>285</v>
      </c>
      <c r="AG278" s="56">
        <f>'[2]Изложницы без бурта'!E278</f>
        <v>320</v>
      </c>
      <c r="AH278" s="56" t="str">
        <f>'[2]Изложницы без бурта'!F278</f>
        <v>72.11870 - 4</v>
      </c>
      <c r="AI278" s="56">
        <f>'[2]Изложницы без бурта'!G278</f>
        <v>0</v>
      </c>
      <c r="AJ278" s="56">
        <f>'[2]Изложницы без бурта'!H278</f>
        <v>0</v>
      </c>
      <c r="AK278" s="56">
        <f>'[2]Изложницы без бурта'!I278</f>
        <v>0</v>
      </c>
      <c r="AL278" s="56" t="s">
        <v>597</v>
      </c>
      <c r="AM278" s="56">
        <f>'[2]Изложницы без бурта'!K278</f>
        <v>0</v>
      </c>
    </row>
    <row r="279" spans="1:39" ht="15" x14ac:dyDescent="0.25">
      <c r="A279" s="1143" t="e">
        <f>VLOOKUP(B257,A74:K78,6,FALSE)</f>
        <v>#N/A</v>
      </c>
      <c r="B279" s="1140" t="e">
        <f>IF(A280=0,A279,A280)</f>
        <v>#N/A</v>
      </c>
      <c r="C279" s="275" t="e">
        <f>VLOOKUP(B257,A74:K78,3,FALSE)</f>
        <v>#N/A</v>
      </c>
      <c r="D279" s="271"/>
      <c r="E279" s="275" t="e">
        <f>VLOOKUP(B257,A74:K78,7,FALSE)</f>
        <v>#N/A</v>
      </c>
      <c r="F279" s="271"/>
      <c r="G279" s="270"/>
      <c r="H279" s="292" t="e">
        <f>VLOOKUP(B257,A74:K78,10,FALSE)</f>
        <v>#N/A</v>
      </c>
      <c r="I279" s="291"/>
      <c r="J279" s="138"/>
      <c r="K279" s="230"/>
      <c r="AB279" s="258" t="str">
        <f t="shared" ref="AB279:AB309" si="13">IF(MAX(AC279:AC1356)&lt;ROW(201:201),"",VLOOKUP(ROW(201:201),AC279:AD1356,2))</f>
        <v/>
      </c>
      <c r="AC279" s="259" t="str">
        <f>IF(COUNTIF(AD$78:AD279,AD279)=1,MAX(AC$78:AC278)+1,"")</f>
        <v/>
      </c>
      <c r="AD279" s="220">
        <f>'[2]Изложницы без бурта'!B279</f>
        <v>147.5</v>
      </c>
      <c r="AE279" s="220">
        <f>'[2]Изложницы без бурта'!C279</f>
        <v>267</v>
      </c>
      <c r="AF279" s="56">
        <f>'[2]Изложницы без бурта'!D279</f>
        <v>285</v>
      </c>
      <c r="AG279" s="56">
        <f>'[2]Изложницы без бурта'!E279</f>
        <v>320</v>
      </c>
      <c r="AH279" s="56" t="str">
        <f>'[2]Изложницы без бурта'!F279</f>
        <v>72.11870 - 4</v>
      </c>
      <c r="AI279" s="56">
        <f>'[2]Изложницы без бурта'!G279</f>
        <v>0</v>
      </c>
      <c r="AJ279" s="56">
        <f>'[2]Изложницы без бурта'!H279</f>
        <v>0</v>
      </c>
      <c r="AK279" s="56">
        <f>'[2]Изложницы без бурта'!I279</f>
        <v>0</v>
      </c>
      <c r="AL279" s="56" t="s">
        <v>597</v>
      </c>
      <c r="AM279" s="56">
        <f>'[2]Изложницы без бурта'!K279</f>
        <v>0</v>
      </c>
    </row>
    <row r="280" spans="1:39" ht="15.6" thickBot="1" x14ac:dyDescent="0.3">
      <c r="A280" s="1144"/>
      <c r="B280" s="1141"/>
      <c r="C280" s="270" t="s">
        <v>152</v>
      </c>
      <c r="D280" s="270"/>
      <c r="E280" s="270" t="s">
        <v>180</v>
      </c>
      <c r="F280" s="271"/>
      <c r="G280" s="270"/>
      <c r="H280" s="290" t="s">
        <v>153</v>
      </c>
      <c r="I280" s="291"/>
      <c r="J280" s="138"/>
      <c r="K280" s="230"/>
      <c r="AB280" s="258" t="str">
        <f t="shared" si="13"/>
        <v/>
      </c>
      <c r="AC280" s="259" t="str">
        <f>IF(COUNTIF(AD$78:AD280,AD280)=1,MAX(AC$78:AC279)+1,"")</f>
        <v/>
      </c>
      <c r="AD280" s="220">
        <f>'[2]Изложницы без бурта'!B280</f>
        <v>147.5</v>
      </c>
      <c r="AE280" s="220">
        <f>'[2]Изложницы без бурта'!C280</f>
        <v>318</v>
      </c>
      <c r="AF280" s="56">
        <f>'[2]Изложницы без бурта'!D280</f>
        <v>285</v>
      </c>
      <c r="AG280" s="56">
        <f>'[2]Изложницы без бурта'!E280</f>
        <v>320</v>
      </c>
      <c r="AH280" s="56" t="str">
        <f>'[2]Изложницы без бурта'!F280</f>
        <v>72.11871 - 4</v>
      </c>
      <c r="AI280" s="56">
        <f>'[2]Изложницы без бурта'!G280</f>
        <v>0</v>
      </c>
      <c r="AJ280" s="56">
        <f>'[2]Изложницы без бурта'!H280</f>
        <v>0</v>
      </c>
      <c r="AK280" s="56">
        <f>'[2]Изложницы без бурта'!I280</f>
        <v>0</v>
      </c>
      <c r="AL280" s="56" t="s">
        <v>597</v>
      </c>
      <c r="AM280" s="56">
        <f>'[2]Изложницы без бурта'!K280</f>
        <v>0</v>
      </c>
    </row>
    <row r="281" spans="1:39" ht="16.2" thickBot="1" x14ac:dyDescent="0.35">
      <c r="A281" s="1146" t="s">
        <v>89</v>
      </c>
      <c r="B281" s="269"/>
      <c r="C281" s="275" t="e">
        <f>VLOOKUP(B257,A74:K78,4,FALSE)</f>
        <v>#N/A</v>
      </c>
      <c r="D281" s="277" t="e">
        <f>(C279+C281)/2</f>
        <v>#N/A</v>
      </c>
      <c r="E281" s="275" t="e">
        <f>VLOOKUP(B257,A74:K78,8,FALSE)</f>
        <v>#N/A</v>
      </c>
      <c r="F281" s="270" t="e">
        <f>(E279+E281)/2</f>
        <v>#N/A</v>
      </c>
      <c r="G281" s="271"/>
      <c r="H281" s="292" t="e">
        <f>VLOOKUP(B257,A74:K78,11,FALSE)</f>
        <v>#N/A</v>
      </c>
      <c r="I281" s="291"/>
      <c r="J281" s="138"/>
      <c r="K281" s="230"/>
      <c r="AB281" s="258" t="str">
        <f t="shared" si="13"/>
        <v/>
      </c>
      <c r="AC281" s="259" t="str">
        <f>IF(COUNTIF(AD$78:AD281,AD281)=1,MAX(AC$78:AC280)+1,"")</f>
        <v/>
      </c>
      <c r="AD281" s="220">
        <f>'[2]Изложницы без бурта'!B281</f>
        <v>147.5</v>
      </c>
      <c r="AE281" s="220">
        <f>'[2]Изложницы без бурта'!C281</f>
        <v>375</v>
      </c>
      <c r="AF281" s="56">
        <f>'[2]Изложницы без бурта'!D281</f>
        <v>285</v>
      </c>
      <c r="AG281" s="56">
        <f>'[2]Изложницы без бурта'!E281</f>
        <v>320</v>
      </c>
      <c r="AH281" s="56" t="str">
        <f>'[2]Изложницы без бурта'!F281</f>
        <v>72.42461 - 4</v>
      </c>
      <c r="AI281" s="56">
        <f>'[2]Изложницы без бурта'!G281</f>
        <v>0</v>
      </c>
      <c r="AJ281" s="56">
        <f>'[2]Изложницы без бурта'!H281</f>
        <v>0</v>
      </c>
      <c r="AK281" s="56">
        <f>'[2]Изложницы без бурта'!I281</f>
        <v>0</v>
      </c>
      <c r="AL281" s="56" t="s">
        <v>597</v>
      </c>
      <c r="AM281" s="56">
        <f>'[2]Изложницы без бурта'!K281</f>
        <v>0</v>
      </c>
    </row>
    <row r="282" spans="1:39" ht="15" x14ac:dyDescent="0.25">
      <c r="A282" s="1143">
        <f>'Втулка с буртом'!M7+'Втулка с буртом'!M11</f>
        <v>1495</v>
      </c>
      <c r="B282" s="1140">
        <f>IF(A283=0,A282,A283)</f>
        <v>1495</v>
      </c>
      <c r="C282" s="270" t="s">
        <v>153</v>
      </c>
      <c r="D282" s="270"/>
      <c r="E282" s="270" t="s">
        <v>205</v>
      </c>
      <c r="F282" s="270"/>
      <c r="G282" s="271"/>
      <c r="H282" s="293" t="s">
        <v>220</v>
      </c>
      <c r="I282" s="291"/>
      <c r="J282" s="138"/>
      <c r="K282" s="230"/>
      <c r="AB282" s="258" t="str">
        <f t="shared" ref="AB282:AB306" si="14">IF(MAX(AC282:AC1359)&lt;ROW(204:204),"",VLOOKUP(ROW(204:204),AC282:AD1359,2))</f>
        <v/>
      </c>
      <c r="AC282" s="259" t="str">
        <f>IF(COUNTIF(AD$78:AD282,AD282)=1,MAX(AC$78:AC281)+1,"")</f>
        <v/>
      </c>
      <c r="AD282" s="220">
        <f>'[2]Изложницы без бурта'!B282</f>
        <v>147.5</v>
      </c>
      <c r="AE282" s="220">
        <f>'[2]Изложницы без бурта'!C282</f>
        <v>265</v>
      </c>
      <c r="AF282" s="56">
        <f>'[2]Изложницы без бурта'!D282</f>
        <v>285</v>
      </c>
      <c r="AG282" s="56">
        <f>'[2]Изложницы без бурта'!E282</f>
        <v>320</v>
      </c>
      <c r="AH282" s="56" t="str">
        <f>'[2]Изложницы без бурта'!F282</f>
        <v>72.11870 - 4</v>
      </c>
      <c r="AI282" s="56">
        <f>'[2]Изложницы без бурта'!G282</f>
        <v>0</v>
      </c>
      <c r="AJ282" s="56">
        <f>'[2]Изложницы без бурта'!H282</f>
        <v>0</v>
      </c>
      <c r="AK282" s="56">
        <f>'[2]Изложницы без бурта'!I282</f>
        <v>0</v>
      </c>
      <c r="AL282" s="56" t="s">
        <v>597</v>
      </c>
      <c r="AM282" s="56">
        <f>'[2]Изложницы без бурта'!K282</f>
        <v>0</v>
      </c>
    </row>
    <row r="283" spans="1:39" ht="16.2" thickBot="1" x14ac:dyDescent="0.35">
      <c r="A283" s="1144"/>
      <c r="B283" s="1145">
        <f>'Втулка с буртом'!M8</f>
        <v>9.1</v>
      </c>
      <c r="C283" s="275" t="e">
        <f>VLOOKUP(B257,A74:K78,5,FALSE)</f>
        <v>#N/A</v>
      </c>
      <c r="D283" s="277" t="e">
        <f>C283</f>
        <v>#N/A</v>
      </c>
      <c r="E283" s="275" t="e">
        <f>VLOOKUP(B257,A74:K78,9,FALSE)</f>
        <v>#N/A</v>
      </c>
      <c r="F283" s="270" t="e">
        <f>E283</f>
        <v>#N/A</v>
      </c>
      <c r="G283" s="271"/>
      <c r="H283" s="271" t="e">
        <f>(H279*H279*3.1415926*H281*B283/4000000)*2</f>
        <v>#N/A</v>
      </c>
      <c r="I283" s="291"/>
      <c r="J283" s="138"/>
      <c r="K283" s="230"/>
      <c r="AB283" s="258" t="str">
        <f t="shared" si="14"/>
        <v/>
      </c>
      <c r="AC283" s="259" t="str">
        <f>IF(COUNTIF(AD$78:AD283,AD283)=1,MAX(AC$78:AC282)+1,"")</f>
        <v/>
      </c>
      <c r="AD283" s="220">
        <f>'[2]Изложницы без бурта'!B283</f>
        <v>147.5</v>
      </c>
      <c r="AE283" s="220">
        <f>'[2]Изложницы без бурта'!C283</f>
        <v>263</v>
      </c>
      <c r="AF283" s="56">
        <f>'[2]Изложницы без бурта'!D283</f>
        <v>285</v>
      </c>
      <c r="AG283" s="56">
        <f>'[2]Изложницы без бурта'!E283</f>
        <v>320</v>
      </c>
      <c r="AH283" s="56" t="str">
        <f>'[2]Изложницы без бурта'!F283</f>
        <v>72.11870 - 4</v>
      </c>
      <c r="AI283" s="56">
        <f>'[2]Изложницы без бурта'!G283</f>
        <v>0</v>
      </c>
      <c r="AJ283" s="56">
        <f>'[2]Изложницы без бурта'!H283</f>
        <v>0</v>
      </c>
      <c r="AK283" s="56">
        <f>'[2]Изложницы без бурта'!I283</f>
        <v>0</v>
      </c>
      <c r="AL283" s="56" t="s">
        <v>597</v>
      </c>
      <c r="AM283" s="56">
        <f>'[2]Изложницы без бурта'!K283</f>
        <v>0</v>
      </c>
    </row>
    <row r="284" spans="1:39" ht="15.6" x14ac:dyDescent="0.3">
      <c r="A284" s="1147"/>
      <c r="B284" s="280" t="e">
        <f>B279*B279*3.1415926*B282*B283/4000000</f>
        <v>#N/A</v>
      </c>
      <c r="C284" s="281" t="s">
        <v>89</v>
      </c>
      <c r="D284" s="270"/>
      <c r="E284" s="281" t="s">
        <v>206</v>
      </c>
      <c r="F284" s="270"/>
      <c r="G284" s="271"/>
      <c r="H284" s="271"/>
      <c r="I284" s="291"/>
      <c r="J284" s="138"/>
      <c r="K284" s="230"/>
      <c r="AB284" s="258" t="str">
        <f t="shared" si="14"/>
        <v/>
      </c>
      <c r="AC284" s="259">
        <f>IF(COUNTIF(AD$78:AD284,AD284)=1,MAX(AC$78:AC283)+1,"")</f>
        <v>26</v>
      </c>
      <c r="AD284" s="220">
        <f>'[2]Изложницы без бурта'!B284</f>
        <v>150</v>
      </c>
      <c r="AE284" s="220">
        <f>'[2]Изложницы без бурта'!C284</f>
        <v>315</v>
      </c>
      <c r="AF284" s="56">
        <f>'[2]Изложницы без бурта'!D284</f>
        <v>285</v>
      </c>
      <c r="AG284" s="56">
        <f>'[2]Изложницы без бурта'!E284</f>
        <v>320</v>
      </c>
      <c r="AH284" s="56" t="str">
        <f>'[2]Изложницы без бурта'!F284</f>
        <v>72.11871 - 5</v>
      </c>
      <c r="AI284" s="56">
        <f>'[2]Изложницы без бурта'!G284</f>
        <v>7260006</v>
      </c>
      <c r="AJ284" s="56">
        <f>'[2]Изложницы без бурта'!H284</f>
        <v>0</v>
      </c>
      <c r="AK284" s="56">
        <f>'[2]Изложницы без бурта'!I284</f>
        <v>0</v>
      </c>
      <c r="AL284" s="56" t="s">
        <v>598</v>
      </c>
      <c r="AM284" s="56">
        <f>'[2]Изложницы без бурта'!K284</f>
        <v>0</v>
      </c>
    </row>
    <row r="285" spans="1:39" ht="15.6" x14ac:dyDescent="0.3">
      <c r="A285" s="276"/>
      <c r="B285" s="270"/>
      <c r="C285" s="275">
        <v>50</v>
      </c>
      <c r="D285" s="277">
        <f>C285</f>
        <v>50</v>
      </c>
      <c r="E285" s="275">
        <f>'Втулка с буртом'!M4</f>
        <v>940</v>
      </c>
      <c r="F285" s="282" t="e">
        <f>2*3.1415926*E288/2</f>
        <v>#N/A</v>
      </c>
      <c r="G285" s="271"/>
      <c r="H285" s="271"/>
      <c r="I285" s="291"/>
      <c r="J285" s="138"/>
      <c r="K285" s="230"/>
      <c r="AB285" s="258" t="str">
        <f t="shared" si="14"/>
        <v/>
      </c>
      <c r="AC285" s="259" t="str">
        <f>IF(COUNTIF(AD$78:AD285,AD285)=1,MAX(AC$78:AC284)+1,"")</f>
        <v/>
      </c>
      <c r="AD285" s="220">
        <f>'[2]Изложницы без бурта'!B285</f>
        <v>150</v>
      </c>
      <c r="AE285" s="220">
        <f>'[2]Изложницы без бурта'!C285</f>
        <v>320</v>
      </c>
      <c r="AF285" s="56">
        <f>'[2]Изложницы без бурта'!D285</f>
        <v>285</v>
      </c>
      <c r="AG285" s="56">
        <f>'[2]Изложницы без бурта'!E285</f>
        <v>320</v>
      </c>
      <c r="AH285" s="56" t="str">
        <f>'[2]Изложницы без бурта'!F285</f>
        <v>72.11871 - 5</v>
      </c>
      <c r="AI285" s="56">
        <f>'[2]Изложницы без бурта'!G285</f>
        <v>7260006</v>
      </c>
      <c r="AJ285" s="56">
        <f>'[2]Изложницы без бурта'!H285</f>
        <v>0</v>
      </c>
      <c r="AK285" s="56">
        <f>'[2]Изложницы без бурта'!I285</f>
        <v>0</v>
      </c>
      <c r="AL285" s="56" t="s">
        <v>598</v>
      </c>
      <c r="AM285" s="56">
        <f>'[2]Изложницы без бурта'!K285</f>
        <v>0</v>
      </c>
    </row>
    <row r="286" spans="1:39" ht="15" x14ac:dyDescent="0.25">
      <c r="A286" s="276"/>
      <c r="B286" s="271"/>
      <c r="C286" s="281" t="s">
        <v>175</v>
      </c>
      <c r="D286" s="270"/>
      <c r="E286" s="281" t="s">
        <v>207</v>
      </c>
      <c r="F286" s="270"/>
      <c r="G286" s="281" t="s">
        <v>208</v>
      </c>
      <c r="H286" s="271"/>
      <c r="I286" s="291"/>
      <c r="J286" s="138"/>
      <c r="K286" s="230"/>
      <c r="AB286" s="258" t="str">
        <f t="shared" si="14"/>
        <v/>
      </c>
      <c r="AC286" s="259" t="str">
        <f>IF(COUNTIF(AD$78:AD286,AD286)=1,MAX(AC$78:AC285)+1,"")</f>
        <v/>
      </c>
      <c r="AD286" s="220">
        <f>'[2]Изложницы без бурта'!B286</f>
        <v>150</v>
      </c>
      <c r="AE286" s="220">
        <f>'[2]Изложницы без бурта'!C286</f>
        <v>250</v>
      </c>
      <c r="AF286" s="56">
        <f>'[2]Изложницы без бурта'!D286</f>
        <v>285</v>
      </c>
      <c r="AG286" s="56">
        <f>'[2]Изложницы без бурта'!E286</f>
        <v>320</v>
      </c>
      <c r="AH286" s="56" t="str">
        <f>'[2]Изложницы без бурта'!F286</f>
        <v>72.11870 - 5</v>
      </c>
      <c r="AI286" s="56">
        <f>'[2]Изложницы без бурта'!G286</f>
        <v>0</v>
      </c>
      <c r="AJ286" s="56">
        <f>'[2]Изложницы без бурта'!H286</f>
        <v>0</v>
      </c>
      <c r="AK286" s="56">
        <f>'[2]Изложницы без бурта'!I286</f>
        <v>0</v>
      </c>
      <c r="AL286" s="56" t="s">
        <v>598</v>
      </c>
      <c r="AM286" s="56">
        <f>'[2]Изложницы без бурта'!K286</f>
        <v>0</v>
      </c>
    </row>
    <row r="287" spans="1:39" ht="15.6" x14ac:dyDescent="0.3">
      <c r="A287" s="276"/>
      <c r="B287" s="271"/>
      <c r="C287" s="275" t="e">
        <f>VLOOKUP(B257,A74:K78,2,FALSE)</f>
        <v>#N/A</v>
      </c>
      <c r="D287" s="277" t="e">
        <f>C287</f>
        <v>#N/A</v>
      </c>
      <c r="E287" s="281" t="s">
        <v>209</v>
      </c>
      <c r="F287" s="270"/>
      <c r="G287" s="275">
        <v>210</v>
      </c>
      <c r="H287" s="271"/>
      <c r="I287" s="291"/>
      <c r="J287" s="138"/>
      <c r="K287" s="230"/>
      <c r="AB287" s="258" t="str">
        <f t="shared" si="14"/>
        <v/>
      </c>
      <c r="AC287" s="259" t="str">
        <f>IF(COUNTIF(AD$78:AD287,AD287)=1,MAX(AC$78:AC286)+1,"")</f>
        <v/>
      </c>
      <c r="AD287" s="220">
        <f>'[2]Изложницы без бурта'!B287</f>
        <v>150</v>
      </c>
      <c r="AE287" s="220">
        <f>'[2]Изложницы без бурта'!C287</f>
        <v>264</v>
      </c>
      <c r="AF287" s="56">
        <f>'[2]Изложницы без бурта'!D287</f>
        <v>285</v>
      </c>
      <c r="AG287" s="56">
        <f>'[2]Изложницы без бурта'!E287</f>
        <v>320</v>
      </c>
      <c r="AH287" s="56" t="str">
        <f>'[2]Изложницы без бурта'!F287</f>
        <v>72.11870 - 5</v>
      </c>
      <c r="AI287" s="56">
        <f>'[2]Изложницы без бурта'!G287</f>
        <v>0</v>
      </c>
      <c r="AJ287" s="56">
        <f>'[2]Изложницы без бурта'!H287</f>
        <v>0</v>
      </c>
      <c r="AK287" s="56">
        <f>'[2]Изложницы без бурта'!I287</f>
        <v>0</v>
      </c>
      <c r="AL287" s="56" t="s">
        <v>598</v>
      </c>
      <c r="AM287" s="56">
        <f>'[2]Изложницы без бурта'!K287</f>
        <v>0</v>
      </c>
    </row>
    <row r="288" spans="1:39" ht="15" x14ac:dyDescent="0.25">
      <c r="A288" s="276"/>
      <c r="B288" s="271"/>
      <c r="C288" s="271"/>
      <c r="D288" s="278">
        <f>B283</f>
        <v>9.1</v>
      </c>
      <c r="E288" s="270" t="e">
        <f>E285+C285+E283</f>
        <v>#N/A</v>
      </c>
      <c r="F288" s="278">
        <f>B283</f>
        <v>9.1</v>
      </c>
      <c r="G288" s="270" t="s">
        <v>210</v>
      </c>
      <c r="H288" s="271"/>
      <c r="I288" s="291"/>
      <c r="J288" s="138"/>
      <c r="K288" s="230"/>
      <c r="AB288" s="258" t="str">
        <f t="shared" si="14"/>
        <v/>
      </c>
      <c r="AC288" s="259" t="str">
        <f>IF(COUNTIF(AD$78:AD288,AD288)=1,MAX(AC$78:AC287)+1,"")</f>
        <v/>
      </c>
      <c r="AD288" s="220">
        <f>'[2]Изложницы без бурта'!B288</f>
        <v>150</v>
      </c>
      <c r="AE288" s="220">
        <f>'[2]Изложницы без бурта'!C288</f>
        <v>320</v>
      </c>
      <c r="AF288" s="56">
        <f>'[2]Изложницы без бурта'!D288</f>
        <v>285</v>
      </c>
      <c r="AG288" s="56">
        <f>'[2]Изложницы без бурта'!E288</f>
        <v>320</v>
      </c>
      <c r="AH288" s="56" t="str">
        <f>'[2]Изложницы без бурта'!F288</f>
        <v>72.11871 - 5</v>
      </c>
      <c r="AI288" s="56">
        <f>'[2]Изложницы без бурта'!G288</f>
        <v>7260006</v>
      </c>
      <c r="AJ288" s="56">
        <f>'[2]Изложницы без бурта'!H288</f>
        <v>0</v>
      </c>
      <c r="AK288" s="56">
        <f>'[2]Изложницы без бурта'!I288</f>
        <v>0</v>
      </c>
      <c r="AL288" s="56" t="s">
        <v>598</v>
      </c>
      <c r="AM288" s="56">
        <f>'[2]Изложницы без бурта'!K288</f>
        <v>0</v>
      </c>
    </row>
    <row r="289" spans="1:39" ht="16.2" thickBot="1" x14ac:dyDescent="0.35">
      <c r="A289" s="283"/>
      <c r="B289" s="284"/>
      <c r="C289" s="284"/>
      <c r="D289" s="285" t="e">
        <f>D281*D283*D285*D287*D288/1000000</f>
        <v>#N/A</v>
      </c>
      <c r="E289" s="284"/>
      <c r="F289" s="286" t="e">
        <f>F281*F283*F285*F288/1000000</f>
        <v>#N/A</v>
      </c>
      <c r="G289" s="285" t="e">
        <f>F289/360*G287</f>
        <v>#N/A</v>
      </c>
      <c r="H289" s="294"/>
      <c r="I289" s="287" t="e">
        <f>B284+D289+G289+H283</f>
        <v>#N/A</v>
      </c>
      <c r="J289" s="138"/>
      <c r="K289" s="230"/>
      <c r="AB289" s="258" t="str">
        <f t="shared" si="14"/>
        <v/>
      </c>
      <c r="AC289" s="259" t="str">
        <f>IF(COUNTIF(AD$78:AD289,AD289)=1,MAX(AC$78:AC288)+1,"")</f>
        <v/>
      </c>
      <c r="AD289" s="220">
        <f>'[2]Изложницы без бурта'!B289</f>
        <v>150</v>
      </c>
      <c r="AE289" s="220">
        <f>'[2]Изложницы без бурта'!C289</f>
        <v>263</v>
      </c>
      <c r="AF289" s="56">
        <f>'[2]Изложницы без бурта'!D289</f>
        <v>285</v>
      </c>
      <c r="AG289" s="56">
        <f>'[2]Изложницы без бурта'!E289</f>
        <v>320</v>
      </c>
      <c r="AH289" s="56" t="str">
        <f>'[2]Изложницы без бурта'!F289</f>
        <v>72.11870 - 5</v>
      </c>
      <c r="AI289" s="56">
        <f>'[2]Изложницы без бурта'!G289</f>
        <v>0</v>
      </c>
      <c r="AJ289" s="56">
        <f>'[2]Изложницы без бурта'!H289</f>
        <v>0</v>
      </c>
      <c r="AK289" s="56">
        <f>'[2]Изложницы без бурта'!I289</f>
        <v>0</v>
      </c>
      <c r="AL289" s="56" t="s">
        <v>598</v>
      </c>
      <c r="AM289" s="56">
        <f>'[2]Изложницы без бурта'!K289</f>
        <v>0</v>
      </c>
    </row>
    <row r="290" spans="1:39" x14ac:dyDescent="0.25">
      <c r="A290" s="228"/>
      <c r="B290" s="1316"/>
      <c r="C290" s="138"/>
      <c r="D290" s="138"/>
      <c r="E290" s="138"/>
      <c r="F290" s="138"/>
      <c r="G290" s="138"/>
      <c r="H290" s="138"/>
      <c r="I290" s="138"/>
      <c r="J290" s="138"/>
      <c r="K290" s="230"/>
      <c r="AB290" s="258" t="str">
        <f t="shared" si="14"/>
        <v/>
      </c>
      <c r="AC290" s="259" t="str">
        <f>IF(COUNTIF(AD$78:AD290,AD290)=1,MAX(AC$78:AC289)+1,"")</f>
        <v/>
      </c>
      <c r="AD290" s="220">
        <f>'[2]Изложницы без бурта'!B290</f>
        <v>150</v>
      </c>
      <c r="AE290" s="220">
        <f>'[2]Изложницы без бурта'!C290</f>
        <v>265</v>
      </c>
      <c r="AF290" s="56">
        <f>'[2]Изложницы без бурта'!D290</f>
        <v>285</v>
      </c>
      <c r="AG290" s="56">
        <f>'[2]Изложницы без бурта'!E290</f>
        <v>320</v>
      </c>
      <c r="AH290" s="56" t="str">
        <f>'[2]Изложницы без бурта'!F290</f>
        <v>72.11870 - 5</v>
      </c>
      <c r="AI290" s="56">
        <f>'[2]Изложницы без бурта'!G290</f>
        <v>0</v>
      </c>
      <c r="AJ290" s="56">
        <f>'[2]Изложницы без бурта'!H290</f>
        <v>0</v>
      </c>
      <c r="AK290" s="56">
        <f>'[2]Изложницы без бурта'!I290</f>
        <v>0</v>
      </c>
      <c r="AL290" s="56" t="s">
        <v>598</v>
      </c>
      <c r="AM290" s="56">
        <f>'[2]Изложницы без бурта'!K290</f>
        <v>0</v>
      </c>
    </row>
    <row r="291" spans="1:39" ht="14.4" thickBot="1" x14ac:dyDescent="0.3">
      <c r="A291" s="228" t="s">
        <v>214</v>
      </c>
      <c r="B291" s="1316"/>
      <c r="C291" s="138"/>
      <c r="D291" s="138"/>
      <c r="E291" s="138"/>
      <c r="F291" s="138"/>
      <c r="G291" s="138"/>
      <c r="H291" s="138"/>
      <c r="I291" s="239"/>
      <c r="J291" s="239"/>
      <c r="K291" s="230"/>
      <c r="AB291" s="258" t="str">
        <f t="shared" si="14"/>
        <v/>
      </c>
      <c r="AC291" s="259" t="str">
        <f>IF(COUNTIF(AD$78:AD291,AD291)=1,MAX(AC$78:AC290)+1,"")</f>
        <v/>
      </c>
      <c r="AD291" s="220">
        <f>'[2]Изложницы без бурта'!B291</f>
        <v>150</v>
      </c>
      <c r="AE291" s="220">
        <f>'[2]Изложницы без бурта'!C291</f>
        <v>262</v>
      </c>
      <c r="AF291" s="56">
        <f>'[2]Изложницы без бурта'!D291</f>
        <v>285</v>
      </c>
      <c r="AG291" s="56">
        <f>'[2]Изложницы без бурта'!E291</f>
        <v>320</v>
      </c>
      <c r="AH291" s="56" t="str">
        <f>'[2]Изложницы без бурта'!F291</f>
        <v>72.11870 - 5</v>
      </c>
      <c r="AI291" s="56">
        <f>'[2]Изложницы без бурта'!G291</f>
        <v>0</v>
      </c>
      <c r="AJ291" s="56">
        <f>'[2]Изложницы без бурта'!H291</f>
        <v>0</v>
      </c>
      <c r="AK291" s="56">
        <f>'[2]Изложницы без бурта'!I291</f>
        <v>0</v>
      </c>
      <c r="AL291" s="56" t="s">
        <v>598</v>
      </c>
      <c r="AM291" s="56">
        <f>'[2]Изложницы без бурта'!K291</f>
        <v>0</v>
      </c>
    </row>
    <row r="292" spans="1:39" ht="15.6" x14ac:dyDescent="0.3">
      <c r="A292" s="262" t="s">
        <v>215</v>
      </c>
      <c r="B292" s="264"/>
      <c r="C292" s="264" t="s">
        <v>150</v>
      </c>
      <c r="D292" s="264"/>
      <c r="E292" s="264" t="s">
        <v>216</v>
      </c>
      <c r="F292" s="264"/>
      <c r="G292" s="295" t="s">
        <v>203</v>
      </c>
      <c r="H292" s="1292"/>
      <c r="I292" s="239"/>
      <c r="J292" s="239"/>
      <c r="K292" s="230"/>
      <c r="AB292" s="258" t="str">
        <f t="shared" si="14"/>
        <v/>
      </c>
      <c r="AC292" s="259" t="str">
        <f>IF(COUNTIF(AD$78:AD292,AD292)=1,MAX(AC$78:AC291)+1,"")</f>
        <v/>
      </c>
      <c r="AD292" s="220">
        <f>'[2]Изложницы без бурта'!B292</f>
        <v>150</v>
      </c>
      <c r="AE292" s="220">
        <f>'[2]Изложницы без бурта'!C292</f>
        <v>320</v>
      </c>
      <c r="AF292" s="56">
        <f>'[2]Изложницы без бурта'!D292</f>
        <v>285</v>
      </c>
      <c r="AG292" s="56">
        <f>'[2]Изложницы без бурта'!E292</f>
        <v>320</v>
      </c>
      <c r="AH292" s="56" t="str">
        <f>'[2]Изложницы без бурта'!F292</f>
        <v>72.11871 - 5</v>
      </c>
      <c r="AI292" s="56">
        <f>'[2]Изложницы без бурта'!G292</f>
        <v>7260006</v>
      </c>
      <c r="AJ292" s="56">
        <f>'[2]Изложницы без бурта'!H292</f>
        <v>0</v>
      </c>
      <c r="AK292" s="56">
        <f>'[2]Изложницы без бурта'!I292</f>
        <v>0</v>
      </c>
      <c r="AL292" s="56" t="s">
        <v>598</v>
      </c>
      <c r="AM292" s="56">
        <f>'[2]Изложницы без бурта'!K292</f>
        <v>0</v>
      </c>
    </row>
    <row r="293" spans="1:39" ht="15" x14ac:dyDescent="0.25">
      <c r="A293" s="297" t="s">
        <v>217</v>
      </c>
      <c r="B293" s="298"/>
      <c r="C293" s="270" t="s">
        <v>179</v>
      </c>
      <c r="D293" s="298"/>
      <c r="E293" s="298" t="s">
        <v>151</v>
      </c>
      <c r="F293" s="298"/>
      <c r="G293" s="299"/>
      <c r="H293" s="1292"/>
      <c r="I293" s="239"/>
      <c r="J293" s="239"/>
      <c r="K293" s="230"/>
      <c r="AB293" s="258" t="str">
        <f t="shared" si="14"/>
        <v/>
      </c>
      <c r="AC293" s="259" t="str">
        <f>IF(COUNTIF(AD$78:AD293,AD293)=1,MAX(AC$78:AC292)+1,"")</f>
        <v/>
      </c>
      <c r="AD293" s="220">
        <f>'[2]Изложницы без бурта'!B293</f>
        <v>150</v>
      </c>
      <c r="AE293" s="220">
        <f>'[2]Изложницы без бурта'!C293</f>
        <v>263</v>
      </c>
      <c r="AF293" s="56">
        <f>'[2]Изложницы без бурта'!D293</f>
        <v>285</v>
      </c>
      <c r="AG293" s="56">
        <f>'[2]Изложницы без бурта'!E293</f>
        <v>320</v>
      </c>
      <c r="AH293" s="56" t="str">
        <f>'[2]Изложницы без бурта'!F293</f>
        <v>72.11870 - 5</v>
      </c>
      <c r="AI293" s="56">
        <f>'[2]Изложницы без бурта'!G293</f>
        <v>0</v>
      </c>
      <c r="AJ293" s="56">
        <f>'[2]Изложницы без бурта'!H293</f>
        <v>0</v>
      </c>
      <c r="AK293" s="56">
        <f>'[2]Изложницы без бурта'!I293</f>
        <v>0</v>
      </c>
      <c r="AL293" s="56" t="s">
        <v>598</v>
      </c>
      <c r="AM293" s="56">
        <f>'[2]Изложницы без бурта'!K293</f>
        <v>0</v>
      </c>
    </row>
    <row r="294" spans="1:39" ht="15" x14ac:dyDescent="0.25">
      <c r="A294" s="300">
        <f>VLOOKUP(B257,B47:I55,5,FALSE)</f>
        <v>60</v>
      </c>
      <c r="B294" s="298">
        <f>A294</f>
        <v>60</v>
      </c>
      <c r="C294" s="275">
        <f>VLOOKUP(B257,B47:I55,2,FALSE)</f>
        <v>40</v>
      </c>
      <c r="D294" s="298"/>
      <c r="E294" s="301">
        <f>VLOOKUP(B257,B47:I55,7,FALSE)</f>
        <v>14</v>
      </c>
      <c r="F294" s="298"/>
      <c r="G294" s="299"/>
      <c r="H294" s="1292"/>
      <c r="I294" s="239"/>
      <c r="J294" s="239"/>
      <c r="K294" s="230"/>
      <c r="AB294" s="258" t="str">
        <f t="shared" si="14"/>
        <v/>
      </c>
      <c r="AC294" s="259" t="str">
        <f>IF(COUNTIF(AD$78:AD294,AD294)=1,MAX(AC$78:AC293)+1,"")</f>
        <v/>
      </c>
      <c r="AD294" s="220">
        <f>'[2]Изложницы без бурта'!B294</f>
        <v>150</v>
      </c>
      <c r="AE294" s="220">
        <f>'[2]Изложницы без бурта'!C294</f>
        <v>265</v>
      </c>
      <c r="AF294" s="56">
        <f>'[2]Изложницы без бурта'!D294</f>
        <v>285</v>
      </c>
      <c r="AG294" s="56">
        <f>'[2]Изложницы без бурта'!E294</f>
        <v>320</v>
      </c>
      <c r="AH294" s="56" t="str">
        <f>'[2]Изложницы без бурта'!F294</f>
        <v>72.11870 - 5</v>
      </c>
      <c r="AI294" s="56">
        <f>'[2]Изложницы без бурта'!G294</f>
        <v>0</v>
      </c>
      <c r="AJ294" s="56">
        <f>'[2]Изложницы без бурта'!H294</f>
        <v>0</v>
      </c>
      <c r="AK294" s="56">
        <f>'[2]Изложницы без бурта'!I294</f>
        <v>0</v>
      </c>
      <c r="AL294" s="56" t="s">
        <v>598</v>
      </c>
      <c r="AM294" s="56">
        <f>'[2]Изложницы без бурта'!K294</f>
        <v>0</v>
      </c>
    </row>
    <row r="295" spans="1:39" ht="15" x14ac:dyDescent="0.25">
      <c r="A295" s="302"/>
      <c r="B295" s="298"/>
      <c r="C295" s="270" t="s">
        <v>180</v>
      </c>
      <c r="D295" s="298"/>
      <c r="E295" s="298" t="s">
        <v>152</v>
      </c>
      <c r="F295" s="298"/>
      <c r="G295" s="299"/>
      <c r="H295" s="1292"/>
      <c r="I295" s="239"/>
      <c r="J295" s="239"/>
      <c r="K295" s="230"/>
      <c r="AB295" s="258" t="str">
        <f t="shared" si="14"/>
        <v/>
      </c>
      <c r="AC295" s="259">
        <f>IF(COUNTIF(AD$78:AD295,AD295)=1,MAX(AC$78:AC294)+1,"")</f>
        <v>27</v>
      </c>
      <c r="AD295" s="220">
        <f>'[2]Изложницы без бурта'!B295</f>
        <v>155</v>
      </c>
      <c r="AE295" s="220">
        <f>'[2]Изложницы без бурта'!C295</f>
        <v>265</v>
      </c>
      <c r="AF295" s="56">
        <f>'[2]Изложницы без бурта'!D295</f>
        <v>285</v>
      </c>
      <c r="AG295" s="56">
        <f>'[2]Изложницы без бурта'!E295</f>
        <v>320</v>
      </c>
      <c r="AH295" s="56" t="str">
        <f>'[2]Изложницы без бурта'!F295</f>
        <v>72.11870 - 7</v>
      </c>
      <c r="AI295" s="56">
        <f>'[2]Изложницы без бурта'!G295</f>
        <v>0</v>
      </c>
      <c r="AJ295" s="56">
        <f>'[2]Изложницы без бурта'!H295</f>
        <v>0</v>
      </c>
      <c r="AK295" s="56">
        <f>'[2]Изложницы без бурта'!I295</f>
        <v>0</v>
      </c>
      <c r="AL295" s="56" t="s">
        <v>599</v>
      </c>
      <c r="AM295" s="56">
        <f>'[2]Изложницы без бурта'!K295</f>
        <v>0</v>
      </c>
    </row>
    <row r="296" spans="1:39" ht="15" x14ac:dyDescent="0.25">
      <c r="A296" s="297" t="s">
        <v>218</v>
      </c>
      <c r="B296" s="298"/>
      <c r="C296" s="275">
        <f>VLOOKUP(B257,B47:I55,3,FALSE)</f>
        <v>50</v>
      </c>
      <c r="D296" s="298">
        <f>(C294+C296)/2</f>
        <v>45</v>
      </c>
      <c r="E296" s="301">
        <f>VLOOKUP(B257,B47:I55,8,FALSE)</f>
        <v>70</v>
      </c>
      <c r="F296" s="298"/>
      <c r="G296" s="299"/>
      <c r="H296" s="1292"/>
      <c r="I296" s="239"/>
      <c r="J296" s="239"/>
      <c r="K296" s="230"/>
      <c r="AB296" s="258" t="str">
        <f t="shared" si="14"/>
        <v/>
      </c>
      <c r="AC296" s="259" t="str">
        <f>IF(COUNTIF(AD$78:AD296,AD296)=1,MAX(AC$78:AC295)+1,"")</f>
        <v/>
      </c>
      <c r="AD296" s="220">
        <f>'[2]Изложницы без бурта'!B296</f>
        <v>155</v>
      </c>
      <c r="AE296" s="220">
        <f>'[2]Изложницы без бурта'!C296</f>
        <v>260</v>
      </c>
      <c r="AF296" s="56">
        <f>'[2]Изложницы без бурта'!D296</f>
        <v>185</v>
      </c>
      <c r="AG296" s="56">
        <f>'[2]Изложницы без бурта'!E296</f>
        <v>320</v>
      </c>
      <c r="AH296" s="56" t="str">
        <f>'[2]Изложницы без бурта'!F296</f>
        <v>72.11870 - 7</v>
      </c>
      <c r="AI296" s="56">
        <f>'[2]Изложницы без бурта'!G296</f>
        <v>0</v>
      </c>
      <c r="AJ296" s="56">
        <f>'[2]Изложницы без бурта'!H296</f>
        <v>0</v>
      </c>
      <c r="AK296" s="56">
        <f>'[2]Изложницы без бурта'!I296</f>
        <v>0</v>
      </c>
      <c r="AL296" s="56" t="s">
        <v>599</v>
      </c>
      <c r="AM296" s="56">
        <f>'[2]Изложницы без бурта'!K296</f>
        <v>0</v>
      </c>
    </row>
    <row r="297" spans="1:39" ht="15" x14ac:dyDescent="0.25">
      <c r="A297" s="300">
        <f>VLOOKUP(B257,B47:I55,6,FALSE)</f>
        <v>65</v>
      </c>
      <c r="B297" s="298">
        <f>A297</f>
        <v>65</v>
      </c>
      <c r="C297" s="270" t="s">
        <v>205</v>
      </c>
      <c r="D297" s="298"/>
      <c r="E297" s="298" t="s">
        <v>153</v>
      </c>
      <c r="F297" s="298"/>
      <c r="G297" s="299"/>
      <c r="H297" s="1292"/>
      <c r="I297" s="239"/>
      <c r="J297" s="239"/>
      <c r="K297" s="230"/>
      <c r="AB297" s="258" t="str">
        <f t="shared" si="14"/>
        <v/>
      </c>
      <c r="AC297" s="259" t="str">
        <f>IF(COUNTIF(AD$78:AD297,AD297)=1,MAX(AC$78:AC296)+1,"")</f>
        <v/>
      </c>
      <c r="AD297" s="220">
        <f>'[2]Изложницы без бурта'!B297</f>
        <v>155</v>
      </c>
      <c r="AE297" s="220">
        <f>'[2]Изложницы без бурта'!C297</f>
        <v>265</v>
      </c>
      <c r="AF297" s="56">
        <f>'[2]Изложницы без бурта'!D297</f>
        <v>285</v>
      </c>
      <c r="AG297" s="56">
        <f>'[2]Изложницы без бурта'!E297</f>
        <v>320</v>
      </c>
      <c r="AH297" s="56" t="str">
        <f>'[2]Изложницы без бурта'!F297</f>
        <v>72.11870 - 7</v>
      </c>
      <c r="AI297" s="56">
        <f>'[2]Изложницы без бурта'!G297</f>
        <v>0</v>
      </c>
      <c r="AJ297" s="56">
        <f>'[2]Изложницы без бурта'!H297</f>
        <v>0</v>
      </c>
      <c r="AK297" s="56">
        <f>'[2]Изложницы без бурта'!I297</f>
        <v>0</v>
      </c>
      <c r="AL297" s="56" t="s">
        <v>599</v>
      </c>
      <c r="AM297" s="56">
        <f>'[2]Изложницы без бурта'!K297</f>
        <v>0</v>
      </c>
    </row>
    <row r="298" spans="1:39" ht="15" x14ac:dyDescent="0.25">
      <c r="A298" s="302"/>
      <c r="B298" s="298"/>
      <c r="C298" s="275">
        <f>VLOOKUP(B257,B47:I55,4,FALSE)</f>
        <v>50</v>
      </c>
      <c r="D298" s="298">
        <f>C298</f>
        <v>50</v>
      </c>
      <c r="E298" s="301">
        <f>B300</f>
        <v>1495</v>
      </c>
      <c r="F298" s="298"/>
      <c r="G298" s="299"/>
      <c r="H298" s="1292"/>
      <c r="I298" s="239"/>
      <c r="J298" s="239"/>
      <c r="K298" s="230"/>
      <c r="AB298" s="258" t="str">
        <f t="shared" si="14"/>
        <v/>
      </c>
      <c r="AC298" s="259" t="str">
        <f>IF(COUNTIF(AD$78:AD298,AD298)=1,MAX(AC$78:AC297)+1,"")</f>
        <v/>
      </c>
      <c r="AD298" s="220">
        <f>'[2]Изложницы без бурта'!B298</f>
        <v>155</v>
      </c>
      <c r="AE298" s="220">
        <f>'[2]Изложницы без бурта'!C298</f>
        <v>265</v>
      </c>
      <c r="AF298" s="56">
        <f>'[2]Изложницы без бурта'!D298</f>
        <v>285</v>
      </c>
      <c r="AG298" s="56">
        <f>'[2]Изложницы без бурта'!E298</f>
        <v>320</v>
      </c>
      <c r="AH298" s="56" t="str">
        <f>'[2]Изложницы без бурта'!F298</f>
        <v>72.11870 - 7</v>
      </c>
      <c r="AI298" s="56">
        <f>'[2]Изложницы без бурта'!G298</f>
        <v>0</v>
      </c>
      <c r="AJ298" s="56">
        <f>'[2]Изложницы без бурта'!H298</f>
        <v>0</v>
      </c>
      <c r="AK298" s="56">
        <f>'[2]Изложницы без бурта'!I298</f>
        <v>0</v>
      </c>
      <c r="AL298" s="56" t="s">
        <v>599</v>
      </c>
      <c r="AM298" s="56">
        <f>'[2]Изложницы без бурта'!K298</f>
        <v>0</v>
      </c>
    </row>
    <row r="299" spans="1:39" ht="14.4" x14ac:dyDescent="0.3">
      <c r="A299" s="303" t="s">
        <v>8</v>
      </c>
      <c r="B299" s="298"/>
      <c r="C299" s="281" t="s">
        <v>1108</v>
      </c>
      <c r="D299" s="298"/>
      <c r="E299" s="298"/>
      <c r="F299" s="298"/>
      <c r="G299" s="299"/>
      <c r="H299" s="1292"/>
      <c r="I299" s="239"/>
      <c r="J299" s="239"/>
      <c r="K299" s="230"/>
      <c r="AB299" s="258" t="str">
        <f t="shared" si="14"/>
        <v/>
      </c>
      <c r="AC299" s="259" t="str">
        <f>IF(COUNTIF(AD$78:AD299,AD299)=1,MAX(AC$78:AC298)+1,"")</f>
        <v/>
      </c>
      <c r="AD299" s="220">
        <f>'[2]Изложницы без бурта'!B299</f>
        <v>155</v>
      </c>
      <c r="AE299" s="220">
        <f>'[2]Изложницы без бурта'!C299</f>
        <v>260</v>
      </c>
      <c r="AF299" s="56">
        <f>'[2]Изложницы без бурта'!D299</f>
        <v>285</v>
      </c>
      <c r="AG299" s="56">
        <f>'[2]Изложницы без бурта'!E299</f>
        <v>320</v>
      </c>
      <c r="AH299" s="56" t="str">
        <f>'[2]Изложницы без бурта'!F299</f>
        <v>72.11870 - 7</v>
      </c>
      <c r="AI299" s="56">
        <f>'[2]Изложницы без бурта'!G299</f>
        <v>0</v>
      </c>
      <c r="AJ299" s="56">
        <f>'[2]Изложницы без бурта'!H299</f>
        <v>0</v>
      </c>
      <c r="AK299" s="56">
        <f>'[2]Изложницы без бурта'!I299</f>
        <v>0</v>
      </c>
      <c r="AL299" s="56" t="s">
        <v>599</v>
      </c>
      <c r="AM299" s="56">
        <f>'[2]Изложницы без бурта'!K299</f>
        <v>0</v>
      </c>
    </row>
    <row r="300" spans="1:39" ht="15.6" x14ac:dyDescent="0.3">
      <c r="A300" s="304">
        <f>'Втулка с буртом'!M7+'Втулка с буртом'!M11</f>
        <v>1495</v>
      </c>
      <c r="B300" s="298">
        <f>A300</f>
        <v>1495</v>
      </c>
      <c r="C300" s="275">
        <v>210</v>
      </c>
      <c r="D300" s="298">
        <f>2*3.1415926*C303/2</f>
        <v>1083.8494470000001</v>
      </c>
      <c r="E300" s="456">
        <f>B302</f>
        <v>1</v>
      </c>
      <c r="F300" s="298">
        <f>E294*E296*E298*B301*E300/1000000</f>
        <v>13.332409999999999</v>
      </c>
      <c r="G300" s="299"/>
      <c r="H300" s="1292"/>
      <c r="I300" s="239"/>
      <c r="J300" s="239"/>
      <c r="K300" s="230"/>
      <c r="AB300" s="258" t="str">
        <f t="shared" si="14"/>
        <v/>
      </c>
      <c r="AC300" s="259" t="str">
        <f>IF(COUNTIF(AD$78:AD300,AD300)=1,MAX(AC$78:AC299)+1,"")</f>
        <v/>
      </c>
      <c r="AD300" s="220">
        <f>'[2]Изложницы без бурта'!B300</f>
        <v>155</v>
      </c>
      <c r="AE300" s="220">
        <f>'[2]Изложницы без бурта'!C300</f>
        <v>265</v>
      </c>
      <c r="AF300" s="56">
        <f>'[2]Изложницы без бурта'!D300</f>
        <v>285</v>
      </c>
      <c r="AG300" s="56">
        <f>'[2]Изложницы без бурта'!E300</f>
        <v>320</v>
      </c>
      <c r="AH300" s="56" t="str">
        <f>'[2]Изложницы без бурта'!F300</f>
        <v>72.11870 - 7</v>
      </c>
      <c r="AI300" s="56">
        <f>'[2]Изложницы без бурта'!G300</f>
        <v>0</v>
      </c>
      <c r="AJ300" s="56">
        <f>'[2]Изложницы без бурта'!H300</f>
        <v>0</v>
      </c>
      <c r="AK300" s="56">
        <f>'[2]Изложницы без бурта'!I300</f>
        <v>0</v>
      </c>
      <c r="AL300" s="56" t="s">
        <v>599</v>
      </c>
      <c r="AM300" s="56">
        <f>'[2]Изложницы без бурта'!K300</f>
        <v>0</v>
      </c>
    </row>
    <row r="301" spans="1:39" ht="15.6" x14ac:dyDescent="0.3">
      <c r="A301" s="302"/>
      <c r="B301" s="305">
        <f>'Втулка с буртом'!M8</f>
        <v>9.1</v>
      </c>
      <c r="C301" s="281" t="s">
        <v>207</v>
      </c>
      <c r="D301" s="298">
        <v>150</v>
      </c>
      <c r="E301" s="298"/>
      <c r="F301" s="298"/>
      <c r="G301" s="299"/>
      <c r="H301" s="1292"/>
      <c r="I301" s="239"/>
      <c r="J301" s="239"/>
      <c r="K301" s="230"/>
      <c r="AB301" s="258" t="str">
        <f t="shared" si="14"/>
        <v/>
      </c>
      <c r="AC301" s="259" t="str">
        <f>IF(COUNTIF(AD$78:AD301,AD301)=1,MAX(AC$78:AC300)+1,"")</f>
        <v/>
      </c>
      <c r="AD301" s="220">
        <f>'[2]Изложницы без бурта'!B301</f>
        <v>155</v>
      </c>
      <c r="AE301" s="220">
        <f>'[2]Изложницы без бурта'!C301</f>
        <v>265</v>
      </c>
      <c r="AF301" s="56">
        <f>'[2]Изложницы без бурта'!D301</f>
        <v>285</v>
      </c>
      <c r="AG301" s="56">
        <f>'[2]Изложницы без бурта'!E301</f>
        <v>320</v>
      </c>
      <c r="AH301" s="56" t="str">
        <f>'[2]Изложницы без бурта'!F301</f>
        <v>72.11870 - 7</v>
      </c>
      <c r="AI301" s="56">
        <f>'[2]Изложницы без бурта'!G301</f>
        <v>0</v>
      </c>
      <c r="AJ301" s="56">
        <f>'[2]Изложницы без бурта'!H301</f>
        <v>0</v>
      </c>
      <c r="AK301" s="56">
        <f>'[2]Изложницы без бурта'!I301</f>
        <v>0</v>
      </c>
      <c r="AL301" s="56" t="s">
        <v>599</v>
      </c>
      <c r="AM301" s="56">
        <f>'[2]Изложницы без бурта'!K301</f>
        <v>0</v>
      </c>
    </row>
    <row r="302" spans="1:39" ht="15.6" x14ac:dyDescent="0.3">
      <c r="A302" s="302"/>
      <c r="B302" s="306">
        <f>IF('Втулка с буртом'!M4&gt;1000,2,1)</f>
        <v>1</v>
      </c>
      <c r="C302" s="281" t="s">
        <v>209</v>
      </c>
      <c r="D302" s="298">
        <f>IF(B302=1,D301,D300)</f>
        <v>150</v>
      </c>
      <c r="E302" s="298"/>
      <c r="F302" s="298"/>
      <c r="G302" s="299"/>
      <c r="H302" s="1292"/>
      <c r="I302" s="239"/>
      <c r="J302" s="239"/>
      <c r="K302" s="230"/>
      <c r="AB302" s="258" t="str">
        <f t="shared" si="14"/>
        <v/>
      </c>
      <c r="AC302" s="259" t="str">
        <f>IF(COUNTIF(AD$78:AD302,AD302)=1,MAX(AC$78:AC301)+1,"")</f>
        <v/>
      </c>
      <c r="AD302" s="220">
        <f>'[2]Изложницы без бурта'!B302</f>
        <v>155</v>
      </c>
      <c r="AE302" s="220">
        <f>'[2]Изложницы без бурта'!C302</f>
        <v>265</v>
      </c>
      <c r="AF302" s="56">
        <f>'[2]Изложницы без бурта'!D302</f>
        <v>285</v>
      </c>
      <c r="AG302" s="56">
        <f>'[2]Изложницы без бурта'!E302</f>
        <v>320</v>
      </c>
      <c r="AH302" s="56" t="str">
        <f>'[2]Изложницы без бурта'!F302</f>
        <v>72.11870 - 7</v>
      </c>
      <c r="AI302" s="56">
        <f>'[2]Изложницы без бурта'!G302</f>
        <v>0</v>
      </c>
      <c r="AJ302" s="56">
        <f>'[2]Изложницы без бурта'!H302</f>
        <v>0</v>
      </c>
      <c r="AK302" s="56">
        <f>'[2]Изложницы без бурта'!I302</f>
        <v>0</v>
      </c>
      <c r="AL302" s="56" t="s">
        <v>599</v>
      </c>
      <c r="AM302" s="56">
        <f>'[2]Изложницы без бурта'!K302</f>
        <v>0</v>
      </c>
    </row>
    <row r="303" spans="1:39" ht="15.6" thickBot="1" x14ac:dyDescent="0.3">
      <c r="A303" s="307"/>
      <c r="B303" s="308">
        <f>B294*B294*3.1415926*B300*B301/4000000+(B297*B297*3.1415926*B300*B301*B302/4000000)</f>
        <v>83.609726955356876</v>
      </c>
      <c r="C303" s="309">
        <f>C300+E296+B297</f>
        <v>345</v>
      </c>
      <c r="D303" s="308">
        <f>D296*D298*D302*B301/1000000/360*180</f>
        <v>1.535625</v>
      </c>
      <c r="E303" s="308"/>
      <c r="F303" s="308"/>
      <c r="G303" s="310">
        <f>B303+D303+F300</f>
        <v>98.477761955356868</v>
      </c>
      <c r="H303" s="1292"/>
      <c r="I303" s="239"/>
      <c r="J303" s="239"/>
      <c r="K303" s="230"/>
      <c r="AB303" s="258" t="str">
        <f t="shared" si="14"/>
        <v/>
      </c>
      <c r="AC303" s="259" t="str">
        <f>IF(COUNTIF(AD$78:AD303,AD303)=1,MAX(AC$78:AC302)+1,"")</f>
        <v/>
      </c>
      <c r="AD303" s="220">
        <f>'[2]Изложницы без бурта'!B303</f>
        <v>155</v>
      </c>
      <c r="AE303" s="220">
        <f>'[2]Изложницы без бурта'!C303</f>
        <v>264</v>
      </c>
      <c r="AF303" s="56">
        <f>'[2]Изложницы без бурта'!D303</f>
        <v>285</v>
      </c>
      <c r="AG303" s="56">
        <f>'[2]Изложницы без бурта'!E303</f>
        <v>320</v>
      </c>
      <c r="AH303" s="56" t="str">
        <f>'[2]Изложницы без бурта'!F303</f>
        <v>72.11870 - 7</v>
      </c>
      <c r="AI303" s="56">
        <f>'[2]Изложницы без бурта'!G303</f>
        <v>0</v>
      </c>
      <c r="AJ303" s="56">
        <f>'[2]Изложницы без бурта'!H303</f>
        <v>0</v>
      </c>
      <c r="AK303" s="56">
        <f>'[2]Изложницы без бурта'!I303</f>
        <v>0</v>
      </c>
      <c r="AL303" s="56" t="s">
        <v>599</v>
      </c>
      <c r="AM303" s="56">
        <f>'[2]Изложницы без бурта'!K303</f>
        <v>0</v>
      </c>
    </row>
    <row r="304" spans="1:39" ht="14.4" thickBot="1" x14ac:dyDescent="0.3">
      <c r="A304" s="894"/>
      <c r="B304" s="1318"/>
      <c r="C304" s="312"/>
      <c r="D304" s="312"/>
      <c r="E304" s="312"/>
      <c r="F304" s="312"/>
      <c r="G304" s="312"/>
      <c r="H304" s="312"/>
      <c r="I304" s="312"/>
      <c r="J304" s="312"/>
      <c r="K304" s="314"/>
      <c r="AB304" s="258" t="str">
        <f t="shared" si="14"/>
        <v/>
      </c>
      <c r="AC304" s="259">
        <f>IF(COUNTIF(AD$78:AD304,AD304)=1,MAX(AC$78:AC303)+1,"")</f>
        <v>28</v>
      </c>
      <c r="AD304" s="220">
        <f>'[2]Изложницы без бурта'!B304</f>
        <v>157.5</v>
      </c>
      <c r="AE304" s="220">
        <f>'[2]Изложницы без бурта'!C304</f>
        <v>260</v>
      </c>
      <c r="AF304" s="56">
        <f>'[2]Изложницы без бурта'!D304</f>
        <v>285</v>
      </c>
      <c r="AG304" s="56">
        <f>'[2]Изложницы без бурта'!E304</f>
        <v>320</v>
      </c>
      <c r="AH304" s="56" t="str">
        <f>'[2]Изложницы без бурта'!F304</f>
        <v>72.11870 - 8</v>
      </c>
      <c r="AI304" s="56">
        <f>'[2]Изложницы без бурта'!G304</f>
        <v>0</v>
      </c>
      <c r="AJ304" s="56">
        <f>'[2]Изложницы без бурта'!H304</f>
        <v>0</v>
      </c>
      <c r="AK304" s="56">
        <f>'[2]Изложницы без бурта'!I304</f>
        <v>0</v>
      </c>
      <c r="AL304" s="56" t="s">
        <v>600</v>
      </c>
      <c r="AM304" s="56">
        <f>'[2]Изложницы без бурта'!K304</f>
        <v>0</v>
      </c>
    </row>
    <row r="305" spans="1:39" x14ac:dyDescent="0.25">
      <c r="A305" s="316"/>
      <c r="B305" s="1281"/>
      <c r="AB305" s="258" t="str">
        <f t="shared" si="14"/>
        <v/>
      </c>
      <c r="AC305" s="259" t="str">
        <f>IF(COUNTIF(AD$78:AD305,AD305)=1,MAX(AC$78:AC304)+1,"")</f>
        <v/>
      </c>
      <c r="AD305" s="220">
        <f>'[2]Изложницы без бурта'!B305</f>
        <v>157.5</v>
      </c>
      <c r="AE305" s="220">
        <f>'[2]Изложницы без бурта'!C305</f>
        <v>263</v>
      </c>
      <c r="AF305" s="56">
        <f>'[2]Изложницы без бурта'!D305</f>
        <v>285</v>
      </c>
      <c r="AG305" s="56">
        <f>'[2]Изложницы без бурта'!E305</f>
        <v>320</v>
      </c>
      <c r="AH305" s="56" t="str">
        <f>'[2]Изложницы без бурта'!F305</f>
        <v>72.11870 - 8</v>
      </c>
      <c r="AI305" s="56">
        <f>'[2]Изложницы без бурта'!G305</f>
        <v>0</v>
      </c>
      <c r="AJ305" s="56">
        <f>'[2]Изложницы без бурта'!H305</f>
        <v>0</v>
      </c>
      <c r="AK305" s="56">
        <f>'[2]Изложницы без бурта'!I305</f>
        <v>0</v>
      </c>
      <c r="AL305" s="56" t="s">
        <v>600</v>
      </c>
      <c r="AM305" s="56">
        <f>'[2]Изложницы без бурта'!K305</f>
        <v>0</v>
      </c>
    </row>
    <row r="306" spans="1:39" x14ac:dyDescent="0.25">
      <c r="A306" s="316"/>
      <c r="B306" s="1281"/>
      <c r="AB306" s="258" t="str">
        <f t="shared" si="14"/>
        <v/>
      </c>
      <c r="AC306" s="259" t="str">
        <f>IF(COUNTIF(AD$78:AD306,AD306)=1,MAX(AC$78:AC305)+1,"")</f>
        <v/>
      </c>
      <c r="AD306" s="220">
        <f>'[2]Изложницы без бурта'!B306</f>
        <v>157.5</v>
      </c>
      <c r="AE306" s="220">
        <f>'[2]Изложницы без бурта'!C306</f>
        <v>265</v>
      </c>
      <c r="AF306" s="56">
        <f>'[2]Изложницы без бурта'!D306</f>
        <v>285</v>
      </c>
      <c r="AG306" s="56">
        <f>'[2]Изложницы без бурта'!E306</f>
        <v>320</v>
      </c>
      <c r="AH306" s="56" t="str">
        <f>'[2]Изложницы без бурта'!F306</f>
        <v>72.11870 - 8</v>
      </c>
      <c r="AI306" s="56">
        <f>'[2]Изложницы без бурта'!G306</f>
        <v>0</v>
      </c>
      <c r="AJ306" s="56">
        <f>'[2]Изложницы без бурта'!H306</f>
        <v>0</v>
      </c>
      <c r="AK306" s="56">
        <f>'[2]Изложницы без бурта'!I306</f>
        <v>0</v>
      </c>
      <c r="AL306" s="56" t="s">
        <v>600</v>
      </c>
      <c r="AM306" s="56">
        <f>'[2]Изложницы без бурта'!K306</f>
        <v>0</v>
      </c>
    </row>
    <row r="307" spans="1:39" x14ac:dyDescent="0.25">
      <c r="A307" s="316"/>
      <c r="B307" s="1281"/>
      <c r="AB307" s="258" t="str">
        <f t="shared" si="13"/>
        <v/>
      </c>
      <c r="AC307" s="259">
        <f>IF(COUNTIF(AD$78:AD307,AD307)=1,MAX(AC$78:AC306)+1,"")</f>
        <v>29</v>
      </c>
      <c r="AD307" s="220">
        <f>'[2]Изложницы без бурта'!B307</f>
        <v>160</v>
      </c>
      <c r="AE307" s="220">
        <f>'[2]Изложницы без бурта'!C307</f>
        <v>265</v>
      </c>
      <c r="AF307" s="56">
        <f>'[2]Изложницы без бурта'!D307</f>
        <v>285</v>
      </c>
      <c r="AG307" s="56">
        <f>'[2]Изложницы без бурта'!E307</f>
        <v>320</v>
      </c>
      <c r="AH307" s="56" t="str">
        <f>'[2]Изложницы без бурта'!F307</f>
        <v>72.11870 - 9</v>
      </c>
      <c r="AI307" s="56">
        <f>'[2]Изложницы без бурта'!G307</f>
        <v>0</v>
      </c>
      <c r="AJ307" s="56">
        <f>'[2]Изложницы без бурта'!H307</f>
        <v>0</v>
      </c>
      <c r="AK307" s="56">
        <f>'[2]Изложницы без бурта'!I307</f>
        <v>0</v>
      </c>
      <c r="AL307" s="56" t="s">
        <v>601</v>
      </c>
      <c r="AM307" s="56">
        <f>'[2]Изложницы без бурта'!K307</f>
        <v>0</v>
      </c>
    </row>
    <row r="308" spans="1:39" x14ac:dyDescent="0.25">
      <c r="A308" s="316"/>
      <c r="B308" s="1281"/>
      <c r="AB308" s="258" t="str">
        <f t="shared" si="13"/>
        <v/>
      </c>
      <c r="AC308" s="259" t="str">
        <f>IF(COUNTIF(AD$78:AD308,AD308)=1,MAX(AC$78:AC307)+1,"")</f>
        <v/>
      </c>
      <c r="AD308" s="220">
        <f>'[2]Изложницы без бурта'!B308</f>
        <v>160</v>
      </c>
      <c r="AE308" s="220">
        <f>'[2]Изложницы без бурта'!C308</f>
        <v>265</v>
      </c>
      <c r="AF308" s="56">
        <f>'[2]Изложницы без бурта'!D308</f>
        <v>285</v>
      </c>
      <c r="AG308" s="56">
        <f>'[2]Изложницы без бурта'!E308</f>
        <v>320</v>
      </c>
      <c r="AH308" s="56" t="str">
        <f>'[2]Изложницы без бурта'!F308</f>
        <v>72.11870 - 9</v>
      </c>
      <c r="AI308" s="56">
        <f>'[2]Изложницы без бурта'!G308</f>
        <v>0</v>
      </c>
      <c r="AJ308" s="56">
        <f>'[2]Изложницы без бурта'!H308</f>
        <v>0</v>
      </c>
      <c r="AK308" s="56">
        <f>'[2]Изложницы без бурта'!I308</f>
        <v>0</v>
      </c>
      <c r="AL308" s="56" t="s">
        <v>601</v>
      </c>
      <c r="AM308" s="56">
        <f>'[2]Изложницы без бурта'!K308</f>
        <v>0</v>
      </c>
    </row>
    <row r="309" spans="1:39" x14ac:dyDescent="0.25">
      <c r="A309" s="316"/>
      <c r="B309" s="1281"/>
      <c r="AB309" s="258" t="str">
        <f t="shared" si="13"/>
        <v/>
      </c>
      <c r="AC309" s="259" t="str">
        <f>IF(COUNTIF(AD$78:AD309,AD309)=1,MAX(AC$78:AC308)+1,"")</f>
        <v/>
      </c>
      <c r="AD309" s="220">
        <f>'[2]Изложницы без бурта'!B309</f>
        <v>160</v>
      </c>
      <c r="AE309" s="220">
        <f>'[2]Изложницы без бурта'!C309</f>
        <v>256</v>
      </c>
      <c r="AF309" s="56">
        <f>'[2]Изложницы без бурта'!D309</f>
        <v>285</v>
      </c>
      <c r="AG309" s="56">
        <f>'[2]Изложницы без бурта'!E309</f>
        <v>320</v>
      </c>
      <c r="AH309" s="56" t="str">
        <f>'[2]Изложницы без бурта'!F309</f>
        <v>72.11870 - 9</v>
      </c>
      <c r="AI309" s="56">
        <f>'[2]Изложницы без бурта'!G309</f>
        <v>0</v>
      </c>
      <c r="AJ309" s="56">
        <f>'[2]Изложницы без бурта'!H309</f>
        <v>0</v>
      </c>
      <c r="AK309" s="56">
        <f>'[2]Изложницы без бурта'!I309</f>
        <v>0</v>
      </c>
      <c r="AL309" s="56" t="s">
        <v>601</v>
      </c>
      <c r="AM309" s="56">
        <f>'[2]Изложницы без бурта'!K309</f>
        <v>0</v>
      </c>
    </row>
    <row r="310" spans="1:39" x14ac:dyDescent="0.25">
      <c r="A310" s="316"/>
      <c r="B310" s="1281"/>
      <c r="AB310" s="258" t="str">
        <f>IF(MAX(AC310:AC1387)&lt;ROW(232:232),"",VLOOKUP(ROW(232:232),AC310:AD1387,2))</f>
        <v/>
      </c>
      <c r="AC310" s="259" t="str">
        <f>IF(COUNTIF(AD$78:AD310,AD310)=1,MAX(AC$78:AC309)+1,"")</f>
        <v/>
      </c>
      <c r="AD310" s="220">
        <f>'[2]Изложницы без бурта'!B310</f>
        <v>160</v>
      </c>
      <c r="AE310" s="220">
        <f>'[2]Изложницы без бурта'!C310</f>
        <v>260</v>
      </c>
      <c r="AF310" s="56">
        <f>'[2]Изложницы без бурта'!D310</f>
        <v>285</v>
      </c>
      <c r="AG310" s="56">
        <f>'[2]Изложницы без бурта'!E310</f>
        <v>320</v>
      </c>
      <c r="AH310" s="56" t="str">
        <f>'[2]Изложницы без бурта'!F310</f>
        <v>72.11870 - 9</v>
      </c>
      <c r="AI310" s="56">
        <f>'[2]Изложницы без бурта'!G310</f>
        <v>0</v>
      </c>
      <c r="AJ310" s="56">
        <f>'[2]Изложницы без бурта'!H310</f>
        <v>0</v>
      </c>
      <c r="AK310" s="56">
        <f>'[2]Изложницы без бурта'!I310</f>
        <v>0</v>
      </c>
      <c r="AL310" s="56" t="s">
        <v>601</v>
      </c>
      <c r="AM310" s="56">
        <f>'[2]Изложницы без бурта'!K310</f>
        <v>0</v>
      </c>
    </row>
    <row r="311" spans="1:39" x14ac:dyDescent="0.25">
      <c r="A311" s="316"/>
      <c r="B311" s="1281"/>
      <c r="AB311" s="258" t="str">
        <f>IF(MAX(AC311:AC1388)&lt;ROW(233:233),"",VLOOKUP(ROW(233:233),AC311:AD1388,2))</f>
        <v/>
      </c>
      <c r="AC311" s="259" t="str">
        <f>IF(COUNTIF(AD$78:AD311,AD311)=1,MAX(AC$78:AC310)+1,"")</f>
        <v/>
      </c>
      <c r="AD311" s="220">
        <f>'[2]Изложницы без бурта'!B311</f>
        <v>160</v>
      </c>
      <c r="AE311" s="220">
        <f>'[2]Изложницы без бурта'!C311</f>
        <v>380</v>
      </c>
      <c r="AF311" s="56">
        <f>'[2]Изложницы без бурта'!D311</f>
        <v>285</v>
      </c>
      <c r="AG311" s="56">
        <f>'[2]Изложницы без бурта'!E311</f>
        <v>320</v>
      </c>
      <c r="AH311" s="56" t="str">
        <f>'[2]Изложницы без бурта'!F311</f>
        <v>72.42461 - 9</v>
      </c>
      <c r="AI311" s="56">
        <f>'[2]Изложницы без бурта'!G311</f>
        <v>0</v>
      </c>
      <c r="AJ311" s="56">
        <f>'[2]Изложницы без бурта'!H311</f>
        <v>0</v>
      </c>
      <c r="AK311" s="56">
        <f>'[2]Изложницы без бурта'!I311</f>
        <v>0</v>
      </c>
      <c r="AL311" s="56" t="s">
        <v>601</v>
      </c>
      <c r="AM311" s="56">
        <f>'[2]Изложницы без бурта'!K311</f>
        <v>0</v>
      </c>
    </row>
    <row r="312" spans="1:39" x14ac:dyDescent="0.25">
      <c r="A312" s="316"/>
      <c r="B312" s="1281"/>
      <c r="AB312" s="258" t="str">
        <f>IF(MAX(AC312:AC1389)&lt;ROW(234:234),"",VLOOKUP(ROW(234:234),AC312:AD1389,2))</f>
        <v/>
      </c>
      <c r="AC312" s="259" t="str">
        <f>IF(COUNTIF(AD$78:AD312,AD312)=1,MAX(AC$78:AC311)+1,"")</f>
        <v/>
      </c>
      <c r="AD312" s="220">
        <f>'[2]Изложницы без бурта'!B312</f>
        <v>160</v>
      </c>
      <c r="AE312" s="220">
        <f>'[2]Изложницы без бурта'!C312</f>
        <v>380</v>
      </c>
      <c r="AF312" s="56">
        <f>'[2]Изложницы без бурта'!D312</f>
        <v>285</v>
      </c>
      <c r="AG312" s="56">
        <f>'[2]Изложницы без бурта'!E312</f>
        <v>320</v>
      </c>
      <c r="AH312" s="56" t="str">
        <f>'[2]Изложницы без бурта'!F312</f>
        <v>72.42461 - 9</v>
      </c>
      <c r="AI312" s="56">
        <f>'[2]Изложницы без бурта'!G312</f>
        <v>0</v>
      </c>
      <c r="AJ312" s="56">
        <f>'[2]Изложницы без бурта'!H312</f>
        <v>0</v>
      </c>
      <c r="AK312" s="56">
        <f>'[2]Изложницы без бурта'!I312</f>
        <v>0</v>
      </c>
      <c r="AL312" s="56" t="s">
        <v>601</v>
      </c>
      <c r="AM312" s="56">
        <f>'[2]Изложницы без бурта'!K312</f>
        <v>0</v>
      </c>
    </row>
    <row r="313" spans="1:39" x14ac:dyDescent="0.25">
      <c r="A313" s="316"/>
      <c r="B313" s="1281"/>
      <c r="AB313" s="258" t="str">
        <f>IF(MAX(AC313:AC1390)&lt;ROW(235:235),"",VLOOKUP(ROW(235:235),AC313:AD1390,2))</f>
        <v/>
      </c>
      <c r="AC313" s="259">
        <f>IF(COUNTIF(AD$78:AD313,AD313)=1,MAX(AC$78:AC312)+1,"")</f>
        <v>30</v>
      </c>
      <c r="AD313" s="220">
        <f>'[2]Изложницы без бурта'!B313</f>
        <v>162.5</v>
      </c>
      <c r="AE313" s="220">
        <f>'[2]Изложницы без бурта'!C313</f>
        <v>265</v>
      </c>
      <c r="AF313" s="56">
        <f>'[2]Изложницы без бурта'!D313</f>
        <v>285</v>
      </c>
      <c r="AG313" s="56">
        <f>'[2]Изложницы без бурта'!E313</f>
        <v>320</v>
      </c>
      <c r="AH313" s="56" t="str">
        <f>'[2]Изложницы без бурта'!F313</f>
        <v>72.11870 - 10</v>
      </c>
      <c r="AI313" s="56">
        <f>'[2]Изложницы без бурта'!G313</f>
        <v>0</v>
      </c>
      <c r="AJ313" s="56">
        <f>'[2]Изложницы без бурта'!H313</f>
        <v>0</v>
      </c>
      <c r="AK313" s="56">
        <f>'[2]Изложницы без бурта'!I313</f>
        <v>0</v>
      </c>
      <c r="AL313" s="56" t="s">
        <v>602</v>
      </c>
      <c r="AM313" s="56">
        <f>'[2]Изложницы без бурта'!K313</f>
        <v>0</v>
      </c>
    </row>
    <row r="314" spans="1:39" x14ac:dyDescent="0.25">
      <c r="A314" s="316"/>
      <c r="B314" s="1281"/>
      <c r="AB314" s="258" t="str">
        <f t="shared" ref="AB314:AB376" si="15">IF(MAX(AC314:AC1391)&lt;ROW(236:236),"",VLOOKUP(ROW(236:236),AC314:AD1391,2))</f>
        <v/>
      </c>
      <c r="AC314" s="259" t="str">
        <f>IF(COUNTIF(AD$78:AD314,AD314)=1,MAX(AC$78:AC313)+1,"")</f>
        <v/>
      </c>
      <c r="AD314" s="220">
        <f>'[2]Изложницы без бурта'!B314</f>
        <v>162.5</v>
      </c>
      <c r="AE314" s="220">
        <f>'[2]Изложницы без бурта'!C314</f>
        <v>318</v>
      </c>
      <c r="AF314" s="56">
        <f>'[2]Изложницы без бурта'!D314</f>
        <v>285</v>
      </c>
      <c r="AG314" s="56">
        <f>'[2]Изложницы без бурта'!E314</f>
        <v>320</v>
      </c>
      <c r="AH314" s="56" t="str">
        <f>'[2]Изложницы без бурта'!F314</f>
        <v>72.11871 - 10</v>
      </c>
      <c r="AI314" s="56">
        <f>'[2]Изложницы без бурта'!G314</f>
        <v>0</v>
      </c>
      <c r="AJ314" s="56">
        <f>'[2]Изложницы без бурта'!H314</f>
        <v>0</v>
      </c>
      <c r="AK314" s="56">
        <f>'[2]Изложницы без бурта'!I314</f>
        <v>0</v>
      </c>
      <c r="AL314" s="56" t="s">
        <v>602</v>
      </c>
      <c r="AM314" s="56">
        <f>'[2]Изложницы без бурта'!K314</f>
        <v>0</v>
      </c>
    </row>
    <row r="315" spans="1:39" x14ac:dyDescent="0.25">
      <c r="A315" s="316"/>
      <c r="B315" s="1281"/>
      <c r="AB315" s="258" t="str">
        <f t="shared" si="15"/>
        <v/>
      </c>
      <c r="AC315" s="259" t="str">
        <f>IF(COUNTIF(AD$78:AD315,AD315)=1,MAX(AC$78:AC314)+1,"")</f>
        <v/>
      </c>
      <c r="AD315" s="220">
        <f>'[2]Изложницы без бурта'!B315</f>
        <v>162.5</v>
      </c>
      <c r="AE315" s="220">
        <f>'[2]Изложницы без бурта'!C315</f>
        <v>260</v>
      </c>
      <c r="AF315" s="56">
        <f>'[2]Изложницы без бурта'!D315</f>
        <v>285</v>
      </c>
      <c r="AG315" s="56">
        <f>'[2]Изложницы без бурта'!E315</f>
        <v>320</v>
      </c>
      <c r="AH315" s="56" t="str">
        <f>'[2]Изложницы без бурта'!F315</f>
        <v>72.11870 - 10</v>
      </c>
      <c r="AI315" s="56">
        <f>'[2]Изложницы без бурта'!G315</f>
        <v>0</v>
      </c>
      <c r="AJ315" s="56">
        <f>'[2]Изложницы без бурта'!H315</f>
        <v>0</v>
      </c>
      <c r="AK315" s="56">
        <f>'[2]Изложницы без бурта'!I315</f>
        <v>0</v>
      </c>
      <c r="AL315" s="56" t="s">
        <v>602</v>
      </c>
      <c r="AM315" s="56">
        <f>'[2]Изложницы без бурта'!K315</f>
        <v>0</v>
      </c>
    </row>
    <row r="316" spans="1:39" x14ac:dyDescent="0.25">
      <c r="A316" s="316"/>
      <c r="B316" s="1281"/>
      <c r="AB316" s="258" t="str">
        <f t="shared" si="15"/>
        <v/>
      </c>
      <c r="AC316" s="259" t="str">
        <f>IF(COUNTIF(AD$78:AD316,AD316)=1,MAX(AC$78:AC315)+1,"")</f>
        <v/>
      </c>
      <c r="AD316" s="220">
        <f>'[2]Изложницы без бурта'!B316</f>
        <v>162.5</v>
      </c>
      <c r="AE316" s="220">
        <f>'[2]Изложницы без бурта'!C316</f>
        <v>265</v>
      </c>
      <c r="AF316" s="56">
        <f>'[2]Изложницы без бурта'!D316</f>
        <v>285</v>
      </c>
      <c r="AG316" s="56">
        <f>'[2]Изложницы без бурта'!E316</f>
        <v>320</v>
      </c>
      <c r="AH316" s="56" t="str">
        <f>'[2]Изложницы без бурта'!F316</f>
        <v>72.11870 - 10</v>
      </c>
      <c r="AI316" s="56">
        <f>'[2]Изложницы без бурта'!G316</f>
        <v>0</v>
      </c>
      <c r="AJ316" s="56">
        <f>'[2]Изложницы без бурта'!H316</f>
        <v>0</v>
      </c>
      <c r="AK316" s="56">
        <f>'[2]Изложницы без бурта'!I316</f>
        <v>0</v>
      </c>
      <c r="AL316" s="56" t="s">
        <v>602</v>
      </c>
      <c r="AM316" s="56">
        <f>'[2]Изложницы без бурта'!K316</f>
        <v>0</v>
      </c>
    </row>
    <row r="317" spans="1:39" x14ac:dyDescent="0.25">
      <c r="A317" s="316"/>
      <c r="B317" s="1281"/>
      <c r="AB317" s="258" t="str">
        <f t="shared" si="15"/>
        <v/>
      </c>
      <c r="AC317" s="259" t="str">
        <f>IF(COUNTIF(AD$78:AD317,AD317)=1,MAX(AC$78:AC316)+1,"")</f>
        <v/>
      </c>
      <c r="AD317" s="220">
        <f>'[2]Изложницы без бурта'!B317</f>
        <v>162.5</v>
      </c>
      <c r="AE317" s="220">
        <f>'[2]Изложницы без бурта'!C317</f>
        <v>275</v>
      </c>
      <c r="AF317" s="56">
        <f>'[2]Изложницы без бурта'!D317</f>
        <v>285</v>
      </c>
      <c r="AG317" s="56">
        <f>'[2]Изложницы без бурта'!E317</f>
        <v>320</v>
      </c>
      <c r="AH317" s="56" t="str">
        <f>'[2]Изложницы без бурта'!F317</f>
        <v>72.11870 - 10</v>
      </c>
      <c r="AI317" s="56">
        <f>'[2]Изложницы без бурта'!G317</f>
        <v>0</v>
      </c>
      <c r="AJ317" s="56">
        <f>'[2]Изложницы без бурта'!H317</f>
        <v>0</v>
      </c>
      <c r="AK317" s="56">
        <f>'[2]Изложницы без бурта'!I317</f>
        <v>0</v>
      </c>
      <c r="AL317" s="56" t="s">
        <v>602</v>
      </c>
      <c r="AM317" s="56">
        <f>'[2]Изложницы без бурта'!K317</f>
        <v>0</v>
      </c>
    </row>
    <row r="318" spans="1:39" x14ac:dyDescent="0.25">
      <c r="A318" s="316"/>
      <c r="B318" s="1281"/>
      <c r="AB318" s="258" t="str">
        <f t="shared" si="15"/>
        <v/>
      </c>
      <c r="AC318" s="259">
        <f>IF(COUNTIF(AD$78:AD318,AD318)=1,MAX(AC$78:AC317)+1,"")</f>
        <v>31</v>
      </c>
      <c r="AD318" s="220">
        <f>'[2]Изложницы без бурта'!B318</f>
        <v>165</v>
      </c>
      <c r="AE318" s="220">
        <f>'[2]Изложницы без бурта'!C318</f>
        <v>265</v>
      </c>
      <c r="AF318" s="56">
        <f>'[2]Изложницы без бурта'!D318</f>
        <v>285</v>
      </c>
      <c r="AG318" s="56">
        <f>'[2]Изложницы без бурта'!E318</f>
        <v>320</v>
      </c>
      <c r="AH318" s="56" t="str">
        <f>'[2]Изложницы без бурта'!F318</f>
        <v>72.11870 - 11</v>
      </c>
      <c r="AI318" s="56">
        <f>'[2]Изложницы без бурта'!G318</f>
        <v>0</v>
      </c>
      <c r="AJ318" s="56">
        <f>'[2]Изложницы без бурта'!H318</f>
        <v>0</v>
      </c>
      <c r="AK318" s="56">
        <f>'[2]Изложницы без бурта'!I318</f>
        <v>0</v>
      </c>
      <c r="AL318" s="56" t="s">
        <v>603</v>
      </c>
      <c r="AM318" s="56">
        <f>'[2]Изложницы без бурта'!K318</f>
        <v>0</v>
      </c>
    </row>
    <row r="319" spans="1:39" x14ac:dyDescent="0.25">
      <c r="A319" s="316"/>
      <c r="B319" s="1281"/>
      <c r="AB319" s="258" t="str">
        <f t="shared" si="15"/>
        <v/>
      </c>
      <c r="AC319" s="259" t="str">
        <f>IF(COUNTIF(AD$78:AD319,AD319)=1,MAX(AC$78:AC318)+1,"")</f>
        <v/>
      </c>
      <c r="AD319" s="220">
        <f>'[2]Изложницы без бурта'!B319</f>
        <v>165</v>
      </c>
      <c r="AE319" s="220">
        <f>'[2]Изложницы без бурта'!C319</f>
        <v>260</v>
      </c>
      <c r="AF319" s="56">
        <f>'[2]Изложницы без бурта'!D319</f>
        <v>285</v>
      </c>
      <c r="AG319" s="56">
        <f>'[2]Изложницы без бурта'!E319</f>
        <v>320</v>
      </c>
      <c r="AH319" s="56" t="str">
        <f>'[2]Изложницы без бурта'!F319</f>
        <v>72.11870 - 11</v>
      </c>
      <c r="AI319" s="56">
        <f>'[2]Изложницы без бурта'!G319</f>
        <v>0</v>
      </c>
      <c r="AJ319" s="56">
        <f>'[2]Изложницы без бурта'!H319</f>
        <v>0</v>
      </c>
      <c r="AK319" s="56">
        <f>'[2]Изложницы без бурта'!I319</f>
        <v>0</v>
      </c>
      <c r="AL319" s="56" t="s">
        <v>603</v>
      </c>
      <c r="AM319" s="56">
        <f>'[2]Изложницы без бурта'!K319</f>
        <v>0</v>
      </c>
    </row>
    <row r="320" spans="1:39" x14ac:dyDescent="0.25">
      <c r="A320" s="316"/>
      <c r="B320" s="1281"/>
      <c r="AB320" s="258" t="str">
        <f t="shared" si="15"/>
        <v/>
      </c>
      <c r="AC320" s="259" t="str">
        <f>IF(COUNTIF(AD$78:AD320,AD320)=1,MAX(AC$78:AC319)+1,"")</f>
        <v/>
      </c>
      <c r="AD320" s="220">
        <f>'[2]Изложницы без бурта'!B320</f>
        <v>165</v>
      </c>
      <c r="AE320" s="220">
        <f>'[2]Изложницы без бурта'!C320</f>
        <v>320</v>
      </c>
      <c r="AF320" s="56">
        <f>'[2]Изложницы без бурта'!D320</f>
        <v>285</v>
      </c>
      <c r="AG320" s="56">
        <f>'[2]Изложницы без бурта'!E320</f>
        <v>320</v>
      </c>
      <c r="AH320" s="56" t="str">
        <f>'[2]Изложницы без бурта'!F320</f>
        <v>72.11871 - 11</v>
      </c>
      <c r="AI320" s="56">
        <f>'[2]Изложницы без бурта'!G320</f>
        <v>0</v>
      </c>
      <c r="AJ320" s="56">
        <f>'[2]Изложницы без бурта'!H320</f>
        <v>0</v>
      </c>
      <c r="AK320" s="56">
        <f>'[2]Изложницы без бурта'!I320</f>
        <v>0</v>
      </c>
      <c r="AL320" s="56" t="s">
        <v>603</v>
      </c>
      <c r="AM320" s="56">
        <f>'[2]Изложницы без бурта'!K320</f>
        <v>0</v>
      </c>
    </row>
    <row r="321" spans="1:39" x14ac:dyDescent="0.25">
      <c r="A321" s="316"/>
      <c r="B321" s="1281"/>
      <c r="AB321" s="258" t="str">
        <f t="shared" si="15"/>
        <v/>
      </c>
      <c r="AC321" s="259" t="str">
        <f>IF(COUNTIF(AD$78:AD321,AD321)=1,MAX(AC$78:AC320)+1,"")</f>
        <v/>
      </c>
      <c r="AD321" s="220">
        <f>'[2]Изложницы без бурта'!B321</f>
        <v>165</v>
      </c>
      <c r="AE321" s="220">
        <f>'[2]Изложницы без бурта'!C321</f>
        <v>265</v>
      </c>
      <c r="AF321" s="56">
        <f>'[2]Изложницы без бурта'!D321</f>
        <v>285</v>
      </c>
      <c r="AG321" s="56">
        <f>'[2]Изложницы без бурта'!E321</f>
        <v>320</v>
      </c>
      <c r="AH321" s="56" t="str">
        <f>'[2]Изложницы без бурта'!F321</f>
        <v>72.11870 - 11</v>
      </c>
      <c r="AI321" s="56">
        <f>'[2]Изложницы без бурта'!G321</f>
        <v>0</v>
      </c>
      <c r="AJ321" s="56">
        <f>'[2]Изложницы без бурта'!H321</f>
        <v>0</v>
      </c>
      <c r="AK321" s="56">
        <f>'[2]Изложницы без бурта'!I321</f>
        <v>0</v>
      </c>
      <c r="AL321" s="56" t="s">
        <v>603</v>
      </c>
      <c r="AM321" s="56">
        <f>'[2]Изложницы без бурта'!K321</f>
        <v>0</v>
      </c>
    </row>
    <row r="322" spans="1:39" x14ac:dyDescent="0.25">
      <c r="A322" s="316"/>
      <c r="B322" s="1281"/>
      <c r="AB322" s="258" t="str">
        <f t="shared" si="15"/>
        <v/>
      </c>
      <c r="AC322" s="259" t="str">
        <f>IF(COUNTIF(AD$78:AD322,AD322)=1,MAX(AC$78:AC321)+1,"")</f>
        <v/>
      </c>
      <c r="AD322" s="220">
        <f>'[2]Изложницы без бурта'!B322</f>
        <v>165</v>
      </c>
      <c r="AE322" s="220">
        <f>'[2]Изложницы без бурта'!C322</f>
        <v>265</v>
      </c>
      <c r="AF322" s="56">
        <f>'[2]Изложницы без бурта'!D322</f>
        <v>285</v>
      </c>
      <c r="AG322" s="56">
        <f>'[2]Изложницы без бурта'!E322</f>
        <v>320</v>
      </c>
      <c r="AH322" s="56" t="str">
        <f>'[2]Изложницы без бурта'!F322</f>
        <v>72.11870 - 11</v>
      </c>
      <c r="AI322" s="56">
        <f>'[2]Изложницы без бурта'!G322</f>
        <v>0</v>
      </c>
      <c r="AJ322" s="56">
        <f>'[2]Изложницы без бурта'!H322</f>
        <v>0</v>
      </c>
      <c r="AK322" s="56">
        <f>'[2]Изложницы без бурта'!I322</f>
        <v>0</v>
      </c>
      <c r="AL322" s="56" t="s">
        <v>603</v>
      </c>
      <c r="AM322" s="56">
        <f>'[2]Изложницы без бурта'!K322</f>
        <v>0</v>
      </c>
    </row>
    <row r="323" spans="1:39" x14ac:dyDescent="0.25">
      <c r="A323" s="316"/>
      <c r="B323" s="1281"/>
      <c r="AB323" s="258" t="str">
        <f t="shared" si="15"/>
        <v/>
      </c>
      <c r="AC323" s="259" t="str">
        <f>IF(COUNTIF(AD$78:AD323,AD323)=1,MAX(AC$78:AC322)+1,"")</f>
        <v/>
      </c>
      <c r="AD323" s="220">
        <f>'[2]Изложницы без бурта'!B323</f>
        <v>165</v>
      </c>
      <c r="AE323" s="220">
        <f>'[2]Изложницы без бурта'!C323</f>
        <v>263</v>
      </c>
      <c r="AF323" s="56">
        <f>'[2]Изложницы без бурта'!D323</f>
        <v>285</v>
      </c>
      <c r="AG323" s="56">
        <f>'[2]Изложницы без бурта'!E323</f>
        <v>320</v>
      </c>
      <c r="AH323" s="56" t="str">
        <f>'[2]Изложницы без бурта'!F323</f>
        <v>72.11870 - 11</v>
      </c>
      <c r="AI323" s="56">
        <f>'[2]Изложницы без бурта'!G323</f>
        <v>0</v>
      </c>
      <c r="AJ323" s="56">
        <f>'[2]Изложницы без бурта'!H323</f>
        <v>0</v>
      </c>
      <c r="AK323" s="56">
        <f>'[2]Изложницы без бурта'!I323</f>
        <v>0</v>
      </c>
      <c r="AL323" s="56" t="s">
        <v>603</v>
      </c>
      <c r="AM323" s="56">
        <f>'[2]Изложницы без бурта'!K323</f>
        <v>0</v>
      </c>
    </row>
    <row r="324" spans="1:39" x14ac:dyDescent="0.25">
      <c r="A324" s="316"/>
      <c r="B324" s="1281"/>
      <c r="AB324" s="258" t="str">
        <f t="shared" si="15"/>
        <v/>
      </c>
      <c r="AC324" s="259">
        <f>IF(COUNTIF(AD$78:AD324,AD324)=1,MAX(AC$78:AC323)+1,"")</f>
        <v>32</v>
      </c>
      <c r="AD324" s="220">
        <f>'[2]Изложницы без бурта'!B324</f>
        <v>167.5</v>
      </c>
      <c r="AE324" s="220">
        <f>'[2]Изложницы без бурта'!C324</f>
        <v>262</v>
      </c>
      <c r="AF324" s="56">
        <f>'[2]Изложницы без бурта'!D324</f>
        <v>285</v>
      </c>
      <c r="AG324" s="56">
        <f>'[2]Изложницы без бурта'!E324</f>
        <v>320</v>
      </c>
      <c r="AH324" s="56" t="str">
        <f>'[2]Изложницы без бурта'!F324</f>
        <v>72.11870 - 12</v>
      </c>
      <c r="AI324" s="56">
        <f>'[2]Изложницы без бурта'!G324</f>
        <v>0</v>
      </c>
      <c r="AJ324" s="56">
        <f>'[2]Изложницы без бурта'!H324</f>
        <v>0</v>
      </c>
      <c r="AK324" s="56">
        <f>'[2]Изложницы без бурта'!I324</f>
        <v>0</v>
      </c>
      <c r="AL324" s="56" t="s">
        <v>604</v>
      </c>
      <c r="AM324" s="56">
        <f>'[2]Изложницы без бурта'!K324</f>
        <v>0</v>
      </c>
    </row>
    <row r="325" spans="1:39" x14ac:dyDescent="0.25">
      <c r="A325" s="316"/>
      <c r="B325" s="1281"/>
      <c r="AB325" s="258" t="str">
        <f t="shared" si="15"/>
        <v/>
      </c>
      <c r="AC325" s="259" t="str">
        <f>IF(COUNTIF(AD$78:AD325,AD325)=1,MAX(AC$78:AC324)+1,"")</f>
        <v/>
      </c>
      <c r="AD325" s="220">
        <f>'[2]Изложницы без бурта'!B325</f>
        <v>167.5</v>
      </c>
      <c r="AE325" s="220">
        <f>'[2]Изложницы без бурта'!C325</f>
        <v>263</v>
      </c>
      <c r="AF325" s="56">
        <f>'[2]Изложницы без бурта'!D325</f>
        <v>285</v>
      </c>
      <c r="AG325" s="56">
        <f>'[2]Изложницы без бурта'!E325</f>
        <v>320</v>
      </c>
      <c r="AH325" s="56" t="str">
        <f>'[2]Изложницы без бурта'!F325</f>
        <v>72.11870 - 12</v>
      </c>
      <c r="AI325" s="56">
        <f>'[2]Изложницы без бурта'!G325</f>
        <v>0</v>
      </c>
      <c r="AJ325" s="56">
        <f>'[2]Изложницы без бурта'!H325</f>
        <v>0</v>
      </c>
      <c r="AK325" s="56">
        <f>'[2]Изложницы без бурта'!I325</f>
        <v>0</v>
      </c>
      <c r="AL325" s="56" t="s">
        <v>604</v>
      </c>
      <c r="AM325" s="56">
        <f>'[2]Изложницы без бурта'!K325</f>
        <v>0</v>
      </c>
    </row>
    <row r="326" spans="1:39" x14ac:dyDescent="0.25">
      <c r="A326" s="316"/>
      <c r="B326" s="1281"/>
      <c r="AB326" s="258" t="str">
        <f t="shared" si="15"/>
        <v/>
      </c>
      <c r="AC326" s="259" t="str">
        <f>IF(COUNTIF(AD$78:AD326,AD326)=1,MAX(AC$78:AC325)+1,"")</f>
        <v/>
      </c>
      <c r="AD326" s="220">
        <f>'[2]Изложницы без бурта'!B326</f>
        <v>167.5</v>
      </c>
      <c r="AE326" s="220">
        <f>'[2]Изложницы без бурта'!C326</f>
        <v>263</v>
      </c>
      <c r="AF326" s="56">
        <f>'[2]Изложницы без бурта'!D326</f>
        <v>285</v>
      </c>
      <c r="AG326" s="56">
        <f>'[2]Изложницы без бурта'!E326</f>
        <v>320</v>
      </c>
      <c r="AH326" s="56" t="str">
        <f>'[2]Изложницы без бурта'!F326</f>
        <v>72.11870 - 12</v>
      </c>
      <c r="AI326" s="56">
        <f>'[2]Изложницы без бурта'!G326</f>
        <v>0</v>
      </c>
      <c r="AJ326" s="56">
        <f>'[2]Изложницы без бурта'!H326</f>
        <v>0</v>
      </c>
      <c r="AK326" s="56">
        <f>'[2]Изложницы без бурта'!I326</f>
        <v>0</v>
      </c>
      <c r="AL326" s="56" t="s">
        <v>604</v>
      </c>
      <c r="AM326" s="56">
        <f>'[2]Изложницы без бурта'!K326</f>
        <v>0</v>
      </c>
    </row>
    <row r="327" spans="1:39" x14ac:dyDescent="0.25">
      <c r="A327" s="316"/>
      <c r="B327" s="1281"/>
      <c r="AB327" s="258" t="str">
        <f t="shared" si="15"/>
        <v/>
      </c>
      <c r="AC327" s="259" t="str">
        <f>IF(COUNTIF(AD$78:AD327,AD327)=1,MAX(AC$78:AC326)+1,"")</f>
        <v/>
      </c>
      <c r="AD327" s="220">
        <f>'[2]Изложницы без бурта'!B327</f>
        <v>167.5</v>
      </c>
      <c r="AE327" s="220">
        <f>'[2]Изложницы без бурта'!C327</f>
        <v>265</v>
      </c>
      <c r="AF327" s="56">
        <f>'[2]Изложницы без бурта'!D327</f>
        <v>285</v>
      </c>
      <c r="AG327" s="56">
        <f>'[2]Изложницы без бурта'!E327</f>
        <v>320</v>
      </c>
      <c r="AH327" s="56" t="str">
        <f>'[2]Изложницы без бурта'!F327</f>
        <v>72.11870 - 12</v>
      </c>
      <c r="AI327" s="56">
        <f>'[2]Изложницы без бурта'!G327</f>
        <v>0</v>
      </c>
      <c r="AJ327" s="56">
        <f>'[2]Изложницы без бурта'!H327</f>
        <v>0</v>
      </c>
      <c r="AK327" s="56">
        <f>'[2]Изложницы без бурта'!I327</f>
        <v>0</v>
      </c>
      <c r="AL327" s="56" t="s">
        <v>604</v>
      </c>
      <c r="AM327" s="56">
        <f>'[2]Изложницы без бурта'!K327</f>
        <v>0</v>
      </c>
    </row>
    <row r="328" spans="1:39" x14ac:dyDescent="0.25">
      <c r="A328" s="316"/>
      <c r="B328" s="1281"/>
      <c r="AB328" s="258" t="str">
        <f t="shared" si="15"/>
        <v/>
      </c>
      <c r="AC328" s="259" t="str">
        <f>IF(COUNTIF(AD$78:AD328,AD328)=1,MAX(AC$78:AC327)+1,"")</f>
        <v/>
      </c>
      <c r="AD328" s="220">
        <f>'[2]Изложницы без бурта'!B328</f>
        <v>167.5</v>
      </c>
      <c r="AE328" s="220">
        <f>'[2]Изложницы без бурта'!C328</f>
        <v>255</v>
      </c>
      <c r="AF328" s="56">
        <f>'[2]Изложницы без бурта'!D328</f>
        <v>285</v>
      </c>
      <c r="AG328" s="56">
        <f>'[2]Изложницы без бурта'!E328</f>
        <v>320</v>
      </c>
      <c r="AH328" s="56" t="str">
        <f>'[2]Изложницы без бурта'!F328</f>
        <v>72.11870 - 12</v>
      </c>
      <c r="AI328" s="56">
        <f>'[2]Изложницы без бурта'!G328</f>
        <v>0</v>
      </c>
      <c r="AJ328" s="56">
        <f>'[2]Изложницы без бурта'!H328</f>
        <v>0</v>
      </c>
      <c r="AK328" s="56">
        <f>'[2]Изложницы без бурта'!I328</f>
        <v>0</v>
      </c>
      <c r="AL328" s="56" t="s">
        <v>604</v>
      </c>
      <c r="AM328" s="56">
        <f>'[2]Изложницы без бурта'!K328</f>
        <v>0</v>
      </c>
    </row>
    <row r="329" spans="1:39" x14ac:dyDescent="0.25">
      <c r="A329" s="316"/>
      <c r="B329" s="1281"/>
      <c r="AB329" s="258" t="str">
        <f t="shared" si="15"/>
        <v/>
      </c>
      <c r="AC329" s="259" t="str">
        <f>IF(COUNTIF(AD$78:AD329,AD329)=1,MAX(AC$78:AC328)+1,"")</f>
        <v/>
      </c>
      <c r="AD329" s="220">
        <f>'[2]Изложницы без бурта'!B329</f>
        <v>167.5</v>
      </c>
      <c r="AE329" s="220">
        <f>'[2]Изложницы без бурта'!C329</f>
        <v>262</v>
      </c>
      <c r="AF329" s="56">
        <f>'[2]Изложницы без бурта'!D329</f>
        <v>285</v>
      </c>
      <c r="AG329" s="56">
        <f>'[2]Изложницы без бурта'!E329</f>
        <v>320</v>
      </c>
      <c r="AH329" s="56" t="str">
        <f>'[2]Изложницы без бурта'!F329</f>
        <v>72.11870 - 12</v>
      </c>
      <c r="AI329" s="56">
        <f>'[2]Изложницы без бурта'!G329</f>
        <v>0</v>
      </c>
      <c r="AJ329" s="56">
        <f>'[2]Изложницы без бурта'!H329</f>
        <v>0</v>
      </c>
      <c r="AK329" s="56">
        <f>'[2]Изложницы без бурта'!I329</f>
        <v>0</v>
      </c>
      <c r="AL329" s="56" t="s">
        <v>604</v>
      </c>
      <c r="AM329" s="56">
        <f>'[2]Изложницы без бурта'!K329</f>
        <v>0</v>
      </c>
    </row>
    <row r="330" spans="1:39" x14ac:dyDescent="0.25">
      <c r="A330" s="316"/>
      <c r="B330" s="1281"/>
      <c r="AB330" s="258" t="str">
        <f t="shared" si="15"/>
        <v/>
      </c>
      <c r="AC330" s="259" t="str">
        <f>IF(COUNTIF(AD$78:AD330,AD330)=1,MAX(AC$78:AC329)+1,"")</f>
        <v/>
      </c>
      <c r="AD330" s="220">
        <f>'[2]Изложницы без бурта'!B330</f>
        <v>167.5</v>
      </c>
      <c r="AE330" s="220">
        <f>'[2]Изложницы без бурта'!C330</f>
        <v>262</v>
      </c>
      <c r="AF330" s="56">
        <f>'[2]Изложницы без бурта'!D330</f>
        <v>285</v>
      </c>
      <c r="AG330" s="56">
        <f>'[2]Изложницы без бурта'!E330</f>
        <v>320</v>
      </c>
      <c r="AH330" s="56" t="str">
        <f>'[2]Изложницы без бурта'!F330</f>
        <v>72.11870 - 12</v>
      </c>
      <c r="AI330" s="56">
        <f>'[2]Изложницы без бурта'!G330</f>
        <v>0</v>
      </c>
      <c r="AJ330" s="56">
        <f>'[2]Изложницы без бурта'!H330</f>
        <v>0</v>
      </c>
      <c r="AK330" s="56">
        <f>'[2]Изложницы без бурта'!I330</f>
        <v>0</v>
      </c>
      <c r="AL330" s="56" t="s">
        <v>604</v>
      </c>
      <c r="AM330" s="56">
        <f>'[2]Изложницы без бурта'!K330</f>
        <v>0</v>
      </c>
    </row>
    <row r="331" spans="1:39" x14ac:dyDescent="0.25">
      <c r="A331" s="316"/>
      <c r="B331" s="1281"/>
      <c r="AB331" s="258" t="str">
        <f t="shared" si="15"/>
        <v/>
      </c>
      <c r="AC331" s="259" t="str">
        <f>IF(COUNTIF(AD$78:AD331,AD331)=1,MAX(AC$78:AC330)+1,"")</f>
        <v/>
      </c>
      <c r="AD331" s="220">
        <f>'[2]Изложницы без бурта'!B331</f>
        <v>167.5</v>
      </c>
      <c r="AE331" s="220">
        <f>'[2]Изложницы без бурта'!C331</f>
        <v>260</v>
      </c>
      <c r="AF331" s="56">
        <f>'[2]Изложницы без бурта'!D331</f>
        <v>285</v>
      </c>
      <c r="AG331" s="56">
        <f>'[2]Изложницы без бурта'!E331</f>
        <v>320</v>
      </c>
      <c r="AH331" s="56" t="str">
        <f>'[2]Изложницы без бурта'!F331</f>
        <v>72.11870 - 12</v>
      </c>
      <c r="AI331" s="56">
        <f>'[2]Изложницы без бурта'!G331</f>
        <v>0</v>
      </c>
      <c r="AJ331" s="56">
        <f>'[2]Изложницы без бурта'!H331</f>
        <v>0</v>
      </c>
      <c r="AK331" s="56">
        <f>'[2]Изложницы без бурта'!I331</f>
        <v>0</v>
      </c>
      <c r="AL331" s="56" t="s">
        <v>604</v>
      </c>
      <c r="AM331" s="56">
        <f>'[2]Изложницы без бурта'!K331</f>
        <v>0</v>
      </c>
    </row>
    <row r="332" spans="1:39" x14ac:dyDescent="0.25">
      <c r="A332" s="316"/>
      <c r="B332" s="1281"/>
      <c r="AB332" s="258" t="str">
        <f t="shared" si="15"/>
        <v/>
      </c>
      <c r="AC332" s="259">
        <f>IF(COUNTIF(AD$78:AD332,AD332)=1,MAX(AC$78:AC331)+1,"")</f>
        <v>33</v>
      </c>
      <c r="AD332" s="220">
        <f>'[2]Изложницы без бурта'!B332</f>
        <v>170</v>
      </c>
      <c r="AE332" s="220">
        <f>'[2]Изложницы без бурта'!C332</f>
        <v>265</v>
      </c>
      <c r="AF332" s="56">
        <f>'[2]Изложницы без бурта'!D332</f>
        <v>285</v>
      </c>
      <c r="AG332" s="56">
        <f>'[2]Изложницы без бурта'!E332</f>
        <v>320</v>
      </c>
      <c r="AH332" s="56" t="str">
        <f>'[2]Изложницы без бурта'!F332</f>
        <v>72.11870 - 13</v>
      </c>
      <c r="AI332" s="56">
        <f>'[2]Изложницы без бурта'!G332</f>
        <v>0</v>
      </c>
      <c r="AJ332" s="56">
        <f>'[2]Изложницы без бурта'!H332</f>
        <v>0</v>
      </c>
      <c r="AK332" s="56">
        <f>'[2]Изложницы без бурта'!I332</f>
        <v>0</v>
      </c>
      <c r="AL332" s="56" t="s">
        <v>605</v>
      </c>
      <c r="AM332" s="56">
        <f>'[2]Изложницы без бурта'!K332</f>
        <v>0</v>
      </c>
    </row>
    <row r="333" spans="1:39" x14ac:dyDescent="0.25">
      <c r="A333" s="316"/>
      <c r="B333" s="1281"/>
      <c r="AB333" s="258" t="str">
        <f t="shared" si="15"/>
        <v/>
      </c>
      <c r="AC333" s="259" t="str">
        <f>IF(COUNTIF(AD$78:AD333,AD333)=1,MAX(AC$78:AC332)+1,"")</f>
        <v/>
      </c>
      <c r="AD333" s="220">
        <f>'[2]Изложницы без бурта'!B333</f>
        <v>170</v>
      </c>
      <c r="AE333" s="220">
        <f>'[2]Изложницы без бурта'!C333</f>
        <v>320</v>
      </c>
      <c r="AF333" s="56">
        <f>'[2]Изложницы без бурта'!D333</f>
        <v>285</v>
      </c>
      <c r="AG333" s="56">
        <f>'[2]Изложницы без бурта'!E333</f>
        <v>320</v>
      </c>
      <c r="AH333" s="56" t="str">
        <f>'[2]Изложницы без бурта'!F333</f>
        <v>72.11871 - 13</v>
      </c>
      <c r="AI333" s="56">
        <f>'[2]Изложницы без бурта'!G333</f>
        <v>0</v>
      </c>
      <c r="AJ333" s="56">
        <f>'[2]Изложницы без бурта'!H333</f>
        <v>0</v>
      </c>
      <c r="AK333" s="56">
        <f>'[2]Изложницы без бурта'!I333</f>
        <v>0</v>
      </c>
      <c r="AL333" s="56" t="s">
        <v>605</v>
      </c>
      <c r="AM333" s="56">
        <f>'[2]Изложницы без бурта'!K333</f>
        <v>0</v>
      </c>
    </row>
    <row r="334" spans="1:39" x14ac:dyDescent="0.25">
      <c r="A334" s="316"/>
      <c r="B334" s="1281"/>
      <c r="AB334" s="258" t="str">
        <f t="shared" si="15"/>
        <v/>
      </c>
      <c r="AC334" s="259" t="str">
        <f>IF(COUNTIF(AD$78:AD334,AD334)=1,MAX(AC$78:AC333)+1,"")</f>
        <v/>
      </c>
      <c r="AD334" s="220">
        <f>'[2]Изложницы без бурта'!B334</f>
        <v>170</v>
      </c>
      <c r="AE334" s="220">
        <f>'[2]Изложницы без бурта'!C334</f>
        <v>265</v>
      </c>
      <c r="AF334" s="56">
        <f>'[2]Изложницы без бурта'!D334</f>
        <v>285</v>
      </c>
      <c r="AG334" s="56">
        <f>'[2]Изложницы без бурта'!E334</f>
        <v>320</v>
      </c>
      <c r="AH334" s="56" t="str">
        <f>'[2]Изложницы без бурта'!F334</f>
        <v>72.11870 - 13</v>
      </c>
      <c r="AI334" s="56">
        <f>'[2]Изложницы без бурта'!G334</f>
        <v>0</v>
      </c>
      <c r="AJ334" s="56">
        <f>'[2]Изложницы без бурта'!H334</f>
        <v>0</v>
      </c>
      <c r="AK334" s="56">
        <f>'[2]Изложницы без бурта'!I334</f>
        <v>0</v>
      </c>
      <c r="AL334" s="56" t="s">
        <v>605</v>
      </c>
      <c r="AM334" s="56">
        <f>'[2]Изложницы без бурта'!K334</f>
        <v>0</v>
      </c>
    </row>
    <row r="335" spans="1:39" x14ac:dyDescent="0.25">
      <c r="A335" s="316"/>
      <c r="B335" s="1281"/>
      <c r="AB335" s="258" t="str">
        <f t="shared" si="15"/>
        <v/>
      </c>
      <c r="AC335" s="259" t="str">
        <f>IF(COUNTIF(AD$78:AD335,AD335)=1,MAX(AC$78:AC334)+1,"")</f>
        <v/>
      </c>
      <c r="AD335" s="220">
        <f>'[2]Изложницы без бурта'!B335</f>
        <v>170</v>
      </c>
      <c r="AE335" s="220">
        <f>'[2]Изложницы без бурта'!C335</f>
        <v>377</v>
      </c>
      <c r="AF335" s="56">
        <f>'[2]Изложницы без бурта'!D335</f>
        <v>285</v>
      </c>
      <c r="AG335" s="56">
        <f>'[2]Изложницы без бурта'!E335</f>
        <v>320</v>
      </c>
      <c r="AH335" s="56" t="str">
        <f>'[2]Изложницы без бурта'!F335</f>
        <v>72.42461 - 13</v>
      </c>
      <c r="AI335" s="56">
        <f>'[2]Изложницы без бурта'!G335</f>
        <v>0</v>
      </c>
      <c r="AJ335" s="56">
        <f>'[2]Изложницы без бурта'!H335</f>
        <v>0</v>
      </c>
      <c r="AK335" s="56">
        <f>'[2]Изложницы без бурта'!I335</f>
        <v>0</v>
      </c>
      <c r="AL335" s="56" t="s">
        <v>605</v>
      </c>
      <c r="AM335" s="56">
        <f>'[2]Изложницы без бурта'!K335</f>
        <v>0</v>
      </c>
    </row>
    <row r="336" spans="1:39" x14ac:dyDescent="0.25">
      <c r="A336" s="316"/>
      <c r="B336" s="1281"/>
      <c r="AB336" s="258" t="str">
        <f t="shared" si="15"/>
        <v/>
      </c>
      <c r="AC336" s="259" t="str">
        <f>IF(COUNTIF(AD$78:AD336,AD336)=1,MAX(AC$78:AC335)+1,"")</f>
        <v/>
      </c>
      <c r="AD336" s="220">
        <f>'[2]Изложницы без бурта'!B336</f>
        <v>170</v>
      </c>
      <c r="AE336" s="220">
        <f>'[2]Изложницы без бурта'!C336</f>
        <v>265</v>
      </c>
      <c r="AF336" s="56">
        <f>'[2]Изложницы без бурта'!D336</f>
        <v>285</v>
      </c>
      <c r="AG336" s="56">
        <f>'[2]Изложницы без бурта'!E336</f>
        <v>320</v>
      </c>
      <c r="AH336" s="56" t="str">
        <f>'[2]Изложницы без бурта'!F336</f>
        <v>72.11870 - 13</v>
      </c>
      <c r="AI336" s="56">
        <f>'[2]Изложницы без бурта'!G336</f>
        <v>0</v>
      </c>
      <c r="AJ336" s="56">
        <f>'[2]Изложницы без бурта'!H336</f>
        <v>0</v>
      </c>
      <c r="AK336" s="56">
        <f>'[2]Изложницы без бурта'!I336</f>
        <v>0</v>
      </c>
      <c r="AL336" s="56" t="s">
        <v>605</v>
      </c>
      <c r="AM336" s="56">
        <f>'[2]Изложницы без бурта'!K336</f>
        <v>0</v>
      </c>
    </row>
    <row r="337" spans="1:39" x14ac:dyDescent="0.25">
      <c r="A337" s="316"/>
      <c r="B337" s="1281"/>
      <c r="AB337" s="258" t="str">
        <f t="shared" si="15"/>
        <v/>
      </c>
      <c r="AC337" s="259" t="str">
        <f>IF(COUNTIF(AD$78:AD337,AD337)=1,MAX(AC$78:AC336)+1,"")</f>
        <v/>
      </c>
      <c r="AD337" s="220">
        <f>'[2]Изложницы без бурта'!B337</f>
        <v>170</v>
      </c>
      <c r="AE337" s="220">
        <f>'[2]Изложницы без бурта'!C337</f>
        <v>317</v>
      </c>
      <c r="AF337" s="56">
        <f>'[2]Изложницы без бурта'!D337</f>
        <v>285</v>
      </c>
      <c r="AG337" s="56">
        <f>'[2]Изложницы без бурта'!E337</f>
        <v>320</v>
      </c>
      <c r="AH337" s="56" t="str">
        <f>'[2]Изложницы без бурта'!F337</f>
        <v>72.11871 - 13</v>
      </c>
      <c r="AI337" s="56">
        <f>'[2]Изложницы без бурта'!G337</f>
        <v>0</v>
      </c>
      <c r="AJ337" s="56">
        <f>'[2]Изложницы без бурта'!H337</f>
        <v>0</v>
      </c>
      <c r="AK337" s="56">
        <f>'[2]Изложницы без бурта'!I337</f>
        <v>0</v>
      </c>
      <c r="AL337" s="56" t="s">
        <v>605</v>
      </c>
      <c r="AM337" s="56">
        <f>'[2]Изложницы без бурта'!K337</f>
        <v>0</v>
      </c>
    </row>
    <row r="338" spans="1:39" x14ac:dyDescent="0.25">
      <c r="A338" s="316"/>
      <c r="B338" s="1281"/>
      <c r="AB338" s="258" t="str">
        <f t="shared" si="15"/>
        <v/>
      </c>
      <c r="AC338" s="259" t="str">
        <f>IF(COUNTIF(AD$78:AD338,AD338)=1,MAX(AC$78:AC337)+1,"")</f>
        <v/>
      </c>
      <c r="AD338" s="220">
        <f>'[2]Изложницы без бурта'!B338</f>
        <v>170</v>
      </c>
      <c r="AE338" s="220">
        <f>'[2]Изложницы без бурта'!C338</f>
        <v>320</v>
      </c>
      <c r="AF338" s="56">
        <f>'[2]Изложницы без бурта'!D338</f>
        <v>285</v>
      </c>
      <c r="AG338" s="56">
        <f>'[2]Изложницы без бурта'!E338</f>
        <v>320</v>
      </c>
      <c r="AH338" s="56" t="str">
        <f>'[2]Изложницы без бурта'!F338</f>
        <v>72.11871 - 13</v>
      </c>
      <c r="AI338" s="56">
        <f>'[2]Изложницы без бурта'!G338</f>
        <v>0</v>
      </c>
      <c r="AJ338" s="56">
        <f>'[2]Изложницы без бурта'!H338</f>
        <v>0</v>
      </c>
      <c r="AK338" s="56">
        <f>'[2]Изложницы без бурта'!I338</f>
        <v>0</v>
      </c>
      <c r="AL338" s="56" t="s">
        <v>605</v>
      </c>
      <c r="AM338" s="56">
        <f>'[2]Изложницы без бурта'!K338</f>
        <v>0</v>
      </c>
    </row>
    <row r="339" spans="1:39" x14ac:dyDescent="0.25">
      <c r="A339" s="316"/>
      <c r="B339" s="1281"/>
      <c r="AB339" s="258" t="str">
        <f t="shared" si="15"/>
        <v/>
      </c>
      <c r="AC339" s="259" t="str">
        <f>IF(COUNTIF(AD$78:AD339,AD339)=1,MAX(AC$78:AC338)+1,"")</f>
        <v/>
      </c>
      <c r="AD339" s="220">
        <f>'[2]Изложницы без бурта'!B339</f>
        <v>170</v>
      </c>
      <c r="AE339" s="220">
        <f>'[2]Изложницы без бурта'!C339</f>
        <v>260</v>
      </c>
      <c r="AF339" s="56">
        <f>'[2]Изложницы без бурта'!D339</f>
        <v>285</v>
      </c>
      <c r="AG339" s="56">
        <f>'[2]Изложницы без бурта'!E339</f>
        <v>320</v>
      </c>
      <c r="AH339" s="56" t="str">
        <f>'[2]Изложницы без бурта'!F339</f>
        <v>72.11870 - 13</v>
      </c>
      <c r="AI339" s="56">
        <f>'[2]Изложницы без бурта'!G339</f>
        <v>0</v>
      </c>
      <c r="AJ339" s="56">
        <f>'[2]Изложницы без бурта'!H339</f>
        <v>0</v>
      </c>
      <c r="AK339" s="56">
        <f>'[2]Изложницы без бурта'!I339</f>
        <v>0</v>
      </c>
      <c r="AL339" s="56" t="s">
        <v>605</v>
      </c>
      <c r="AM339" s="56">
        <f>'[2]Изложницы без бурта'!K339</f>
        <v>0</v>
      </c>
    </row>
    <row r="340" spans="1:39" x14ac:dyDescent="0.25">
      <c r="A340" s="316"/>
      <c r="B340" s="1281"/>
      <c r="AB340" s="258" t="str">
        <f t="shared" si="15"/>
        <v/>
      </c>
      <c r="AC340" s="259">
        <f>IF(COUNTIF(AD$78:AD340,AD340)=1,MAX(AC$78:AC339)+1,"")</f>
        <v>34</v>
      </c>
      <c r="AD340" s="220">
        <f>'[2]Изложницы без бурта'!B340</f>
        <v>172.5</v>
      </c>
      <c r="AE340" s="220">
        <f>'[2]Изложницы без бурта'!C340</f>
        <v>265</v>
      </c>
      <c r="AF340" s="56">
        <f>'[2]Изложницы без бурта'!D340</f>
        <v>285</v>
      </c>
      <c r="AG340" s="56">
        <f>'[2]Изложницы без бурта'!E340</f>
        <v>320</v>
      </c>
      <c r="AH340" s="56" t="str">
        <f>'[2]Изложницы без бурта'!F340</f>
        <v>72.11870 - 14</v>
      </c>
      <c r="AI340" s="56">
        <f>'[2]Изложницы без бурта'!G340</f>
        <v>0</v>
      </c>
      <c r="AJ340" s="56">
        <f>'[2]Изложницы без бурта'!H340</f>
        <v>0</v>
      </c>
      <c r="AK340" s="56">
        <f>'[2]Изложницы без бурта'!I340</f>
        <v>0</v>
      </c>
      <c r="AL340" s="56" t="s">
        <v>606</v>
      </c>
      <c r="AM340" s="56">
        <f>'[2]Изложницы без бурта'!K340</f>
        <v>0</v>
      </c>
    </row>
    <row r="341" spans="1:39" x14ac:dyDescent="0.25">
      <c r="A341" s="316"/>
      <c r="B341" s="1281"/>
      <c r="AB341" s="258" t="str">
        <f t="shared" si="15"/>
        <v/>
      </c>
      <c r="AC341" s="259" t="str">
        <f>IF(COUNTIF(AD$78:AD341,AD341)=1,MAX(AC$78:AC340)+1,"")</f>
        <v/>
      </c>
      <c r="AD341" s="220">
        <f>'[2]Изложницы без бурта'!B341</f>
        <v>172.5</v>
      </c>
      <c r="AE341" s="220">
        <f>'[2]Изложницы без бурта'!C341</f>
        <v>278</v>
      </c>
      <c r="AF341" s="56">
        <f>'[2]Изложницы без бурта'!D341</f>
        <v>285</v>
      </c>
      <c r="AG341" s="56">
        <f>'[2]Изложницы без бурта'!E341</f>
        <v>320</v>
      </c>
      <c r="AH341" s="56" t="str">
        <f>'[2]Изложницы без бурта'!F341</f>
        <v>72.11870 - 14</v>
      </c>
      <c r="AI341" s="56">
        <f>'[2]Изложницы без бурта'!G341</f>
        <v>0</v>
      </c>
      <c r="AJ341" s="56">
        <f>'[2]Изложницы без бурта'!H341</f>
        <v>0</v>
      </c>
      <c r="AK341" s="56">
        <f>'[2]Изложницы без бурта'!I341</f>
        <v>0</v>
      </c>
      <c r="AL341" s="56" t="s">
        <v>606</v>
      </c>
      <c r="AM341" s="56">
        <f>'[2]Изложницы без бурта'!K341</f>
        <v>0</v>
      </c>
    </row>
    <row r="342" spans="1:39" x14ac:dyDescent="0.25">
      <c r="A342" s="316"/>
      <c r="B342" s="1281"/>
      <c r="AB342" s="258" t="str">
        <f t="shared" si="15"/>
        <v/>
      </c>
      <c r="AC342" s="259" t="str">
        <f>IF(COUNTIF(AD$78:AD342,AD342)=1,MAX(AC$78:AC341)+1,"")</f>
        <v/>
      </c>
      <c r="AD342" s="220">
        <f>'[2]Изложницы без бурта'!B342</f>
        <v>172.5</v>
      </c>
      <c r="AE342" s="220">
        <f>'[2]Изложницы без бурта'!C342</f>
        <v>377</v>
      </c>
      <c r="AF342" s="56">
        <f>'[2]Изложницы без бурта'!D342</f>
        <v>285</v>
      </c>
      <c r="AG342" s="56">
        <f>'[2]Изложницы без бурта'!E342</f>
        <v>320</v>
      </c>
      <c r="AH342" s="56" t="str">
        <f>'[2]Изложницы без бурта'!F342</f>
        <v>72.42461 - 14</v>
      </c>
      <c r="AI342" s="56">
        <f>'[2]Изложницы без бурта'!G342</f>
        <v>7260007</v>
      </c>
      <c r="AJ342" s="56">
        <f>'[2]Изложницы без бурта'!H342</f>
        <v>0</v>
      </c>
      <c r="AK342" s="56">
        <f>'[2]Изложницы без бурта'!I342</f>
        <v>0</v>
      </c>
      <c r="AL342" s="56" t="s">
        <v>606</v>
      </c>
      <c r="AM342" s="56">
        <f>'[2]Изложницы без бурта'!K342</f>
        <v>0</v>
      </c>
    </row>
    <row r="343" spans="1:39" x14ac:dyDescent="0.25">
      <c r="A343" s="316"/>
      <c r="B343" s="1281"/>
      <c r="AB343" s="258" t="str">
        <f t="shared" si="15"/>
        <v/>
      </c>
      <c r="AC343" s="259" t="str">
        <f>IF(COUNTIF(AD$78:AD343,AD343)=1,MAX(AC$78:AC342)+1,"")</f>
        <v/>
      </c>
      <c r="AD343" s="220">
        <f>'[2]Изложницы без бурта'!B343</f>
        <v>172.5</v>
      </c>
      <c r="AE343" s="220">
        <f>'[2]Изложницы без бурта'!C343</f>
        <v>265</v>
      </c>
      <c r="AF343" s="56">
        <f>'[2]Изложницы без бурта'!D343</f>
        <v>285</v>
      </c>
      <c r="AG343" s="56">
        <f>'[2]Изложницы без бурта'!E343</f>
        <v>320</v>
      </c>
      <c r="AH343" s="56" t="str">
        <f>'[2]Изложницы без бурта'!F343</f>
        <v>72.11870 - 14</v>
      </c>
      <c r="AI343" s="56">
        <f>'[2]Изложницы без бурта'!G343</f>
        <v>0</v>
      </c>
      <c r="AJ343" s="56">
        <f>'[2]Изложницы без бурта'!H343</f>
        <v>0</v>
      </c>
      <c r="AK343" s="56">
        <f>'[2]Изложницы без бурта'!I343</f>
        <v>0</v>
      </c>
      <c r="AL343" s="56" t="s">
        <v>606</v>
      </c>
      <c r="AM343" s="56">
        <f>'[2]Изложницы без бурта'!K343</f>
        <v>0</v>
      </c>
    </row>
    <row r="344" spans="1:39" x14ac:dyDescent="0.25">
      <c r="A344" s="316"/>
      <c r="B344" s="1281"/>
      <c r="AB344" s="258" t="str">
        <f t="shared" si="15"/>
        <v/>
      </c>
      <c r="AC344" s="259">
        <f>IF(COUNTIF(AD$78:AD344,AD344)=1,MAX(AC$78:AC343)+1,"")</f>
        <v>35</v>
      </c>
      <c r="AD344" s="220">
        <f>'[2]Изложницы без бурта'!B344</f>
        <v>175</v>
      </c>
      <c r="AE344" s="220">
        <f>'[2]Изложницы без бурта'!C344</f>
        <v>260</v>
      </c>
      <c r="AF344" s="56">
        <f>'[2]Изложницы без бурта'!D344</f>
        <v>285</v>
      </c>
      <c r="AG344" s="56">
        <f>'[2]Изложницы без бурта'!E344</f>
        <v>320</v>
      </c>
      <c r="AH344" s="56" t="str">
        <f>'[2]Изложницы без бурта'!F344</f>
        <v>72.11870 - 15</v>
      </c>
      <c r="AI344" s="56">
        <f>'[2]Изложницы без бурта'!G344</f>
        <v>0</v>
      </c>
      <c r="AJ344" s="56">
        <f>'[2]Изложницы без бурта'!H344</f>
        <v>0</v>
      </c>
      <c r="AK344" s="56">
        <f>'[2]Изложницы без бурта'!I344</f>
        <v>0</v>
      </c>
      <c r="AL344" s="56" t="s">
        <v>607</v>
      </c>
      <c r="AM344" s="56">
        <f>'[2]Изложницы без бурта'!K344</f>
        <v>0</v>
      </c>
    </row>
    <row r="345" spans="1:39" x14ac:dyDescent="0.25">
      <c r="A345" s="316"/>
      <c r="B345" s="1281"/>
      <c r="AB345" s="258" t="str">
        <f t="shared" si="15"/>
        <v/>
      </c>
      <c r="AC345" s="259" t="str">
        <f>IF(COUNTIF(AD$78:AD345,AD345)=1,MAX(AC$78:AC344)+1,"")</f>
        <v/>
      </c>
      <c r="AD345" s="220">
        <f>'[2]Изложницы без бурта'!B345</f>
        <v>175</v>
      </c>
      <c r="AE345" s="220">
        <f>'[2]Изложницы без бурта'!C345</f>
        <v>265</v>
      </c>
      <c r="AF345" s="56">
        <f>'[2]Изложницы без бурта'!D345</f>
        <v>285</v>
      </c>
      <c r="AG345" s="56">
        <f>'[2]Изложницы без бурта'!E345</f>
        <v>320</v>
      </c>
      <c r="AH345" s="56" t="str">
        <f>'[2]Изложницы без бурта'!F345</f>
        <v>72.11870 - 15</v>
      </c>
      <c r="AI345" s="56">
        <f>'[2]Изложницы без бурта'!G345</f>
        <v>0</v>
      </c>
      <c r="AJ345" s="56">
        <f>'[2]Изложницы без бурта'!H345</f>
        <v>0</v>
      </c>
      <c r="AK345" s="56">
        <f>'[2]Изложницы без бурта'!I345</f>
        <v>0</v>
      </c>
      <c r="AL345" s="56" t="s">
        <v>607</v>
      </c>
      <c r="AM345" s="56">
        <f>'[2]Изложницы без бурта'!K345</f>
        <v>0</v>
      </c>
    </row>
    <row r="346" spans="1:39" x14ac:dyDescent="0.25">
      <c r="A346" s="316"/>
      <c r="B346" s="1281"/>
      <c r="AB346" s="258" t="str">
        <f t="shared" si="15"/>
        <v/>
      </c>
      <c r="AC346" s="259" t="str">
        <f>IF(COUNTIF(AD$78:AD346,AD346)=1,MAX(AC$78:AC345)+1,"")</f>
        <v/>
      </c>
      <c r="AD346" s="220">
        <f>'[2]Изложницы без бурта'!B346</f>
        <v>175</v>
      </c>
      <c r="AE346" s="220">
        <f>'[2]Изложницы без бурта'!C346</f>
        <v>260</v>
      </c>
      <c r="AF346" s="56">
        <f>'[2]Изложницы без бурта'!D346</f>
        <v>360</v>
      </c>
      <c r="AG346" s="56">
        <f>'[2]Изложницы без бурта'!E346</f>
        <v>320</v>
      </c>
      <c r="AH346" s="56" t="str">
        <f>'[2]Изложницы без бурта'!F346</f>
        <v>72.11870 - 15</v>
      </c>
      <c r="AI346" s="56">
        <f>'[2]Изложницы без бурта'!G346</f>
        <v>0</v>
      </c>
      <c r="AJ346" s="56">
        <f>'[2]Изложницы без бурта'!H346</f>
        <v>0</v>
      </c>
      <c r="AK346" s="56">
        <f>'[2]Изложницы без бурта'!I346</f>
        <v>0</v>
      </c>
      <c r="AL346" s="56" t="s">
        <v>607</v>
      </c>
      <c r="AM346" s="56">
        <f>'[2]Изложницы без бурта'!K346</f>
        <v>0</v>
      </c>
    </row>
    <row r="347" spans="1:39" x14ac:dyDescent="0.25">
      <c r="A347" s="316"/>
      <c r="B347" s="1281"/>
      <c r="AB347" s="258" t="str">
        <f t="shared" si="15"/>
        <v/>
      </c>
      <c r="AC347" s="259" t="str">
        <f>IF(COUNTIF(AD$78:AD347,AD347)=1,MAX(AC$78:AC346)+1,"")</f>
        <v/>
      </c>
      <c r="AD347" s="220">
        <f>'[2]Изложницы без бурта'!B347</f>
        <v>175</v>
      </c>
      <c r="AE347" s="220">
        <f>'[2]Изложницы без бурта'!C347</f>
        <v>260</v>
      </c>
      <c r="AF347" s="56">
        <f>'[2]Изложницы без бурта'!D347</f>
        <v>285</v>
      </c>
      <c r="AG347" s="56">
        <f>'[2]Изложницы без бурта'!E347</f>
        <v>320</v>
      </c>
      <c r="AH347" s="56" t="str">
        <f>'[2]Изложницы без бурта'!F347</f>
        <v>72.11870 - 15</v>
      </c>
      <c r="AI347" s="56">
        <f>'[2]Изложницы без бурта'!G347</f>
        <v>0</v>
      </c>
      <c r="AJ347" s="56">
        <f>'[2]Изложницы без бурта'!H347</f>
        <v>0</v>
      </c>
      <c r="AK347" s="56">
        <f>'[2]Изложницы без бурта'!I347</f>
        <v>0</v>
      </c>
      <c r="AL347" s="56" t="s">
        <v>607</v>
      </c>
      <c r="AM347" s="56">
        <f>'[2]Изложницы без бурта'!K347</f>
        <v>0</v>
      </c>
    </row>
    <row r="348" spans="1:39" x14ac:dyDescent="0.25">
      <c r="A348" s="316"/>
      <c r="B348" s="1281"/>
      <c r="AB348" s="258" t="str">
        <f t="shared" si="15"/>
        <v/>
      </c>
      <c r="AC348" s="259" t="str">
        <f>IF(COUNTIF(AD$78:AD348,AD348)=1,MAX(AC$78:AC347)+1,"")</f>
        <v/>
      </c>
      <c r="AD348" s="220">
        <f>'[2]Изложницы без бурта'!B348</f>
        <v>175</v>
      </c>
      <c r="AE348" s="220">
        <f>'[2]Изложницы без бурта'!C348</f>
        <v>317</v>
      </c>
      <c r="AF348" s="56">
        <f>'[2]Изложницы без бурта'!D348</f>
        <v>285</v>
      </c>
      <c r="AG348" s="56">
        <f>'[2]Изложницы без бурта'!E348</f>
        <v>320</v>
      </c>
      <c r="AH348" s="56" t="str">
        <f>'[2]Изложницы без бурта'!F348</f>
        <v>72.11871 - 15</v>
      </c>
      <c r="AI348" s="56">
        <f>'[2]Изложницы без бурта'!G348</f>
        <v>7260008</v>
      </c>
      <c r="AJ348" s="56">
        <f>'[2]Изложницы без бурта'!H348</f>
        <v>0</v>
      </c>
      <c r="AK348" s="56">
        <f>'[2]Изложницы без бурта'!I348</f>
        <v>0</v>
      </c>
      <c r="AL348" s="56" t="s">
        <v>607</v>
      </c>
      <c r="AM348" s="56">
        <f>'[2]Изложницы без бурта'!K348</f>
        <v>0</v>
      </c>
    </row>
    <row r="349" spans="1:39" x14ac:dyDescent="0.25">
      <c r="A349" s="316"/>
      <c r="B349" s="1281"/>
      <c r="AB349" s="258" t="str">
        <f t="shared" si="15"/>
        <v/>
      </c>
      <c r="AC349" s="259" t="str">
        <f>IF(COUNTIF(AD$78:AD349,AD349)=1,MAX(AC$78:AC348)+1,"")</f>
        <v/>
      </c>
      <c r="AD349" s="220">
        <f>'[2]Изложницы без бурта'!B349</f>
        <v>175</v>
      </c>
      <c r="AE349" s="220">
        <f>'[2]Изложницы без бурта'!C349</f>
        <v>262</v>
      </c>
      <c r="AF349" s="56">
        <f>'[2]Изложницы без бурта'!D349</f>
        <v>285</v>
      </c>
      <c r="AG349" s="56">
        <f>'[2]Изложницы без бурта'!E349</f>
        <v>320</v>
      </c>
      <c r="AH349" s="56" t="str">
        <f>'[2]Изложницы без бурта'!F349</f>
        <v>72.11870 - 15</v>
      </c>
      <c r="AI349" s="56">
        <f>'[2]Изложницы без бурта'!G349</f>
        <v>0</v>
      </c>
      <c r="AJ349" s="56">
        <f>'[2]Изложницы без бурта'!H349</f>
        <v>0</v>
      </c>
      <c r="AK349" s="56">
        <f>'[2]Изложницы без бурта'!I349</f>
        <v>0</v>
      </c>
      <c r="AL349" s="56" t="s">
        <v>607</v>
      </c>
      <c r="AM349" s="56">
        <f>'[2]Изложницы без бурта'!K349</f>
        <v>0</v>
      </c>
    </row>
    <row r="350" spans="1:39" x14ac:dyDescent="0.25">
      <c r="A350" s="316"/>
      <c r="B350" s="1281"/>
      <c r="AB350" s="258" t="str">
        <f t="shared" si="15"/>
        <v/>
      </c>
      <c r="AC350" s="259" t="str">
        <f>IF(COUNTIF(AD$78:AD350,AD350)=1,MAX(AC$78:AC349)+1,"")</f>
        <v/>
      </c>
      <c r="AD350" s="220">
        <f>'[2]Изложницы без бурта'!B350</f>
        <v>175</v>
      </c>
      <c r="AE350" s="220">
        <f>'[2]Изложницы без бурта'!C350</f>
        <v>265</v>
      </c>
      <c r="AF350" s="56">
        <f>'[2]Изложницы без бурта'!D350</f>
        <v>285</v>
      </c>
      <c r="AG350" s="56">
        <f>'[2]Изложницы без бурта'!E350</f>
        <v>320</v>
      </c>
      <c r="AH350" s="56" t="str">
        <f>'[2]Изложницы без бурта'!F350</f>
        <v>72.11870 - 15</v>
      </c>
      <c r="AI350" s="56">
        <f>'[2]Изложницы без бурта'!G350</f>
        <v>0</v>
      </c>
      <c r="AJ350" s="56">
        <f>'[2]Изложницы без бурта'!H350</f>
        <v>0</v>
      </c>
      <c r="AK350" s="56">
        <f>'[2]Изложницы без бурта'!I350</f>
        <v>0</v>
      </c>
      <c r="AL350" s="56" t="s">
        <v>607</v>
      </c>
      <c r="AM350" s="56">
        <f>'[2]Изложницы без бурта'!K350</f>
        <v>0</v>
      </c>
    </row>
    <row r="351" spans="1:39" x14ac:dyDescent="0.25">
      <c r="A351" s="316"/>
      <c r="B351" s="1281"/>
      <c r="AB351" s="258" t="str">
        <f t="shared" si="15"/>
        <v/>
      </c>
      <c r="AC351" s="259" t="str">
        <f>IF(COUNTIF(AD$78:AD351,AD351)=1,MAX(AC$78:AC350)+1,"")</f>
        <v/>
      </c>
      <c r="AD351" s="220">
        <f>'[2]Изложницы без бурта'!B351</f>
        <v>175</v>
      </c>
      <c r="AE351" s="220">
        <f>'[2]Изложницы без бурта'!C351</f>
        <v>320</v>
      </c>
      <c r="AF351" s="56">
        <f>'[2]Изложницы без бурта'!D351</f>
        <v>285</v>
      </c>
      <c r="AG351" s="56">
        <f>'[2]Изложницы без бурта'!E351</f>
        <v>320</v>
      </c>
      <c r="AH351" s="56" t="str">
        <f>'[2]Изложницы без бурта'!F351</f>
        <v>72.11871 - 15</v>
      </c>
      <c r="AI351" s="56">
        <f>'[2]Изложницы без бурта'!G351</f>
        <v>7260008</v>
      </c>
      <c r="AJ351" s="56">
        <f>'[2]Изложницы без бурта'!H351</f>
        <v>0</v>
      </c>
      <c r="AK351" s="56">
        <f>'[2]Изложницы без бурта'!I351</f>
        <v>0</v>
      </c>
      <c r="AL351" s="56" t="s">
        <v>607</v>
      </c>
      <c r="AM351" s="56">
        <f>'[2]Изложницы без бурта'!K351</f>
        <v>0</v>
      </c>
    </row>
    <row r="352" spans="1:39" x14ac:dyDescent="0.25">
      <c r="A352" s="316"/>
      <c r="B352" s="1281"/>
      <c r="AB352" s="258" t="str">
        <f t="shared" si="15"/>
        <v/>
      </c>
      <c r="AC352" s="259" t="str">
        <f>IF(COUNTIF(AD$78:AD352,AD352)=1,MAX(AC$78:AC351)+1,"")</f>
        <v/>
      </c>
      <c r="AD352" s="220">
        <f>'[2]Изложницы без бурта'!B352</f>
        <v>175</v>
      </c>
      <c r="AE352" s="220">
        <f>'[2]Изложницы без бурта'!C352</f>
        <v>265</v>
      </c>
      <c r="AF352" s="56">
        <f>'[2]Изложницы без бурта'!D352</f>
        <v>285</v>
      </c>
      <c r="AG352" s="56">
        <f>'[2]Изложницы без бурта'!E352</f>
        <v>320</v>
      </c>
      <c r="AH352" s="56" t="str">
        <f>'[2]Изложницы без бурта'!F352</f>
        <v>72.11870 - 15</v>
      </c>
      <c r="AI352" s="56">
        <f>'[2]Изложницы без бурта'!G352</f>
        <v>0</v>
      </c>
      <c r="AJ352" s="56">
        <f>'[2]Изложницы без бурта'!H352</f>
        <v>0</v>
      </c>
      <c r="AK352" s="56">
        <f>'[2]Изложницы без бурта'!I352</f>
        <v>0</v>
      </c>
      <c r="AL352" s="56" t="s">
        <v>607</v>
      </c>
      <c r="AM352" s="56">
        <f>'[2]Изложницы без бурта'!K352</f>
        <v>0</v>
      </c>
    </row>
    <row r="353" spans="1:39" x14ac:dyDescent="0.25">
      <c r="A353" s="316"/>
      <c r="B353" s="1281"/>
      <c r="AB353" s="258" t="str">
        <f t="shared" si="15"/>
        <v/>
      </c>
      <c r="AC353" s="259" t="str">
        <f>IF(COUNTIF(AD$78:AD353,AD353)=1,MAX(AC$78:AC352)+1,"")</f>
        <v/>
      </c>
      <c r="AD353" s="220">
        <f>'[2]Изложницы без бурта'!B353</f>
        <v>175</v>
      </c>
      <c r="AE353" s="220">
        <f>'[2]Изложницы без бурта'!C353</f>
        <v>265</v>
      </c>
      <c r="AF353" s="56">
        <f>'[2]Изложницы без бурта'!D353</f>
        <v>285</v>
      </c>
      <c r="AG353" s="56">
        <f>'[2]Изложницы без бурта'!E353</f>
        <v>320</v>
      </c>
      <c r="AH353" s="56" t="str">
        <f>'[2]Изложницы без бурта'!F353</f>
        <v>72.11870 - 15</v>
      </c>
      <c r="AI353" s="56">
        <f>'[2]Изложницы без бурта'!G353</f>
        <v>0</v>
      </c>
      <c r="AJ353" s="56">
        <f>'[2]Изложницы без бурта'!H353</f>
        <v>0</v>
      </c>
      <c r="AK353" s="56">
        <f>'[2]Изложницы без бурта'!I353</f>
        <v>0</v>
      </c>
      <c r="AL353" s="56" t="s">
        <v>607</v>
      </c>
      <c r="AM353" s="56">
        <f>'[2]Изложницы без бурта'!K353</f>
        <v>0</v>
      </c>
    </row>
    <row r="354" spans="1:39" x14ac:dyDescent="0.25">
      <c r="A354" s="316"/>
      <c r="B354" s="1281"/>
      <c r="AB354" s="258" t="str">
        <f t="shared" si="15"/>
        <v/>
      </c>
      <c r="AC354" s="259">
        <f>IF(COUNTIF(AD$78:AD354,AD354)=1,MAX(AC$78:AC353)+1,"")</f>
        <v>36</v>
      </c>
      <c r="AD354" s="220">
        <f>'[2]Изложницы без бурта'!B354</f>
        <v>177.5</v>
      </c>
      <c r="AE354" s="220">
        <f>'[2]Изложницы без бурта'!C354</f>
        <v>265</v>
      </c>
      <c r="AF354" s="56">
        <f>'[2]Изложницы без бурта'!D354</f>
        <v>285</v>
      </c>
      <c r="AG354" s="56">
        <f>'[2]Изложницы без бурта'!E354</f>
        <v>320</v>
      </c>
      <c r="AH354" s="56" t="str">
        <f>'[2]Изложницы без бурта'!F354</f>
        <v>72.11870 - 16</v>
      </c>
      <c r="AI354" s="56">
        <f>'[2]Изложницы без бурта'!G354</f>
        <v>0</v>
      </c>
      <c r="AJ354" s="56">
        <f>'[2]Изложницы без бурта'!H354</f>
        <v>0</v>
      </c>
      <c r="AK354" s="56">
        <f>'[2]Изложницы без бурта'!I354</f>
        <v>0</v>
      </c>
      <c r="AL354" s="56" t="s">
        <v>608</v>
      </c>
      <c r="AM354" s="56">
        <f>'[2]Изложницы без бурта'!K354</f>
        <v>0</v>
      </c>
    </row>
    <row r="355" spans="1:39" x14ac:dyDescent="0.25">
      <c r="A355" s="316"/>
      <c r="B355" s="1281"/>
      <c r="AB355" s="258" t="str">
        <f t="shared" si="15"/>
        <v/>
      </c>
      <c r="AC355" s="259" t="str">
        <f>IF(COUNTIF(AD$78:AD355,AD355)=1,MAX(AC$78:AC354)+1,"")</f>
        <v/>
      </c>
      <c r="AD355" s="220">
        <f>'[2]Изложницы без бурта'!B355</f>
        <v>177.5</v>
      </c>
      <c r="AE355" s="220">
        <f>'[2]Изложницы без бурта'!C355</f>
        <v>315</v>
      </c>
      <c r="AF355" s="56">
        <f>'[2]Изложницы без бурта'!D355</f>
        <v>285</v>
      </c>
      <c r="AG355" s="56">
        <f>'[2]Изложницы без бурта'!E355</f>
        <v>320</v>
      </c>
      <c r="AH355" s="56" t="str">
        <f>'[2]Изложницы без бурта'!F355</f>
        <v>72.11871 - 16</v>
      </c>
      <c r="AI355" s="56">
        <f>'[2]Изложницы без бурта'!G355</f>
        <v>7260009</v>
      </c>
      <c r="AJ355" s="56">
        <f>'[2]Изложницы без бурта'!H355</f>
        <v>0</v>
      </c>
      <c r="AK355" s="56">
        <f>'[2]Изложницы без бурта'!I355</f>
        <v>0</v>
      </c>
      <c r="AL355" s="56" t="s">
        <v>608</v>
      </c>
      <c r="AM355" s="56">
        <f>'[2]Изложницы без бурта'!K355</f>
        <v>0</v>
      </c>
    </row>
    <row r="356" spans="1:39" x14ac:dyDescent="0.25">
      <c r="A356" s="316"/>
      <c r="B356" s="1281"/>
      <c r="AB356" s="258" t="str">
        <f t="shared" si="15"/>
        <v/>
      </c>
      <c r="AC356" s="259" t="str">
        <f>IF(COUNTIF(AD$78:AD356,AD356)=1,MAX(AC$78:AC355)+1,"")</f>
        <v/>
      </c>
      <c r="AD356" s="220">
        <f>'[2]Изложницы без бурта'!B356</f>
        <v>177.5</v>
      </c>
      <c r="AE356" s="220">
        <f>'[2]Изложницы без бурта'!C356</f>
        <v>265</v>
      </c>
      <c r="AF356" s="56">
        <f>'[2]Изложницы без бурта'!D356</f>
        <v>285</v>
      </c>
      <c r="AG356" s="56">
        <f>'[2]Изложницы без бурта'!E356</f>
        <v>320</v>
      </c>
      <c r="AH356" s="56" t="str">
        <f>'[2]Изложницы без бурта'!F356</f>
        <v>72.11870 - 16</v>
      </c>
      <c r="AI356" s="56">
        <f>'[2]Изложницы без бурта'!G356</f>
        <v>0</v>
      </c>
      <c r="AJ356" s="56">
        <f>'[2]Изложницы без бурта'!H356</f>
        <v>0</v>
      </c>
      <c r="AK356" s="56">
        <f>'[2]Изложницы без бурта'!I356</f>
        <v>0</v>
      </c>
      <c r="AL356" s="56" t="s">
        <v>608</v>
      </c>
      <c r="AM356" s="56">
        <f>'[2]Изложницы без бурта'!K356</f>
        <v>0</v>
      </c>
    </row>
    <row r="357" spans="1:39" x14ac:dyDescent="0.25">
      <c r="A357" s="316"/>
      <c r="B357" s="1281"/>
      <c r="AB357" s="258" t="str">
        <f t="shared" si="15"/>
        <v/>
      </c>
      <c r="AC357" s="259" t="str">
        <f>IF(COUNTIF(AD$78:AD357,AD357)=1,MAX(AC$78:AC356)+1,"")</f>
        <v/>
      </c>
      <c r="AD357" s="220">
        <f>'[2]Изложницы без бурта'!B357</f>
        <v>177.5</v>
      </c>
      <c r="AE357" s="220">
        <f>'[2]Изложницы без бурта'!C357</f>
        <v>265</v>
      </c>
      <c r="AF357" s="56">
        <f>'[2]Изложницы без бурта'!D357</f>
        <v>285</v>
      </c>
      <c r="AG357" s="56">
        <f>'[2]Изложницы без бурта'!E357</f>
        <v>320</v>
      </c>
      <c r="AH357" s="56" t="str">
        <f>'[2]Изложницы без бурта'!F357</f>
        <v>72.11870 - 16</v>
      </c>
      <c r="AI357" s="56">
        <f>'[2]Изложницы без бурта'!G357</f>
        <v>0</v>
      </c>
      <c r="AJ357" s="56">
        <f>'[2]Изложницы без бурта'!H357</f>
        <v>0</v>
      </c>
      <c r="AK357" s="56">
        <f>'[2]Изложницы без бурта'!I357</f>
        <v>0</v>
      </c>
      <c r="AL357" s="56" t="s">
        <v>608</v>
      </c>
      <c r="AM357" s="56">
        <f>'[2]Изложницы без бурта'!K357</f>
        <v>0</v>
      </c>
    </row>
    <row r="358" spans="1:39" x14ac:dyDescent="0.25">
      <c r="A358" s="316"/>
      <c r="B358" s="1281"/>
      <c r="AB358" s="258" t="str">
        <f t="shared" si="15"/>
        <v/>
      </c>
      <c r="AC358" s="259" t="str">
        <f>IF(COUNTIF(AD$78:AD358,AD358)=1,MAX(AC$78:AC357)+1,"")</f>
        <v/>
      </c>
      <c r="AD358" s="220">
        <f>'[2]Изложницы без бурта'!B358</f>
        <v>177.5</v>
      </c>
      <c r="AE358" s="220">
        <f>'[2]Изложницы без бурта'!C358</f>
        <v>260</v>
      </c>
      <c r="AF358" s="56">
        <f>'[2]Изложницы без бурта'!D358</f>
        <v>285</v>
      </c>
      <c r="AG358" s="56">
        <f>'[2]Изложницы без бурта'!E358</f>
        <v>320</v>
      </c>
      <c r="AH358" s="56" t="str">
        <f>'[2]Изложницы без бурта'!F358</f>
        <v>72.11870 - 16</v>
      </c>
      <c r="AI358" s="56">
        <f>'[2]Изложницы без бурта'!G358</f>
        <v>0</v>
      </c>
      <c r="AJ358" s="56">
        <f>'[2]Изложницы без бурта'!H358</f>
        <v>0</v>
      </c>
      <c r="AK358" s="56">
        <f>'[2]Изложницы без бурта'!I358</f>
        <v>0</v>
      </c>
      <c r="AL358" s="56" t="s">
        <v>608</v>
      </c>
      <c r="AM358" s="56">
        <f>'[2]Изложницы без бурта'!K358</f>
        <v>0</v>
      </c>
    </row>
    <row r="359" spans="1:39" x14ac:dyDescent="0.25">
      <c r="A359" s="316"/>
      <c r="B359" s="1281"/>
      <c r="AB359" s="258" t="str">
        <f t="shared" si="15"/>
        <v/>
      </c>
      <c r="AC359" s="259" t="str">
        <f>IF(COUNTIF(AD$78:AD359,AD359)=1,MAX(AC$78:AC358)+1,"")</f>
        <v/>
      </c>
      <c r="AD359" s="220">
        <f>'[2]Изложницы без бурта'!B359</f>
        <v>177.5</v>
      </c>
      <c r="AE359" s="220">
        <f>'[2]Изложницы без бурта'!C359</f>
        <v>262</v>
      </c>
      <c r="AF359" s="56">
        <f>'[2]Изложницы без бурта'!D359</f>
        <v>285</v>
      </c>
      <c r="AG359" s="56">
        <f>'[2]Изложницы без бурта'!E359</f>
        <v>320</v>
      </c>
      <c r="AH359" s="56" t="str">
        <f>'[2]Изложницы без бурта'!F359</f>
        <v>72.11870 - 16</v>
      </c>
      <c r="AI359" s="56">
        <f>'[2]Изложницы без бурта'!G359</f>
        <v>0</v>
      </c>
      <c r="AJ359" s="56">
        <f>'[2]Изложницы без бурта'!H359</f>
        <v>0</v>
      </c>
      <c r="AK359" s="56">
        <f>'[2]Изложницы без бурта'!I359</f>
        <v>0</v>
      </c>
      <c r="AL359" s="56" t="s">
        <v>608</v>
      </c>
      <c r="AM359" s="56">
        <f>'[2]Изложницы без бурта'!K359</f>
        <v>0</v>
      </c>
    </row>
    <row r="360" spans="1:39" x14ac:dyDescent="0.25">
      <c r="A360" s="316"/>
      <c r="B360" s="1281"/>
      <c r="AB360" s="258" t="str">
        <f t="shared" si="15"/>
        <v/>
      </c>
      <c r="AC360" s="259" t="str">
        <f>IF(COUNTIF(AD$78:AD360,AD360)=1,MAX(AC$78:AC359)+1,"")</f>
        <v/>
      </c>
      <c r="AD360" s="220">
        <f>'[2]Изложницы без бурта'!B360</f>
        <v>177.5</v>
      </c>
      <c r="AE360" s="220">
        <f>'[2]Изложницы без бурта'!C360</f>
        <v>265</v>
      </c>
      <c r="AF360" s="56">
        <f>'[2]Изложницы без бурта'!D360</f>
        <v>285</v>
      </c>
      <c r="AG360" s="56">
        <f>'[2]Изложницы без бурта'!E360</f>
        <v>320</v>
      </c>
      <c r="AH360" s="56" t="str">
        <f>'[2]Изложницы без бурта'!F360</f>
        <v>72.11870 - 16</v>
      </c>
      <c r="AI360" s="56">
        <f>'[2]Изложницы без бурта'!G360</f>
        <v>0</v>
      </c>
      <c r="AJ360" s="56">
        <f>'[2]Изложницы без бурта'!H360</f>
        <v>0</v>
      </c>
      <c r="AK360" s="56">
        <f>'[2]Изложницы без бурта'!I360</f>
        <v>0</v>
      </c>
      <c r="AL360" s="56" t="s">
        <v>608</v>
      </c>
      <c r="AM360" s="56">
        <f>'[2]Изложницы без бурта'!K360</f>
        <v>0</v>
      </c>
    </row>
    <row r="361" spans="1:39" x14ac:dyDescent="0.25">
      <c r="A361" s="316"/>
      <c r="B361" s="1281"/>
      <c r="AB361" s="258" t="str">
        <f t="shared" si="15"/>
        <v/>
      </c>
      <c r="AC361" s="259" t="str">
        <f>IF(COUNTIF(AD$78:AD361,AD361)=1,MAX(AC$78:AC360)+1,"")</f>
        <v/>
      </c>
      <c r="AD361" s="220">
        <f>'[2]Изложницы без бурта'!B361</f>
        <v>177.5</v>
      </c>
      <c r="AE361" s="220">
        <f>'[2]Изложницы без бурта'!C361</f>
        <v>263</v>
      </c>
      <c r="AF361" s="56">
        <f>'[2]Изложницы без бурта'!D361</f>
        <v>285</v>
      </c>
      <c r="AG361" s="56">
        <f>'[2]Изложницы без бурта'!E361</f>
        <v>320</v>
      </c>
      <c r="AH361" s="56" t="str">
        <f>'[2]Изложницы без бурта'!F361</f>
        <v>72.11870 - 16</v>
      </c>
      <c r="AI361" s="56">
        <f>'[2]Изложницы без бурта'!G361</f>
        <v>0</v>
      </c>
      <c r="AJ361" s="56">
        <f>'[2]Изложницы без бурта'!H361</f>
        <v>0</v>
      </c>
      <c r="AK361" s="56">
        <f>'[2]Изложницы без бурта'!I361</f>
        <v>0</v>
      </c>
      <c r="AL361" s="56" t="s">
        <v>608</v>
      </c>
      <c r="AM361" s="56">
        <f>'[2]Изложницы без бурта'!K361</f>
        <v>0</v>
      </c>
    </row>
    <row r="362" spans="1:39" x14ac:dyDescent="0.25">
      <c r="A362" s="316"/>
      <c r="B362" s="1281"/>
      <c r="AB362" s="258" t="str">
        <f t="shared" si="15"/>
        <v/>
      </c>
      <c r="AC362" s="259" t="str">
        <f>IF(COUNTIF(AD$78:AD362,AD362)=1,MAX(AC$78:AC361)+1,"")</f>
        <v/>
      </c>
      <c r="AD362" s="220">
        <f>'[2]Изложницы без бурта'!B362</f>
        <v>177.5</v>
      </c>
      <c r="AE362" s="220">
        <f>'[2]Изложницы без бурта'!C362</f>
        <v>263</v>
      </c>
      <c r="AF362" s="56">
        <f>'[2]Изложницы без бурта'!D362</f>
        <v>285</v>
      </c>
      <c r="AG362" s="56">
        <f>'[2]Изложницы без бурта'!E362</f>
        <v>320</v>
      </c>
      <c r="AH362" s="56" t="str">
        <f>'[2]Изложницы без бурта'!F362</f>
        <v>72.11870 - 16</v>
      </c>
      <c r="AI362" s="56">
        <f>'[2]Изложницы без бурта'!G362</f>
        <v>0</v>
      </c>
      <c r="AJ362" s="56">
        <f>'[2]Изложницы без бурта'!H362</f>
        <v>0</v>
      </c>
      <c r="AK362" s="56">
        <f>'[2]Изложницы без бурта'!I362</f>
        <v>0</v>
      </c>
      <c r="AL362" s="56" t="s">
        <v>608</v>
      </c>
      <c r="AM362" s="56">
        <f>'[2]Изложницы без бурта'!K362</f>
        <v>0</v>
      </c>
    </row>
    <row r="363" spans="1:39" x14ac:dyDescent="0.25">
      <c r="A363" s="316"/>
      <c r="B363" s="1281"/>
      <c r="AB363" s="258" t="str">
        <f t="shared" si="15"/>
        <v/>
      </c>
      <c r="AC363" s="259">
        <f>IF(COUNTIF(AD$78:AD363,AD363)=1,MAX(AC$78:AC362)+1,"")</f>
        <v>37</v>
      </c>
      <c r="AD363" s="220">
        <f>'[2]Изложницы без бурта'!B363</f>
        <v>180</v>
      </c>
      <c r="AE363" s="220">
        <f>'[2]Изложницы без бурта'!C363</f>
        <v>265</v>
      </c>
      <c r="AF363" s="56">
        <f>'[2]Изложницы без бурта'!D363</f>
        <v>285</v>
      </c>
      <c r="AG363" s="56">
        <f>'[2]Изложницы без бурта'!E363</f>
        <v>320</v>
      </c>
      <c r="AH363" s="56" t="str">
        <f>'[2]Изложницы без бурта'!F363</f>
        <v>72.11870 - 17</v>
      </c>
      <c r="AI363" s="56">
        <f>'[2]Изложницы без бурта'!G363</f>
        <v>0</v>
      </c>
      <c r="AJ363" s="56">
        <f>'[2]Изложницы без бурта'!H363</f>
        <v>0</v>
      </c>
      <c r="AK363" s="56">
        <f>'[2]Изложницы без бурта'!I363</f>
        <v>0</v>
      </c>
      <c r="AL363" s="56" t="s">
        <v>609</v>
      </c>
      <c r="AM363" s="56">
        <f>'[2]Изложницы без бурта'!K363</f>
        <v>0</v>
      </c>
    </row>
    <row r="364" spans="1:39" x14ac:dyDescent="0.25">
      <c r="A364" s="316"/>
      <c r="B364" s="1281"/>
      <c r="AB364" s="258" t="str">
        <f t="shared" si="15"/>
        <v/>
      </c>
      <c r="AC364" s="259" t="str">
        <f>IF(COUNTIF(AD$78:AD364,AD364)=1,MAX(AC$78:AC363)+1,"")</f>
        <v/>
      </c>
      <c r="AD364" s="220">
        <f>'[2]Изложницы без бурта'!B364</f>
        <v>180</v>
      </c>
      <c r="AE364" s="220">
        <f>'[2]Изложницы без бурта'!C364</f>
        <v>265</v>
      </c>
      <c r="AF364" s="56">
        <f>'[2]Изложницы без бурта'!D364</f>
        <v>285</v>
      </c>
      <c r="AG364" s="56">
        <f>'[2]Изложницы без бурта'!E364</f>
        <v>320</v>
      </c>
      <c r="AH364" s="56" t="str">
        <f>'[2]Изложницы без бурта'!F364</f>
        <v>72.11870 - 17</v>
      </c>
      <c r="AI364" s="56">
        <f>'[2]Изложницы без бурта'!G364</f>
        <v>0</v>
      </c>
      <c r="AJ364" s="56">
        <f>'[2]Изложницы без бурта'!H364</f>
        <v>0</v>
      </c>
      <c r="AK364" s="56">
        <f>'[2]Изложницы без бурта'!I364</f>
        <v>0</v>
      </c>
      <c r="AL364" s="56" t="s">
        <v>609</v>
      </c>
      <c r="AM364" s="56">
        <f>'[2]Изложницы без бурта'!K364</f>
        <v>0</v>
      </c>
    </row>
    <row r="365" spans="1:39" x14ac:dyDescent="0.25">
      <c r="A365" s="316"/>
      <c r="B365" s="1281"/>
      <c r="AB365" s="258" t="str">
        <f t="shared" si="15"/>
        <v/>
      </c>
      <c r="AC365" s="259" t="str">
        <f>IF(COUNTIF(AD$78:AD365,AD365)=1,MAX(AC$78:AC364)+1,"")</f>
        <v/>
      </c>
      <c r="AD365" s="220">
        <f>'[2]Изложницы без бурта'!B365</f>
        <v>180</v>
      </c>
      <c r="AE365" s="220">
        <f>'[2]Изложницы без бурта'!C365</f>
        <v>260</v>
      </c>
      <c r="AF365" s="56">
        <f>'[2]Изложницы без бурта'!D365</f>
        <v>285</v>
      </c>
      <c r="AG365" s="56">
        <f>'[2]Изложницы без бурта'!E365</f>
        <v>320</v>
      </c>
      <c r="AH365" s="56" t="str">
        <f>'[2]Изложницы без бурта'!F365</f>
        <v>72.11870 - 17</v>
      </c>
      <c r="AI365" s="56">
        <f>'[2]Изложницы без бурта'!G365</f>
        <v>0</v>
      </c>
      <c r="AJ365" s="56">
        <f>'[2]Изложницы без бурта'!H365</f>
        <v>0</v>
      </c>
      <c r="AK365" s="56">
        <f>'[2]Изложницы без бурта'!I365</f>
        <v>0</v>
      </c>
      <c r="AL365" s="56" t="s">
        <v>609</v>
      </c>
      <c r="AM365" s="56">
        <f>'[2]Изложницы без бурта'!K365</f>
        <v>0</v>
      </c>
    </row>
    <row r="366" spans="1:39" x14ac:dyDescent="0.25">
      <c r="A366" s="316"/>
      <c r="B366" s="1281"/>
      <c r="AB366" s="258" t="str">
        <f t="shared" si="15"/>
        <v/>
      </c>
      <c r="AC366" s="259" t="str">
        <f>IF(COUNTIF(AD$78:AD366,AD366)=1,MAX(AC$78:AC365)+1,"")</f>
        <v/>
      </c>
      <c r="AD366" s="220">
        <f>'[2]Изложницы без бурта'!B366</f>
        <v>180</v>
      </c>
      <c r="AE366" s="220">
        <f>'[2]Изложницы без бурта'!C366</f>
        <v>260</v>
      </c>
      <c r="AF366" s="56">
        <f>'[2]Изложницы без бурта'!D366</f>
        <v>285</v>
      </c>
      <c r="AG366" s="56">
        <f>'[2]Изложницы без бурта'!E366</f>
        <v>320</v>
      </c>
      <c r="AH366" s="56" t="str">
        <f>'[2]Изложницы без бурта'!F366</f>
        <v>72.11870 - 17</v>
      </c>
      <c r="AI366" s="56">
        <f>'[2]Изложницы без бурта'!G366</f>
        <v>0</v>
      </c>
      <c r="AJ366" s="56">
        <f>'[2]Изложницы без бурта'!H366</f>
        <v>0</v>
      </c>
      <c r="AK366" s="56">
        <f>'[2]Изложницы без бурта'!I366</f>
        <v>0</v>
      </c>
      <c r="AL366" s="56" t="s">
        <v>609</v>
      </c>
      <c r="AM366" s="56">
        <f>'[2]Изложницы без бурта'!K366</f>
        <v>0</v>
      </c>
    </row>
    <row r="367" spans="1:39" x14ac:dyDescent="0.25">
      <c r="A367" s="316"/>
      <c r="B367" s="1281"/>
      <c r="AB367" s="258" t="str">
        <f t="shared" si="15"/>
        <v/>
      </c>
      <c r="AC367" s="259" t="str">
        <f>IF(COUNTIF(AD$78:AD367,AD367)=1,MAX(AC$78:AC366)+1,"")</f>
        <v/>
      </c>
      <c r="AD367" s="220">
        <f>'[2]Изложницы без бурта'!B367</f>
        <v>180</v>
      </c>
      <c r="AE367" s="220">
        <f>'[2]Изложницы без бурта'!C367</f>
        <v>317</v>
      </c>
      <c r="AF367" s="56">
        <f>'[2]Изложницы без бурта'!D367</f>
        <v>285</v>
      </c>
      <c r="AG367" s="56">
        <f>'[2]Изложницы без бурта'!E367</f>
        <v>320</v>
      </c>
      <c r="AH367" s="56" t="str">
        <f>'[2]Изложницы без бурта'!F367</f>
        <v>72.11871 - 17</v>
      </c>
      <c r="AI367" s="56">
        <f>'[2]Изложницы без бурта'!G367</f>
        <v>0</v>
      </c>
      <c r="AJ367" s="56">
        <f>'[2]Изложницы без бурта'!H367</f>
        <v>0</v>
      </c>
      <c r="AK367" s="56">
        <f>'[2]Изложницы без бурта'!I367</f>
        <v>0</v>
      </c>
      <c r="AL367" s="56" t="s">
        <v>609</v>
      </c>
      <c r="AM367" s="56">
        <f>'[2]Изложницы без бурта'!K367</f>
        <v>0</v>
      </c>
    </row>
    <row r="368" spans="1:39" x14ac:dyDescent="0.25">
      <c r="A368" s="316"/>
      <c r="B368" s="1281"/>
      <c r="AB368" s="258" t="str">
        <f t="shared" si="15"/>
        <v/>
      </c>
      <c r="AC368" s="259" t="str">
        <f>IF(COUNTIF(AD$78:AD368,AD368)=1,MAX(AC$78:AC367)+1,"")</f>
        <v/>
      </c>
      <c r="AD368" s="220">
        <f>'[2]Изложницы без бурта'!B368</f>
        <v>180</v>
      </c>
      <c r="AE368" s="220">
        <f>'[2]Изложницы без бурта'!C368</f>
        <v>380</v>
      </c>
      <c r="AF368" s="56">
        <f>'[2]Изложницы без бурта'!D368</f>
        <v>285</v>
      </c>
      <c r="AG368" s="56">
        <f>'[2]Изложницы без бурта'!E368</f>
        <v>320</v>
      </c>
      <c r="AH368" s="56" t="str">
        <f>'[2]Изложницы без бурта'!F368</f>
        <v>72.42461 - 17</v>
      </c>
      <c r="AI368" s="56">
        <f>'[2]Изложницы без бурта'!G368</f>
        <v>0</v>
      </c>
      <c r="AJ368" s="56">
        <f>'[2]Изложницы без бурта'!H368</f>
        <v>0</v>
      </c>
      <c r="AK368" s="56">
        <f>'[2]Изложницы без бурта'!I368</f>
        <v>0</v>
      </c>
      <c r="AL368" s="56" t="s">
        <v>609</v>
      </c>
      <c r="AM368" s="56">
        <f>'[2]Изложницы без бурта'!K368</f>
        <v>0</v>
      </c>
    </row>
    <row r="369" spans="1:39" x14ac:dyDescent="0.25">
      <c r="A369" s="316"/>
      <c r="B369" s="1281"/>
      <c r="AB369" s="258" t="str">
        <f t="shared" si="15"/>
        <v/>
      </c>
      <c r="AC369" s="259" t="str">
        <f>IF(COUNTIF(AD$78:AD369,AD369)=1,MAX(AC$78:AC368)+1,"")</f>
        <v/>
      </c>
      <c r="AD369" s="220">
        <f>'[2]Изложницы без бурта'!B369</f>
        <v>180</v>
      </c>
      <c r="AE369" s="220">
        <f>'[2]Изложницы без бурта'!C369</f>
        <v>315</v>
      </c>
      <c r="AF369" s="56">
        <f>'[2]Изложницы без бурта'!D369</f>
        <v>285</v>
      </c>
      <c r="AG369" s="56">
        <f>'[2]Изложницы без бурта'!E369</f>
        <v>320</v>
      </c>
      <c r="AH369" s="56" t="str">
        <f>'[2]Изложницы без бурта'!F369</f>
        <v>72.11871 - 17</v>
      </c>
      <c r="AI369" s="56">
        <f>'[2]Изложницы без бурта'!G369</f>
        <v>0</v>
      </c>
      <c r="AJ369" s="56">
        <f>'[2]Изложницы без бурта'!H369</f>
        <v>0</v>
      </c>
      <c r="AK369" s="56">
        <f>'[2]Изложницы без бурта'!I369</f>
        <v>0</v>
      </c>
      <c r="AL369" s="56" t="s">
        <v>609</v>
      </c>
      <c r="AM369" s="56">
        <f>'[2]Изложницы без бурта'!K369</f>
        <v>0</v>
      </c>
    </row>
    <row r="370" spans="1:39" x14ac:dyDescent="0.25">
      <c r="A370" s="316"/>
      <c r="B370" s="1281"/>
      <c r="AB370" s="258" t="str">
        <f t="shared" si="15"/>
        <v/>
      </c>
      <c r="AC370" s="259" t="str">
        <f>IF(COUNTIF(AD$78:AD370,AD370)=1,MAX(AC$78:AC369)+1,"")</f>
        <v/>
      </c>
      <c r="AD370" s="220">
        <f>'[2]Изложницы без бурта'!B370</f>
        <v>180</v>
      </c>
      <c r="AE370" s="220">
        <f>'[2]Изложницы без бурта'!C370</f>
        <v>265</v>
      </c>
      <c r="AF370" s="56">
        <f>'[2]Изложницы без бурта'!D370</f>
        <v>285</v>
      </c>
      <c r="AG370" s="56">
        <f>'[2]Изложницы без бурта'!E370</f>
        <v>320</v>
      </c>
      <c r="AH370" s="56" t="str">
        <f>'[2]Изложницы без бурта'!F370</f>
        <v>72.11870 - 17</v>
      </c>
      <c r="AI370" s="56">
        <f>'[2]Изложницы без бурта'!G370</f>
        <v>0</v>
      </c>
      <c r="AJ370" s="56">
        <f>'[2]Изложницы без бурта'!H370</f>
        <v>0</v>
      </c>
      <c r="AK370" s="56">
        <f>'[2]Изложницы без бурта'!I370</f>
        <v>0</v>
      </c>
      <c r="AL370" s="56" t="s">
        <v>609</v>
      </c>
      <c r="AM370" s="56">
        <f>'[2]Изложницы без бурта'!K370</f>
        <v>0</v>
      </c>
    </row>
    <row r="371" spans="1:39" x14ac:dyDescent="0.25">
      <c r="A371" s="316"/>
      <c r="B371" s="1281"/>
      <c r="AB371" s="258" t="str">
        <f t="shared" si="15"/>
        <v/>
      </c>
      <c r="AC371" s="259" t="str">
        <f>IF(COUNTIF(AD$78:AD371,AD371)=1,MAX(AC$78:AC370)+1,"")</f>
        <v/>
      </c>
      <c r="AD371" s="220">
        <f>'[2]Изложницы без бурта'!B371</f>
        <v>180</v>
      </c>
      <c r="AE371" s="220">
        <f>'[2]Изложницы без бурта'!C371</f>
        <v>380</v>
      </c>
      <c r="AF371" s="56">
        <f>'[2]Изложницы без бурта'!D371</f>
        <v>285</v>
      </c>
      <c r="AG371" s="56">
        <f>'[2]Изложницы без бурта'!E371</f>
        <v>320</v>
      </c>
      <c r="AH371" s="56" t="str">
        <f>'[2]Изложницы без бурта'!F371</f>
        <v>72.42461 - 17</v>
      </c>
      <c r="AI371" s="56">
        <f>'[2]Изложницы без бурта'!G371</f>
        <v>0</v>
      </c>
      <c r="AJ371" s="56">
        <f>'[2]Изложницы без бурта'!H371</f>
        <v>0</v>
      </c>
      <c r="AK371" s="56">
        <f>'[2]Изложницы без бурта'!I371</f>
        <v>0</v>
      </c>
      <c r="AL371" s="56" t="s">
        <v>609</v>
      </c>
      <c r="AM371" s="56">
        <f>'[2]Изложницы без бурта'!K371</f>
        <v>0</v>
      </c>
    </row>
    <row r="372" spans="1:39" x14ac:dyDescent="0.25">
      <c r="A372" s="316"/>
      <c r="B372" s="1281"/>
      <c r="AB372" s="258" t="str">
        <f t="shared" si="15"/>
        <v/>
      </c>
      <c r="AC372" s="259" t="str">
        <f>IF(COUNTIF(AD$78:AD372,AD372)=1,MAX(AC$78:AC371)+1,"")</f>
        <v/>
      </c>
      <c r="AD372" s="220">
        <f>'[2]Изложницы без бурта'!B372</f>
        <v>180</v>
      </c>
      <c r="AE372" s="220">
        <f>'[2]Изложницы без бурта'!C372</f>
        <v>265</v>
      </c>
      <c r="AF372" s="56">
        <f>'[2]Изложницы без бурта'!D372</f>
        <v>285</v>
      </c>
      <c r="AG372" s="56">
        <f>'[2]Изложницы без бурта'!E372</f>
        <v>320</v>
      </c>
      <c r="AH372" s="56" t="str">
        <f>'[2]Изложницы без бурта'!F372</f>
        <v>72.11870 - 17</v>
      </c>
      <c r="AI372" s="56">
        <f>'[2]Изложницы без бурта'!G372</f>
        <v>0</v>
      </c>
      <c r="AJ372" s="56">
        <f>'[2]Изложницы без бурта'!H372</f>
        <v>0</v>
      </c>
      <c r="AK372" s="56">
        <f>'[2]Изложницы без бурта'!I372</f>
        <v>0</v>
      </c>
      <c r="AL372" s="56" t="s">
        <v>609</v>
      </c>
      <c r="AM372" s="56">
        <f>'[2]Изложницы без бурта'!K372</f>
        <v>0</v>
      </c>
    </row>
    <row r="373" spans="1:39" x14ac:dyDescent="0.25">
      <c r="A373" s="316"/>
      <c r="B373" s="1281"/>
      <c r="AB373" s="258" t="str">
        <f t="shared" si="15"/>
        <v/>
      </c>
      <c r="AC373" s="259" t="str">
        <f>IF(COUNTIF(AD$78:AD373,AD373)=1,MAX(AC$78:AC372)+1,"")</f>
        <v/>
      </c>
      <c r="AD373" s="220">
        <f>'[2]Изложницы без бурта'!B373</f>
        <v>180</v>
      </c>
      <c r="AE373" s="220">
        <f>'[2]Изложницы без бурта'!C373</f>
        <v>265</v>
      </c>
      <c r="AF373" s="56">
        <f>'[2]Изложницы без бурта'!D373</f>
        <v>285</v>
      </c>
      <c r="AG373" s="56">
        <f>'[2]Изложницы без бурта'!E373</f>
        <v>320</v>
      </c>
      <c r="AH373" s="56" t="str">
        <f>'[2]Изложницы без бурта'!F373</f>
        <v>72.11870 - 17</v>
      </c>
      <c r="AI373" s="56">
        <f>'[2]Изложницы без бурта'!G373</f>
        <v>0</v>
      </c>
      <c r="AJ373" s="56">
        <f>'[2]Изложницы без бурта'!H373</f>
        <v>0</v>
      </c>
      <c r="AK373" s="56">
        <f>'[2]Изложницы без бурта'!I373</f>
        <v>0</v>
      </c>
      <c r="AL373" s="56" t="s">
        <v>609</v>
      </c>
      <c r="AM373" s="56">
        <f>'[2]Изложницы без бурта'!K373</f>
        <v>0</v>
      </c>
    </row>
    <row r="374" spans="1:39" x14ac:dyDescent="0.25">
      <c r="A374" s="316"/>
      <c r="B374" s="1281"/>
      <c r="AB374" s="258" t="str">
        <f t="shared" si="15"/>
        <v/>
      </c>
      <c r="AC374" s="259" t="str">
        <f>IF(COUNTIF(AD$78:AD374,AD374)=1,MAX(AC$78:AC373)+1,"")</f>
        <v/>
      </c>
      <c r="AD374" s="220">
        <f>'[2]Изложницы без бурта'!B374</f>
        <v>180</v>
      </c>
      <c r="AE374" s="220">
        <f>'[2]Изложницы без бурта'!C374</f>
        <v>500</v>
      </c>
      <c r="AF374" s="56">
        <f>'[2]Изложницы без бурта'!D374</f>
        <v>285</v>
      </c>
      <c r="AG374" s="56">
        <f>'[2]Изложницы без бурта'!E374</f>
        <v>320</v>
      </c>
      <c r="AH374" s="56" t="str">
        <f>'[2]Изложницы без бурта'!F374</f>
        <v>72.23398 - 01</v>
      </c>
      <c r="AI374" s="56">
        <f>'[2]Изложницы без бурта'!G374</f>
        <v>0</v>
      </c>
      <c r="AJ374" s="56">
        <f>'[2]Изложницы без бурта'!H374</f>
        <v>0</v>
      </c>
      <c r="AK374" s="56">
        <f>'[2]Изложницы без бурта'!I374</f>
        <v>0</v>
      </c>
      <c r="AL374" s="56" t="s">
        <v>609</v>
      </c>
      <c r="AM374" s="56">
        <f>'[2]Изложницы без бурта'!K374</f>
        <v>0</v>
      </c>
    </row>
    <row r="375" spans="1:39" x14ac:dyDescent="0.25">
      <c r="A375" s="316"/>
      <c r="B375" s="1281"/>
      <c r="AB375" s="258" t="str">
        <f t="shared" si="15"/>
        <v/>
      </c>
      <c r="AC375" s="259">
        <f>IF(COUNTIF(AD$78:AD375,AD375)=1,MAX(AC$78:AC374)+1,"")</f>
        <v>38</v>
      </c>
      <c r="AD375" s="220">
        <f>'[2]Изложницы без бурта'!B375</f>
        <v>182.5</v>
      </c>
      <c r="AE375" s="220">
        <f>'[2]Изложницы без бурта'!C375</f>
        <v>262</v>
      </c>
      <c r="AF375" s="56">
        <f>'[2]Изложницы без бурта'!D375</f>
        <v>285</v>
      </c>
      <c r="AG375" s="56">
        <f>'[2]Изложницы без бурта'!E375</f>
        <v>320</v>
      </c>
      <c r="AH375" s="56" t="str">
        <f>'[2]Изложницы без бурта'!F375</f>
        <v>72.11870 - 18</v>
      </c>
      <c r="AI375" s="56">
        <f>'[2]Изложницы без бурта'!G375</f>
        <v>0</v>
      </c>
      <c r="AJ375" s="56">
        <f>'[2]Изложницы без бурта'!H375</f>
        <v>0</v>
      </c>
      <c r="AK375" s="56">
        <f>'[2]Изложницы без бурта'!I375</f>
        <v>0</v>
      </c>
      <c r="AL375" s="56" t="s">
        <v>610</v>
      </c>
      <c r="AM375" s="56">
        <f>'[2]Изложницы без бурта'!K375</f>
        <v>0</v>
      </c>
    </row>
    <row r="376" spans="1:39" x14ac:dyDescent="0.25">
      <c r="A376" s="316"/>
      <c r="B376" s="1281"/>
      <c r="AB376" s="258" t="str">
        <f t="shared" si="15"/>
        <v/>
      </c>
      <c r="AC376" s="259" t="str">
        <f>IF(COUNTIF(AD$78:AD376,AD376)=1,MAX(AC$78:AC375)+1,"")</f>
        <v/>
      </c>
      <c r="AD376" s="220">
        <f>'[2]Изложницы без бурта'!B376</f>
        <v>182.5</v>
      </c>
      <c r="AE376" s="220">
        <f>'[2]Изложницы без бурта'!C376</f>
        <v>265</v>
      </c>
      <c r="AF376" s="56">
        <f>'[2]Изложницы без бурта'!D376</f>
        <v>285</v>
      </c>
      <c r="AG376" s="56">
        <f>'[2]Изложницы без бурта'!E376</f>
        <v>320</v>
      </c>
      <c r="AH376" s="56" t="str">
        <f>'[2]Изложницы без бурта'!F376</f>
        <v>72.11870 - 18</v>
      </c>
      <c r="AI376" s="56">
        <f>'[2]Изложницы без бурта'!G376</f>
        <v>0</v>
      </c>
      <c r="AJ376" s="56">
        <f>'[2]Изложницы без бурта'!H376</f>
        <v>0</v>
      </c>
      <c r="AK376" s="56">
        <f>'[2]Изложницы без бурта'!I376</f>
        <v>0</v>
      </c>
      <c r="AL376" s="56" t="s">
        <v>610</v>
      </c>
      <c r="AM376" s="56">
        <f>'[2]Изложницы без бурта'!K376</f>
        <v>0</v>
      </c>
    </row>
    <row r="377" spans="1:39" x14ac:dyDescent="0.25">
      <c r="A377" s="316"/>
      <c r="B377" s="1281"/>
      <c r="AB377" s="258" t="str">
        <f t="shared" ref="AB377:AB440" si="16">IF(MAX(AC377:AC1454)&lt;ROW(299:299),"",VLOOKUP(ROW(299:299),AC377:AD1454,2))</f>
        <v/>
      </c>
      <c r="AC377" s="259" t="str">
        <f>IF(COUNTIF(AD$78:AD377,AD377)=1,MAX(AC$78:AC376)+1,"")</f>
        <v/>
      </c>
      <c r="AD377" s="220">
        <f>'[2]Изложницы без бурта'!B377</f>
        <v>182.5</v>
      </c>
      <c r="AE377" s="220">
        <f>'[2]Изложницы без бурта'!C377</f>
        <v>265</v>
      </c>
      <c r="AF377" s="56">
        <f>'[2]Изложницы без бурта'!D377</f>
        <v>285</v>
      </c>
      <c r="AG377" s="56">
        <f>'[2]Изложницы без бурта'!E377</f>
        <v>320</v>
      </c>
      <c r="AH377" s="56" t="str">
        <f>'[2]Изложницы без бурта'!F377</f>
        <v>72.11870 - 18</v>
      </c>
      <c r="AI377" s="56">
        <f>'[2]Изложницы без бурта'!G377</f>
        <v>0</v>
      </c>
      <c r="AJ377" s="56">
        <f>'[2]Изложницы без бурта'!H377</f>
        <v>0</v>
      </c>
      <c r="AK377" s="56">
        <f>'[2]Изложницы без бурта'!I377</f>
        <v>0</v>
      </c>
      <c r="AL377" s="56" t="s">
        <v>610</v>
      </c>
      <c r="AM377" s="56">
        <f>'[2]Изложницы без бурта'!K377</f>
        <v>0</v>
      </c>
    </row>
    <row r="378" spans="1:39" x14ac:dyDescent="0.25">
      <c r="A378" s="316"/>
      <c r="B378" s="1281"/>
      <c r="AB378" s="258" t="str">
        <f t="shared" si="16"/>
        <v/>
      </c>
      <c r="AC378" s="259" t="str">
        <f>IF(COUNTIF(AD$78:AD378,AD378)=1,MAX(AC$78:AC377)+1,"")</f>
        <v/>
      </c>
      <c r="AD378" s="220">
        <f>'[2]Изложницы без бурта'!B378</f>
        <v>182.5</v>
      </c>
      <c r="AE378" s="220">
        <f>'[2]Изложницы без бурта'!C378</f>
        <v>265</v>
      </c>
      <c r="AF378" s="56">
        <f>'[2]Изложницы без бурта'!D378</f>
        <v>285</v>
      </c>
      <c r="AG378" s="56">
        <f>'[2]Изложницы без бурта'!E378</f>
        <v>320</v>
      </c>
      <c r="AH378" s="56" t="str">
        <f>'[2]Изложницы без бурта'!F378</f>
        <v>72.11870 - 18</v>
      </c>
      <c r="AI378" s="56">
        <f>'[2]Изложницы без бурта'!G378</f>
        <v>0</v>
      </c>
      <c r="AJ378" s="56">
        <f>'[2]Изложницы без бурта'!H378</f>
        <v>0</v>
      </c>
      <c r="AK378" s="56">
        <f>'[2]Изложницы без бурта'!I378</f>
        <v>0</v>
      </c>
      <c r="AL378" s="56" t="s">
        <v>610</v>
      </c>
      <c r="AM378" s="56">
        <f>'[2]Изложницы без бурта'!K378</f>
        <v>0</v>
      </c>
    </row>
    <row r="379" spans="1:39" x14ac:dyDescent="0.25">
      <c r="A379" s="316"/>
      <c r="B379" s="1281"/>
      <c r="AB379" s="258" t="str">
        <f t="shared" si="16"/>
        <v/>
      </c>
      <c r="AC379" s="259" t="str">
        <f>IF(COUNTIF(AD$78:AD379,AD379)=1,MAX(AC$78:AC378)+1,"")</f>
        <v/>
      </c>
      <c r="AD379" s="220">
        <f>'[2]Изложницы без бурта'!B379</f>
        <v>182.5</v>
      </c>
      <c r="AE379" s="220">
        <f>'[2]Изложницы без бурта'!C379</f>
        <v>265</v>
      </c>
      <c r="AF379" s="56">
        <f>'[2]Изложницы без бурта'!D379</f>
        <v>285</v>
      </c>
      <c r="AG379" s="56">
        <f>'[2]Изложницы без бурта'!E379</f>
        <v>320</v>
      </c>
      <c r="AH379" s="56" t="str">
        <f>'[2]Изложницы без бурта'!F379</f>
        <v>72.11870 - 18</v>
      </c>
      <c r="AI379" s="56">
        <f>'[2]Изложницы без бурта'!G379</f>
        <v>0</v>
      </c>
      <c r="AJ379" s="56">
        <f>'[2]Изложницы без бурта'!H379</f>
        <v>0</v>
      </c>
      <c r="AK379" s="56">
        <f>'[2]Изложницы без бурта'!I379</f>
        <v>0</v>
      </c>
      <c r="AL379" s="56" t="s">
        <v>610</v>
      </c>
      <c r="AM379" s="56">
        <f>'[2]Изложницы без бурта'!K379</f>
        <v>0</v>
      </c>
    </row>
    <row r="380" spans="1:39" x14ac:dyDescent="0.25">
      <c r="A380" s="316"/>
      <c r="B380" s="1281"/>
      <c r="AB380" s="258" t="str">
        <f t="shared" si="16"/>
        <v/>
      </c>
      <c r="AC380" s="259" t="str">
        <f>IF(COUNTIF(AD$78:AD380,AD380)=1,MAX(AC$78:AC379)+1,"")</f>
        <v/>
      </c>
      <c r="AD380" s="220">
        <f>'[2]Изложницы без бурта'!B380</f>
        <v>182.5</v>
      </c>
      <c r="AE380" s="220">
        <f>'[2]Изложницы без бурта'!C380</f>
        <v>255</v>
      </c>
      <c r="AF380" s="56">
        <f>'[2]Изложницы без бурта'!D380</f>
        <v>285</v>
      </c>
      <c r="AG380" s="56">
        <f>'[2]Изложницы без бурта'!E380</f>
        <v>320</v>
      </c>
      <c r="AH380" s="56" t="str">
        <f>'[2]Изложницы без бурта'!F380</f>
        <v>72.11870 - 18</v>
      </c>
      <c r="AI380" s="56">
        <f>'[2]Изложницы без бурта'!G380</f>
        <v>0</v>
      </c>
      <c r="AJ380" s="56">
        <f>'[2]Изложницы без бурта'!H380</f>
        <v>0</v>
      </c>
      <c r="AK380" s="56">
        <f>'[2]Изложницы без бурта'!I380</f>
        <v>0</v>
      </c>
      <c r="AL380" s="56" t="s">
        <v>610</v>
      </c>
      <c r="AM380" s="56">
        <f>'[2]Изложницы без бурта'!K380</f>
        <v>0</v>
      </c>
    </row>
    <row r="381" spans="1:39" x14ac:dyDescent="0.25">
      <c r="A381" s="316"/>
      <c r="B381" s="1281"/>
      <c r="AB381" s="258" t="str">
        <f t="shared" si="16"/>
        <v/>
      </c>
      <c r="AC381" s="259">
        <f>IF(COUNTIF(AD$78:AD381,AD381)=1,MAX(AC$78:AC380)+1,"")</f>
        <v>39</v>
      </c>
      <c r="AD381" s="220">
        <f>'[2]Изложницы без бурта'!B381</f>
        <v>185</v>
      </c>
      <c r="AE381" s="220">
        <f>'[2]Изложницы без бурта'!C381</f>
        <v>260</v>
      </c>
      <c r="AF381" s="56">
        <f>'[2]Изложницы без бурта'!D381</f>
        <v>285</v>
      </c>
      <c r="AG381" s="56">
        <f>'[2]Изложницы без бурта'!E381</f>
        <v>320</v>
      </c>
      <c r="AH381" s="56" t="str">
        <f>'[2]Изложницы без бурта'!F381</f>
        <v>72.11870 - 19</v>
      </c>
      <c r="AI381" s="56">
        <f>'[2]Изложницы без бурта'!G381</f>
        <v>0</v>
      </c>
      <c r="AJ381" s="56">
        <f>'[2]Изложницы без бурта'!H381</f>
        <v>0</v>
      </c>
      <c r="AK381" s="56">
        <f>'[2]Изложницы без бурта'!I381</f>
        <v>0</v>
      </c>
      <c r="AL381" s="56" t="s">
        <v>611</v>
      </c>
      <c r="AM381" s="56">
        <f>'[2]Изложницы без бурта'!K381</f>
        <v>0</v>
      </c>
    </row>
    <row r="382" spans="1:39" x14ac:dyDescent="0.25">
      <c r="A382" s="316"/>
      <c r="B382" s="1281"/>
      <c r="AB382" s="258" t="str">
        <f t="shared" si="16"/>
        <v/>
      </c>
      <c r="AC382" s="259" t="str">
        <f>IF(COUNTIF(AD$78:AD382,AD382)=1,MAX(AC$78:AC381)+1,"")</f>
        <v/>
      </c>
      <c r="AD382" s="220">
        <f>'[2]Изложницы без бурта'!B382</f>
        <v>185</v>
      </c>
      <c r="AE382" s="220">
        <f>'[2]Изложницы без бурта'!C382</f>
        <v>265</v>
      </c>
      <c r="AF382" s="56">
        <f>'[2]Изложницы без бурта'!D382</f>
        <v>285</v>
      </c>
      <c r="AG382" s="56">
        <f>'[2]Изложницы без бурта'!E382</f>
        <v>320</v>
      </c>
      <c r="AH382" s="56" t="str">
        <f>'[2]Изложницы без бурта'!F382</f>
        <v>72.11870 - 19</v>
      </c>
      <c r="AI382" s="56">
        <f>'[2]Изложницы без бурта'!G382</f>
        <v>0</v>
      </c>
      <c r="AJ382" s="56">
        <f>'[2]Изложницы без бурта'!H382</f>
        <v>0</v>
      </c>
      <c r="AK382" s="56">
        <f>'[2]Изложницы без бурта'!I382</f>
        <v>0</v>
      </c>
      <c r="AL382" s="56" t="s">
        <v>611</v>
      </c>
      <c r="AM382" s="56">
        <f>'[2]Изложницы без бурта'!K382</f>
        <v>0</v>
      </c>
    </row>
    <row r="383" spans="1:39" x14ac:dyDescent="0.25">
      <c r="A383" s="316"/>
      <c r="B383" s="1281"/>
      <c r="AB383" s="258" t="str">
        <f t="shared" si="16"/>
        <v/>
      </c>
      <c r="AC383" s="259" t="str">
        <f>IF(COUNTIF(AD$78:AD383,AD383)=1,MAX(AC$78:AC382)+1,"")</f>
        <v/>
      </c>
      <c r="AD383" s="220">
        <f>'[2]Изложницы без бурта'!B383</f>
        <v>185</v>
      </c>
      <c r="AE383" s="220">
        <f>'[2]Изложницы без бурта'!C383</f>
        <v>265</v>
      </c>
      <c r="AF383" s="56">
        <f>'[2]Изложницы без бурта'!D383</f>
        <v>285</v>
      </c>
      <c r="AG383" s="56">
        <f>'[2]Изложницы без бурта'!E383</f>
        <v>320</v>
      </c>
      <c r="AH383" s="56" t="str">
        <f>'[2]Изложницы без бурта'!F383</f>
        <v>72.11870 - 19</v>
      </c>
      <c r="AI383" s="56">
        <f>'[2]Изложницы без бурта'!G383</f>
        <v>0</v>
      </c>
      <c r="AJ383" s="56">
        <f>'[2]Изложницы без бурта'!H383</f>
        <v>0</v>
      </c>
      <c r="AK383" s="56">
        <f>'[2]Изложницы без бурта'!I383</f>
        <v>0</v>
      </c>
      <c r="AL383" s="56" t="s">
        <v>611</v>
      </c>
      <c r="AM383" s="56">
        <f>'[2]Изложницы без бурта'!K383</f>
        <v>0</v>
      </c>
    </row>
    <row r="384" spans="1:39" x14ac:dyDescent="0.25">
      <c r="A384" s="316"/>
      <c r="B384" s="1281"/>
      <c r="AB384" s="258" t="str">
        <f t="shared" si="16"/>
        <v/>
      </c>
      <c r="AC384" s="259" t="str">
        <f>IF(COUNTIF(AD$78:AD384,AD384)=1,MAX(AC$78:AC383)+1,"")</f>
        <v/>
      </c>
      <c r="AD384" s="220">
        <f>'[2]Изложницы без бурта'!B384</f>
        <v>185</v>
      </c>
      <c r="AE384" s="220">
        <f>'[2]Изложницы без бурта'!C384</f>
        <v>265</v>
      </c>
      <c r="AF384" s="56">
        <f>'[2]Изложницы без бурта'!D384</f>
        <v>285</v>
      </c>
      <c r="AG384" s="56">
        <f>'[2]Изложницы без бурта'!E384</f>
        <v>320</v>
      </c>
      <c r="AH384" s="56" t="str">
        <f>'[2]Изложницы без бурта'!F384</f>
        <v>72.11870 - 19</v>
      </c>
      <c r="AI384" s="56">
        <f>'[2]Изложницы без бурта'!G384</f>
        <v>0</v>
      </c>
      <c r="AJ384" s="56">
        <f>'[2]Изложницы без бурта'!H384</f>
        <v>0</v>
      </c>
      <c r="AK384" s="56">
        <f>'[2]Изложницы без бурта'!I384</f>
        <v>0</v>
      </c>
      <c r="AL384" s="56" t="s">
        <v>611</v>
      </c>
      <c r="AM384" s="56">
        <f>'[2]Изложницы без бурта'!K384</f>
        <v>0</v>
      </c>
    </row>
    <row r="385" spans="1:39" x14ac:dyDescent="0.25">
      <c r="A385" s="316"/>
      <c r="B385" s="1281"/>
      <c r="AB385" s="258" t="str">
        <f t="shared" si="16"/>
        <v/>
      </c>
      <c r="AC385" s="259" t="str">
        <f>IF(COUNTIF(AD$78:AD385,AD385)=1,MAX(AC$78:AC384)+1,"")</f>
        <v/>
      </c>
      <c r="AD385" s="220">
        <f>'[2]Изложницы без бурта'!B385</f>
        <v>185</v>
      </c>
      <c r="AE385" s="220">
        <f>'[2]Изложницы без бурта'!C385</f>
        <v>265</v>
      </c>
      <c r="AF385" s="56">
        <f>'[2]Изложницы без бурта'!D385</f>
        <v>285</v>
      </c>
      <c r="AG385" s="56">
        <f>'[2]Изложницы без бурта'!E385</f>
        <v>320</v>
      </c>
      <c r="AH385" s="56" t="str">
        <f>'[2]Изложницы без бурта'!F385</f>
        <v>72.11870 - 19</v>
      </c>
      <c r="AI385" s="56">
        <f>'[2]Изложницы без бурта'!G385</f>
        <v>0</v>
      </c>
      <c r="AJ385" s="56">
        <f>'[2]Изложницы без бурта'!H385</f>
        <v>0</v>
      </c>
      <c r="AK385" s="56">
        <f>'[2]Изложницы без бурта'!I385</f>
        <v>0</v>
      </c>
      <c r="AL385" s="56" t="s">
        <v>611</v>
      </c>
      <c r="AM385" s="56">
        <f>'[2]Изложницы без бурта'!K385</f>
        <v>0</v>
      </c>
    </row>
    <row r="386" spans="1:39" x14ac:dyDescent="0.25">
      <c r="A386" s="316"/>
      <c r="B386" s="1281"/>
      <c r="AB386" s="258" t="str">
        <f t="shared" si="16"/>
        <v/>
      </c>
      <c r="AC386" s="259" t="str">
        <f>IF(COUNTIF(AD$78:AD386,AD386)=1,MAX(AC$78:AC385)+1,"")</f>
        <v/>
      </c>
      <c r="AD386" s="220">
        <f>'[2]Изложницы без бурта'!B386</f>
        <v>185</v>
      </c>
      <c r="AE386" s="220">
        <f>'[2]Изложницы без бурта'!C386</f>
        <v>265</v>
      </c>
      <c r="AF386" s="56">
        <f>'[2]Изложницы без бурта'!D386</f>
        <v>285</v>
      </c>
      <c r="AG386" s="56">
        <f>'[2]Изложницы без бурта'!E386</f>
        <v>320</v>
      </c>
      <c r="AH386" s="56" t="str">
        <f>'[2]Изложницы без бурта'!F386</f>
        <v>72.11870 - 19</v>
      </c>
      <c r="AI386" s="56">
        <f>'[2]Изложницы без бурта'!G386</f>
        <v>0</v>
      </c>
      <c r="AJ386" s="56">
        <f>'[2]Изложницы без бурта'!H386</f>
        <v>0</v>
      </c>
      <c r="AK386" s="56">
        <f>'[2]Изложницы без бурта'!I386</f>
        <v>0</v>
      </c>
      <c r="AL386" s="56" t="s">
        <v>611</v>
      </c>
      <c r="AM386" s="56">
        <f>'[2]Изложницы без бурта'!K386</f>
        <v>0</v>
      </c>
    </row>
    <row r="387" spans="1:39" x14ac:dyDescent="0.25">
      <c r="A387" s="316"/>
      <c r="B387" s="1281"/>
      <c r="AB387" s="258" t="str">
        <f t="shared" si="16"/>
        <v/>
      </c>
      <c r="AC387" s="259" t="str">
        <f>IF(COUNTIF(AD$78:AD387,AD387)=1,MAX(AC$78:AC386)+1,"")</f>
        <v/>
      </c>
      <c r="AD387" s="220">
        <f>'[2]Изложницы без бурта'!B387</f>
        <v>185</v>
      </c>
      <c r="AE387" s="220">
        <f>'[2]Изложницы без бурта'!C387</f>
        <v>265</v>
      </c>
      <c r="AF387" s="56">
        <f>'[2]Изложницы без бурта'!D387</f>
        <v>285</v>
      </c>
      <c r="AG387" s="56">
        <f>'[2]Изложницы без бурта'!E387</f>
        <v>320</v>
      </c>
      <c r="AH387" s="56" t="str">
        <f>'[2]Изложницы без бурта'!F387</f>
        <v>72.11870 - 19</v>
      </c>
      <c r="AI387" s="56">
        <f>'[2]Изложницы без бурта'!G387</f>
        <v>0</v>
      </c>
      <c r="AJ387" s="56">
        <f>'[2]Изложницы без бурта'!H387</f>
        <v>0</v>
      </c>
      <c r="AK387" s="56">
        <f>'[2]Изложницы без бурта'!I387</f>
        <v>0</v>
      </c>
      <c r="AL387" s="56" t="s">
        <v>611</v>
      </c>
      <c r="AM387" s="56">
        <f>'[2]Изложницы без бурта'!K387</f>
        <v>0</v>
      </c>
    </row>
    <row r="388" spans="1:39" x14ac:dyDescent="0.25">
      <c r="A388" s="316"/>
      <c r="B388" s="1281"/>
      <c r="AB388" s="258" t="str">
        <f t="shared" si="16"/>
        <v/>
      </c>
      <c r="AC388" s="259" t="str">
        <f>IF(COUNTIF(AD$78:AD388,AD388)=1,MAX(AC$78:AC387)+1,"")</f>
        <v/>
      </c>
      <c r="AD388" s="220">
        <f>'[2]Изложницы без бурта'!B388</f>
        <v>185</v>
      </c>
      <c r="AE388" s="220">
        <f>'[2]Изложницы без бурта'!C388</f>
        <v>265</v>
      </c>
      <c r="AF388" s="56">
        <f>'[2]Изложницы без бурта'!D388</f>
        <v>285</v>
      </c>
      <c r="AG388" s="56">
        <f>'[2]Изложницы без бурта'!E388</f>
        <v>320</v>
      </c>
      <c r="AH388" s="56" t="str">
        <f>'[2]Изложницы без бурта'!F388</f>
        <v>72.11870 - 19</v>
      </c>
      <c r="AI388" s="56">
        <f>'[2]Изложницы без бурта'!G388</f>
        <v>0</v>
      </c>
      <c r="AJ388" s="56">
        <f>'[2]Изложницы без бурта'!H388</f>
        <v>0</v>
      </c>
      <c r="AK388" s="56">
        <f>'[2]Изложницы без бурта'!I388</f>
        <v>0</v>
      </c>
      <c r="AL388" s="56" t="s">
        <v>611</v>
      </c>
      <c r="AM388" s="56">
        <f>'[2]Изложницы без бурта'!K388</f>
        <v>0</v>
      </c>
    </row>
    <row r="389" spans="1:39" x14ac:dyDescent="0.25">
      <c r="A389" s="316"/>
      <c r="B389" s="1281"/>
      <c r="AB389" s="258" t="str">
        <f t="shared" si="16"/>
        <v/>
      </c>
      <c r="AC389" s="259" t="str">
        <f>IF(COUNTIF(AD$78:AD389,AD389)=1,MAX(AC$78:AC388)+1,"")</f>
        <v/>
      </c>
      <c r="AD389" s="220">
        <f>'[2]Изложницы без бурта'!B389</f>
        <v>185</v>
      </c>
      <c r="AE389" s="220">
        <f>'[2]Изложницы без бурта'!C389</f>
        <v>265</v>
      </c>
      <c r="AF389" s="56">
        <f>'[2]Изложницы без бурта'!D389</f>
        <v>285</v>
      </c>
      <c r="AG389" s="56">
        <f>'[2]Изложницы без бурта'!E389</f>
        <v>320</v>
      </c>
      <c r="AH389" s="56" t="str">
        <f>'[2]Изложницы без бурта'!F389</f>
        <v>72.11870 - 19</v>
      </c>
      <c r="AI389" s="56">
        <f>'[2]Изложницы без бурта'!G389</f>
        <v>0</v>
      </c>
      <c r="AJ389" s="56">
        <f>'[2]Изложницы без бурта'!H389</f>
        <v>0</v>
      </c>
      <c r="AK389" s="56">
        <f>'[2]Изложницы без бурта'!I389</f>
        <v>0</v>
      </c>
      <c r="AL389" s="56" t="s">
        <v>611</v>
      </c>
      <c r="AM389" s="56">
        <f>'[2]Изложницы без бурта'!K389</f>
        <v>0</v>
      </c>
    </row>
    <row r="390" spans="1:39" x14ac:dyDescent="0.25">
      <c r="A390" s="316"/>
      <c r="B390" s="1281"/>
      <c r="AB390" s="258" t="str">
        <f t="shared" si="16"/>
        <v/>
      </c>
      <c r="AC390" s="259" t="str">
        <f>IF(COUNTIF(AD$78:AD390,AD390)=1,MAX(AC$78:AC389)+1,"")</f>
        <v/>
      </c>
      <c r="AD390" s="220">
        <f>'[2]Изложницы без бурта'!B390</f>
        <v>185</v>
      </c>
      <c r="AE390" s="220">
        <f>'[2]Изложницы без бурта'!C390</f>
        <v>265</v>
      </c>
      <c r="AF390" s="56">
        <f>'[2]Изложницы без бурта'!D390</f>
        <v>285</v>
      </c>
      <c r="AG390" s="56">
        <f>'[2]Изложницы без бурта'!E390</f>
        <v>320</v>
      </c>
      <c r="AH390" s="56" t="str">
        <f>'[2]Изложницы без бурта'!F390</f>
        <v>72.11870 - 19</v>
      </c>
      <c r="AI390" s="56">
        <f>'[2]Изложницы без бурта'!G390</f>
        <v>0</v>
      </c>
      <c r="AJ390" s="56">
        <f>'[2]Изложницы без бурта'!H390</f>
        <v>0</v>
      </c>
      <c r="AK390" s="56">
        <f>'[2]Изложницы без бурта'!I390</f>
        <v>0</v>
      </c>
      <c r="AL390" s="56" t="s">
        <v>611</v>
      </c>
      <c r="AM390" s="56">
        <f>'[2]Изложницы без бурта'!K390</f>
        <v>0</v>
      </c>
    </row>
    <row r="391" spans="1:39" x14ac:dyDescent="0.25">
      <c r="A391" s="316"/>
      <c r="B391" s="1281"/>
      <c r="AB391" s="258" t="str">
        <f t="shared" si="16"/>
        <v/>
      </c>
      <c r="AC391" s="259" t="str">
        <f>IF(COUNTIF(AD$78:AD391,AD391)=1,MAX(AC$78:AC390)+1,"")</f>
        <v/>
      </c>
      <c r="AD391" s="220">
        <f>'[2]Изложницы без бурта'!B391</f>
        <v>185</v>
      </c>
      <c r="AE391" s="220">
        <f>'[2]Изложницы без бурта'!C391</f>
        <v>265</v>
      </c>
      <c r="AF391" s="56">
        <f>'[2]Изложницы без бурта'!D391</f>
        <v>285</v>
      </c>
      <c r="AG391" s="56">
        <f>'[2]Изложницы без бурта'!E391</f>
        <v>320</v>
      </c>
      <c r="AH391" s="56" t="str">
        <f>'[2]Изложницы без бурта'!F391</f>
        <v>72.11870 - 19</v>
      </c>
      <c r="AI391" s="56">
        <f>'[2]Изложницы без бурта'!G391</f>
        <v>0</v>
      </c>
      <c r="AJ391" s="56">
        <f>'[2]Изложницы без бурта'!H391</f>
        <v>0</v>
      </c>
      <c r="AK391" s="56">
        <f>'[2]Изложницы без бурта'!I391</f>
        <v>0</v>
      </c>
      <c r="AL391" s="56" t="s">
        <v>611</v>
      </c>
      <c r="AM391" s="56">
        <f>'[2]Изложницы без бурта'!K391</f>
        <v>0</v>
      </c>
    </row>
    <row r="392" spans="1:39" x14ac:dyDescent="0.25">
      <c r="A392" s="316"/>
      <c r="B392" s="1281"/>
      <c r="AB392" s="258" t="str">
        <f t="shared" si="16"/>
        <v/>
      </c>
      <c r="AC392" s="259" t="str">
        <f>IF(COUNTIF(AD$78:AD392,AD392)=1,MAX(AC$78:AC391)+1,"")</f>
        <v/>
      </c>
      <c r="AD392" s="220">
        <f>'[2]Изложницы без бурта'!B392</f>
        <v>185</v>
      </c>
      <c r="AE392" s="220">
        <f>'[2]Изложницы без бурта'!C392</f>
        <v>215</v>
      </c>
      <c r="AF392" s="56">
        <f>'[2]Изложницы без бурта'!D392</f>
        <v>285</v>
      </c>
      <c r="AG392" s="56">
        <f>'[2]Изложницы без бурта'!E392</f>
        <v>320</v>
      </c>
      <c r="AH392" s="56" t="str">
        <f>'[2]Изложницы без бурта'!F392</f>
        <v>10247619 - 1</v>
      </c>
      <c r="AI392" s="56">
        <f>'[2]Изложницы без бурта'!G392</f>
        <v>7260010</v>
      </c>
      <c r="AJ392" s="56">
        <f>'[2]Изложницы без бурта'!H392</f>
        <v>0</v>
      </c>
      <c r="AK392" s="56">
        <f>'[2]Изложницы без бурта'!I392</f>
        <v>0</v>
      </c>
      <c r="AL392" s="56" t="s">
        <v>611</v>
      </c>
      <c r="AM392" s="56">
        <f>'[2]Изложницы без бурта'!K392</f>
        <v>0</v>
      </c>
    </row>
    <row r="393" spans="1:39" x14ac:dyDescent="0.25">
      <c r="A393" s="316"/>
      <c r="B393" s="1281"/>
      <c r="AB393" s="258" t="str">
        <f t="shared" si="16"/>
        <v/>
      </c>
      <c r="AC393" s="259" t="str">
        <f>IF(COUNTIF(AD$78:AD393,AD393)=1,MAX(AC$78:AC392)+1,"")</f>
        <v/>
      </c>
      <c r="AD393" s="220">
        <f>'[2]Изложницы без бурта'!B393</f>
        <v>185</v>
      </c>
      <c r="AE393" s="220">
        <f>'[2]Изложницы без бурта'!C393</f>
        <v>215</v>
      </c>
      <c r="AF393" s="56">
        <f>'[2]Изложницы без бурта'!D393</f>
        <v>285</v>
      </c>
      <c r="AG393" s="56">
        <f>'[2]Изложницы без бурта'!E393</f>
        <v>320</v>
      </c>
      <c r="AH393" s="56" t="str">
        <f>'[2]Изложницы без бурта'!F393</f>
        <v>10.247619 - 1</v>
      </c>
      <c r="AI393" s="56">
        <f>'[2]Изложницы без бурта'!G393</f>
        <v>7260010</v>
      </c>
      <c r="AJ393" s="56">
        <f>'[2]Изложницы без бурта'!H393</f>
        <v>0</v>
      </c>
      <c r="AK393" s="56">
        <f>'[2]Изложницы без бурта'!I393</f>
        <v>0</v>
      </c>
      <c r="AL393" s="56" t="s">
        <v>611</v>
      </c>
      <c r="AM393" s="56">
        <f>'[2]Изложницы без бурта'!K393</f>
        <v>0</v>
      </c>
    </row>
    <row r="394" spans="1:39" x14ac:dyDescent="0.25">
      <c r="A394" s="316"/>
      <c r="B394" s="1281"/>
      <c r="AB394" s="258" t="str">
        <f t="shared" si="16"/>
        <v/>
      </c>
      <c r="AC394" s="259" t="str">
        <f>IF(COUNTIF(AD$78:AD394,AD394)=1,MAX(AC$78:AC393)+1,"")</f>
        <v/>
      </c>
      <c r="AD394" s="220">
        <f>'[2]Изложницы без бурта'!B394</f>
        <v>185</v>
      </c>
      <c r="AE394" s="220">
        <f>'[2]Изложницы без бурта'!C394</f>
        <v>215</v>
      </c>
      <c r="AF394" s="56">
        <f>'[2]Изложницы без бурта'!D394</f>
        <v>285</v>
      </c>
      <c r="AG394" s="56">
        <f>'[2]Изложницы без бурта'!E394</f>
        <v>320</v>
      </c>
      <c r="AH394" s="56" t="str">
        <f>'[2]Изложницы без бурта'!F394</f>
        <v>10.247619 - 1</v>
      </c>
      <c r="AI394" s="56">
        <f>'[2]Изложницы без бурта'!G394</f>
        <v>7260010</v>
      </c>
      <c r="AJ394" s="56">
        <f>'[2]Изложницы без бурта'!H394</f>
        <v>0</v>
      </c>
      <c r="AK394" s="56">
        <f>'[2]Изложницы без бурта'!I394</f>
        <v>0</v>
      </c>
      <c r="AL394" s="56" t="s">
        <v>611</v>
      </c>
      <c r="AM394" s="56">
        <f>'[2]Изложницы без бурта'!K394</f>
        <v>0</v>
      </c>
    </row>
    <row r="395" spans="1:39" x14ac:dyDescent="0.25">
      <c r="A395" s="316"/>
      <c r="B395" s="1281"/>
      <c r="AB395" s="258" t="str">
        <f t="shared" si="16"/>
        <v/>
      </c>
      <c r="AC395" s="259" t="str">
        <f>IF(COUNTIF(AD$78:AD395,AD395)=1,MAX(AC$78:AC394)+1,"")</f>
        <v/>
      </c>
      <c r="AD395" s="220">
        <f>'[2]Изложницы без бурта'!B395</f>
        <v>185</v>
      </c>
      <c r="AE395" s="220">
        <f>'[2]Изложницы без бурта'!C395</f>
        <v>260</v>
      </c>
      <c r="AF395" s="56">
        <f>'[2]Изложницы без бурта'!D395</f>
        <v>285</v>
      </c>
      <c r="AG395" s="56">
        <f>'[2]Изложницы без бурта'!E395</f>
        <v>320</v>
      </c>
      <c r="AH395" s="56" t="str">
        <f>'[2]Изложницы без бурта'!F395</f>
        <v>72.11870 - 19</v>
      </c>
      <c r="AI395" s="56">
        <f>'[2]Изложницы без бурта'!G395</f>
        <v>0</v>
      </c>
      <c r="AJ395" s="56">
        <f>'[2]Изложницы без бурта'!H395</f>
        <v>0</v>
      </c>
      <c r="AK395" s="56">
        <f>'[2]Изложницы без бурта'!I395</f>
        <v>0</v>
      </c>
      <c r="AL395" s="56" t="s">
        <v>611</v>
      </c>
      <c r="AM395" s="56">
        <f>'[2]Изложницы без бурта'!K395</f>
        <v>0</v>
      </c>
    </row>
    <row r="396" spans="1:39" x14ac:dyDescent="0.25">
      <c r="A396" s="316"/>
      <c r="B396" s="1281"/>
      <c r="AB396" s="258" t="str">
        <f t="shared" si="16"/>
        <v/>
      </c>
      <c r="AC396" s="259" t="str">
        <f>IF(COUNTIF(AD$78:AD396,AD396)=1,MAX(AC$78:AC395)+1,"")</f>
        <v/>
      </c>
      <c r="AD396" s="220">
        <f>'[2]Изложницы без бурта'!B396</f>
        <v>185</v>
      </c>
      <c r="AE396" s="220">
        <f>'[2]Изложницы без бурта'!C396</f>
        <v>265</v>
      </c>
      <c r="AF396" s="56">
        <f>'[2]Изложницы без бурта'!D396</f>
        <v>285</v>
      </c>
      <c r="AG396" s="56">
        <f>'[2]Изложницы без бурта'!E396</f>
        <v>320</v>
      </c>
      <c r="AH396" s="56" t="str">
        <f>'[2]Изложницы без бурта'!F396</f>
        <v>72.11870 - 19</v>
      </c>
      <c r="AI396" s="56">
        <f>'[2]Изложницы без бурта'!G396</f>
        <v>0</v>
      </c>
      <c r="AJ396" s="56">
        <f>'[2]Изложницы без бурта'!H396</f>
        <v>0</v>
      </c>
      <c r="AK396" s="56">
        <f>'[2]Изложницы без бурта'!I396</f>
        <v>0</v>
      </c>
      <c r="AL396" s="56" t="s">
        <v>611</v>
      </c>
      <c r="AM396" s="56">
        <f>'[2]Изложницы без бурта'!K396</f>
        <v>0</v>
      </c>
    </row>
    <row r="397" spans="1:39" x14ac:dyDescent="0.25">
      <c r="A397" s="316"/>
      <c r="B397" s="1281"/>
      <c r="AB397" s="258" t="str">
        <f t="shared" si="16"/>
        <v/>
      </c>
      <c r="AC397" s="259" t="str">
        <f>IF(COUNTIF(AD$78:AD397,AD397)=1,MAX(AC$78:AC396)+1,"")</f>
        <v/>
      </c>
      <c r="AD397" s="220">
        <f>'[2]Изложницы без бурта'!B397</f>
        <v>185</v>
      </c>
      <c r="AE397" s="220">
        <f>'[2]Изложницы без бурта'!C397</f>
        <v>215</v>
      </c>
      <c r="AF397" s="56">
        <f>'[2]Изложницы без бурта'!D397</f>
        <v>285</v>
      </c>
      <c r="AG397" s="56">
        <f>'[2]Изложницы без бурта'!E397</f>
        <v>320</v>
      </c>
      <c r="AH397" s="56" t="str">
        <f>'[2]Изложницы без бурта'!F397</f>
        <v>10.247619 - 1</v>
      </c>
      <c r="AI397" s="56">
        <f>'[2]Изложницы без бурта'!G397</f>
        <v>7260011</v>
      </c>
      <c r="AJ397" s="56">
        <f>'[2]Изложницы без бурта'!H397</f>
        <v>0</v>
      </c>
      <c r="AK397" s="56">
        <f>'[2]Изложницы без бурта'!I397</f>
        <v>0</v>
      </c>
      <c r="AL397" s="56" t="s">
        <v>611</v>
      </c>
      <c r="AM397" s="56">
        <f>'[2]Изложницы без бурта'!K397</f>
        <v>0</v>
      </c>
    </row>
    <row r="398" spans="1:39" x14ac:dyDescent="0.25">
      <c r="A398" s="316"/>
      <c r="B398" s="1281"/>
      <c r="AB398" s="258" t="str">
        <f t="shared" si="16"/>
        <v/>
      </c>
      <c r="AC398" s="259" t="str">
        <f>IF(COUNTIF(AD$78:AD398,AD398)=1,MAX(AC$78:AC397)+1,"")</f>
        <v/>
      </c>
      <c r="AD398" s="220">
        <f>'[2]Изложницы без бурта'!B398</f>
        <v>185</v>
      </c>
      <c r="AE398" s="220">
        <f>'[2]Изложницы без бурта'!C398</f>
        <v>213</v>
      </c>
      <c r="AF398" s="56">
        <f>'[2]Изложницы без бурта'!D398</f>
        <v>285</v>
      </c>
      <c r="AG398" s="56">
        <f>'[2]Изложницы без бурта'!E398</f>
        <v>320</v>
      </c>
      <c r="AH398" s="56" t="str">
        <f>'[2]Изложницы без бурта'!F398</f>
        <v>10.247619 - 1</v>
      </c>
      <c r="AI398" s="56">
        <f>'[2]Изложницы без бурта'!G398</f>
        <v>7260011</v>
      </c>
      <c r="AJ398" s="56">
        <f>'[2]Изложницы без бурта'!H398</f>
        <v>0</v>
      </c>
      <c r="AK398" s="56">
        <f>'[2]Изложницы без бурта'!I398</f>
        <v>0</v>
      </c>
      <c r="AL398" s="56" t="s">
        <v>611</v>
      </c>
      <c r="AM398" s="56">
        <f>'[2]Изложницы без бурта'!K398</f>
        <v>0</v>
      </c>
    </row>
    <row r="399" spans="1:39" x14ac:dyDescent="0.25">
      <c r="A399" s="316"/>
      <c r="B399" s="1281"/>
      <c r="AB399" s="258" t="str">
        <f t="shared" si="16"/>
        <v/>
      </c>
      <c r="AC399" s="259" t="str">
        <f>IF(COUNTIF(AD$78:AD399,AD399)=1,MAX(AC$78:AC398)+1,"")</f>
        <v/>
      </c>
      <c r="AD399" s="220">
        <f>'[2]Изложницы без бурта'!B399</f>
        <v>185</v>
      </c>
      <c r="AE399" s="220">
        <f>'[2]Изложницы без бурта'!C399</f>
        <v>215</v>
      </c>
      <c r="AF399" s="56">
        <f>'[2]Изложницы без бурта'!D399</f>
        <v>285</v>
      </c>
      <c r="AG399" s="56">
        <f>'[2]Изложницы без бурта'!E399</f>
        <v>320</v>
      </c>
      <c r="AH399" s="56" t="str">
        <f>'[2]Изложницы без бурта'!F399</f>
        <v>10.247619 - 1</v>
      </c>
      <c r="AI399" s="56">
        <f>'[2]Изложницы без бурта'!G399</f>
        <v>7260011</v>
      </c>
      <c r="AJ399" s="56">
        <f>'[2]Изложницы без бурта'!H399</f>
        <v>0</v>
      </c>
      <c r="AK399" s="56">
        <f>'[2]Изложницы без бурта'!I399</f>
        <v>0</v>
      </c>
      <c r="AL399" s="56" t="s">
        <v>611</v>
      </c>
      <c r="AM399" s="56">
        <f>'[2]Изложницы без бурта'!K399</f>
        <v>0</v>
      </c>
    </row>
    <row r="400" spans="1:39" x14ac:dyDescent="0.25">
      <c r="A400" s="316"/>
      <c r="B400" s="1281"/>
      <c r="AB400" s="258" t="str">
        <f t="shared" si="16"/>
        <v/>
      </c>
      <c r="AC400" s="259" t="str">
        <f>IF(COUNTIF(AD$78:AD400,AD400)=1,MAX(AC$78:AC399)+1,"")</f>
        <v/>
      </c>
      <c r="AD400" s="220">
        <f>'[2]Изложницы без бурта'!B400</f>
        <v>185</v>
      </c>
      <c r="AE400" s="220">
        <f>'[2]Изложницы без бурта'!C400</f>
        <v>215</v>
      </c>
      <c r="AF400" s="56">
        <f>'[2]Изложницы без бурта'!D400</f>
        <v>285</v>
      </c>
      <c r="AG400" s="56">
        <f>'[2]Изложницы без бурта'!E400</f>
        <v>320</v>
      </c>
      <c r="AH400" s="56" t="str">
        <f>'[2]Изложницы без бурта'!F400</f>
        <v>10.247619 - 1</v>
      </c>
      <c r="AI400" s="56">
        <f>'[2]Изложницы без бурта'!G400</f>
        <v>7260011</v>
      </c>
      <c r="AJ400" s="56">
        <f>'[2]Изложницы без бурта'!H400</f>
        <v>0</v>
      </c>
      <c r="AK400" s="56">
        <f>'[2]Изложницы без бурта'!I400</f>
        <v>0</v>
      </c>
      <c r="AL400" s="56" t="s">
        <v>611</v>
      </c>
      <c r="AM400" s="56">
        <f>'[2]Изложницы без бурта'!K400</f>
        <v>0</v>
      </c>
    </row>
    <row r="401" spans="1:39" x14ac:dyDescent="0.25">
      <c r="A401" s="316"/>
      <c r="B401" s="1281"/>
      <c r="AB401" s="258" t="str">
        <f t="shared" si="16"/>
        <v/>
      </c>
      <c r="AC401" s="259" t="str">
        <f>IF(COUNTIF(AD$78:AD401,AD401)=1,MAX(AC$78:AC400)+1,"")</f>
        <v/>
      </c>
      <c r="AD401" s="220">
        <f>'[2]Изложницы без бурта'!B401</f>
        <v>185</v>
      </c>
      <c r="AE401" s="220">
        <f>'[2]Изложницы без бурта'!C401</f>
        <v>215</v>
      </c>
      <c r="AF401" s="56">
        <f>'[2]Изложницы без бурта'!D401</f>
        <v>285</v>
      </c>
      <c r="AG401" s="56">
        <f>'[2]Изложницы без бурта'!E401</f>
        <v>320</v>
      </c>
      <c r="AH401" s="56" t="str">
        <f>'[2]Изложницы без бурта'!F401</f>
        <v>10.247619 - 1</v>
      </c>
      <c r="AI401" s="56">
        <f>'[2]Изложницы без бурта'!G401</f>
        <v>7260011</v>
      </c>
      <c r="AJ401" s="56">
        <f>'[2]Изложницы без бурта'!H401</f>
        <v>0</v>
      </c>
      <c r="AK401" s="56">
        <f>'[2]Изложницы без бурта'!I401</f>
        <v>0</v>
      </c>
      <c r="AL401" s="56" t="s">
        <v>611</v>
      </c>
      <c r="AM401" s="56">
        <f>'[2]Изложницы без бурта'!K401</f>
        <v>0</v>
      </c>
    </row>
    <row r="402" spans="1:39" x14ac:dyDescent="0.25">
      <c r="A402" s="316"/>
      <c r="B402" s="1281"/>
      <c r="AB402" s="258" t="str">
        <f t="shared" si="16"/>
        <v/>
      </c>
      <c r="AC402" s="259" t="str">
        <f>IF(COUNTIF(AD$78:AD402,AD402)=1,MAX(AC$78:AC401)+1,"")</f>
        <v/>
      </c>
      <c r="AD402" s="220">
        <f>'[2]Изложницы без бурта'!B402</f>
        <v>185</v>
      </c>
      <c r="AE402" s="220">
        <f>'[2]Изложницы без бурта'!C402</f>
        <v>213</v>
      </c>
      <c r="AF402" s="56">
        <f>'[2]Изложницы без бурта'!D402</f>
        <v>285</v>
      </c>
      <c r="AG402" s="56">
        <f>'[2]Изложницы без бурта'!E402</f>
        <v>320</v>
      </c>
      <c r="AH402" s="56" t="str">
        <f>'[2]Изложницы без бурта'!F402</f>
        <v>10.247619 - 1</v>
      </c>
      <c r="AI402" s="56">
        <f>'[2]Изложницы без бурта'!G402</f>
        <v>7260011</v>
      </c>
      <c r="AJ402" s="56">
        <f>'[2]Изложницы без бурта'!H402</f>
        <v>0</v>
      </c>
      <c r="AK402" s="56">
        <f>'[2]Изложницы без бурта'!I402</f>
        <v>0</v>
      </c>
      <c r="AL402" s="56" t="s">
        <v>611</v>
      </c>
      <c r="AM402" s="56">
        <f>'[2]Изложницы без бурта'!K402</f>
        <v>0</v>
      </c>
    </row>
    <row r="403" spans="1:39" x14ac:dyDescent="0.25">
      <c r="A403" s="316"/>
      <c r="B403" s="1281"/>
      <c r="AB403" s="258" t="str">
        <f t="shared" si="16"/>
        <v/>
      </c>
      <c r="AC403" s="259" t="str">
        <f>IF(COUNTIF(AD$78:AD403,AD403)=1,MAX(AC$78:AC402)+1,"")</f>
        <v/>
      </c>
      <c r="AD403" s="220">
        <f>'[2]Изложницы без бурта'!B403</f>
        <v>185</v>
      </c>
      <c r="AE403" s="220">
        <f>'[2]Изложницы без бурта'!C403</f>
        <v>213</v>
      </c>
      <c r="AF403" s="56">
        <f>'[2]Изложницы без бурта'!D403</f>
        <v>285</v>
      </c>
      <c r="AG403" s="56">
        <f>'[2]Изложницы без бурта'!E403</f>
        <v>320</v>
      </c>
      <c r="AH403" s="56" t="str">
        <f>'[2]Изложницы без бурта'!F403</f>
        <v>10.247619 - 1</v>
      </c>
      <c r="AI403" s="56">
        <f>'[2]Изложницы без бурта'!G403</f>
        <v>7260011</v>
      </c>
      <c r="AJ403" s="56">
        <f>'[2]Изложницы без бурта'!H403</f>
        <v>0</v>
      </c>
      <c r="AK403" s="56">
        <f>'[2]Изложницы без бурта'!I403</f>
        <v>0</v>
      </c>
      <c r="AL403" s="56" t="s">
        <v>611</v>
      </c>
      <c r="AM403" s="56">
        <f>'[2]Изложницы без бурта'!K403</f>
        <v>0</v>
      </c>
    </row>
    <row r="404" spans="1:39" x14ac:dyDescent="0.25">
      <c r="AB404" s="258" t="str">
        <f t="shared" si="16"/>
        <v/>
      </c>
      <c r="AC404" s="259" t="str">
        <f>IF(COUNTIF(AD$78:AD404,AD404)=1,MAX(AC$78:AC403)+1,"")</f>
        <v/>
      </c>
      <c r="AD404" s="220">
        <f>'[2]Изложницы без бурта'!B404</f>
        <v>185</v>
      </c>
      <c r="AE404" s="220">
        <f>'[2]Изложницы без бурта'!C404</f>
        <v>213</v>
      </c>
      <c r="AF404" s="56">
        <f>'[2]Изложницы без бурта'!D404</f>
        <v>285</v>
      </c>
      <c r="AG404" s="56">
        <f>'[2]Изложницы без бурта'!E404</f>
        <v>320</v>
      </c>
      <c r="AH404" s="56" t="str">
        <f>'[2]Изложницы без бурта'!F404</f>
        <v>10.247619 - 1</v>
      </c>
      <c r="AI404" s="56">
        <f>'[2]Изложницы без бурта'!G404</f>
        <v>7260011</v>
      </c>
      <c r="AJ404" s="56">
        <f>'[2]Изложницы без бурта'!H404</f>
        <v>0</v>
      </c>
      <c r="AK404" s="56">
        <f>'[2]Изложницы без бурта'!I404</f>
        <v>0</v>
      </c>
      <c r="AL404" s="56" t="s">
        <v>611</v>
      </c>
      <c r="AM404" s="56">
        <f>'[2]Изложницы без бурта'!K404</f>
        <v>0</v>
      </c>
    </row>
    <row r="405" spans="1:39" x14ac:dyDescent="0.25">
      <c r="AB405" s="258" t="str">
        <f t="shared" si="16"/>
        <v/>
      </c>
      <c r="AC405" s="259" t="str">
        <f>IF(COUNTIF(AD$78:AD405,AD405)=1,MAX(AC$78:AC404)+1,"")</f>
        <v/>
      </c>
      <c r="AD405" s="220">
        <f>'[2]Изложницы без бурта'!B405</f>
        <v>185</v>
      </c>
      <c r="AE405" s="220">
        <f>'[2]Изложницы без бурта'!C405</f>
        <v>215</v>
      </c>
      <c r="AF405" s="56">
        <f>'[2]Изложницы без бурта'!D405</f>
        <v>285</v>
      </c>
      <c r="AG405" s="56">
        <f>'[2]Изложницы без бурта'!E405</f>
        <v>320</v>
      </c>
      <c r="AH405" s="56" t="str">
        <f>'[2]Изложницы без бурта'!F405</f>
        <v>10.247619 - 1</v>
      </c>
      <c r="AI405" s="56">
        <f>'[2]Изложницы без бурта'!G405</f>
        <v>7260011</v>
      </c>
      <c r="AJ405" s="56">
        <f>'[2]Изложницы без бурта'!H405</f>
        <v>0</v>
      </c>
      <c r="AK405" s="56">
        <f>'[2]Изложницы без бурта'!I405</f>
        <v>0</v>
      </c>
      <c r="AL405" s="56" t="s">
        <v>611</v>
      </c>
      <c r="AM405" s="56">
        <f>'[2]Изложницы без бурта'!K405</f>
        <v>0</v>
      </c>
    </row>
    <row r="406" spans="1:39" x14ac:dyDescent="0.25">
      <c r="AB406" s="258" t="str">
        <f t="shared" si="16"/>
        <v/>
      </c>
      <c r="AC406" s="259" t="str">
        <f>IF(COUNTIF(AD$78:AD406,AD406)=1,MAX(AC$78:AC405)+1,"")</f>
        <v/>
      </c>
      <c r="AD406" s="220">
        <f>'[2]Изложницы без бурта'!B406</f>
        <v>185</v>
      </c>
      <c r="AE406" s="220">
        <f>'[2]Изложницы без бурта'!C406</f>
        <v>215</v>
      </c>
      <c r="AF406" s="56">
        <f>'[2]Изложницы без бурта'!D406</f>
        <v>285</v>
      </c>
      <c r="AG406" s="56">
        <f>'[2]Изложницы без бурта'!E406</f>
        <v>320</v>
      </c>
      <c r="AH406" s="56" t="str">
        <f>'[2]Изложницы без бурта'!F406</f>
        <v>10.247619 - 1</v>
      </c>
      <c r="AI406" s="56">
        <f>'[2]Изложницы без бурта'!G406</f>
        <v>7260011</v>
      </c>
      <c r="AJ406" s="56">
        <f>'[2]Изложницы без бурта'!H406</f>
        <v>0</v>
      </c>
      <c r="AK406" s="56">
        <f>'[2]Изложницы без бурта'!I406</f>
        <v>0</v>
      </c>
      <c r="AL406" s="56" t="s">
        <v>611</v>
      </c>
      <c r="AM406" s="56">
        <f>'[2]Изложницы без бурта'!K406</f>
        <v>0</v>
      </c>
    </row>
    <row r="407" spans="1:39" x14ac:dyDescent="0.25">
      <c r="AB407" s="258" t="str">
        <f t="shared" si="16"/>
        <v/>
      </c>
      <c r="AC407" s="259" t="str">
        <f>IF(COUNTIF(AD$78:AD407,AD407)=1,MAX(AC$78:AC406)+1,"")</f>
        <v/>
      </c>
      <c r="AD407" s="220">
        <f>'[2]Изложницы без бурта'!B407</f>
        <v>185</v>
      </c>
      <c r="AE407" s="220">
        <f>'[2]Изложницы без бурта'!C407</f>
        <v>213</v>
      </c>
      <c r="AF407" s="56">
        <f>'[2]Изложницы без бурта'!D407</f>
        <v>285</v>
      </c>
      <c r="AG407" s="56">
        <f>'[2]Изложницы без бурта'!E407</f>
        <v>320</v>
      </c>
      <c r="AH407" s="56" t="str">
        <f>'[2]Изложницы без бурта'!F407</f>
        <v>10.247619 - 1</v>
      </c>
      <c r="AI407" s="56">
        <f>'[2]Изложницы без бурта'!G407</f>
        <v>7260011</v>
      </c>
      <c r="AJ407" s="56">
        <f>'[2]Изложницы без бурта'!H407</f>
        <v>0</v>
      </c>
      <c r="AK407" s="56">
        <f>'[2]Изложницы без бурта'!I407</f>
        <v>0</v>
      </c>
      <c r="AL407" s="56" t="s">
        <v>611</v>
      </c>
      <c r="AM407" s="56">
        <f>'[2]Изложницы без бурта'!K407</f>
        <v>0</v>
      </c>
    </row>
    <row r="408" spans="1:39" x14ac:dyDescent="0.25">
      <c r="AB408" s="258" t="str">
        <f t="shared" si="16"/>
        <v/>
      </c>
      <c r="AC408" s="259" t="str">
        <f>IF(COUNTIF(AD$78:AD408,AD408)=1,MAX(AC$78:AC407)+1,"")</f>
        <v/>
      </c>
      <c r="AD408" s="220">
        <f>'[2]Изложницы без бурта'!B408</f>
        <v>185</v>
      </c>
      <c r="AE408" s="220">
        <f>'[2]Изложницы без бурта'!C408</f>
        <v>213</v>
      </c>
      <c r="AF408" s="56">
        <f>'[2]Изложницы без бурта'!D408</f>
        <v>285</v>
      </c>
      <c r="AG408" s="56">
        <f>'[2]Изложницы без бурта'!E408</f>
        <v>320</v>
      </c>
      <c r="AH408" s="56" t="str">
        <f>'[2]Изложницы без бурта'!F408</f>
        <v>10.247619 - 1</v>
      </c>
      <c r="AI408" s="56">
        <f>'[2]Изложницы без бурта'!G408</f>
        <v>7260011</v>
      </c>
      <c r="AJ408" s="56">
        <f>'[2]Изложницы без бурта'!H408</f>
        <v>0</v>
      </c>
      <c r="AK408" s="56">
        <f>'[2]Изложницы без бурта'!I408</f>
        <v>0</v>
      </c>
      <c r="AL408" s="56" t="s">
        <v>611</v>
      </c>
      <c r="AM408" s="56">
        <f>'[2]Изложницы без бурта'!K408</f>
        <v>0</v>
      </c>
    </row>
    <row r="409" spans="1:39" x14ac:dyDescent="0.25">
      <c r="AB409" s="258" t="str">
        <f t="shared" si="16"/>
        <v/>
      </c>
      <c r="AC409" s="259" t="str">
        <f>IF(COUNTIF(AD$78:AD409,AD409)=1,MAX(AC$78:AC408)+1,"")</f>
        <v/>
      </c>
      <c r="AD409" s="220">
        <f>'[2]Изложницы без бурта'!B409</f>
        <v>185</v>
      </c>
      <c r="AE409" s="220">
        <f>'[2]Изложницы без бурта'!C409</f>
        <v>212</v>
      </c>
      <c r="AF409" s="56">
        <f>'[2]Изложницы без бурта'!D409</f>
        <v>285</v>
      </c>
      <c r="AG409" s="56">
        <f>'[2]Изложницы без бурта'!E409</f>
        <v>320</v>
      </c>
      <c r="AH409" s="56" t="str">
        <f>'[2]Изложницы без бурта'!F409</f>
        <v>10.247619 - 1</v>
      </c>
      <c r="AI409" s="56">
        <f>'[2]Изложницы без бурта'!G409</f>
        <v>7260011</v>
      </c>
      <c r="AJ409" s="56">
        <f>'[2]Изложницы без бурта'!H409</f>
        <v>0</v>
      </c>
      <c r="AK409" s="56">
        <f>'[2]Изложницы без бурта'!I409</f>
        <v>0</v>
      </c>
      <c r="AL409" s="56" t="s">
        <v>611</v>
      </c>
      <c r="AM409" s="56">
        <f>'[2]Изложницы без бурта'!K409</f>
        <v>0</v>
      </c>
    </row>
    <row r="410" spans="1:39" x14ac:dyDescent="0.25">
      <c r="AB410" s="258" t="str">
        <f t="shared" si="16"/>
        <v/>
      </c>
      <c r="AC410" s="259" t="str">
        <f>IF(COUNTIF(AD$78:AD410,AD410)=1,MAX(AC$78:AC409)+1,"")</f>
        <v/>
      </c>
      <c r="AD410" s="220">
        <f>'[2]Изложницы без бурта'!B410</f>
        <v>185</v>
      </c>
      <c r="AE410" s="220">
        <f>'[2]Изложницы без бурта'!C410</f>
        <v>215</v>
      </c>
      <c r="AF410" s="56">
        <f>'[2]Изложницы без бурта'!D410</f>
        <v>285</v>
      </c>
      <c r="AG410" s="56">
        <f>'[2]Изложницы без бурта'!E410</f>
        <v>320</v>
      </c>
      <c r="AH410" s="56" t="str">
        <f>'[2]Изложницы без бурта'!F410</f>
        <v>10.247619 - 1</v>
      </c>
      <c r="AI410" s="56">
        <f>'[2]Изложницы без бурта'!G410</f>
        <v>7260011</v>
      </c>
      <c r="AJ410" s="56">
        <f>'[2]Изложницы без бурта'!H410</f>
        <v>0</v>
      </c>
      <c r="AK410" s="56">
        <f>'[2]Изложницы без бурта'!I410</f>
        <v>0</v>
      </c>
      <c r="AL410" s="56" t="s">
        <v>611</v>
      </c>
      <c r="AM410" s="56">
        <f>'[2]Изложницы без бурта'!K410</f>
        <v>0</v>
      </c>
    </row>
    <row r="411" spans="1:39" x14ac:dyDescent="0.25">
      <c r="AB411" s="258" t="str">
        <f t="shared" si="16"/>
        <v/>
      </c>
      <c r="AC411" s="259" t="str">
        <f>IF(COUNTIF(AD$78:AD411,AD411)=1,MAX(AC$78:AC410)+1,"")</f>
        <v/>
      </c>
      <c r="AD411" s="220">
        <f>'[2]Изложницы без бурта'!B411</f>
        <v>185</v>
      </c>
      <c r="AE411" s="220">
        <f>'[2]Изложницы без бурта'!C411</f>
        <v>260</v>
      </c>
      <c r="AF411" s="56">
        <f>'[2]Изложницы без бурта'!D411</f>
        <v>285</v>
      </c>
      <c r="AG411" s="56">
        <f>'[2]Изложницы без бурта'!E411</f>
        <v>320</v>
      </c>
      <c r="AH411" s="56" t="str">
        <f>'[2]Изложницы без бурта'!F411</f>
        <v>72.11870 - 19</v>
      </c>
      <c r="AI411" s="56">
        <f>'[2]Изложницы без бурта'!G411</f>
        <v>0</v>
      </c>
      <c r="AJ411" s="56">
        <f>'[2]Изложницы без бурта'!H411</f>
        <v>0</v>
      </c>
      <c r="AK411" s="56">
        <f>'[2]Изложницы без бурта'!I411</f>
        <v>0</v>
      </c>
      <c r="AL411" s="56" t="s">
        <v>611</v>
      </c>
      <c r="AM411" s="56">
        <f>'[2]Изложницы без бурта'!K411</f>
        <v>0</v>
      </c>
    </row>
    <row r="412" spans="1:39" x14ac:dyDescent="0.25">
      <c r="AB412" s="258" t="str">
        <f t="shared" si="16"/>
        <v/>
      </c>
      <c r="AC412" s="259" t="str">
        <f>IF(COUNTIF(AD$78:AD412,AD412)=1,MAX(AC$78:AC411)+1,"")</f>
        <v/>
      </c>
      <c r="AD412" s="220">
        <f>'[2]Изложницы без бурта'!B412</f>
        <v>185</v>
      </c>
      <c r="AE412" s="220">
        <f>'[2]Изложницы без бурта'!C412</f>
        <v>503</v>
      </c>
      <c r="AF412" s="56">
        <f>'[2]Изложницы без бурта'!D412</f>
        <v>285</v>
      </c>
      <c r="AG412" s="56">
        <f>'[2]Изложницы без бурта'!E412</f>
        <v>320</v>
      </c>
      <c r="AH412" s="56" t="str">
        <f>'[2]Изложницы без бурта'!F412</f>
        <v>72.23398 - 01</v>
      </c>
      <c r="AI412" s="56">
        <f>'[2]Изложницы без бурта'!G412</f>
        <v>7260012</v>
      </c>
      <c r="AJ412" s="56">
        <f>'[2]Изложницы без бурта'!H412</f>
        <v>0</v>
      </c>
      <c r="AK412" s="56">
        <f>'[2]Изложницы без бурта'!I412</f>
        <v>0</v>
      </c>
      <c r="AL412" s="56" t="s">
        <v>611</v>
      </c>
      <c r="AM412" s="56">
        <f>'[2]Изложницы без бурта'!K412</f>
        <v>0</v>
      </c>
    </row>
    <row r="413" spans="1:39" x14ac:dyDescent="0.25">
      <c r="AB413" s="258" t="str">
        <f t="shared" si="16"/>
        <v/>
      </c>
      <c r="AC413" s="259" t="str">
        <f>IF(COUNTIF(AD$78:AD413,AD413)=1,MAX(AC$78:AC412)+1,"")</f>
        <v/>
      </c>
      <c r="AD413" s="220">
        <f>'[2]Изложницы без бурта'!B413</f>
        <v>185</v>
      </c>
      <c r="AE413" s="220">
        <f>'[2]Изложницы без бурта'!C413</f>
        <v>213</v>
      </c>
      <c r="AF413" s="56">
        <f>'[2]Изложницы без бурта'!D413</f>
        <v>285</v>
      </c>
      <c r="AG413" s="56">
        <f>'[2]Изложницы без бурта'!E413</f>
        <v>320</v>
      </c>
      <c r="AH413" s="56" t="str">
        <f>'[2]Изложницы без бурта'!F413</f>
        <v>10.247619 - 1</v>
      </c>
      <c r="AI413" s="56">
        <f>'[2]Изложницы без бурта'!G413</f>
        <v>7260011</v>
      </c>
      <c r="AJ413" s="56">
        <f>'[2]Изложницы без бурта'!H413</f>
        <v>0</v>
      </c>
      <c r="AK413" s="56">
        <f>'[2]Изложницы без бурта'!I413</f>
        <v>0</v>
      </c>
      <c r="AL413" s="56" t="s">
        <v>611</v>
      </c>
      <c r="AM413" s="56">
        <f>'[2]Изложницы без бурта'!K413</f>
        <v>0</v>
      </c>
    </row>
    <row r="414" spans="1:39" x14ac:dyDescent="0.25">
      <c r="AB414" s="258" t="str">
        <f t="shared" si="16"/>
        <v/>
      </c>
      <c r="AC414" s="259" t="str">
        <f>IF(COUNTIF(AD$78:AD414,AD414)=1,MAX(AC$78:AC413)+1,"")</f>
        <v/>
      </c>
      <c r="AD414" s="220">
        <f>'[2]Изложницы без бурта'!B414</f>
        <v>185</v>
      </c>
      <c r="AE414" s="220">
        <f>'[2]Изложницы без бурта'!C414</f>
        <v>213</v>
      </c>
      <c r="AF414" s="56">
        <f>'[2]Изложницы без бурта'!D414</f>
        <v>285</v>
      </c>
      <c r="AG414" s="56">
        <f>'[2]Изложницы без бурта'!E414</f>
        <v>320</v>
      </c>
      <c r="AH414" s="56" t="str">
        <f>'[2]Изложницы без бурта'!F414</f>
        <v>10.247619 - 1</v>
      </c>
      <c r="AI414" s="56">
        <f>'[2]Изложницы без бурта'!G414</f>
        <v>7260011</v>
      </c>
      <c r="AJ414" s="56">
        <f>'[2]Изложницы без бурта'!H414</f>
        <v>0</v>
      </c>
      <c r="AK414" s="56">
        <f>'[2]Изложницы без бурта'!I414</f>
        <v>0</v>
      </c>
      <c r="AL414" s="56" t="s">
        <v>611</v>
      </c>
      <c r="AM414" s="56">
        <f>'[2]Изложницы без бурта'!K414</f>
        <v>0</v>
      </c>
    </row>
    <row r="415" spans="1:39" x14ac:dyDescent="0.25">
      <c r="AB415" s="258" t="str">
        <f t="shared" si="16"/>
        <v/>
      </c>
      <c r="AC415" s="259" t="str">
        <f>IF(COUNTIF(AD$78:AD415,AD415)=1,MAX(AC$78:AC414)+1,"")</f>
        <v/>
      </c>
      <c r="AD415" s="220">
        <f>'[2]Изложницы без бурта'!B415</f>
        <v>185</v>
      </c>
      <c r="AE415" s="220">
        <f>'[2]Изложницы без бурта'!C415</f>
        <v>213</v>
      </c>
      <c r="AF415" s="56">
        <f>'[2]Изложницы без бурта'!D415</f>
        <v>285</v>
      </c>
      <c r="AG415" s="56">
        <f>'[2]Изложницы без бурта'!E415</f>
        <v>320</v>
      </c>
      <c r="AH415" s="56" t="str">
        <f>'[2]Изложницы без бурта'!F415</f>
        <v>10.247619 - 1</v>
      </c>
      <c r="AI415" s="56">
        <f>'[2]Изложницы без бурта'!G415</f>
        <v>7260011</v>
      </c>
      <c r="AJ415" s="56">
        <f>'[2]Изложницы без бурта'!H415</f>
        <v>0</v>
      </c>
      <c r="AK415" s="56">
        <f>'[2]Изложницы без бурта'!I415</f>
        <v>0</v>
      </c>
      <c r="AL415" s="56" t="s">
        <v>611</v>
      </c>
      <c r="AM415" s="56">
        <f>'[2]Изложницы без бурта'!K415</f>
        <v>0</v>
      </c>
    </row>
    <row r="416" spans="1:39" x14ac:dyDescent="0.25">
      <c r="AB416" s="258" t="str">
        <f t="shared" si="16"/>
        <v/>
      </c>
      <c r="AC416" s="259" t="str">
        <f>IF(COUNTIF(AD$78:AD416,AD416)=1,MAX(AC$78:AC415)+1,"")</f>
        <v/>
      </c>
      <c r="AD416" s="220">
        <f>'[2]Изложницы без бурта'!B416</f>
        <v>185</v>
      </c>
      <c r="AE416" s="220">
        <f>'[2]Изложницы без бурта'!C416</f>
        <v>265</v>
      </c>
      <c r="AF416" s="56">
        <f>'[2]Изложницы без бурта'!D416</f>
        <v>285</v>
      </c>
      <c r="AG416" s="56">
        <f>'[2]Изложницы без бурта'!E416</f>
        <v>320</v>
      </c>
      <c r="AH416" s="56" t="str">
        <f>'[2]Изложницы без бурта'!F416</f>
        <v>72.11870 - 19</v>
      </c>
      <c r="AI416" s="56">
        <f>'[2]Изложницы без бурта'!G416</f>
        <v>0</v>
      </c>
      <c r="AJ416" s="56">
        <f>'[2]Изложницы без бурта'!H416</f>
        <v>0</v>
      </c>
      <c r="AK416" s="56">
        <f>'[2]Изложницы без бурта'!I416</f>
        <v>0</v>
      </c>
      <c r="AL416" s="56" t="s">
        <v>611</v>
      </c>
      <c r="AM416" s="56">
        <f>'[2]Изложницы без бурта'!K416</f>
        <v>0</v>
      </c>
    </row>
    <row r="417" spans="28:39" x14ac:dyDescent="0.25">
      <c r="AB417" s="258" t="str">
        <f t="shared" si="16"/>
        <v/>
      </c>
      <c r="AC417" s="259">
        <f>IF(COUNTIF(AD$78:AD417,AD417)=1,MAX(AC$78:AC416)+1,"")</f>
        <v>40</v>
      </c>
      <c r="AD417" s="220">
        <f>'[2]Изложницы без бурта'!B417</f>
        <v>187.5</v>
      </c>
      <c r="AE417" s="220">
        <f>'[2]Изложницы без бурта'!C417</f>
        <v>213</v>
      </c>
      <c r="AF417" s="56">
        <f>'[2]Изложницы без бурта'!D417</f>
        <v>285</v>
      </c>
      <c r="AG417" s="56">
        <f>'[2]Изложницы без бурта'!E417</f>
        <v>320</v>
      </c>
      <c r="AH417" s="56" t="str">
        <f>'[2]Изложницы без бурта'!F417</f>
        <v>10.247619 - 2</v>
      </c>
      <c r="AI417" s="56">
        <f>'[2]Изложницы без бурта'!G417</f>
        <v>7260013</v>
      </c>
      <c r="AJ417" s="56">
        <f>'[2]Изложницы без бурта'!H417</f>
        <v>0</v>
      </c>
      <c r="AK417" s="56">
        <f>'[2]Изложницы без бурта'!I417</f>
        <v>0</v>
      </c>
      <c r="AL417" s="56" t="s">
        <v>612</v>
      </c>
      <c r="AM417" s="56">
        <f>'[2]Изложницы без бурта'!K417</f>
        <v>0</v>
      </c>
    </row>
    <row r="418" spans="28:39" x14ac:dyDescent="0.25">
      <c r="AB418" s="258" t="str">
        <f t="shared" si="16"/>
        <v/>
      </c>
      <c r="AC418" s="259" t="str">
        <f>IF(COUNTIF(AD$78:AD418,AD418)=1,MAX(AC$78:AC417)+1,"")</f>
        <v/>
      </c>
      <c r="AD418" s="220">
        <f>'[2]Изложницы без бурта'!B418</f>
        <v>187.5</v>
      </c>
      <c r="AE418" s="220">
        <f>'[2]Изложницы без бурта'!C418</f>
        <v>215</v>
      </c>
      <c r="AF418" s="56">
        <f>'[2]Изложницы без бурта'!D418</f>
        <v>285</v>
      </c>
      <c r="AG418" s="56">
        <f>'[2]Изложницы без бурта'!E418</f>
        <v>320</v>
      </c>
      <c r="AH418" s="56" t="str">
        <f>'[2]Изложницы без бурта'!F418</f>
        <v>10.247619 - 2</v>
      </c>
      <c r="AI418" s="56">
        <f>'[2]Изложницы без бурта'!G418</f>
        <v>7260013</v>
      </c>
      <c r="AJ418" s="56">
        <f>'[2]Изложницы без бурта'!H418</f>
        <v>0</v>
      </c>
      <c r="AK418" s="56">
        <f>'[2]Изложницы без бурта'!I418</f>
        <v>0</v>
      </c>
      <c r="AL418" s="56" t="s">
        <v>612</v>
      </c>
      <c r="AM418" s="56">
        <f>'[2]Изложницы без бурта'!K418</f>
        <v>0</v>
      </c>
    </row>
    <row r="419" spans="28:39" x14ac:dyDescent="0.25">
      <c r="AB419" s="258" t="str">
        <f t="shared" si="16"/>
        <v/>
      </c>
      <c r="AC419" s="259" t="str">
        <f>IF(COUNTIF(AD$78:AD419,AD419)=1,MAX(AC$78:AC418)+1,"")</f>
        <v/>
      </c>
      <c r="AD419" s="220">
        <f>'[2]Изложницы без бурта'!B419</f>
        <v>187.5</v>
      </c>
      <c r="AE419" s="220">
        <f>'[2]Изложницы без бурта'!C419</f>
        <v>265</v>
      </c>
      <c r="AF419" s="56">
        <f>'[2]Изложницы без бурта'!D419</f>
        <v>285</v>
      </c>
      <c r="AG419" s="56">
        <f>'[2]Изложницы без бурта'!E419</f>
        <v>320</v>
      </c>
      <c r="AH419" s="56" t="str">
        <f>'[2]Изложницы без бурта'!F419</f>
        <v>72.11870 - 20</v>
      </c>
      <c r="AI419" s="56">
        <f>'[2]Изложницы без бурта'!G419</f>
        <v>0</v>
      </c>
      <c r="AJ419" s="56">
        <f>'[2]Изложницы без бурта'!H419</f>
        <v>0</v>
      </c>
      <c r="AK419" s="56">
        <f>'[2]Изложницы без бурта'!I419</f>
        <v>0</v>
      </c>
      <c r="AL419" s="56" t="s">
        <v>612</v>
      </c>
      <c r="AM419" s="56">
        <f>'[2]Изложницы без бурта'!K419</f>
        <v>0</v>
      </c>
    </row>
    <row r="420" spans="28:39" x14ac:dyDescent="0.25">
      <c r="AB420" s="258" t="str">
        <f t="shared" si="16"/>
        <v/>
      </c>
      <c r="AC420" s="259" t="str">
        <f>IF(COUNTIF(AD$78:AD420,AD420)=1,MAX(AC$78:AC419)+1,"")</f>
        <v/>
      </c>
      <c r="AD420" s="220">
        <f>'[2]Изложницы без бурта'!B420</f>
        <v>187.5</v>
      </c>
      <c r="AE420" s="220">
        <f>'[2]Изложницы без бурта'!C420</f>
        <v>265</v>
      </c>
      <c r="AF420" s="56">
        <f>'[2]Изложницы без бурта'!D420</f>
        <v>285</v>
      </c>
      <c r="AG420" s="56">
        <f>'[2]Изложницы без бурта'!E420</f>
        <v>320</v>
      </c>
      <c r="AH420" s="56" t="str">
        <f>'[2]Изложницы без бурта'!F420</f>
        <v>72.11870 - 20</v>
      </c>
      <c r="AI420" s="56">
        <f>'[2]Изложницы без бурта'!G420</f>
        <v>0</v>
      </c>
      <c r="AJ420" s="56">
        <f>'[2]Изложницы без бурта'!H420</f>
        <v>0</v>
      </c>
      <c r="AK420" s="56">
        <f>'[2]Изложницы без бурта'!I420</f>
        <v>0</v>
      </c>
      <c r="AL420" s="56" t="s">
        <v>612</v>
      </c>
      <c r="AM420" s="56">
        <f>'[2]Изложницы без бурта'!K420</f>
        <v>0</v>
      </c>
    </row>
    <row r="421" spans="28:39" x14ac:dyDescent="0.25">
      <c r="AB421" s="258" t="str">
        <f t="shared" si="16"/>
        <v/>
      </c>
      <c r="AC421" s="259" t="str">
        <f>IF(COUNTIF(AD$78:AD421,AD421)=1,MAX(AC$78:AC420)+1,"")</f>
        <v/>
      </c>
      <c r="AD421" s="220">
        <f>'[2]Изложницы без бурта'!B421</f>
        <v>187.5</v>
      </c>
      <c r="AE421" s="220">
        <f>'[2]Изложницы без бурта'!C421</f>
        <v>265</v>
      </c>
      <c r="AF421" s="56">
        <f>'[2]Изложницы без бурта'!D421</f>
        <v>285</v>
      </c>
      <c r="AG421" s="56">
        <f>'[2]Изложницы без бурта'!E421</f>
        <v>320</v>
      </c>
      <c r="AH421" s="56" t="str">
        <f>'[2]Изложницы без бурта'!F421</f>
        <v>72.11870 - 20</v>
      </c>
      <c r="AI421" s="56">
        <f>'[2]Изложницы без бурта'!G421</f>
        <v>0</v>
      </c>
      <c r="AJ421" s="56">
        <f>'[2]Изложницы без бурта'!H421</f>
        <v>0</v>
      </c>
      <c r="AK421" s="56">
        <f>'[2]Изложницы без бурта'!I421</f>
        <v>0</v>
      </c>
      <c r="AL421" s="56" t="s">
        <v>612</v>
      </c>
      <c r="AM421" s="56">
        <f>'[2]Изложницы без бурта'!K421</f>
        <v>0</v>
      </c>
    </row>
    <row r="422" spans="28:39" x14ac:dyDescent="0.25">
      <c r="AB422" s="258" t="str">
        <f t="shared" si="16"/>
        <v/>
      </c>
      <c r="AC422" s="259" t="str">
        <f>IF(COUNTIF(AD$78:AD422,AD422)=1,MAX(AC$78:AC421)+1,"")</f>
        <v/>
      </c>
      <c r="AD422" s="220">
        <f>'[2]Изложницы без бурта'!B422</f>
        <v>187.5</v>
      </c>
      <c r="AE422" s="220">
        <f>'[2]Изложницы без бурта'!C422</f>
        <v>265</v>
      </c>
      <c r="AF422" s="56">
        <f>'[2]Изложницы без бурта'!D422</f>
        <v>285</v>
      </c>
      <c r="AG422" s="56">
        <f>'[2]Изложницы без бурта'!E422</f>
        <v>320</v>
      </c>
      <c r="AH422" s="56" t="str">
        <f>'[2]Изложницы без бурта'!F422</f>
        <v>72.11870 - 20</v>
      </c>
      <c r="AI422" s="56">
        <f>'[2]Изложницы без бурта'!G422</f>
        <v>0</v>
      </c>
      <c r="AJ422" s="56">
        <f>'[2]Изложницы без бурта'!H422</f>
        <v>0</v>
      </c>
      <c r="AK422" s="56">
        <f>'[2]Изложницы без бурта'!I422</f>
        <v>0</v>
      </c>
      <c r="AL422" s="56" t="s">
        <v>612</v>
      </c>
      <c r="AM422" s="56">
        <f>'[2]Изложницы без бурта'!K422</f>
        <v>0</v>
      </c>
    </row>
    <row r="423" spans="28:39" x14ac:dyDescent="0.25">
      <c r="AB423" s="258" t="str">
        <f t="shared" si="16"/>
        <v/>
      </c>
      <c r="AC423" s="259" t="str">
        <f>IF(COUNTIF(AD$78:AD423,AD423)=1,MAX(AC$78:AC422)+1,"")</f>
        <v/>
      </c>
      <c r="AD423" s="220">
        <f>'[2]Изложницы без бурта'!B423</f>
        <v>187.5</v>
      </c>
      <c r="AE423" s="220">
        <f>'[2]Изложницы без бурта'!C423</f>
        <v>215</v>
      </c>
      <c r="AF423" s="56">
        <f>'[2]Изложницы без бурта'!D423</f>
        <v>285</v>
      </c>
      <c r="AG423" s="56">
        <f>'[2]Изложницы без бурта'!E423</f>
        <v>320</v>
      </c>
      <c r="AH423" s="56" t="str">
        <f>'[2]Изложницы без бурта'!F423</f>
        <v>10.247619 - 2</v>
      </c>
      <c r="AI423" s="56">
        <f>'[2]Изложницы без бурта'!G423</f>
        <v>7260013</v>
      </c>
      <c r="AJ423" s="56">
        <f>'[2]Изложницы без бурта'!H423</f>
        <v>0</v>
      </c>
      <c r="AK423" s="56">
        <f>'[2]Изложницы без бурта'!I423</f>
        <v>0</v>
      </c>
      <c r="AL423" s="56" t="s">
        <v>612</v>
      </c>
      <c r="AM423" s="56">
        <f>'[2]Изложницы без бурта'!K423</f>
        <v>0</v>
      </c>
    </row>
    <row r="424" spans="28:39" x14ac:dyDescent="0.25">
      <c r="AB424" s="258" t="str">
        <f t="shared" si="16"/>
        <v/>
      </c>
      <c r="AC424" s="259" t="str">
        <f>IF(COUNTIF(AD$78:AD424,AD424)=1,MAX(AC$78:AC423)+1,"")</f>
        <v/>
      </c>
      <c r="AD424" s="220">
        <f>'[2]Изложницы без бурта'!B424</f>
        <v>187.5</v>
      </c>
      <c r="AE424" s="220">
        <f>'[2]Изложницы без бурта'!C424</f>
        <v>215</v>
      </c>
      <c r="AF424" s="56">
        <f>'[2]Изложницы без бурта'!D424</f>
        <v>285</v>
      </c>
      <c r="AG424" s="56">
        <f>'[2]Изложницы без бурта'!E424</f>
        <v>320</v>
      </c>
      <c r="AH424" s="56" t="str">
        <f>'[2]Изложницы без бурта'!F424</f>
        <v>10.247619 - 2</v>
      </c>
      <c r="AI424" s="56">
        <f>'[2]Изложницы без бурта'!G424</f>
        <v>7260013</v>
      </c>
      <c r="AJ424" s="56">
        <f>'[2]Изложницы без бурта'!H424</f>
        <v>0</v>
      </c>
      <c r="AK424" s="56">
        <f>'[2]Изложницы без бурта'!I424</f>
        <v>0</v>
      </c>
      <c r="AL424" s="56" t="s">
        <v>612</v>
      </c>
      <c r="AM424" s="56">
        <f>'[2]Изложницы без бурта'!K424</f>
        <v>0</v>
      </c>
    </row>
    <row r="425" spans="28:39" x14ac:dyDescent="0.25">
      <c r="AB425" s="258" t="str">
        <f t="shared" si="16"/>
        <v/>
      </c>
      <c r="AC425" s="259" t="str">
        <f>IF(COUNTIF(AD$78:AD425,AD425)=1,MAX(AC$78:AC424)+1,"")</f>
        <v/>
      </c>
      <c r="AD425" s="220">
        <f>'[2]Изложницы без бурта'!B425</f>
        <v>187.5</v>
      </c>
      <c r="AE425" s="220">
        <f>'[2]Изложницы без бурта'!C425</f>
        <v>317</v>
      </c>
      <c r="AF425" s="56">
        <f>'[2]Изложницы без бурта'!D425</f>
        <v>285</v>
      </c>
      <c r="AG425" s="56">
        <f>'[2]Изложницы без бурта'!E425</f>
        <v>320</v>
      </c>
      <c r="AH425" s="56" t="str">
        <f>'[2]Изложницы без бурта'!F425</f>
        <v>72.11871 - 20</v>
      </c>
      <c r="AI425" s="56">
        <f>'[2]Изложницы без бурта'!G425</f>
        <v>0</v>
      </c>
      <c r="AJ425" s="56">
        <f>'[2]Изложницы без бурта'!H425</f>
        <v>0</v>
      </c>
      <c r="AK425" s="56">
        <f>'[2]Изложницы без бурта'!I425</f>
        <v>0</v>
      </c>
      <c r="AL425" s="56" t="s">
        <v>612</v>
      </c>
      <c r="AM425" s="56">
        <f>'[2]Изложницы без бурта'!K425</f>
        <v>0</v>
      </c>
    </row>
    <row r="426" spans="28:39" x14ac:dyDescent="0.25">
      <c r="AB426" s="258" t="str">
        <f t="shared" si="16"/>
        <v/>
      </c>
      <c r="AC426" s="259" t="str">
        <f>IF(COUNTIF(AD$78:AD426,AD426)=1,MAX(AC$78:AC425)+1,"")</f>
        <v/>
      </c>
      <c r="AD426" s="220">
        <f>'[2]Изложницы без бурта'!B426</f>
        <v>187.5</v>
      </c>
      <c r="AE426" s="220">
        <f>'[2]Изложницы без бурта'!C426</f>
        <v>440</v>
      </c>
      <c r="AF426" s="56">
        <f>'[2]Изложницы без бурта'!D426</f>
        <v>285</v>
      </c>
      <c r="AG426" s="56">
        <f>'[2]Изложницы без бурта'!E426</f>
        <v>320</v>
      </c>
      <c r="AH426" s="56" t="str">
        <f>'[2]Изложницы без бурта'!F426</f>
        <v>10.241070 - 01</v>
      </c>
      <c r="AI426" s="56">
        <f>'[2]Изложницы без бурта'!G426</f>
        <v>7260014</v>
      </c>
      <c r="AJ426" s="56">
        <f>'[2]Изложницы без бурта'!H426</f>
        <v>0</v>
      </c>
      <c r="AK426" s="56">
        <f>'[2]Изложницы без бурта'!I426</f>
        <v>0</v>
      </c>
      <c r="AL426" s="56" t="s">
        <v>612</v>
      </c>
      <c r="AM426" s="56">
        <f>'[2]Изложницы без бурта'!K426</f>
        <v>0</v>
      </c>
    </row>
    <row r="427" spans="28:39" x14ac:dyDescent="0.25">
      <c r="AB427" s="258" t="str">
        <f t="shared" si="16"/>
        <v/>
      </c>
      <c r="AC427" s="259" t="str">
        <f>IF(COUNTIF(AD$78:AD427,AD427)=1,MAX(AC$78:AC426)+1,"")</f>
        <v/>
      </c>
      <c r="AD427" s="220">
        <f>'[2]Изложницы без бурта'!B427</f>
        <v>187.5</v>
      </c>
      <c r="AE427" s="220">
        <f>'[2]Изложницы без бурта'!C427</f>
        <v>505</v>
      </c>
      <c r="AF427" s="56">
        <f>'[2]Изложницы без бурта'!D427</f>
        <v>285</v>
      </c>
      <c r="AG427" s="56">
        <f>'[2]Изложницы без бурта'!E427</f>
        <v>320</v>
      </c>
      <c r="AH427" s="56" t="str">
        <f>'[2]Изложницы без бурта'!F427</f>
        <v>72.23398 - 02</v>
      </c>
      <c r="AI427" s="56">
        <f>'[2]Изложницы без бурта'!G427</f>
        <v>7260015</v>
      </c>
      <c r="AJ427" s="56">
        <f>'[2]Изложницы без бурта'!H427</f>
        <v>0</v>
      </c>
      <c r="AK427" s="56">
        <f>'[2]Изложницы без бурта'!I427</f>
        <v>0</v>
      </c>
      <c r="AL427" s="56" t="s">
        <v>612</v>
      </c>
      <c r="AM427" s="56">
        <f>'[2]Изложницы без бурта'!K427</f>
        <v>0</v>
      </c>
    </row>
    <row r="428" spans="28:39" x14ac:dyDescent="0.25">
      <c r="AB428" s="258" t="str">
        <f t="shared" si="16"/>
        <v/>
      </c>
      <c r="AC428" s="259" t="str">
        <f>IF(COUNTIF(AD$78:AD428,AD428)=1,MAX(AC$78:AC427)+1,"")</f>
        <v/>
      </c>
      <c r="AD428" s="220">
        <f>'[2]Изложницы без бурта'!B428</f>
        <v>187.5</v>
      </c>
      <c r="AE428" s="220">
        <f>'[2]Изложницы без бурта'!C428</f>
        <v>320</v>
      </c>
      <c r="AF428" s="56">
        <f>'[2]Изложницы без бурта'!D428</f>
        <v>285</v>
      </c>
      <c r="AG428" s="56">
        <f>'[2]Изложницы без бурта'!E428</f>
        <v>320</v>
      </c>
      <c r="AH428" s="56" t="str">
        <f>'[2]Изложницы без бурта'!F428</f>
        <v>72.11871 - 20</v>
      </c>
      <c r="AI428" s="56">
        <f>'[2]Изложницы без бурта'!G428</f>
        <v>0</v>
      </c>
      <c r="AJ428" s="56">
        <f>'[2]Изложницы без бурта'!H428</f>
        <v>0</v>
      </c>
      <c r="AK428" s="56">
        <f>'[2]Изложницы без бурта'!I428</f>
        <v>0</v>
      </c>
      <c r="AL428" s="56" t="s">
        <v>612</v>
      </c>
      <c r="AM428" s="56">
        <f>'[2]Изложницы без бурта'!K428</f>
        <v>0</v>
      </c>
    </row>
    <row r="429" spans="28:39" x14ac:dyDescent="0.25">
      <c r="AB429" s="258" t="str">
        <f t="shared" si="16"/>
        <v/>
      </c>
      <c r="AC429" s="259" t="str">
        <f>IF(COUNTIF(AD$78:AD429,AD429)=1,MAX(AC$78:AC428)+1,"")</f>
        <v/>
      </c>
      <c r="AD429" s="220">
        <f>'[2]Изложницы без бурта'!B429</f>
        <v>187.5</v>
      </c>
      <c r="AE429" s="220">
        <f>'[2]Изложницы без бурта'!C429</f>
        <v>215</v>
      </c>
      <c r="AF429" s="56">
        <f>'[2]Изложницы без бурта'!D429</f>
        <v>285</v>
      </c>
      <c r="AG429" s="56">
        <f>'[2]Изложницы без бурта'!E429</f>
        <v>320</v>
      </c>
      <c r="AH429" s="56" t="str">
        <f>'[2]Изложницы без бурта'!F429</f>
        <v>10.247619 - 2</v>
      </c>
      <c r="AI429" s="56">
        <f>'[2]Изложницы без бурта'!G429</f>
        <v>7260013</v>
      </c>
      <c r="AJ429" s="56">
        <f>'[2]Изложницы без бурта'!H429</f>
        <v>0</v>
      </c>
      <c r="AK429" s="56">
        <f>'[2]Изложницы без бурта'!I429</f>
        <v>0</v>
      </c>
      <c r="AL429" s="56" t="s">
        <v>612</v>
      </c>
      <c r="AM429" s="56">
        <f>'[2]Изложницы без бурта'!K429</f>
        <v>0</v>
      </c>
    </row>
    <row r="430" spans="28:39" x14ac:dyDescent="0.25">
      <c r="AB430" s="258" t="str">
        <f t="shared" si="16"/>
        <v/>
      </c>
      <c r="AC430" s="259" t="str">
        <f>IF(COUNTIF(AD$78:AD430,AD430)=1,MAX(AC$78:AC429)+1,"")</f>
        <v/>
      </c>
      <c r="AD430" s="220">
        <f>'[2]Изложницы без бурта'!B430</f>
        <v>187.5</v>
      </c>
      <c r="AE430" s="220">
        <f>'[2]Изложницы без бурта'!C430</f>
        <v>265</v>
      </c>
      <c r="AF430" s="56">
        <f>'[2]Изложницы без бурта'!D430</f>
        <v>285</v>
      </c>
      <c r="AG430" s="56">
        <f>'[2]Изложницы без бурта'!E430</f>
        <v>320</v>
      </c>
      <c r="AH430" s="56" t="str">
        <f>'[2]Изложницы без бурта'!F430</f>
        <v>72.11870 - 20</v>
      </c>
      <c r="AI430" s="56">
        <f>'[2]Изложницы без бурта'!G430</f>
        <v>0</v>
      </c>
      <c r="AJ430" s="56">
        <f>'[2]Изложницы без бурта'!H430</f>
        <v>0</v>
      </c>
      <c r="AK430" s="56">
        <f>'[2]Изложницы без бурта'!I430</f>
        <v>0</v>
      </c>
      <c r="AL430" s="56" t="s">
        <v>612</v>
      </c>
      <c r="AM430" s="56">
        <f>'[2]Изложницы без бурта'!K430</f>
        <v>0</v>
      </c>
    </row>
    <row r="431" spans="28:39" x14ac:dyDescent="0.25">
      <c r="AB431" s="258" t="str">
        <f t="shared" si="16"/>
        <v/>
      </c>
      <c r="AC431" s="259" t="str">
        <f>IF(COUNTIF(AD$78:AD431,AD431)=1,MAX(AC$78:AC430)+1,"")</f>
        <v/>
      </c>
      <c r="AD431" s="220">
        <f>'[2]Изложницы без бурта'!B431</f>
        <v>187.5</v>
      </c>
      <c r="AE431" s="220">
        <f>'[2]Изложницы без бурта'!C431</f>
        <v>260</v>
      </c>
      <c r="AF431" s="56">
        <f>'[2]Изложницы без бурта'!D431</f>
        <v>285</v>
      </c>
      <c r="AG431" s="56">
        <f>'[2]Изложницы без бурта'!E431</f>
        <v>320</v>
      </c>
      <c r="AH431" s="56" t="str">
        <f>'[2]Изложницы без бурта'!F431</f>
        <v>72.11870 - 20</v>
      </c>
      <c r="AI431" s="56">
        <f>'[2]Изложницы без бурта'!G431</f>
        <v>0</v>
      </c>
      <c r="AJ431" s="56">
        <f>'[2]Изложницы без бурта'!H431</f>
        <v>0</v>
      </c>
      <c r="AK431" s="56">
        <f>'[2]Изложницы без бурта'!I431</f>
        <v>0</v>
      </c>
      <c r="AL431" s="56" t="s">
        <v>612</v>
      </c>
      <c r="AM431" s="56">
        <f>'[2]Изложницы без бурта'!K431</f>
        <v>0</v>
      </c>
    </row>
    <row r="432" spans="28:39" x14ac:dyDescent="0.25">
      <c r="AB432" s="258" t="str">
        <f t="shared" si="16"/>
        <v/>
      </c>
      <c r="AC432" s="259" t="str">
        <f>IF(COUNTIF(AD$78:AD432,AD432)=1,MAX(AC$78:AC431)+1,"")</f>
        <v/>
      </c>
      <c r="AD432" s="220">
        <f>'[2]Изложницы без бурта'!B432</f>
        <v>187.5</v>
      </c>
      <c r="AE432" s="220">
        <f>'[2]Изложницы без бурта'!C432</f>
        <v>317</v>
      </c>
      <c r="AF432" s="56">
        <f>'[2]Изложницы без бурта'!D432</f>
        <v>285</v>
      </c>
      <c r="AG432" s="56">
        <f>'[2]Изложницы без бурта'!E432</f>
        <v>320</v>
      </c>
      <c r="AH432" s="56" t="str">
        <f>'[2]Изложницы без бурта'!F432</f>
        <v>72.11871 - 20</v>
      </c>
      <c r="AI432" s="56">
        <f>'[2]Изложницы без бурта'!G432</f>
        <v>0</v>
      </c>
      <c r="AJ432" s="56">
        <f>'[2]Изложницы без бурта'!H432</f>
        <v>0</v>
      </c>
      <c r="AK432" s="56">
        <f>'[2]Изложницы без бурта'!I432</f>
        <v>0</v>
      </c>
      <c r="AL432" s="56" t="s">
        <v>612</v>
      </c>
      <c r="AM432" s="56">
        <f>'[2]Изложницы без бурта'!K432</f>
        <v>0</v>
      </c>
    </row>
    <row r="433" spans="28:39" x14ac:dyDescent="0.25">
      <c r="AB433" s="258" t="str">
        <f t="shared" si="16"/>
        <v/>
      </c>
      <c r="AC433" s="259" t="str">
        <f>IF(COUNTIF(AD$78:AD433,AD433)=1,MAX(AC$78:AC432)+1,"")</f>
        <v/>
      </c>
      <c r="AD433" s="220">
        <f>'[2]Изложницы без бурта'!B433</f>
        <v>187.5</v>
      </c>
      <c r="AE433" s="220">
        <f>'[2]Изложницы без бурта'!C433</f>
        <v>265</v>
      </c>
      <c r="AF433" s="56">
        <f>'[2]Изложницы без бурта'!D433</f>
        <v>285</v>
      </c>
      <c r="AG433" s="56">
        <f>'[2]Изложницы без бурта'!E433</f>
        <v>320</v>
      </c>
      <c r="AH433" s="56" t="str">
        <f>'[2]Изложницы без бурта'!F433</f>
        <v>72.11870 - 20</v>
      </c>
      <c r="AI433" s="56">
        <f>'[2]Изложницы без бурта'!G433</f>
        <v>0</v>
      </c>
      <c r="AJ433" s="56">
        <f>'[2]Изложницы без бурта'!H433</f>
        <v>0</v>
      </c>
      <c r="AK433" s="56">
        <f>'[2]Изложницы без бурта'!I433</f>
        <v>0</v>
      </c>
      <c r="AL433" s="56" t="s">
        <v>612</v>
      </c>
      <c r="AM433" s="56">
        <f>'[2]Изложницы без бурта'!K433</f>
        <v>0</v>
      </c>
    </row>
    <row r="434" spans="28:39" x14ac:dyDescent="0.25">
      <c r="AB434" s="258" t="str">
        <f t="shared" si="16"/>
        <v/>
      </c>
      <c r="AC434" s="259">
        <f>IF(COUNTIF(AD$78:AD434,AD434)=1,MAX(AC$78:AC433)+1,"")</f>
        <v>41</v>
      </c>
      <c r="AD434" s="220">
        <f>'[2]Изложницы без бурта'!B434</f>
        <v>190</v>
      </c>
      <c r="AE434" s="220">
        <f>'[2]Изложницы без бурта'!C434</f>
        <v>265</v>
      </c>
      <c r="AF434" s="56">
        <f>'[2]Изложницы без бурта'!D434</f>
        <v>285</v>
      </c>
      <c r="AG434" s="56">
        <f>'[2]Изложницы без бурта'!E434</f>
        <v>320</v>
      </c>
      <c r="AH434" s="56" t="str">
        <f>'[2]Изложницы без бурта'!F434</f>
        <v>72.11870 - 21</v>
      </c>
      <c r="AI434" s="56">
        <f>'[2]Изложницы без бурта'!G434</f>
        <v>0</v>
      </c>
      <c r="AJ434" s="56">
        <f>'[2]Изложницы без бурта'!H434</f>
        <v>0</v>
      </c>
      <c r="AK434" s="56">
        <f>'[2]Изложницы без бурта'!I434</f>
        <v>0</v>
      </c>
      <c r="AL434" s="56" t="s">
        <v>613</v>
      </c>
      <c r="AM434" s="56">
        <f>'[2]Изложницы без бурта'!K434</f>
        <v>0</v>
      </c>
    </row>
    <row r="435" spans="28:39" x14ac:dyDescent="0.25">
      <c r="AB435" s="258" t="str">
        <f t="shared" si="16"/>
        <v/>
      </c>
      <c r="AC435" s="259" t="str">
        <f>IF(COUNTIF(AD$78:AD435,AD435)=1,MAX(AC$78:AC434)+1,"")</f>
        <v/>
      </c>
      <c r="AD435" s="220">
        <f>'[2]Изложницы без бурта'!B435</f>
        <v>190</v>
      </c>
      <c r="AE435" s="220">
        <f>'[2]Изложницы без бурта'!C435</f>
        <v>263</v>
      </c>
      <c r="AF435" s="56">
        <f>'[2]Изложницы без бурта'!D435</f>
        <v>285</v>
      </c>
      <c r="AG435" s="56">
        <f>'[2]Изложницы без бурта'!E435</f>
        <v>320</v>
      </c>
      <c r="AH435" s="56" t="str">
        <f>'[2]Изложницы без бурта'!F435</f>
        <v>72.11870 - 21</v>
      </c>
      <c r="AI435" s="56">
        <f>'[2]Изложницы без бурта'!G435</f>
        <v>0</v>
      </c>
      <c r="AJ435" s="56">
        <f>'[2]Изложницы без бурта'!H435</f>
        <v>0</v>
      </c>
      <c r="AK435" s="56">
        <f>'[2]Изложницы без бурта'!I435</f>
        <v>0</v>
      </c>
      <c r="AL435" s="56" t="s">
        <v>613</v>
      </c>
      <c r="AM435" s="56">
        <f>'[2]Изложницы без бурта'!K435</f>
        <v>0</v>
      </c>
    </row>
    <row r="436" spans="28:39" x14ac:dyDescent="0.25">
      <c r="AB436" s="258" t="str">
        <f t="shared" si="16"/>
        <v/>
      </c>
      <c r="AC436" s="259" t="str">
        <f>IF(COUNTIF(AD$78:AD436,AD436)=1,MAX(AC$78:AC435)+1,"")</f>
        <v/>
      </c>
      <c r="AD436" s="220">
        <f>'[2]Изложницы без бурта'!B436</f>
        <v>190</v>
      </c>
      <c r="AE436" s="220">
        <f>'[2]Изложницы без бурта'!C436</f>
        <v>263</v>
      </c>
      <c r="AF436" s="56">
        <f>'[2]Изложницы без бурта'!D436</f>
        <v>285</v>
      </c>
      <c r="AG436" s="56">
        <f>'[2]Изложницы без бурта'!E436</f>
        <v>320</v>
      </c>
      <c r="AH436" s="56" t="str">
        <f>'[2]Изложницы без бурта'!F436</f>
        <v>72.11870 - 21</v>
      </c>
      <c r="AI436" s="56">
        <f>'[2]Изложницы без бурта'!G436</f>
        <v>0</v>
      </c>
      <c r="AJ436" s="56">
        <f>'[2]Изложницы без бурта'!H436</f>
        <v>0</v>
      </c>
      <c r="AK436" s="56">
        <f>'[2]Изложницы без бурта'!I436</f>
        <v>0</v>
      </c>
      <c r="AL436" s="56" t="s">
        <v>613</v>
      </c>
      <c r="AM436" s="56">
        <f>'[2]Изложницы без бурта'!K436</f>
        <v>0</v>
      </c>
    </row>
    <row r="437" spans="28:39" x14ac:dyDescent="0.25">
      <c r="AB437" s="258" t="str">
        <f t="shared" si="16"/>
        <v/>
      </c>
      <c r="AC437" s="259" t="str">
        <f>IF(COUNTIF(AD$78:AD437,AD437)=1,MAX(AC$78:AC436)+1,"")</f>
        <v/>
      </c>
      <c r="AD437" s="220">
        <f>'[2]Изложницы без бурта'!B437</f>
        <v>190</v>
      </c>
      <c r="AE437" s="220">
        <f>'[2]Изложницы без бурта'!C437</f>
        <v>265</v>
      </c>
      <c r="AF437" s="56">
        <f>'[2]Изложницы без бурта'!D437</f>
        <v>285</v>
      </c>
      <c r="AG437" s="56">
        <f>'[2]Изложницы без бурта'!E437</f>
        <v>320</v>
      </c>
      <c r="AH437" s="56" t="str">
        <f>'[2]Изложницы без бурта'!F437</f>
        <v>72.11870 - 21</v>
      </c>
      <c r="AI437" s="56">
        <f>'[2]Изложницы без бурта'!G437</f>
        <v>0</v>
      </c>
      <c r="AJ437" s="56">
        <f>'[2]Изложницы без бурта'!H437</f>
        <v>0</v>
      </c>
      <c r="AK437" s="56">
        <f>'[2]Изложницы без бурта'!I437</f>
        <v>0</v>
      </c>
      <c r="AL437" s="56" t="s">
        <v>613</v>
      </c>
      <c r="AM437" s="56">
        <f>'[2]Изложницы без бурта'!K437</f>
        <v>0</v>
      </c>
    </row>
    <row r="438" spans="28:39" x14ac:dyDescent="0.25">
      <c r="AB438" s="258" t="str">
        <f t="shared" si="16"/>
        <v/>
      </c>
      <c r="AC438" s="259" t="str">
        <f>IF(COUNTIF(AD$78:AD438,AD438)=1,MAX(AC$78:AC437)+1,"")</f>
        <v/>
      </c>
      <c r="AD438" s="220">
        <f>'[2]Изложницы без бурта'!B438</f>
        <v>190</v>
      </c>
      <c r="AE438" s="220">
        <f>'[2]Изложницы без бурта'!C438</f>
        <v>265</v>
      </c>
      <c r="AF438" s="56">
        <f>'[2]Изложницы без бурта'!D438</f>
        <v>285</v>
      </c>
      <c r="AG438" s="56">
        <f>'[2]Изложницы без бурта'!E438</f>
        <v>320</v>
      </c>
      <c r="AH438" s="56" t="str">
        <f>'[2]Изложницы без бурта'!F438</f>
        <v>72.11870 - 21</v>
      </c>
      <c r="AI438" s="56">
        <f>'[2]Изложницы без бурта'!G438</f>
        <v>0</v>
      </c>
      <c r="AJ438" s="56">
        <f>'[2]Изложницы без бурта'!H438</f>
        <v>0</v>
      </c>
      <c r="AK438" s="56">
        <f>'[2]Изложницы без бурта'!I438</f>
        <v>0</v>
      </c>
      <c r="AL438" s="56" t="s">
        <v>613</v>
      </c>
      <c r="AM438" s="56">
        <f>'[2]Изложницы без бурта'!K438</f>
        <v>0</v>
      </c>
    </row>
    <row r="439" spans="28:39" x14ac:dyDescent="0.25">
      <c r="AB439" s="258" t="str">
        <f t="shared" si="16"/>
        <v/>
      </c>
      <c r="AC439" s="259" t="str">
        <f>IF(COUNTIF(AD$78:AD439,AD439)=1,MAX(AC$78:AC438)+1,"")</f>
        <v/>
      </c>
      <c r="AD439" s="220">
        <f>'[2]Изложницы без бурта'!B439</f>
        <v>190</v>
      </c>
      <c r="AE439" s="220">
        <f>'[2]Изложницы без бурта'!C439</f>
        <v>265</v>
      </c>
      <c r="AF439" s="56">
        <f>'[2]Изложницы без бурта'!D439</f>
        <v>285</v>
      </c>
      <c r="AG439" s="56">
        <f>'[2]Изложницы без бурта'!E439</f>
        <v>320</v>
      </c>
      <c r="AH439" s="56" t="str">
        <f>'[2]Изложницы без бурта'!F439</f>
        <v>72.11870 - 21</v>
      </c>
      <c r="AI439" s="56">
        <f>'[2]Изложницы без бурта'!G439</f>
        <v>0</v>
      </c>
      <c r="AJ439" s="56">
        <f>'[2]Изложницы без бурта'!H439</f>
        <v>0</v>
      </c>
      <c r="AK439" s="56">
        <f>'[2]Изложницы без бурта'!I439</f>
        <v>0</v>
      </c>
      <c r="AL439" s="56" t="s">
        <v>613</v>
      </c>
      <c r="AM439" s="56">
        <f>'[2]Изложницы без бурта'!K439</f>
        <v>0</v>
      </c>
    </row>
    <row r="440" spans="28:39" x14ac:dyDescent="0.25">
      <c r="AB440" s="258" t="str">
        <f t="shared" si="16"/>
        <v/>
      </c>
      <c r="AC440" s="259" t="str">
        <f>IF(COUNTIF(AD$78:AD440,AD440)=1,MAX(AC$78:AC439)+1,"")</f>
        <v/>
      </c>
      <c r="AD440" s="220">
        <f>'[2]Изложницы без бурта'!B440</f>
        <v>190</v>
      </c>
      <c r="AE440" s="220">
        <f>'[2]Изложницы без бурта'!C440</f>
        <v>265</v>
      </c>
      <c r="AF440" s="56">
        <f>'[2]Изложницы без бурта'!D440</f>
        <v>285</v>
      </c>
      <c r="AG440" s="56">
        <f>'[2]Изложницы без бурта'!E440</f>
        <v>320</v>
      </c>
      <c r="AH440" s="56" t="str">
        <f>'[2]Изложницы без бурта'!F440</f>
        <v>72.11870 - 21</v>
      </c>
      <c r="AI440" s="56">
        <f>'[2]Изложницы без бурта'!G440</f>
        <v>0</v>
      </c>
      <c r="AJ440" s="56">
        <f>'[2]Изложницы без бурта'!H440</f>
        <v>0</v>
      </c>
      <c r="AK440" s="56">
        <f>'[2]Изложницы без бурта'!I440</f>
        <v>0</v>
      </c>
      <c r="AL440" s="56" t="s">
        <v>613</v>
      </c>
      <c r="AM440" s="56">
        <f>'[2]Изложницы без бурта'!K440</f>
        <v>0</v>
      </c>
    </row>
    <row r="441" spans="28:39" x14ac:dyDescent="0.25">
      <c r="AB441" s="258" t="str">
        <f t="shared" ref="AB441:AB504" si="17">IF(MAX(AC441:AC1518)&lt;ROW(363:363),"",VLOOKUP(ROW(363:363),AC441:AD1518,2))</f>
        <v/>
      </c>
      <c r="AC441" s="259" t="str">
        <f>IF(COUNTIF(AD$78:AD441,AD441)=1,MAX(AC$78:AC440)+1,"")</f>
        <v/>
      </c>
      <c r="AD441" s="220">
        <f>'[2]Изложницы без бурта'!B441</f>
        <v>190</v>
      </c>
      <c r="AE441" s="220">
        <f>'[2]Изложницы без бурта'!C441</f>
        <v>265</v>
      </c>
      <c r="AF441" s="56">
        <f>'[2]Изложницы без бурта'!D441</f>
        <v>285</v>
      </c>
      <c r="AG441" s="56">
        <f>'[2]Изложницы без бурта'!E441</f>
        <v>320</v>
      </c>
      <c r="AH441" s="56" t="str">
        <f>'[2]Изложницы без бурта'!F441</f>
        <v>72.11870 - 21</v>
      </c>
      <c r="AI441" s="56">
        <f>'[2]Изложницы без бурта'!G441</f>
        <v>0</v>
      </c>
      <c r="AJ441" s="56">
        <f>'[2]Изложницы без бурта'!H441</f>
        <v>0</v>
      </c>
      <c r="AK441" s="56">
        <f>'[2]Изложницы без бурта'!I441</f>
        <v>0</v>
      </c>
      <c r="AL441" s="56" t="s">
        <v>613</v>
      </c>
      <c r="AM441" s="56">
        <f>'[2]Изложницы без бурта'!K441</f>
        <v>0</v>
      </c>
    </row>
    <row r="442" spans="28:39" x14ac:dyDescent="0.25">
      <c r="AB442" s="258" t="str">
        <f t="shared" si="17"/>
        <v/>
      </c>
      <c r="AC442" s="259" t="str">
        <f>IF(COUNTIF(AD$78:AD442,AD442)=1,MAX(AC$78:AC441)+1,"")</f>
        <v/>
      </c>
      <c r="AD442" s="220">
        <f>'[2]Изложницы без бурта'!B442</f>
        <v>190</v>
      </c>
      <c r="AE442" s="220">
        <f>'[2]Изложницы без бурта'!C442</f>
        <v>260</v>
      </c>
      <c r="AF442" s="56">
        <f>'[2]Изложницы без бурта'!D442</f>
        <v>285</v>
      </c>
      <c r="AG442" s="56">
        <f>'[2]Изложницы без бурта'!E442</f>
        <v>320</v>
      </c>
      <c r="AH442" s="56" t="str">
        <f>'[2]Изложницы без бурта'!F442</f>
        <v>72.11870 - 21</v>
      </c>
      <c r="AI442" s="56">
        <f>'[2]Изложницы без бурта'!G442</f>
        <v>0</v>
      </c>
      <c r="AJ442" s="56">
        <f>'[2]Изложницы без бурта'!H442</f>
        <v>0</v>
      </c>
      <c r="AK442" s="56">
        <f>'[2]Изложницы без бурта'!I442</f>
        <v>0</v>
      </c>
      <c r="AL442" s="56" t="s">
        <v>613</v>
      </c>
      <c r="AM442" s="56">
        <f>'[2]Изложницы без бурта'!K442</f>
        <v>0</v>
      </c>
    </row>
    <row r="443" spans="28:39" x14ac:dyDescent="0.25">
      <c r="AB443" s="258" t="str">
        <f t="shared" si="17"/>
        <v/>
      </c>
      <c r="AC443" s="259" t="str">
        <f>IF(COUNTIF(AD$78:AD443,AD443)=1,MAX(AC$78:AC442)+1,"")</f>
        <v/>
      </c>
      <c r="AD443" s="220">
        <f>'[2]Изложницы без бурта'!B443</f>
        <v>190</v>
      </c>
      <c r="AE443" s="220">
        <f>'[2]Изложницы без бурта'!C443</f>
        <v>260</v>
      </c>
      <c r="AF443" s="56">
        <f>'[2]Изложницы без бурта'!D443</f>
        <v>285</v>
      </c>
      <c r="AG443" s="56">
        <f>'[2]Изложницы без бурта'!E443</f>
        <v>320</v>
      </c>
      <c r="AH443" s="56" t="str">
        <f>'[2]Изложницы без бурта'!F443</f>
        <v>72.11870 - 21</v>
      </c>
      <c r="AI443" s="56">
        <f>'[2]Изложницы без бурта'!G443</f>
        <v>0</v>
      </c>
      <c r="AJ443" s="56">
        <f>'[2]Изложницы без бурта'!H443</f>
        <v>0</v>
      </c>
      <c r="AK443" s="56">
        <f>'[2]Изложницы без бурта'!I443</f>
        <v>0</v>
      </c>
      <c r="AL443" s="56" t="s">
        <v>613</v>
      </c>
      <c r="AM443" s="56">
        <f>'[2]Изложницы без бурта'!K443</f>
        <v>0</v>
      </c>
    </row>
    <row r="444" spans="28:39" x14ac:dyDescent="0.25">
      <c r="AB444" s="258" t="str">
        <f t="shared" si="17"/>
        <v/>
      </c>
      <c r="AC444" s="259" t="str">
        <f>IF(COUNTIF(AD$78:AD444,AD444)=1,MAX(AC$78:AC443)+1,"")</f>
        <v/>
      </c>
      <c r="AD444" s="220">
        <f>'[2]Изложницы без бурта'!B444</f>
        <v>190</v>
      </c>
      <c r="AE444" s="220">
        <f>'[2]Изложницы без бурта'!C444</f>
        <v>265</v>
      </c>
      <c r="AF444" s="56">
        <f>'[2]Изложницы без бурта'!D444</f>
        <v>285</v>
      </c>
      <c r="AG444" s="56">
        <f>'[2]Изложницы без бурта'!E444</f>
        <v>320</v>
      </c>
      <c r="AH444" s="56" t="str">
        <f>'[2]Изложницы без бурта'!F444</f>
        <v>72.11870 - 21</v>
      </c>
      <c r="AI444" s="56">
        <f>'[2]Изложницы без бурта'!G444</f>
        <v>0</v>
      </c>
      <c r="AJ444" s="56">
        <f>'[2]Изложницы без бурта'!H444</f>
        <v>0</v>
      </c>
      <c r="AK444" s="56">
        <f>'[2]Изложницы без бурта'!I444</f>
        <v>0</v>
      </c>
      <c r="AL444" s="56" t="s">
        <v>613</v>
      </c>
      <c r="AM444" s="56">
        <f>'[2]Изложницы без бурта'!K444</f>
        <v>0</v>
      </c>
    </row>
    <row r="445" spans="28:39" x14ac:dyDescent="0.25">
      <c r="AB445" s="258" t="str">
        <f t="shared" si="17"/>
        <v/>
      </c>
      <c r="AC445" s="259" t="str">
        <f>IF(COUNTIF(AD$78:AD445,AD445)=1,MAX(AC$78:AC444)+1,"")</f>
        <v/>
      </c>
      <c r="AD445" s="220">
        <f>'[2]Изложницы без бурта'!B445</f>
        <v>190</v>
      </c>
      <c r="AE445" s="220">
        <f>'[2]Изложницы без бурта'!C445</f>
        <v>265</v>
      </c>
      <c r="AF445" s="56">
        <f>'[2]Изложницы без бурта'!D445</f>
        <v>285</v>
      </c>
      <c r="AG445" s="56">
        <f>'[2]Изложницы без бурта'!E445</f>
        <v>320</v>
      </c>
      <c r="AH445" s="56" t="str">
        <f>'[2]Изложницы без бурта'!F445</f>
        <v>72.11870 - 21</v>
      </c>
      <c r="AI445" s="56">
        <f>'[2]Изложницы без бурта'!G445</f>
        <v>0</v>
      </c>
      <c r="AJ445" s="56">
        <f>'[2]Изложницы без бурта'!H445</f>
        <v>0</v>
      </c>
      <c r="AK445" s="56">
        <f>'[2]Изложницы без бурта'!I445</f>
        <v>0</v>
      </c>
      <c r="AL445" s="56" t="s">
        <v>613</v>
      </c>
      <c r="AM445" s="56">
        <f>'[2]Изложницы без бурта'!K445</f>
        <v>0</v>
      </c>
    </row>
    <row r="446" spans="28:39" x14ac:dyDescent="0.25">
      <c r="AB446" s="258" t="str">
        <f t="shared" si="17"/>
        <v/>
      </c>
      <c r="AC446" s="259" t="str">
        <f>IF(COUNTIF(AD$78:AD446,AD446)=1,MAX(AC$78:AC445)+1,"")</f>
        <v/>
      </c>
      <c r="AD446" s="220">
        <f>'[2]Изложницы без бурта'!B446</f>
        <v>190</v>
      </c>
      <c r="AE446" s="220">
        <f>'[2]Изложницы без бурта'!C446</f>
        <v>265</v>
      </c>
      <c r="AF446" s="56">
        <f>'[2]Изложницы без бурта'!D446</f>
        <v>285</v>
      </c>
      <c r="AG446" s="56">
        <f>'[2]Изложницы без бурта'!E446</f>
        <v>320</v>
      </c>
      <c r="AH446" s="56" t="str">
        <f>'[2]Изложницы без бурта'!F446</f>
        <v>72.11870 - 21</v>
      </c>
      <c r="AI446" s="56">
        <f>'[2]Изложницы без бурта'!G446</f>
        <v>0</v>
      </c>
      <c r="AJ446" s="56">
        <f>'[2]Изложницы без бурта'!H446</f>
        <v>0</v>
      </c>
      <c r="AK446" s="56">
        <f>'[2]Изложницы без бурта'!I446</f>
        <v>0</v>
      </c>
      <c r="AL446" s="56" t="s">
        <v>613</v>
      </c>
      <c r="AM446" s="56">
        <f>'[2]Изложницы без бурта'!K446</f>
        <v>0</v>
      </c>
    </row>
    <row r="447" spans="28:39" x14ac:dyDescent="0.25">
      <c r="AB447" s="258" t="str">
        <f t="shared" si="17"/>
        <v/>
      </c>
      <c r="AC447" s="259" t="str">
        <f>IF(COUNTIF(AD$78:AD447,AD447)=1,MAX(AC$78:AC446)+1,"")</f>
        <v/>
      </c>
      <c r="AD447" s="220">
        <f>'[2]Изложницы без бурта'!B447</f>
        <v>190</v>
      </c>
      <c r="AE447" s="220">
        <f>'[2]Изложницы без бурта'!C447</f>
        <v>260</v>
      </c>
      <c r="AF447" s="56">
        <f>'[2]Изложницы без бурта'!D447</f>
        <v>285</v>
      </c>
      <c r="AG447" s="56">
        <f>'[2]Изложницы без бурта'!E447</f>
        <v>320</v>
      </c>
      <c r="AH447" s="56" t="str">
        <f>'[2]Изложницы без бурта'!F447</f>
        <v>72.11870 - 21</v>
      </c>
      <c r="AI447" s="56">
        <f>'[2]Изложницы без бурта'!G447</f>
        <v>0</v>
      </c>
      <c r="AJ447" s="56">
        <f>'[2]Изложницы без бурта'!H447</f>
        <v>0</v>
      </c>
      <c r="AK447" s="56">
        <f>'[2]Изложницы без бурта'!I447</f>
        <v>0</v>
      </c>
      <c r="AL447" s="56" t="s">
        <v>613</v>
      </c>
      <c r="AM447" s="56">
        <f>'[2]Изложницы без бурта'!K447</f>
        <v>0</v>
      </c>
    </row>
    <row r="448" spans="28:39" x14ac:dyDescent="0.25">
      <c r="AB448" s="258" t="str">
        <f t="shared" si="17"/>
        <v/>
      </c>
      <c r="AC448" s="259" t="str">
        <f>IF(COUNTIF(AD$78:AD448,AD448)=1,MAX(AC$78:AC447)+1,"")</f>
        <v/>
      </c>
      <c r="AD448" s="220">
        <f>'[2]Изложницы без бурта'!B448</f>
        <v>190</v>
      </c>
      <c r="AE448" s="220">
        <f>'[2]Изложницы без бурта'!C448</f>
        <v>265</v>
      </c>
      <c r="AF448" s="56">
        <f>'[2]Изложницы без бурта'!D448</f>
        <v>285</v>
      </c>
      <c r="AG448" s="56">
        <f>'[2]Изложницы без бурта'!E448</f>
        <v>320</v>
      </c>
      <c r="AH448" s="56" t="str">
        <f>'[2]Изложницы без бурта'!F448</f>
        <v>72.11870 - 21</v>
      </c>
      <c r="AI448" s="56">
        <f>'[2]Изложницы без бурта'!G448</f>
        <v>0</v>
      </c>
      <c r="AJ448" s="56">
        <f>'[2]Изложницы без бурта'!H448</f>
        <v>0</v>
      </c>
      <c r="AK448" s="56">
        <f>'[2]Изложницы без бурта'!I448</f>
        <v>0</v>
      </c>
      <c r="AL448" s="56" t="s">
        <v>613</v>
      </c>
      <c r="AM448" s="56">
        <f>'[2]Изложницы без бурта'!K448</f>
        <v>0</v>
      </c>
    </row>
    <row r="449" spans="28:39" x14ac:dyDescent="0.25">
      <c r="AB449" s="258" t="str">
        <f t="shared" si="17"/>
        <v/>
      </c>
      <c r="AC449" s="259" t="str">
        <f>IF(COUNTIF(AD$78:AD449,AD449)=1,MAX(AC$78:AC448)+1,"")</f>
        <v/>
      </c>
      <c r="AD449" s="220">
        <f>'[2]Изложницы без бурта'!B449</f>
        <v>190</v>
      </c>
      <c r="AE449" s="220">
        <f>'[2]Изложницы без бурта'!C449</f>
        <v>265</v>
      </c>
      <c r="AF449" s="56">
        <f>'[2]Изложницы без бурта'!D449</f>
        <v>285</v>
      </c>
      <c r="AG449" s="56">
        <f>'[2]Изложницы без бурта'!E449</f>
        <v>320</v>
      </c>
      <c r="AH449" s="56" t="str">
        <f>'[2]Изложницы без бурта'!F449</f>
        <v>72.11870 - 21</v>
      </c>
      <c r="AI449" s="56">
        <f>'[2]Изложницы без бурта'!G449</f>
        <v>0</v>
      </c>
      <c r="AJ449" s="56">
        <f>'[2]Изложницы без бурта'!H449</f>
        <v>0</v>
      </c>
      <c r="AK449" s="56">
        <f>'[2]Изложницы без бурта'!I449</f>
        <v>0</v>
      </c>
      <c r="AL449" s="56" t="s">
        <v>613</v>
      </c>
      <c r="AM449" s="56">
        <f>'[2]Изложницы без бурта'!K449</f>
        <v>0</v>
      </c>
    </row>
    <row r="450" spans="28:39" x14ac:dyDescent="0.25">
      <c r="AB450" s="258" t="str">
        <f t="shared" si="17"/>
        <v/>
      </c>
      <c r="AC450" s="259" t="str">
        <f>IF(COUNTIF(AD$78:AD450,AD450)=1,MAX(AC$78:AC449)+1,"")</f>
        <v/>
      </c>
      <c r="AD450" s="220">
        <f>'[2]Изложницы без бурта'!B450</f>
        <v>190</v>
      </c>
      <c r="AE450" s="220">
        <f>'[2]Изложницы без бурта'!C450</f>
        <v>265</v>
      </c>
      <c r="AF450" s="56">
        <f>'[2]Изложницы без бурта'!D450</f>
        <v>285</v>
      </c>
      <c r="AG450" s="56">
        <f>'[2]Изложницы без бурта'!E450</f>
        <v>320</v>
      </c>
      <c r="AH450" s="56" t="str">
        <f>'[2]Изложницы без бурта'!F450</f>
        <v>72.11870 - 21</v>
      </c>
      <c r="AI450" s="56">
        <f>'[2]Изложницы без бурта'!G450</f>
        <v>0</v>
      </c>
      <c r="AJ450" s="56">
        <f>'[2]Изложницы без бурта'!H450</f>
        <v>0</v>
      </c>
      <c r="AK450" s="56">
        <f>'[2]Изложницы без бурта'!I450</f>
        <v>0</v>
      </c>
      <c r="AL450" s="56" t="s">
        <v>613</v>
      </c>
      <c r="AM450" s="56">
        <f>'[2]Изложницы без бурта'!K450</f>
        <v>0</v>
      </c>
    </row>
    <row r="451" spans="28:39" x14ac:dyDescent="0.25">
      <c r="AB451" s="258" t="str">
        <f t="shared" si="17"/>
        <v/>
      </c>
      <c r="AC451" s="259" t="str">
        <f>IF(COUNTIF(AD$78:AD451,AD451)=1,MAX(AC$78:AC450)+1,"")</f>
        <v/>
      </c>
      <c r="AD451" s="220">
        <f>'[2]Изложницы без бурта'!B451</f>
        <v>190</v>
      </c>
      <c r="AE451" s="220">
        <f>'[2]Изложницы без бурта'!C451</f>
        <v>265</v>
      </c>
      <c r="AF451" s="56">
        <f>'[2]Изложницы без бурта'!D451</f>
        <v>285</v>
      </c>
      <c r="AG451" s="56">
        <f>'[2]Изложницы без бурта'!E451</f>
        <v>320</v>
      </c>
      <c r="AH451" s="56" t="str">
        <f>'[2]Изложницы без бурта'!F451</f>
        <v>72.11870 - 21</v>
      </c>
      <c r="AI451" s="56">
        <f>'[2]Изложницы без бурта'!G451</f>
        <v>0</v>
      </c>
      <c r="AJ451" s="56">
        <f>'[2]Изложницы без бурта'!H451</f>
        <v>0</v>
      </c>
      <c r="AK451" s="56">
        <f>'[2]Изложницы без бурта'!I451</f>
        <v>0</v>
      </c>
      <c r="AL451" s="56" t="s">
        <v>613</v>
      </c>
      <c r="AM451" s="56">
        <f>'[2]Изложницы без бурта'!K451</f>
        <v>0</v>
      </c>
    </row>
    <row r="452" spans="28:39" x14ac:dyDescent="0.25">
      <c r="AB452" s="258" t="str">
        <f t="shared" si="17"/>
        <v/>
      </c>
      <c r="AC452" s="259" t="str">
        <f>IF(COUNTIF(AD$78:AD452,AD452)=1,MAX(AC$78:AC451)+1,"")</f>
        <v/>
      </c>
      <c r="AD452" s="220">
        <f>'[2]Изложницы без бурта'!B452</f>
        <v>190</v>
      </c>
      <c r="AE452" s="220">
        <f>'[2]Изложницы без бурта'!C452</f>
        <v>263</v>
      </c>
      <c r="AF452" s="56">
        <f>'[2]Изложницы без бурта'!D452</f>
        <v>285</v>
      </c>
      <c r="AG452" s="56">
        <f>'[2]Изложницы без бурта'!E452</f>
        <v>320</v>
      </c>
      <c r="AH452" s="56" t="str">
        <f>'[2]Изложницы без бурта'!F452</f>
        <v>72.11870 - 21</v>
      </c>
      <c r="AI452" s="56">
        <f>'[2]Изложницы без бурта'!G452</f>
        <v>0</v>
      </c>
      <c r="AJ452" s="56">
        <f>'[2]Изложницы без бурта'!H452</f>
        <v>0</v>
      </c>
      <c r="AK452" s="56">
        <f>'[2]Изложницы без бурта'!I452</f>
        <v>0</v>
      </c>
      <c r="AL452" s="56" t="s">
        <v>613</v>
      </c>
      <c r="AM452" s="56">
        <f>'[2]Изложницы без бурта'!K452</f>
        <v>0</v>
      </c>
    </row>
    <row r="453" spans="28:39" x14ac:dyDescent="0.25">
      <c r="AB453" s="258" t="str">
        <f t="shared" si="17"/>
        <v/>
      </c>
      <c r="AC453" s="259" t="str">
        <f>IF(COUNTIF(AD$78:AD453,AD453)=1,MAX(AC$78:AC452)+1,"")</f>
        <v/>
      </c>
      <c r="AD453" s="220">
        <f>'[2]Изложницы без бурта'!B453</f>
        <v>190</v>
      </c>
      <c r="AE453" s="220">
        <f>'[2]Изложницы без бурта'!C453</f>
        <v>265</v>
      </c>
      <c r="AF453" s="56">
        <f>'[2]Изложницы без бурта'!D453</f>
        <v>285</v>
      </c>
      <c r="AG453" s="56">
        <f>'[2]Изложницы без бурта'!E453</f>
        <v>320</v>
      </c>
      <c r="AH453" s="56" t="str">
        <f>'[2]Изложницы без бурта'!F453</f>
        <v>72.11870 - 21</v>
      </c>
      <c r="AI453" s="56">
        <f>'[2]Изложницы без бурта'!G453</f>
        <v>0</v>
      </c>
      <c r="AJ453" s="56">
        <f>'[2]Изложницы без бурта'!H453</f>
        <v>0</v>
      </c>
      <c r="AK453" s="56">
        <f>'[2]Изложницы без бурта'!I453</f>
        <v>0</v>
      </c>
      <c r="AL453" s="56" t="s">
        <v>613</v>
      </c>
      <c r="AM453" s="56">
        <f>'[2]Изложницы без бурта'!K453</f>
        <v>0</v>
      </c>
    </row>
    <row r="454" spans="28:39" x14ac:dyDescent="0.25">
      <c r="AB454" s="258" t="str">
        <f t="shared" si="17"/>
        <v/>
      </c>
      <c r="AC454" s="259" t="str">
        <f>IF(COUNTIF(AD$78:AD454,AD454)=1,MAX(AC$78:AC453)+1,"")</f>
        <v/>
      </c>
      <c r="AD454" s="220">
        <f>'[2]Изложницы без бурта'!B454</f>
        <v>190</v>
      </c>
      <c r="AE454" s="220">
        <f>'[2]Изложницы без бурта'!C454</f>
        <v>263</v>
      </c>
      <c r="AF454" s="56">
        <f>'[2]Изложницы без бурта'!D454</f>
        <v>285</v>
      </c>
      <c r="AG454" s="56">
        <f>'[2]Изложницы без бурта'!E454</f>
        <v>320</v>
      </c>
      <c r="AH454" s="56" t="str">
        <f>'[2]Изложницы без бурта'!F454</f>
        <v>72.11870 - 21</v>
      </c>
      <c r="AI454" s="56">
        <f>'[2]Изложницы без бурта'!G454</f>
        <v>0</v>
      </c>
      <c r="AJ454" s="56">
        <f>'[2]Изложницы без бурта'!H454</f>
        <v>0</v>
      </c>
      <c r="AK454" s="56">
        <f>'[2]Изложницы без бурта'!I454</f>
        <v>0</v>
      </c>
      <c r="AL454" s="56" t="s">
        <v>613</v>
      </c>
      <c r="AM454" s="56">
        <f>'[2]Изложницы без бурта'!K454</f>
        <v>0</v>
      </c>
    </row>
    <row r="455" spans="28:39" x14ac:dyDescent="0.25">
      <c r="AB455" s="258" t="str">
        <f t="shared" si="17"/>
        <v/>
      </c>
      <c r="AC455" s="259" t="str">
        <f>IF(COUNTIF(AD$78:AD455,AD455)=1,MAX(AC$78:AC454)+1,"")</f>
        <v/>
      </c>
      <c r="AD455" s="220">
        <f>'[2]Изложницы без бурта'!B455</f>
        <v>190</v>
      </c>
      <c r="AE455" s="220">
        <f>'[2]Изложницы без бурта'!C455</f>
        <v>213</v>
      </c>
      <c r="AF455" s="56">
        <f>'[2]Изложницы без бурта'!D455</f>
        <v>285</v>
      </c>
      <c r="AG455" s="56">
        <f>'[2]Изложницы без бурта'!E455</f>
        <v>320</v>
      </c>
      <c r="AH455" s="56" t="str">
        <f>'[2]Изложницы без бурта'!F455</f>
        <v>10.247619 - 3</v>
      </c>
      <c r="AI455" s="56">
        <f>'[2]Изложницы без бурта'!G455</f>
        <v>7260016</v>
      </c>
      <c r="AJ455" s="56">
        <f>'[2]Изложницы без бурта'!H455</f>
        <v>0</v>
      </c>
      <c r="AK455" s="56">
        <f>'[2]Изложницы без бурта'!I455</f>
        <v>0</v>
      </c>
      <c r="AL455" s="56" t="s">
        <v>613</v>
      </c>
      <c r="AM455" s="56">
        <f>'[2]Изложницы без бурта'!K455</f>
        <v>0</v>
      </c>
    </row>
    <row r="456" spans="28:39" x14ac:dyDescent="0.25">
      <c r="AB456" s="258" t="str">
        <f t="shared" si="17"/>
        <v/>
      </c>
      <c r="AC456" s="259" t="str">
        <f>IF(COUNTIF(AD$78:AD456,AD456)=1,MAX(AC$78:AC455)+1,"")</f>
        <v/>
      </c>
      <c r="AD456" s="220">
        <f>'[2]Изложницы без бурта'!B456</f>
        <v>190</v>
      </c>
      <c r="AE456" s="220">
        <f>'[2]Изложницы без бурта'!C456</f>
        <v>320</v>
      </c>
      <c r="AF456" s="56">
        <f>'[2]Изложницы без бурта'!D456</f>
        <v>285</v>
      </c>
      <c r="AG456" s="56">
        <f>'[2]Изложницы без бурта'!E456</f>
        <v>320</v>
      </c>
      <c r="AH456" s="56" t="str">
        <f>'[2]Изложницы без бурта'!F456</f>
        <v>72.11871 - 21</v>
      </c>
      <c r="AI456" s="56">
        <f>'[2]Изложницы без бурта'!G456</f>
        <v>0</v>
      </c>
      <c r="AJ456" s="56">
        <f>'[2]Изложницы без бурта'!H456</f>
        <v>0</v>
      </c>
      <c r="AK456" s="56">
        <f>'[2]Изложницы без бурта'!I456</f>
        <v>0</v>
      </c>
      <c r="AL456" s="56" t="s">
        <v>613</v>
      </c>
      <c r="AM456" s="56">
        <f>'[2]Изложницы без бурта'!K456</f>
        <v>0</v>
      </c>
    </row>
    <row r="457" spans="28:39" x14ac:dyDescent="0.25">
      <c r="AB457" s="258" t="str">
        <f t="shared" si="17"/>
        <v/>
      </c>
      <c r="AC457" s="259" t="str">
        <f>IF(COUNTIF(AD$78:AD457,AD457)=1,MAX(AC$78:AC456)+1,"")</f>
        <v/>
      </c>
      <c r="AD457" s="220">
        <f>'[2]Изложницы без бурта'!B457</f>
        <v>190</v>
      </c>
      <c r="AE457" s="220">
        <f>'[2]Изложницы без бурта'!C457</f>
        <v>265</v>
      </c>
      <c r="AF457" s="56">
        <f>'[2]Изложницы без бурта'!D457</f>
        <v>285</v>
      </c>
      <c r="AG457" s="56">
        <f>'[2]Изложницы без бурта'!E457</f>
        <v>320</v>
      </c>
      <c r="AH457" s="56" t="str">
        <f>'[2]Изложницы без бурта'!F457</f>
        <v>72.11870 - 21</v>
      </c>
      <c r="AI457" s="56">
        <f>'[2]Изложницы без бурта'!G457</f>
        <v>0</v>
      </c>
      <c r="AJ457" s="56">
        <f>'[2]Изложницы без бурта'!H457</f>
        <v>0</v>
      </c>
      <c r="AK457" s="56">
        <f>'[2]Изложницы без бурта'!I457</f>
        <v>0</v>
      </c>
      <c r="AL457" s="56" t="s">
        <v>613</v>
      </c>
      <c r="AM457" s="56">
        <f>'[2]Изложницы без бурта'!K457</f>
        <v>0</v>
      </c>
    </row>
    <row r="458" spans="28:39" x14ac:dyDescent="0.25">
      <c r="AB458" s="258" t="str">
        <f t="shared" si="17"/>
        <v/>
      </c>
      <c r="AC458" s="259" t="str">
        <f>IF(COUNTIF(AD$78:AD458,AD458)=1,MAX(AC$78:AC457)+1,"")</f>
        <v/>
      </c>
      <c r="AD458" s="220">
        <f>'[2]Изложницы без бурта'!B458</f>
        <v>190</v>
      </c>
      <c r="AE458" s="220">
        <f>'[2]Изложницы без бурта'!C458</f>
        <v>265</v>
      </c>
      <c r="AF458" s="56">
        <f>'[2]Изложницы без бурта'!D458</f>
        <v>285</v>
      </c>
      <c r="AG458" s="56">
        <f>'[2]Изложницы без бурта'!E458</f>
        <v>320</v>
      </c>
      <c r="AH458" s="56" t="str">
        <f>'[2]Изложницы без бурта'!F458</f>
        <v>72.11870 - 21</v>
      </c>
      <c r="AI458" s="56">
        <f>'[2]Изложницы без бурта'!G458</f>
        <v>0</v>
      </c>
      <c r="AJ458" s="56">
        <f>'[2]Изложницы без бурта'!H458</f>
        <v>0</v>
      </c>
      <c r="AK458" s="56">
        <f>'[2]Изложницы без бурта'!I458</f>
        <v>0</v>
      </c>
      <c r="AL458" s="56" t="s">
        <v>613</v>
      </c>
      <c r="AM458" s="56">
        <f>'[2]Изложницы без бурта'!K458</f>
        <v>0</v>
      </c>
    </row>
    <row r="459" spans="28:39" x14ac:dyDescent="0.25">
      <c r="AB459" s="258" t="str">
        <f t="shared" si="17"/>
        <v/>
      </c>
      <c r="AC459" s="259" t="str">
        <f>IF(COUNTIF(AD$78:AD459,AD459)=1,MAX(AC$78:AC458)+1,"")</f>
        <v/>
      </c>
      <c r="AD459" s="220">
        <f>'[2]Изложницы без бурта'!B459</f>
        <v>190</v>
      </c>
      <c r="AE459" s="220">
        <f>'[2]Изложницы без бурта'!C459</f>
        <v>265</v>
      </c>
      <c r="AF459" s="56">
        <f>'[2]Изложницы без бурта'!D459</f>
        <v>285</v>
      </c>
      <c r="AG459" s="56">
        <f>'[2]Изложницы без бурта'!E459</f>
        <v>320</v>
      </c>
      <c r="AH459" s="56" t="str">
        <f>'[2]Изложницы без бурта'!F459</f>
        <v>72.11870 - 21</v>
      </c>
      <c r="AI459" s="56">
        <f>'[2]Изложницы без бурта'!G459</f>
        <v>0</v>
      </c>
      <c r="AJ459" s="56">
        <f>'[2]Изложницы без бурта'!H459</f>
        <v>0</v>
      </c>
      <c r="AK459" s="56">
        <f>'[2]Изложницы без бурта'!I459</f>
        <v>0</v>
      </c>
      <c r="AL459" s="56" t="s">
        <v>613</v>
      </c>
      <c r="AM459" s="56">
        <f>'[2]Изложницы без бурта'!K459</f>
        <v>0</v>
      </c>
    </row>
    <row r="460" spans="28:39" x14ac:dyDescent="0.25">
      <c r="AB460" s="258" t="str">
        <f t="shared" si="17"/>
        <v/>
      </c>
      <c r="AC460" s="259" t="str">
        <f>IF(COUNTIF(AD$78:AD460,AD460)=1,MAX(AC$78:AC459)+1,"")</f>
        <v/>
      </c>
      <c r="AD460" s="220">
        <f>'[2]Изложницы без бурта'!B460</f>
        <v>190</v>
      </c>
      <c r="AE460" s="220">
        <f>'[2]Изложницы без бурта'!C460</f>
        <v>265</v>
      </c>
      <c r="AF460" s="56">
        <f>'[2]Изложницы без бурта'!D460</f>
        <v>285</v>
      </c>
      <c r="AG460" s="56">
        <f>'[2]Изложницы без бурта'!E460</f>
        <v>320</v>
      </c>
      <c r="AH460" s="56" t="str">
        <f>'[2]Изложницы без бурта'!F460</f>
        <v>72.11870 - 21</v>
      </c>
      <c r="AI460" s="56">
        <f>'[2]Изложницы без бурта'!G460</f>
        <v>0</v>
      </c>
      <c r="AJ460" s="56">
        <f>'[2]Изложницы без бурта'!H460</f>
        <v>0</v>
      </c>
      <c r="AK460" s="56">
        <f>'[2]Изложницы без бурта'!I460</f>
        <v>0</v>
      </c>
      <c r="AL460" s="56" t="s">
        <v>613</v>
      </c>
      <c r="AM460" s="56">
        <f>'[2]Изложницы без бурта'!K460</f>
        <v>0</v>
      </c>
    </row>
    <row r="461" spans="28:39" x14ac:dyDescent="0.25">
      <c r="AB461" s="258" t="str">
        <f t="shared" si="17"/>
        <v/>
      </c>
      <c r="AC461" s="259" t="str">
        <f>IF(COUNTIF(AD$78:AD461,AD461)=1,MAX(AC$78:AC460)+1,"")</f>
        <v/>
      </c>
      <c r="AD461" s="220">
        <f>'[2]Изложницы без бурта'!B461</f>
        <v>190</v>
      </c>
      <c r="AE461" s="220">
        <f>'[2]Изложницы без бурта'!C461</f>
        <v>265</v>
      </c>
      <c r="AF461" s="56">
        <f>'[2]Изложницы без бурта'!D461</f>
        <v>285</v>
      </c>
      <c r="AG461" s="56">
        <f>'[2]Изложницы без бурта'!E461</f>
        <v>320</v>
      </c>
      <c r="AH461" s="56" t="str">
        <f>'[2]Изложницы без бурта'!F461</f>
        <v>72.11870 - 21</v>
      </c>
      <c r="AI461" s="56">
        <f>'[2]Изложницы без бурта'!G461</f>
        <v>0</v>
      </c>
      <c r="AJ461" s="56">
        <f>'[2]Изложницы без бурта'!H461</f>
        <v>0</v>
      </c>
      <c r="AK461" s="56">
        <f>'[2]Изложницы без бурта'!I461</f>
        <v>0</v>
      </c>
      <c r="AL461" s="56" t="s">
        <v>613</v>
      </c>
      <c r="AM461" s="56">
        <f>'[2]Изложницы без бурта'!K461</f>
        <v>0</v>
      </c>
    </row>
    <row r="462" spans="28:39" x14ac:dyDescent="0.25">
      <c r="AB462" s="258" t="str">
        <f t="shared" si="17"/>
        <v/>
      </c>
      <c r="AC462" s="259" t="str">
        <f>IF(COUNTIF(AD$78:AD462,AD462)=1,MAX(AC$78:AC461)+1,"")</f>
        <v/>
      </c>
      <c r="AD462" s="220">
        <f>'[2]Изложницы без бурта'!B462</f>
        <v>190</v>
      </c>
      <c r="AE462" s="220">
        <f>'[2]Изложницы без бурта'!C462</f>
        <v>265</v>
      </c>
      <c r="AF462" s="56">
        <f>'[2]Изложницы без бурта'!D462</f>
        <v>285</v>
      </c>
      <c r="AG462" s="56">
        <f>'[2]Изложницы без бурта'!E462</f>
        <v>320</v>
      </c>
      <c r="AH462" s="56" t="str">
        <f>'[2]Изложницы без бурта'!F462</f>
        <v>72.11870 - 21</v>
      </c>
      <c r="AI462" s="56">
        <f>'[2]Изложницы без бурта'!G462</f>
        <v>0</v>
      </c>
      <c r="AJ462" s="56">
        <f>'[2]Изложницы без бурта'!H462</f>
        <v>0</v>
      </c>
      <c r="AK462" s="56">
        <f>'[2]Изложницы без бурта'!I462</f>
        <v>0</v>
      </c>
      <c r="AL462" s="56" t="s">
        <v>613</v>
      </c>
      <c r="AM462" s="56">
        <f>'[2]Изложницы без бурта'!K462</f>
        <v>0</v>
      </c>
    </row>
    <row r="463" spans="28:39" x14ac:dyDescent="0.25">
      <c r="AB463" s="258" t="str">
        <f t="shared" si="17"/>
        <v/>
      </c>
      <c r="AC463" s="259" t="str">
        <f>IF(COUNTIF(AD$78:AD463,AD463)=1,MAX(AC$78:AC462)+1,"")</f>
        <v/>
      </c>
      <c r="AD463" s="220">
        <f>'[2]Изложницы без бурта'!B463</f>
        <v>190</v>
      </c>
      <c r="AE463" s="220">
        <f>'[2]Изложницы без бурта'!C463</f>
        <v>265</v>
      </c>
      <c r="AF463" s="56">
        <f>'[2]Изложницы без бурта'!D463</f>
        <v>285</v>
      </c>
      <c r="AG463" s="56">
        <f>'[2]Изложницы без бурта'!E463</f>
        <v>320</v>
      </c>
      <c r="AH463" s="56" t="str">
        <f>'[2]Изложницы без бурта'!F463</f>
        <v>72.11870 - 21</v>
      </c>
      <c r="AI463" s="56">
        <f>'[2]Изложницы без бурта'!G463</f>
        <v>0</v>
      </c>
      <c r="AJ463" s="56">
        <f>'[2]Изложницы без бурта'!H463</f>
        <v>0</v>
      </c>
      <c r="AK463" s="56">
        <f>'[2]Изложницы без бурта'!I463</f>
        <v>0</v>
      </c>
      <c r="AL463" s="56" t="s">
        <v>613</v>
      </c>
      <c r="AM463" s="56">
        <f>'[2]Изложницы без бурта'!K463</f>
        <v>0</v>
      </c>
    </row>
    <row r="464" spans="28:39" x14ac:dyDescent="0.25">
      <c r="AB464" s="258" t="str">
        <f t="shared" si="17"/>
        <v/>
      </c>
      <c r="AC464" s="259" t="str">
        <f>IF(COUNTIF(AD$78:AD464,AD464)=1,MAX(AC$78:AC463)+1,"")</f>
        <v/>
      </c>
      <c r="AD464" s="220">
        <f>'[2]Изложницы без бурта'!B464</f>
        <v>190</v>
      </c>
      <c r="AE464" s="220">
        <f>'[2]Изложницы без бурта'!C464</f>
        <v>265</v>
      </c>
      <c r="AF464" s="56">
        <f>'[2]Изложницы без бурта'!D464</f>
        <v>285</v>
      </c>
      <c r="AG464" s="56">
        <f>'[2]Изложницы без бурта'!E464</f>
        <v>320</v>
      </c>
      <c r="AH464" s="56" t="str">
        <f>'[2]Изложницы без бурта'!F464</f>
        <v>72.11870 - 21</v>
      </c>
      <c r="AI464" s="56">
        <f>'[2]Изложницы без бурта'!G464</f>
        <v>0</v>
      </c>
      <c r="AJ464" s="56">
        <f>'[2]Изложницы без бурта'!H464</f>
        <v>0</v>
      </c>
      <c r="AK464" s="56">
        <f>'[2]Изложницы без бурта'!I464</f>
        <v>0</v>
      </c>
      <c r="AL464" s="56" t="s">
        <v>613</v>
      </c>
      <c r="AM464" s="56">
        <f>'[2]Изложницы без бурта'!K464</f>
        <v>0</v>
      </c>
    </row>
    <row r="465" spans="28:39" x14ac:dyDescent="0.25">
      <c r="AB465" s="258" t="str">
        <f t="shared" si="17"/>
        <v/>
      </c>
      <c r="AC465" s="259">
        <f>IF(COUNTIF(AD$78:AD465,AD465)=1,MAX(AC$78:AC464)+1,"")</f>
        <v>42</v>
      </c>
      <c r="AD465" s="220">
        <f>'[2]Изложницы без бурта'!B465</f>
        <v>192.5</v>
      </c>
      <c r="AE465" s="220">
        <f>'[2]Изложницы без бурта'!C465</f>
        <v>265</v>
      </c>
      <c r="AF465" s="56">
        <f>'[2]Изложницы без бурта'!D465</f>
        <v>285</v>
      </c>
      <c r="AG465" s="56">
        <f>'[2]Изложницы без бурта'!E465</f>
        <v>320</v>
      </c>
      <c r="AH465" s="56" t="str">
        <f>'[2]Изложницы без бурта'!F465</f>
        <v>72.11870 - 22</v>
      </c>
      <c r="AI465" s="56">
        <f>'[2]Изложницы без бурта'!G465</f>
        <v>0</v>
      </c>
      <c r="AJ465" s="56">
        <f>'[2]Изложницы без бурта'!H465</f>
        <v>0</v>
      </c>
      <c r="AK465" s="56">
        <f>'[2]Изложницы без бурта'!I465</f>
        <v>0</v>
      </c>
      <c r="AL465" s="56" t="s">
        <v>614</v>
      </c>
      <c r="AM465" s="56">
        <f>'[2]Изложницы без бурта'!K465</f>
        <v>0</v>
      </c>
    </row>
    <row r="466" spans="28:39" x14ac:dyDescent="0.25">
      <c r="AB466" s="258" t="str">
        <f t="shared" si="17"/>
        <v/>
      </c>
      <c r="AC466" s="259" t="str">
        <f>IF(COUNTIF(AD$78:AD466,AD466)=1,MAX(AC$78:AC465)+1,"")</f>
        <v/>
      </c>
      <c r="AD466" s="220">
        <f>'[2]Изложницы без бурта'!B466</f>
        <v>192.5</v>
      </c>
      <c r="AE466" s="220">
        <f>'[2]Изложницы без бурта'!C466</f>
        <v>265</v>
      </c>
      <c r="AF466" s="56">
        <f>'[2]Изложницы без бурта'!D466</f>
        <v>285</v>
      </c>
      <c r="AG466" s="56">
        <f>'[2]Изложницы без бурта'!E466</f>
        <v>320</v>
      </c>
      <c r="AH466" s="56" t="str">
        <f>'[2]Изложницы без бурта'!F466</f>
        <v>72.11870 - 22</v>
      </c>
      <c r="AI466" s="56">
        <f>'[2]Изложницы без бурта'!G466</f>
        <v>0</v>
      </c>
      <c r="AJ466" s="56">
        <f>'[2]Изложницы без бурта'!H466</f>
        <v>0</v>
      </c>
      <c r="AK466" s="56">
        <f>'[2]Изложницы без бурта'!I466</f>
        <v>0</v>
      </c>
      <c r="AL466" s="56" t="s">
        <v>614</v>
      </c>
      <c r="AM466" s="56">
        <f>'[2]Изложницы без бурта'!K466</f>
        <v>0</v>
      </c>
    </row>
    <row r="467" spans="28:39" x14ac:dyDescent="0.25">
      <c r="AB467" s="258" t="str">
        <f t="shared" si="17"/>
        <v/>
      </c>
      <c r="AC467" s="259" t="str">
        <f>IF(COUNTIF(AD$78:AD467,AD467)=1,MAX(AC$78:AC466)+1,"")</f>
        <v/>
      </c>
      <c r="AD467" s="220">
        <f>'[2]Изложницы без бурта'!B467</f>
        <v>192.5</v>
      </c>
      <c r="AE467" s="220">
        <f>'[2]Изложницы без бурта'!C467</f>
        <v>263</v>
      </c>
      <c r="AF467" s="56">
        <f>'[2]Изложницы без бурта'!D467</f>
        <v>285</v>
      </c>
      <c r="AG467" s="56">
        <f>'[2]Изложницы без бурта'!E467</f>
        <v>320</v>
      </c>
      <c r="AH467" s="56" t="str">
        <f>'[2]Изложницы без бурта'!F467</f>
        <v>72.11870 - 22</v>
      </c>
      <c r="AI467" s="56">
        <f>'[2]Изложницы без бурта'!G467</f>
        <v>0</v>
      </c>
      <c r="AJ467" s="56">
        <f>'[2]Изложницы без бурта'!H467</f>
        <v>0</v>
      </c>
      <c r="AK467" s="56">
        <f>'[2]Изложницы без бурта'!I467</f>
        <v>0</v>
      </c>
      <c r="AL467" s="56" t="s">
        <v>614</v>
      </c>
      <c r="AM467" s="56">
        <f>'[2]Изложницы без бурта'!K467</f>
        <v>0</v>
      </c>
    </row>
    <row r="468" spans="28:39" x14ac:dyDescent="0.25">
      <c r="AB468" s="258" t="str">
        <f t="shared" si="17"/>
        <v/>
      </c>
      <c r="AC468" s="259" t="str">
        <f>IF(COUNTIF(AD$78:AD468,AD468)=1,MAX(AC$78:AC467)+1,"")</f>
        <v/>
      </c>
      <c r="AD468" s="220">
        <f>'[2]Изложницы без бурта'!B468</f>
        <v>192.5</v>
      </c>
      <c r="AE468" s="220">
        <f>'[2]Изложницы без бурта'!C468</f>
        <v>260</v>
      </c>
      <c r="AF468" s="56">
        <f>'[2]Изложницы без бурта'!D468</f>
        <v>285</v>
      </c>
      <c r="AG468" s="56">
        <f>'[2]Изложницы без бурта'!E468</f>
        <v>320</v>
      </c>
      <c r="AH468" s="56" t="str">
        <f>'[2]Изложницы без бурта'!F468</f>
        <v>72.11870 - 22</v>
      </c>
      <c r="AI468" s="56">
        <f>'[2]Изложницы без бурта'!G468</f>
        <v>0</v>
      </c>
      <c r="AJ468" s="56">
        <f>'[2]Изложницы без бурта'!H468</f>
        <v>0</v>
      </c>
      <c r="AK468" s="56">
        <f>'[2]Изложницы без бурта'!I468</f>
        <v>0</v>
      </c>
      <c r="AL468" s="56" t="s">
        <v>614</v>
      </c>
      <c r="AM468" s="56">
        <f>'[2]Изложницы без бурта'!K468</f>
        <v>0</v>
      </c>
    </row>
    <row r="469" spans="28:39" x14ac:dyDescent="0.25">
      <c r="AB469" s="258" t="str">
        <f t="shared" si="17"/>
        <v/>
      </c>
      <c r="AC469" s="259" t="str">
        <f>IF(COUNTIF(AD$78:AD469,AD469)=1,MAX(AC$78:AC468)+1,"")</f>
        <v/>
      </c>
      <c r="AD469" s="220">
        <f>'[2]Изложницы без бурта'!B469</f>
        <v>192.5</v>
      </c>
      <c r="AE469" s="220">
        <f>'[2]Изложницы без бурта'!C469</f>
        <v>265</v>
      </c>
      <c r="AF469" s="56">
        <f>'[2]Изложницы без бурта'!D469</f>
        <v>285</v>
      </c>
      <c r="AG469" s="56">
        <f>'[2]Изложницы без бурта'!E469</f>
        <v>320</v>
      </c>
      <c r="AH469" s="56" t="str">
        <f>'[2]Изложницы без бурта'!F469</f>
        <v>72.11870 - 22</v>
      </c>
      <c r="AI469" s="56">
        <f>'[2]Изложницы без бурта'!G469</f>
        <v>0</v>
      </c>
      <c r="AJ469" s="56">
        <f>'[2]Изложницы без бурта'!H469</f>
        <v>0</v>
      </c>
      <c r="AK469" s="56">
        <f>'[2]Изложницы без бурта'!I469</f>
        <v>0</v>
      </c>
      <c r="AL469" s="56" t="s">
        <v>614</v>
      </c>
      <c r="AM469" s="56">
        <f>'[2]Изложницы без бурта'!K469</f>
        <v>0</v>
      </c>
    </row>
    <row r="470" spans="28:39" x14ac:dyDescent="0.25">
      <c r="AB470" s="258" t="str">
        <f t="shared" si="17"/>
        <v/>
      </c>
      <c r="AC470" s="259" t="str">
        <f>IF(COUNTIF(AD$78:AD470,AD470)=1,MAX(AC$78:AC469)+1,"")</f>
        <v/>
      </c>
      <c r="AD470" s="220">
        <f>'[2]Изложницы без бурта'!B470</f>
        <v>192.5</v>
      </c>
      <c r="AE470" s="220">
        <f>'[2]Изложницы без бурта'!C470</f>
        <v>265</v>
      </c>
      <c r="AF470" s="56">
        <f>'[2]Изложницы без бурта'!D470</f>
        <v>285</v>
      </c>
      <c r="AG470" s="56">
        <f>'[2]Изложницы без бурта'!E470</f>
        <v>320</v>
      </c>
      <c r="AH470" s="56" t="str">
        <f>'[2]Изложницы без бурта'!F470</f>
        <v>72.11870 - 22</v>
      </c>
      <c r="AI470" s="56">
        <f>'[2]Изложницы без бурта'!G470</f>
        <v>0</v>
      </c>
      <c r="AJ470" s="56">
        <f>'[2]Изложницы без бурта'!H470</f>
        <v>0</v>
      </c>
      <c r="AK470" s="56">
        <f>'[2]Изложницы без бурта'!I470</f>
        <v>0</v>
      </c>
      <c r="AL470" s="56" t="s">
        <v>614</v>
      </c>
      <c r="AM470" s="56">
        <f>'[2]Изложницы без бурта'!K470</f>
        <v>0</v>
      </c>
    </row>
    <row r="471" spans="28:39" x14ac:dyDescent="0.25">
      <c r="AB471" s="258" t="str">
        <f t="shared" si="17"/>
        <v/>
      </c>
      <c r="AC471" s="259" t="str">
        <f>IF(COUNTIF(AD$78:AD471,AD471)=1,MAX(AC$78:AC470)+1,"")</f>
        <v/>
      </c>
      <c r="AD471" s="220">
        <f>'[2]Изложницы без бурта'!B471</f>
        <v>192.5</v>
      </c>
      <c r="AE471" s="220">
        <f>'[2]Изложницы без бурта'!C471</f>
        <v>265</v>
      </c>
      <c r="AF471" s="56">
        <f>'[2]Изложницы без бурта'!D471</f>
        <v>285</v>
      </c>
      <c r="AG471" s="56">
        <f>'[2]Изложницы без бурта'!E471</f>
        <v>320</v>
      </c>
      <c r="AH471" s="56" t="str">
        <f>'[2]Изложницы без бурта'!F471</f>
        <v>72.11870 - 22</v>
      </c>
      <c r="AI471" s="56">
        <f>'[2]Изложницы без бурта'!G471</f>
        <v>0</v>
      </c>
      <c r="AJ471" s="56">
        <f>'[2]Изложницы без бурта'!H471</f>
        <v>0</v>
      </c>
      <c r="AK471" s="56">
        <f>'[2]Изложницы без бурта'!I471</f>
        <v>0</v>
      </c>
      <c r="AL471" s="56" t="s">
        <v>614</v>
      </c>
      <c r="AM471" s="56">
        <f>'[2]Изложницы без бурта'!K471</f>
        <v>0</v>
      </c>
    </row>
    <row r="472" spans="28:39" x14ac:dyDescent="0.25">
      <c r="AB472" s="258" t="str">
        <f t="shared" si="17"/>
        <v/>
      </c>
      <c r="AC472" s="259" t="str">
        <f>IF(COUNTIF(AD$78:AD472,AD472)=1,MAX(AC$78:AC471)+1,"")</f>
        <v/>
      </c>
      <c r="AD472" s="220">
        <f>'[2]Изложницы без бурта'!B472</f>
        <v>192.5</v>
      </c>
      <c r="AE472" s="220">
        <f>'[2]Изложницы без бурта'!C472</f>
        <v>265</v>
      </c>
      <c r="AF472" s="56">
        <f>'[2]Изложницы без бурта'!D472</f>
        <v>285</v>
      </c>
      <c r="AG472" s="56">
        <f>'[2]Изложницы без бурта'!E472</f>
        <v>320</v>
      </c>
      <c r="AH472" s="56" t="str">
        <f>'[2]Изложницы без бурта'!F472</f>
        <v>72.11870 - 22</v>
      </c>
      <c r="AI472" s="56">
        <f>'[2]Изложницы без бурта'!G472</f>
        <v>0</v>
      </c>
      <c r="AJ472" s="56">
        <f>'[2]Изложницы без бурта'!H472</f>
        <v>0</v>
      </c>
      <c r="AK472" s="56">
        <f>'[2]Изложницы без бурта'!I472</f>
        <v>0</v>
      </c>
      <c r="AL472" s="56" t="s">
        <v>614</v>
      </c>
      <c r="AM472" s="56">
        <f>'[2]Изложницы без бурта'!K472</f>
        <v>0</v>
      </c>
    </row>
    <row r="473" spans="28:39" x14ac:dyDescent="0.25">
      <c r="AB473" s="258" t="str">
        <f t="shared" si="17"/>
        <v/>
      </c>
      <c r="AC473" s="259" t="str">
        <f>IF(COUNTIF(AD$78:AD473,AD473)=1,MAX(AC$78:AC472)+1,"")</f>
        <v/>
      </c>
      <c r="AD473" s="220">
        <f>'[2]Изложницы без бурта'!B473</f>
        <v>192.5</v>
      </c>
      <c r="AE473" s="220">
        <f>'[2]Изложницы без бурта'!C473</f>
        <v>265</v>
      </c>
      <c r="AF473" s="56">
        <f>'[2]Изложницы без бурта'!D473</f>
        <v>285</v>
      </c>
      <c r="AG473" s="56">
        <f>'[2]Изложницы без бурта'!E473</f>
        <v>320</v>
      </c>
      <c r="AH473" s="56" t="str">
        <f>'[2]Изложницы без бурта'!F473</f>
        <v>72.11870 - 22</v>
      </c>
      <c r="AI473" s="56">
        <f>'[2]Изложницы без бурта'!G473</f>
        <v>0</v>
      </c>
      <c r="AJ473" s="56">
        <f>'[2]Изложницы без бурта'!H473</f>
        <v>0</v>
      </c>
      <c r="AK473" s="56">
        <f>'[2]Изложницы без бурта'!I473</f>
        <v>0</v>
      </c>
      <c r="AL473" s="56" t="s">
        <v>614</v>
      </c>
      <c r="AM473" s="56">
        <f>'[2]Изложницы без бурта'!K473</f>
        <v>0</v>
      </c>
    </row>
    <row r="474" spans="28:39" x14ac:dyDescent="0.25">
      <c r="AB474" s="258" t="str">
        <f t="shared" si="17"/>
        <v/>
      </c>
      <c r="AC474" s="259" t="str">
        <f>IF(COUNTIF(AD$78:AD474,AD474)=1,MAX(AC$78:AC473)+1,"")</f>
        <v/>
      </c>
      <c r="AD474" s="220">
        <f>'[2]Изложницы без бурта'!B474</f>
        <v>192.5</v>
      </c>
      <c r="AE474" s="220">
        <f>'[2]Изложницы без бурта'!C474</f>
        <v>265</v>
      </c>
      <c r="AF474" s="56">
        <f>'[2]Изложницы без бурта'!D474</f>
        <v>285</v>
      </c>
      <c r="AG474" s="56">
        <f>'[2]Изложницы без бурта'!E474</f>
        <v>320</v>
      </c>
      <c r="AH474" s="56" t="str">
        <f>'[2]Изложницы без бурта'!F474</f>
        <v>72.11870 - 22</v>
      </c>
      <c r="AI474" s="56">
        <f>'[2]Изложницы без бурта'!G474</f>
        <v>0</v>
      </c>
      <c r="AJ474" s="56">
        <f>'[2]Изложницы без бурта'!H474</f>
        <v>0</v>
      </c>
      <c r="AK474" s="56">
        <f>'[2]Изложницы без бурта'!I474</f>
        <v>0</v>
      </c>
      <c r="AL474" s="56" t="s">
        <v>614</v>
      </c>
      <c r="AM474" s="56">
        <f>'[2]Изложницы без бурта'!K474</f>
        <v>0</v>
      </c>
    </row>
    <row r="475" spans="28:39" x14ac:dyDescent="0.25">
      <c r="AB475" s="258" t="str">
        <f t="shared" si="17"/>
        <v/>
      </c>
      <c r="AC475" s="259" t="str">
        <f>IF(COUNTIF(AD$78:AD475,AD475)=1,MAX(AC$78:AC474)+1,"")</f>
        <v/>
      </c>
      <c r="AD475" s="220">
        <f>'[2]Изложницы без бурта'!B475</f>
        <v>192.5</v>
      </c>
      <c r="AE475" s="220">
        <f>'[2]Изложницы без бурта'!C475</f>
        <v>263</v>
      </c>
      <c r="AF475" s="56">
        <f>'[2]Изложницы без бурта'!D475</f>
        <v>285</v>
      </c>
      <c r="AG475" s="56">
        <f>'[2]Изложницы без бурта'!E475</f>
        <v>320</v>
      </c>
      <c r="AH475" s="56" t="str">
        <f>'[2]Изложницы без бурта'!F475</f>
        <v>72.11870 - 22</v>
      </c>
      <c r="AI475" s="56">
        <f>'[2]Изложницы без бурта'!G475</f>
        <v>0</v>
      </c>
      <c r="AJ475" s="56">
        <f>'[2]Изложницы без бурта'!H475</f>
        <v>0</v>
      </c>
      <c r="AK475" s="56">
        <f>'[2]Изложницы без бурта'!I475</f>
        <v>0</v>
      </c>
      <c r="AL475" s="56" t="s">
        <v>614</v>
      </c>
      <c r="AM475" s="56">
        <f>'[2]Изложницы без бурта'!K475</f>
        <v>0</v>
      </c>
    </row>
    <row r="476" spans="28:39" x14ac:dyDescent="0.25">
      <c r="AB476" s="258" t="str">
        <f t="shared" si="17"/>
        <v/>
      </c>
      <c r="AC476" s="259" t="str">
        <f>IF(COUNTIF(AD$78:AD476,AD476)=1,MAX(AC$78:AC475)+1,"")</f>
        <v/>
      </c>
      <c r="AD476" s="220">
        <f>'[2]Изложницы без бурта'!B476</f>
        <v>192.5</v>
      </c>
      <c r="AE476" s="220">
        <f>'[2]Изложницы без бурта'!C476</f>
        <v>265</v>
      </c>
      <c r="AF476" s="56">
        <f>'[2]Изложницы без бурта'!D476</f>
        <v>285</v>
      </c>
      <c r="AG476" s="56">
        <f>'[2]Изложницы без бурта'!E476</f>
        <v>320</v>
      </c>
      <c r="AH476" s="56" t="str">
        <f>'[2]Изложницы без бурта'!F476</f>
        <v>72.11870 - 22</v>
      </c>
      <c r="AI476" s="56">
        <f>'[2]Изложницы без бурта'!G476</f>
        <v>0</v>
      </c>
      <c r="AJ476" s="56">
        <f>'[2]Изложницы без бурта'!H476</f>
        <v>0</v>
      </c>
      <c r="AK476" s="56">
        <f>'[2]Изложницы без бурта'!I476</f>
        <v>0</v>
      </c>
      <c r="AL476" s="56" t="s">
        <v>614</v>
      </c>
      <c r="AM476" s="56">
        <f>'[2]Изложницы без бурта'!K476</f>
        <v>0</v>
      </c>
    </row>
    <row r="477" spans="28:39" x14ac:dyDescent="0.25">
      <c r="AB477" s="258" t="str">
        <f t="shared" si="17"/>
        <v/>
      </c>
      <c r="AC477" s="259" t="str">
        <f>IF(COUNTIF(AD$78:AD477,AD477)=1,MAX(AC$78:AC476)+1,"")</f>
        <v/>
      </c>
      <c r="AD477" s="220">
        <f>'[2]Изложницы без бурта'!B477</f>
        <v>192.5</v>
      </c>
      <c r="AE477" s="220">
        <f>'[2]Изложницы без бурта'!C477</f>
        <v>265</v>
      </c>
      <c r="AF477" s="56">
        <f>'[2]Изложницы без бурта'!D477</f>
        <v>285</v>
      </c>
      <c r="AG477" s="56">
        <f>'[2]Изложницы без бурта'!E477</f>
        <v>320</v>
      </c>
      <c r="AH477" s="56" t="str">
        <f>'[2]Изложницы без бурта'!F477</f>
        <v>72.11870 - 22</v>
      </c>
      <c r="AI477" s="56">
        <f>'[2]Изложницы без бурта'!G477</f>
        <v>0</v>
      </c>
      <c r="AJ477" s="56">
        <f>'[2]Изложницы без бурта'!H477</f>
        <v>0</v>
      </c>
      <c r="AK477" s="56">
        <f>'[2]Изложницы без бурта'!I477</f>
        <v>0</v>
      </c>
      <c r="AL477" s="56" t="s">
        <v>614</v>
      </c>
      <c r="AM477" s="56">
        <f>'[2]Изложницы без бурта'!K477</f>
        <v>0</v>
      </c>
    </row>
    <row r="478" spans="28:39" x14ac:dyDescent="0.25">
      <c r="AB478" s="258" t="str">
        <f t="shared" si="17"/>
        <v/>
      </c>
      <c r="AC478" s="259" t="str">
        <f>IF(COUNTIF(AD$78:AD478,AD478)=1,MAX(AC$78:AC477)+1,"")</f>
        <v/>
      </c>
      <c r="AD478" s="220">
        <f>'[2]Изложницы без бурта'!B478</f>
        <v>192.5</v>
      </c>
      <c r="AE478" s="220">
        <f>'[2]Изложницы без бурта'!C478</f>
        <v>265</v>
      </c>
      <c r="AF478" s="56">
        <f>'[2]Изложницы без бурта'!D478</f>
        <v>285</v>
      </c>
      <c r="AG478" s="56">
        <f>'[2]Изложницы без бурта'!E478</f>
        <v>320</v>
      </c>
      <c r="AH478" s="56" t="str">
        <f>'[2]Изложницы без бурта'!F478</f>
        <v>72.11870 - 22</v>
      </c>
      <c r="AI478" s="56">
        <f>'[2]Изложницы без бурта'!G478</f>
        <v>0</v>
      </c>
      <c r="AJ478" s="56">
        <f>'[2]Изложницы без бурта'!H478</f>
        <v>0</v>
      </c>
      <c r="AK478" s="56">
        <f>'[2]Изложницы без бурта'!I478</f>
        <v>0</v>
      </c>
      <c r="AL478" s="56" t="s">
        <v>614</v>
      </c>
      <c r="AM478" s="56">
        <f>'[2]Изложницы без бурта'!K478</f>
        <v>0</v>
      </c>
    </row>
    <row r="479" spans="28:39" x14ac:dyDescent="0.25">
      <c r="AB479" s="258" t="str">
        <f t="shared" si="17"/>
        <v/>
      </c>
      <c r="AC479" s="259" t="str">
        <f>IF(COUNTIF(AD$78:AD479,AD479)=1,MAX(AC$78:AC478)+1,"")</f>
        <v/>
      </c>
      <c r="AD479" s="220">
        <f>'[2]Изложницы без бурта'!B479</f>
        <v>192.5</v>
      </c>
      <c r="AE479" s="220">
        <f>'[2]Изложницы без бурта'!C479</f>
        <v>265</v>
      </c>
      <c r="AF479" s="56">
        <f>'[2]Изложницы без бурта'!D479</f>
        <v>285</v>
      </c>
      <c r="AG479" s="56">
        <f>'[2]Изложницы без бурта'!E479</f>
        <v>320</v>
      </c>
      <c r="AH479" s="56" t="str">
        <f>'[2]Изложницы без бурта'!F479</f>
        <v>72.11870 - 22</v>
      </c>
      <c r="AI479" s="56">
        <f>'[2]Изложницы без бурта'!G479</f>
        <v>0</v>
      </c>
      <c r="AJ479" s="56">
        <f>'[2]Изложницы без бурта'!H479</f>
        <v>0</v>
      </c>
      <c r="AK479" s="56">
        <f>'[2]Изложницы без бурта'!I479</f>
        <v>0</v>
      </c>
      <c r="AL479" s="56" t="s">
        <v>614</v>
      </c>
      <c r="AM479" s="56">
        <f>'[2]Изложницы без бурта'!K479</f>
        <v>0</v>
      </c>
    </row>
    <row r="480" spans="28:39" x14ac:dyDescent="0.25">
      <c r="AB480" s="258" t="str">
        <f t="shared" si="17"/>
        <v/>
      </c>
      <c r="AC480" s="259" t="str">
        <f>IF(COUNTIF(AD$78:AD480,AD480)=1,MAX(AC$78:AC479)+1,"")</f>
        <v/>
      </c>
      <c r="AD480" s="220">
        <f>'[2]Изложницы без бурта'!B480</f>
        <v>192.5</v>
      </c>
      <c r="AE480" s="220">
        <f>'[2]Изложницы без бурта'!C480</f>
        <v>260</v>
      </c>
      <c r="AF480" s="56">
        <f>'[2]Изложницы без бурта'!D480</f>
        <v>375</v>
      </c>
      <c r="AG480" s="56">
        <f>'[2]Изложницы без бурта'!E480</f>
        <v>320</v>
      </c>
      <c r="AH480" s="56" t="str">
        <f>'[2]Изложницы без бурта'!F480</f>
        <v>72.49955 - 1</v>
      </c>
      <c r="AI480" s="56">
        <f>'[2]Изложницы без бурта'!G480</f>
        <v>0</v>
      </c>
      <c r="AJ480" s="56">
        <f>'[2]Изложницы без бурта'!H480</f>
        <v>0</v>
      </c>
      <c r="AK480" s="56">
        <f>'[2]Изложницы без бурта'!I480</f>
        <v>0</v>
      </c>
      <c r="AL480" s="56" t="s">
        <v>614</v>
      </c>
      <c r="AM480" s="56">
        <f>'[2]Изложницы без бурта'!K480</f>
        <v>0</v>
      </c>
    </row>
    <row r="481" spans="28:39" x14ac:dyDescent="0.25">
      <c r="AB481" s="258" t="str">
        <f t="shared" si="17"/>
        <v/>
      </c>
      <c r="AC481" s="259" t="str">
        <f>IF(COUNTIF(AD$78:AD481,AD481)=1,MAX(AC$78:AC480)+1,"")</f>
        <v/>
      </c>
      <c r="AD481" s="220">
        <f>'[2]Изложницы без бурта'!B481</f>
        <v>192.5</v>
      </c>
      <c r="AE481" s="220">
        <f>'[2]Изложницы без бурта'!C481</f>
        <v>265</v>
      </c>
      <c r="AF481" s="56">
        <f>'[2]Изложницы без бурта'!D481</f>
        <v>285</v>
      </c>
      <c r="AG481" s="56">
        <f>'[2]Изложницы без бурта'!E481</f>
        <v>320</v>
      </c>
      <c r="AH481" s="56" t="str">
        <f>'[2]Изложницы без бурта'!F481</f>
        <v>72.11870 - 22</v>
      </c>
      <c r="AI481" s="56">
        <f>'[2]Изложницы без бурта'!G481</f>
        <v>0</v>
      </c>
      <c r="AJ481" s="56">
        <f>'[2]Изложницы без бурта'!H481</f>
        <v>0</v>
      </c>
      <c r="AK481" s="56">
        <f>'[2]Изложницы без бурта'!I481</f>
        <v>0</v>
      </c>
      <c r="AL481" s="56" t="s">
        <v>614</v>
      </c>
      <c r="AM481" s="56">
        <f>'[2]Изложницы без бурта'!K481</f>
        <v>0</v>
      </c>
    </row>
    <row r="482" spans="28:39" x14ac:dyDescent="0.25">
      <c r="AB482" s="258" t="str">
        <f t="shared" si="17"/>
        <v/>
      </c>
      <c r="AC482" s="259" t="str">
        <f>IF(COUNTIF(AD$78:AD482,AD482)=1,MAX(AC$78:AC481)+1,"")</f>
        <v/>
      </c>
      <c r="AD482" s="220">
        <f>'[2]Изложницы без бурта'!B482</f>
        <v>192.5</v>
      </c>
      <c r="AE482" s="220">
        <f>'[2]Изложницы без бурта'!C482</f>
        <v>265</v>
      </c>
      <c r="AF482" s="56">
        <f>'[2]Изложницы без бурта'!D482</f>
        <v>285</v>
      </c>
      <c r="AG482" s="56">
        <f>'[2]Изложницы без бурта'!E482</f>
        <v>320</v>
      </c>
      <c r="AH482" s="56" t="str">
        <f>'[2]Изложницы без бурта'!F482</f>
        <v>72.11870 - 22</v>
      </c>
      <c r="AI482" s="56">
        <f>'[2]Изложницы без бурта'!G482</f>
        <v>0</v>
      </c>
      <c r="AJ482" s="56">
        <f>'[2]Изложницы без бурта'!H482</f>
        <v>0</v>
      </c>
      <c r="AK482" s="56">
        <f>'[2]Изложницы без бурта'!I482</f>
        <v>0</v>
      </c>
      <c r="AL482" s="56" t="s">
        <v>614</v>
      </c>
      <c r="AM482" s="56">
        <f>'[2]Изложницы без бурта'!K482</f>
        <v>0</v>
      </c>
    </row>
    <row r="483" spans="28:39" x14ac:dyDescent="0.25">
      <c r="AB483" s="258" t="str">
        <f t="shared" si="17"/>
        <v/>
      </c>
      <c r="AC483" s="259" t="str">
        <f>IF(COUNTIF(AD$78:AD483,AD483)=1,MAX(AC$78:AC482)+1,"")</f>
        <v/>
      </c>
      <c r="AD483" s="220">
        <f>'[2]Изложницы без бурта'!B483</f>
        <v>192.5</v>
      </c>
      <c r="AE483" s="220">
        <f>'[2]Изложницы без бурта'!C483</f>
        <v>265</v>
      </c>
      <c r="AF483" s="56">
        <f>'[2]Изложницы без бурта'!D483</f>
        <v>285</v>
      </c>
      <c r="AG483" s="56">
        <f>'[2]Изложницы без бурта'!E483</f>
        <v>320</v>
      </c>
      <c r="AH483" s="56" t="str">
        <f>'[2]Изложницы без бурта'!F483</f>
        <v>72.11870 - 22</v>
      </c>
      <c r="AI483" s="56">
        <f>'[2]Изложницы без бурта'!G483</f>
        <v>0</v>
      </c>
      <c r="AJ483" s="56">
        <f>'[2]Изложницы без бурта'!H483</f>
        <v>0</v>
      </c>
      <c r="AK483" s="56">
        <f>'[2]Изложницы без бурта'!I483</f>
        <v>0</v>
      </c>
      <c r="AL483" s="56" t="s">
        <v>614</v>
      </c>
      <c r="AM483" s="56">
        <f>'[2]Изложницы без бурта'!K483</f>
        <v>0</v>
      </c>
    </row>
    <row r="484" spans="28:39" x14ac:dyDescent="0.25">
      <c r="AB484" s="258" t="str">
        <f t="shared" si="17"/>
        <v/>
      </c>
      <c r="AC484" s="259" t="str">
        <f>IF(COUNTIF(AD$78:AD484,AD484)=1,MAX(AC$78:AC483)+1,"")</f>
        <v/>
      </c>
      <c r="AD484" s="220">
        <f>'[2]Изложницы без бурта'!B484</f>
        <v>192.5</v>
      </c>
      <c r="AE484" s="220">
        <f>'[2]Изложницы без бурта'!C484</f>
        <v>265</v>
      </c>
      <c r="AF484" s="56">
        <f>'[2]Изложницы без бурта'!D484</f>
        <v>285</v>
      </c>
      <c r="AG484" s="56">
        <f>'[2]Изложницы без бурта'!E484</f>
        <v>320</v>
      </c>
      <c r="AH484" s="56" t="str">
        <f>'[2]Изложницы без бурта'!F484</f>
        <v>72.11870 - 22</v>
      </c>
      <c r="AI484" s="56">
        <f>'[2]Изложницы без бурта'!G484</f>
        <v>0</v>
      </c>
      <c r="AJ484" s="56">
        <f>'[2]Изложницы без бурта'!H484</f>
        <v>0</v>
      </c>
      <c r="AK484" s="56">
        <f>'[2]Изложницы без бурта'!I484</f>
        <v>0</v>
      </c>
      <c r="AL484" s="56" t="s">
        <v>614</v>
      </c>
      <c r="AM484" s="56">
        <f>'[2]Изложницы без бурта'!K484</f>
        <v>0</v>
      </c>
    </row>
    <row r="485" spans="28:39" x14ac:dyDescent="0.25">
      <c r="AB485" s="258" t="str">
        <f t="shared" si="17"/>
        <v/>
      </c>
      <c r="AC485" s="259" t="str">
        <f>IF(COUNTIF(AD$78:AD485,AD485)=1,MAX(AC$78:AC484)+1,"")</f>
        <v/>
      </c>
      <c r="AD485" s="220">
        <f>'[2]Изложницы без бурта'!B485</f>
        <v>192.5</v>
      </c>
      <c r="AE485" s="220">
        <f>'[2]Изложницы без бурта'!C485</f>
        <v>250</v>
      </c>
      <c r="AF485" s="56">
        <f>'[2]Изложницы без бурта'!D485</f>
        <v>285</v>
      </c>
      <c r="AG485" s="56">
        <f>'[2]Изложницы без бурта'!E485</f>
        <v>320</v>
      </c>
      <c r="AH485" s="56" t="str">
        <f>'[2]Изложницы без бурта'!F485</f>
        <v>72.11870 - 22</v>
      </c>
      <c r="AI485" s="56">
        <f>'[2]Изложницы без бурта'!G485</f>
        <v>0</v>
      </c>
      <c r="AJ485" s="56">
        <f>'[2]Изложницы без бурта'!H485</f>
        <v>0</v>
      </c>
      <c r="AK485" s="56">
        <f>'[2]Изложницы без бурта'!I485</f>
        <v>0</v>
      </c>
      <c r="AL485" s="56" t="s">
        <v>614</v>
      </c>
      <c r="AM485" s="56">
        <f>'[2]Изложницы без бурта'!K485</f>
        <v>0</v>
      </c>
    </row>
    <row r="486" spans="28:39" x14ac:dyDescent="0.25">
      <c r="AB486" s="258" t="str">
        <f t="shared" si="17"/>
        <v/>
      </c>
      <c r="AC486" s="259" t="str">
        <f>IF(COUNTIF(AD$78:AD486,AD486)=1,MAX(AC$78:AC485)+1,"")</f>
        <v/>
      </c>
      <c r="AD486" s="220">
        <f>'[2]Изложницы без бурта'!B486</f>
        <v>192.5</v>
      </c>
      <c r="AE486" s="220">
        <f>'[2]Изложницы без бурта'!C486</f>
        <v>265</v>
      </c>
      <c r="AF486" s="56">
        <f>'[2]Изложницы без бурта'!D486</f>
        <v>285</v>
      </c>
      <c r="AG486" s="56">
        <f>'[2]Изложницы без бурта'!E486</f>
        <v>320</v>
      </c>
      <c r="AH486" s="56" t="str">
        <f>'[2]Изложницы без бурта'!F486</f>
        <v>72.11870 - 22</v>
      </c>
      <c r="AI486" s="56">
        <f>'[2]Изложницы без бурта'!G486</f>
        <v>0</v>
      </c>
      <c r="AJ486" s="56">
        <f>'[2]Изложницы без бурта'!H486</f>
        <v>0</v>
      </c>
      <c r="AK486" s="56">
        <f>'[2]Изложницы без бурта'!I486</f>
        <v>0</v>
      </c>
      <c r="AL486" s="56" t="s">
        <v>614</v>
      </c>
      <c r="AM486" s="56">
        <f>'[2]Изложницы без бурта'!K486</f>
        <v>0</v>
      </c>
    </row>
    <row r="487" spans="28:39" x14ac:dyDescent="0.25">
      <c r="AB487" s="258" t="str">
        <f t="shared" si="17"/>
        <v/>
      </c>
      <c r="AC487" s="259" t="str">
        <f>IF(COUNTIF(AD$78:AD487,AD487)=1,MAX(AC$78:AC486)+1,"")</f>
        <v/>
      </c>
      <c r="AD487" s="220">
        <f>'[2]Изложницы без бурта'!B487</f>
        <v>192.5</v>
      </c>
      <c r="AE487" s="220">
        <f>'[2]Изложницы без бурта'!C487</f>
        <v>265</v>
      </c>
      <c r="AF487" s="56">
        <f>'[2]Изложницы без бурта'!D487</f>
        <v>285</v>
      </c>
      <c r="AG487" s="56">
        <f>'[2]Изложницы без бурта'!E487</f>
        <v>320</v>
      </c>
      <c r="AH487" s="56" t="str">
        <f>'[2]Изложницы без бурта'!F487</f>
        <v>72.11870 - 22</v>
      </c>
      <c r="AI487" s="56">
        <f>'[2]Изложницы без бурта'!G487</f>
        <v>0</v>
      </c>
      <c r="AJ487" s="56">
        <f>'[2]Изложницы без бурта'!H487</f>
        <v>0</v>
      </c>
      <c r="AK487" s="56">
        <f>'[2]Изложницы без бурта'!I487</f>
        <v>0</v>
      </c>
      <c r="AL487" s="56" t="s">
        <v>614</v>
      </c>
      <c r="AM487" s="56">
        <f>'[2]Изложницы без бурта'!K487</f>
        <v>0</v>
      </c>
    </row>
    <row r="488" spans="28:39" x14ac:dyDescent="0.25">
      <c r="AB488" s="258" t="str">
        <f t="shared" si="17"/>
        <v/>
      </c>
      <c r="AC488" s="259" t="str">
        <f>IF(COUNTIF(AD$78:AD488,AD488)=1,MAX(AC$78:AC487)+1,"")</f>
        <v/>
      </c>
      <c r="AD488" s="220">
        <f>'[2]Изложницы без бурта'!B488</f>
        <v>192.5</v>
      </c>
      <c r="AE488" s="220">
        <f>'[2]Изложницы без бурта'!C488</f>
        <v>262</v>
      </c>
      <c r="AF488" s="56">
        <f>'[2]Изложницы без бурта'!D488</f>
        <v>285</v>
      </c>
      <c r="AG488" s="56">
        <f>'[2]Изложницы без бурта'!E488</f>
        <v>320</v>
      </c>
      <c r="AH488" s="56" t="str">
        <f>'[2]Изложницы без бурта'!F488</f>
        <v>72.11870 - 22</v>
      </c>
      <c r="AI488" s="56">
        <f>'[2]Изложницы без бурта'!G488</f>
        <v>0</v>
      </c>
      <c r="AJ488" s="56">
        <f>'[2]Изложницы без бурта'!H488</f>
        <v>0</v>
      </c>
      <c r="AK488" s="56">
        <f>'[2]Изложницы без бурта'!I488</f>
        <v>0</v>
      </c>
      <c r="AL488" s="56" t="s">
        <v>614</v>
      </c>
      <c r="AM488" s="56">
        <f>'[2]Изложницы без бурта'!K488</f>
        <v>0</v>
      </c>
    </row>
    <row r="489" spans="28:39" x14ac:dyDescent="0.25">
      <c r="AB489" s="258" t="str">
        <f t="shared" si="17"/>
        <v/>
      </c>
      <c r="AC489" s="259" t="str">
        <f>IF(COUNTIF(AD$78:AD489,AD489)=1,MAX(AC$78:AC488)+1,"")</f>
        <v/>
      </c>
      <c r="AD489" s="220">
        <f>'[2]Изложницы без бурта'!B489</f>
        <v>192.5</v>
      </c>
      <c r="AE489" s="220">
        <f>'[2]Изложницы без бурта'!C489</f>
        <v>317</v>
      </c>
      <c r="AF489" s="56">
        <f>'[2]Изложницы без бурта'!D489</f>
        <v>285</v>
      </c>
      <c r="AG489" s="56">
        <f>'[2]Изложницы без бурта'!E489</f>
        <v>320</v>
      </c>
      <c r="AH489" s="56" t="str">
        <f>'[2]Изложницы без бурта'!F489</f>
        <v>72.11871 - 22</v>
      </c>
      <c r="AI489" s="56">
        <f>'[2]Изложницы без бурта'!G489</f>
        <v>0</v>
      </c>
      <c r="AJ489" s="56">
        <f>'[2]Изложницы без бурта'!H489</f>
        <v>0</v>
      </c>
      <c r="AK489" s="56">
        <f>'[2]Изложницы без бурта'!I489</f>
        <v>0</v>
      </c>
      <c r="AL489" s="56" t="s">
        <v>614</v>
      </c>
      <c r="AM489" s="56">
        <f>'[2]Изложницы без бурта'!K489</f>
        <v>0</v>
      </c>
    </row>
    <row r="490" spans="28:39" x14ac:dyDescent="0.25">
      <c r="AB490" s="258" t="str">
        <f t="shared" si="17"/>
        <v/>
      </c>
      <c r="AC490" s="259" t="str">
        <f>IF(COUNTIF(AD$78:AD490,AD490)=1,MAX(AC$78:AC489)+1,"")</f>
        <v/>
      </c>
      <c r="AD490" s="220">
        <f>'[2]Изложницы без бурта'!B490</f>
        <v>192.5</v>
      </c>
      <c r="AE490" s="220">
        <f>'[2]Изложницы без бурта'!C490</f>
        <v>265</v>
      </c>
      <c r="AF490" s="56">
        <f>'[2]Изложницы без бурта'!D490</f>
        <v>285</v>
      </c>
      <c r="AG490" s="56">
        <f>'[2]Изложницы без бурта'!E490</f>
        <v>320</v>
      </c>
      <c r="AH490" s="56" t="str">
        <f>'[2]Изложницы без бурта'!F490</f>
        <v>72.11870 - 22</v>
      </c>
      <c r="AI490" s="56">
        <f>'[2]Изложницы без бурта'!G490</f>
        <v>0</v>
      </c>
      <c r="AJ490" s="56">
        <f>'[2]Изложницы без бурта'!H490</f>
        <v>0</v>
      </c>
      <c r="AK490" s="56">
        <f>'[2]Изложницы без бурта'!I490</f>
        <v>0</v>
      </c>
      <c r="AL490" s="56" t="s">
        <v>614</v>
      </c>
      <c r="AM490" s="56">
        <f>'[2]Изложницы без бурта'!K490</f>
        <v>0</v>
      </c>
    </row>
    <row r="491" spans="28:39" x14ac:dyDescent="0.25">
      <c r="AB491" s="258" t="str">
        <f t="shared" si="17"/>
        <v/>
      </c>
      <c r="AC491" s="259" t="str">
        <f>IF(COUNTIF(AD$78:AD491,AD491)=1,MAX(AC$78:AC490)+1,"")</f>
        <v/>
      </c>
      <c r="AD491" s="220">
        <f>'[2]Изложницы без бурта'!B491</f>
        <v>192.5</v>
      </c>
      <c r="AE491" s="220">
        <f>'[2]Изложницы без бурта'!C491</f>
        <v>260</v>
      </c>
      <c r="AF491" s="56">
        <f>'[2]Изложницы без бурта'!D491</f>
        <v>360</v>
      </c>
      <c r="AG491" s="56">
        <f>'[2]Изложницы без бурта'!E491</f>
        <v>320</v>
      </c>
      <c r="AH491" s="56" t="str">
        <f>'[2]Изложницы без бурта'!F491</f>
        <v>72.49955 - 1</v>
      </c>
      <c r="AI491" s="56">
        <f>'[2]Изложницы без бурта'!G491</f>
        <v>0</v>
      </c>
      <c r="AJ491" s="56">
        <f>'[2]Изложницы без бурта'!H491</f>
        <v>0</v>
      </c>
      <c r="AK491" s="56">
        <f>'[2]Изложницы без бурта'!I491</f>
        <v>0</v>
      </c>
      <c r="AL491" s="56" t="s">
        <v>614</v>
      </c>
      <c r="AM491" s="56">
        <f>'[2]Изложницы без бурта'!K491</f>
        <v>0</v>
      </c>
    </row>
    <row r="492" spans="28:39" x14ac:dyDescent="0.25">
      <c r="AB492" s="258" t="str">
        <f t="shared" si="17"/>
        <v/>
      </c>
      <c r="AC492" s="259" t="str">
        <f>IF(COUNTIF(AD$78:AD492,AD492)=1,MAX(AC$78:AC491)+1,"")</f>
        <v/>
      </c>
      <c r="AD492" s="220">
        <f>'[2]Изложницы без бурта'!B492</f>
        <v>192.5</v>
      </c>
      <c r="AE492" s="220">
        <f>'[2]Изложницы без бурта'!C492</f>
        <v>265</v>
      </c>
      <c r="AF492" s="56">
        <f>'[2]Изложницы без бурта'!D492</f>
        <v>285</v>
      </c>
      <c r="AG492" s="56">
        <f>'[2]Изложницы без бурта'!E492</f>
        <v>320</v>
      </c>
      <c r="AH492" s="56" t="str">
        <f>'[2]Изложницы без бурта'!F492</f>
        <v>72.11870 - 22</v>
      </c>
      <c r="AI492" s="56">
        <f>'[2]Изложницы без бурта'!G492</f>
        <v>0</v>
      </c>
      <c r="AJ492" s="56">
        <f>'[2]Изложницы без бурта'!H492</f>
        <v>0</v>
      </c>
      <c r="AK492" s="56">
        <f>'[2]Изложницы без бурта'!I492</f>
        <v>0</v>
      </c>
      <c r="AL492" s="56" t="s">
        <v>614</v>
      </c>
      <c r="AM492" s="56">
        <f>'[2]Изложницы без бурта'!K492</f>
        <v>0</v>
      </c>
    </row>
    <row r="493" spans="28:39" x14ac:dyDescent="0.25">
      <c r="AB493" s="258" t="str">
        <f t="shared" si="17"/>
        <v/>
      </c>
      <c r="AC493" s="259" t="str">
        <f>IF(COUNTIF(AD$78:AD493,AD493)=1,MAX(AC$78:AC492)+1,"")</f>
        <v/>
      </c>
      <c r="AD493" s="220">
        <f>'[2]Изложницы без бурта'!B493</f>
        <v>192.5</v>
      </c>
      <c r="AE493" s="220">
        <f>'[2]Изложницы без бурта'!C493</f>
        <v>260</v>
      </c>
      <c r="AF493" s="56">
        <f>'[2]Изложницы без бурта'!D493</f>
        <v>285</v>
      </c>
      <c r="AG493" s="56">
        <f>'[2]Изложницы без бурта'!E493</f>
        <v>320</v>
      </c>
      <c r="AH493" s="56" t="str">
        <f>'[2]Изложницы без бурта'!F493</f>
        <v>72.11870 - 22</v>
      </c>
      <c r="AI493" s="56">
        <f>'[2]Изложницы без бурта'!G493</f>
        <v>0</v>
      </c>
      <c r="AJ493" s="56">
        <f>'[2]Изложницы без бурта'!H493</f>
        <v>0</v>
      </c>
      <c r="AK493" s="56">
        <f>'[2]Изложницы без бурта'!I493</f>
        <v>0</v>
      </c>
      <c r="AL493" s="56" t="s">
        <v>614</v>
      </c>
      <c r="AM493" s="56">
        <f>'[2]Изложницы без бурта'!K493</f>
        <v>0</v>
      </c>
    </row>
    <row r="494" spans="28:39" x14ac:dyDescent="0.25">
      <c r="AB494" s="258" t="str">
        <f t="shared" si="17"/>
        <v/>
      </c>
      <c r="AC494" s="259" t="str">
        <f>IF(COUNTIF(AD$78:AD494,AD494)=1,MAX(AC$78:AC493)+1,"")</f>
        <v/>
      </c>
      <c r="AD494" s="220">
        <f>'[2]Изложницы без бурта'!B494</f>
        <v>192.5</v>
      </c>
      <c r="AE494" s="220">
        <f>'[2]Изложницы без бурта'!C494</f>
        <v>265</v>
      </c>
      <c r="AF494" s="56">
        <f>'[2]Изложницы без бурта'!D494</f>
        <v>285</v>
      </c>
      <c r="AG494" s="56">
        <f>'[2]Изложницы без бурта'!E494</f>
        <v>320</v>
      </c>
      <c r="AH494" s="56" t="str">
        <f>'[2]Изложницы без бурта'!F494</f>
        <v>72.11870 - 22</v>
      </c>
      <c r="AI494" s="56">
        <f>'[2]Изложницы без бурта'!G494</f>
        <v>0</v>
      </c>
      <c r="AJ494" s="56">
        <f>'[2]Изложницы без бурта'!H494</f>
        <v>0</v>
      </c>
      <c r="AK494" s="56">
        <f>'[2]Изложницы без бурта'!I494</f>
        <v>0</v>
      </c>
      <c r="AL494" s="56" t="s">
        <v>614</v>
      </c>
      <c r="AM494" s="56">
        <f>'[2]Изложницы без бурта'!K494</f>
        <v>0</v>
      </c>
    </row>
    <row r="495" spans="28:39" x14ac:dyDescent="0.25">
      <c r="AB495" s="258" t="str">
        <f t="shared" si="17"/>
        <v/>
      </c>
      <c r="AC495" s="259" t="str">
        <f>IF(COUNTIF(AD$78:AD495,AD495)=1,MAX(AC$78:AC494)+1,"")</f>
        <v/>
      </c>
      <c r="AD495" s="220">
        <f>'[2]Изложницы без бурта'!B495</f>
        <v>192.5</v>
      </c>
      <c r="AE495" s="220">
        <f>'[2]Изложницы без бурта'!C495</f>
        <v>265</v>
      </c>
      <c r="AF495" s="56">
        <f>'[2]Изложницы без бурта'!D495</f>
        <v>285</v>
      </c>
      <c r="AG495" s="56">
        <f>'[2]Изложницы без бурта'!E495</f>
        <v>320</v>
      </c>
      <c r="AH495" s="56" t="str">
        <f>'[2]Изложницы без бурта'!F495</f>
        <v>72.11870 - 22</v>
      </c>
      <c r="AI495" s="56">
        <f>'[2]Изложницы без бурта'!G495</f>
        <v>0</v>
      </c>
      <c r="AJ495" s="56">
        <f>'[2]Изложницы без бурта'!H495</f>
        <v>0</v>
      </c>
      <c r="AK495" s="56">
        <f>'[2]Изложницы без бурта'!I495</f>
        <v>0</v>
      </c>
      <c r="AL495" s="56" t="s">
        <v>614</v>
      </c>
      <c r="AM495" s="56">
        <f>'[2]Изложницы без бурта'!K495</f>
        <v>0</v>
      </c>
    </row>
    <row r="496" spans="28:39" x14ac:dyDescent="0.25">
      <c r="AB496" s="258" t="str">
        <f t="shared" si="17"/>
        <v/>
      </c>
      <c r="AC496" s="259" t="str">
        <f>IF(COUNTIF(AD$78:AD496,AD496)=1,MAX(AC$78:AC495)+1,"")</f>
        <v/>
      </c>
      <c r="AD496" s="220">
        <f>'[2]Изложницы без бурта'!B496</f>
        <v>192.5</v>
      </c>
      <c r="AE496" s="220">
        <f>'[2]Изложницы без бурта'!C496</f>
        <v>265</v>
      </c>
      <c r="AF496" s="56">
        <f>'[2]Изложницы без бурта'!D496</f>
        <v>285</v>
      </c>
      <c r="AG496" s="56">
        <f>'[2]Изложницы без бурта'!E496</f>
        <v>320</v>
      </c>
      <c r="AH496" s="56" t="str">
        <f>'[2]Изложницы без бурта'!F496</f>
        <v>72.11870 - 22</v>
      </c>
      <c r="AI496" s="56">
        <f>'[2]Изложницы без бурта'!G496</f>
        <v>0</v>
      </c>
      <c r="AJ496" s="56">
        <f>'[2]Изложницы без бурта'!H496</f>
        <v>0</v>
      </c>
      <c r="AK496" s="56">
        <f>'[2]Изложницы без бурта'!I496</f>
        <v>0</v>
      </c>
      <c r="AL496" s="56" t="s">
        <v>614</v>
      </c>
      <c r="AM496" s="56">
        <f>'[2]Изложницы без бурта'!K496</f>
        <v>0</v>
      </c>
    </row>
    <row r="497" spans="28:39" x14ac:dyDescent="0.25">
      <c r="AB497" s="258" t="str">
        <f t="shared" si="17"/>
        <v/>
      </c>
      <c r="AC497" s="259" t="str">
        <f>IF(COUNTIF(AD$78:AD497,AD497)=1,MAX(AC$78:AC496)+1,"")</f>
        <v/>
      </c>
      <c r="AD497" s="220">
        <f>'[2]Изложницы без бурта'!B497</f>
        <v>192.5</v>
      </c>
      <c r="AE497" s="220">
        <f>'[2]Изложницы без бурта'!C497</f>
        <v>265</v>
      </c>
      <c r="AF497" s="56">
        <f>'[2]Изложницы без бурта'!D497</f>
        <v>285</v>
      </c>
      <c r="AG497" s="56">
        <f>'[2]Изложницы без бурта'!E497</f>
        <v>320</v>
      </c>
      <c r="AH497" s="56" t="str">
        <f>'[2]Изложницы без бурта'!F497</f>
        <v>72.11870 - 22</v>
      </c>
      <c r="AI497" s="56">
        <f>'[2]Изложницы без бурта'!G497</f>
        <v>0</v>
      </c>
      <c r="AJ497" s="56">
        <f>'[2]Изложницы без бурта'!H497</f>
        <v>0</v>
      </c>
      <c r="AK497" s="56">
        <f>'[2]Изложницы без бурта'!I497</f>
        <v>0</v>
      </c>
      <c r="AL497" s="56" t="s">
        <v>614</v>
      </c>
      <c r="AM497" s="56">
        <f>'[2]Изложницы без бурта'!K497</f>
        <v>0</v>
      </c>
    </row>
    <row r="498" spans="28:39" x14ac:dyDescent="0.25">
      <c r="AB498" s="258" t="str">
        <f t="shared" si="17"/>
        <v/>
      </c>
      <c r="AC498" s="259" t="str">
        <f>IF(COUNTIF(AD$78:AD498,AD498)=1,MAX(AC$78:AC497)+1,"")</f>
        <v/>
      </c>
      <c r="AD498" s="220">
        <f>'[2]Изложницы без бурта'!B498</f>
        <v>192.5</v>
      </c>
      <c r="AE498" s="220">
        <f>'[2]Изложницы без бурта'!C498</f>
        <v>260</v>
      </c>
      <c r="AF498" s="56">
        <f>'[2]Изложницы без бурта'!D498</f>
        <v>375</v>
      </c>
      <c r="AG498" s="56">
        <f>'[2]Изложницы без бурта'!E498</f>
        <v>320</v>
      </c>
      <c r="AH498" s="56" t="str">
        <f>'[2]Изложницы без бурта'!F498</f>
        <v>72.49955 - 1</v>
      </c>
      <c r="AI498" s="56">
        <f>'[2]Изложницы без бурта'!G498</f>
        <v>0</v>
      </c>
      <c r="AJ498" s="56">
        <f>'[2]Изложницы без бурта'!H498</f>
        <v>0</v>
      </c>
      <c r="AK498" s="56">
        <f>'[2]Изложницы без бурта'!I498</f>
        <v>0</v>
      </c>
      <c r="AL498" s="56" t="s">
        <v>614</v>
      </c>
      <c r="AM498" s="56">
        <f>'[2]Изложницы без бурта'!K498</f>
        <v>0</v>
      </c>
    </row>
    <row r="499" spans="28:39" x14ac:dyDescent="0.25">
      <c r="AB499" s="258" t="str">
        <f t="shared" si="17"/>
        <v/>
      </c>
      <c r="AC499" s="259">
        <f>IF(COUNTIF(AD$78:AD499,AD499)=1,MAX(AC$78:AC498)+1,"")</f>
        <v>43</v>
      </c>
      <c r="AD499" s="220">
        <f>'[2]Изложницы без бурта'!B499</f>
        <v>195</v>
      </c>
      <c r="AE499" s="220">
        <f>'[2]Изложницы без бурта'!C499</f>
        <v>265</v>
      </c>
      <c r="AF499" s="56">
        <f>'[2]Изложницы без бурта'!D499</f>
        <v>285</v>
      </c>
      <c r="AG499" s="56">
        <f>'[2]Изложницы без бурта'!E499</f>
        <v>320</v>
      </c>
      <c r="AH499" s="56" t="str">
        <f>'[2]Изложницы без бурта'!F499</f>
        <v>72.11870 - 23</v>
      </c>
      <c r="AI499" s="56">
        <f>'[2]Изложницы без бурта'!G499</f>
        <v>0</v>
      </c>
      <c r="AJ499" s="56">
        <f>'[2]Изложницы без бурта'!H499</f>
        <v>0</v>
      </c>
      <c r="AK499" s="56">
        <f>'[2]Изложницы без бурта'!I499</f>
        <v>0</v>
      </c>
      <c r="AL499" s="56" t="s">
        <v>615</v>
      </c>
      <c r="AM499" s="56">
        <f>'[2]Изложницы без бурта'!K499</f>
        <v>0</v>
      </c>
    </row>
    <row r="500" spans="28:39" x14ac:dyDescent="0.25">
      <c r="AB500" s="258" t="str">
        <f t="shared" si="17"/>
        <v/>
      </c>
      <c r="AC500" s="259" t="str">
        <f>IF(COUNTIF(AD$78:AD500,AD500)=1,MAX(AC$78:AC499)+1,"")</f>
        <v/>
      </c>
      <c r="AD500" s="220">
        <f>'[2]Изложницы без бурта'!B500</f>
        <v>195</v>
      </c>
      <c r="AE500" s="220">
        <f>'[2]Изложницы без бурта'!C500</f>
        <v>265</v>
      </c>
      <c r="AF500" s="56">
        <f>'[2]Изложницы без бурта'!D500</f>
        <v>285</v>
      </c>
      <c r="AG500" s="56">
        <f>'[2]Изложницы без бурта'!E500</f>
        <v>320</v>
      </c>
      <c r="AH500" s="56" t="str">
        <f>'[2]Изложницы без бурта'!F500</f>
        <v>72.11870 - 23</v>
      </c>
      <c r="AI500" s="56">
        <f>'[2]Изложницы без бурта'!G500</f>
        <v>0</v>
      </c>
      <c r="AJ500" s="56">
        <f>'[2]Изложницы без бурта'!H500</f>
        <v>0</v>
      </c>
      <c r="AK500" s="56">
        <f>'[2]Изложницы без бурта'!I500</f>
        <v>0</v>
      </c>
      <c r="AL500" s="56" t="s">
        <v>615</v>
      </c>
      <c r="AM500" s="56">
        <f>'[2]Изложницы без бурта'!K500</f>
        <v>0</v>
      </c>
    </row>
    <row r="501" spans="28:39" x14ac:dyDescent="0.25">
      <c r="AB501" s="258" t="str">
        <f t="shared" si="17"/>
        <v/>
      </c>
      <c r="AC501" s="259" t="str">
        <f>IF(COUNTIF(AD$78:AD501,AD501)=1,MAX(AC$78:AC500)+1,"")</f>
        <v/>
      </c>
      <c r="AD501" s="220">
        <f>'[2]Изложницы без бурта'!B501</f>
        <v>195</v>
      </c>
      <c r="AE501" s="220">
        <f>'[2]Изложницы без бурта'!C501</f>
        <v>265</v>
      </c>
      <c r="AF501" s="56">
        <f>'[2]Изложницы без бурта'!D501</f>
        <v>285</v>
      </c>
      <c r="AG501" s="56">
        <f>'[2]Изложницы без бурта'!E501</f>
        <v>320</v>
      </c>
      <c r="AH501" s="56" t="str">
        <f>'[2]Изложницы без бурта'!F501</f>
        <v>72.11870 - 23</v>
      </c>
      <c r="AI501" s="56">
        <f>'[2]Изложницы без бурта'!G501</f>
        <v>0</v>
      </c>
      <c r="AJ501" s="56">
        <f>'[2]Изложницы без бурта'!H501</f>
        <v>0</v>
      </c>
      <c r="AK501" s="56">
        <f>'[2]Изложницы без бурта'!I501</f>
        <v>0</v>
      </c>
      <c r="AL501" s="56" t="s">
        <v>615</v>
      </c>
      <c r="AM501" s="56">
        <f>'[2]Изложницы без бурта'!K501</f>
        <v>0</v>
      </c>
    </row>
    <row r="502" spans="28:39" x14ac:dyDescent="0.25">
      <c r="AB502" s="258" t="str">
        <f t="shared" si="17"/>
        <v/>
      </c>
      <c r="AC502" s="259" t="str">
        <f>IF(COUNTIF(AD$78:AD502,AD502)=1,MAX(AC$78:AC501)+1,"")</f>
        <v/>
      </c>
      <c r="AD502" s="220">
        <f>'[2]Изложницы без бурта'!B502</f>
        <v>195</v>
      </c>
      <c r="AE502" s="220">
        <f>'[2]Изложницы без бурта'!C502</f>
        <v>265</v>
      </c>
      <c r="AF502" s="56">
        <f>'[2]Изложницы без бурта'!D502</f>
        <v>285</v>
      </c>
      <c r="AG502" s="56">
        <f>'[2]Изложницы без бурта'!E502</f>
        <v>320</v>
      </c>
      <c r="AH502" s="56" t="str">
        <f>'[2]Изложницы без бурта'!F502</f>
        <v>72.11870 - 23</v>
      </c>
      <c r="AI502" s="56">
        <f>'[2]Изложницы без бурта'!G502</f>
        <v>0</v>
      </c>
      <c r="AJ502" s="56">
        <f>'[2]Изложницы без бурта'!H502</f>
        <v>0</v>
      </c>
      <c r="AK502" s="56">
        <f>'[2]Изложницы без бурта'!I502</f>
        <v>0</v>
      </c>
      <c r="AL502" s="56" t="s">
        <v>615</v>
      </c>
      <c r="AM502" s="56">
        <f>'[2]Изложницы без бурта'!K502</f>
        <v>0</v>
      </c>
    </row>
    <row r="503" spans="28:39" x14ac:dyDescent="0.25">
      <c r="AB503" s="258" t="str">
        <f t="shared" si="17"/>
        <v/>
      </c>
      <c r="AC503" s="259" t="str">
        <f>IF(COUNTIF(AD$78:AD503,AD503)=1,MAX(AC$78:AC502)+1,"")</f>
        <v/>
      </c>
      <c r="AD503" s="220">
        <f>'[2]Изложницы без бурта'!B503</f>
        <v>195</v>
      </c>
      <c r="AE503" s="220">
        <f>'[2]Изложницы без бурта'!C503</f>
        <v>265</v>
      </c>
      <c r="AF503" s="56">
        <f>'[2]Изложницы без бурта'!D503</f>
        <v>285</v>
      </c>
      <c r="AG503" s="56">
        <f>'[2]Изложницы без бурта'!E503</f>
        <v>320</v>
      </c>
      <c r="AH503" s="56" t="str">
        <f>'[2]Изложницы без бурта'!F503</f>
        <v>72.11870 - 23</v>
      </c>
      <c r="AI503" s="56">
        <f>'[2]Изложницы без бурта'!G503</f>
        <v>0</v>
      </c>
      <c r="AJ503" s="56">
        <f>'[2]Изложницы без бурта'!H503</f>
        <v>0</v>
      </c>
      <c r="AK503" s="56">
        <f>'[2]Изложницы без бурта'!I503</f>
        <v>0</v>
      </c>
      <c r="AL503" s="56" t="s">
        <v>615</v>
      </c>
      <c r="AM503" s="56">
        <f>'[2]Изложницы без бурта'!K503</f>
        <v>0</v>
      </c>
    </row>
    <row r="504" spans="28:39" x14ac:dyDescent="0.25">
      <c r="AB504" s="258" t="str">
        <f t="shared" si="17"/>
        <v/>
      </c>
      <c r="AC504" s="259" t="str">
        <f>IF(COUNTIF(AD$78:AD504,AD504)=1,MAX(AC$78:AC503)+1,"")</f>
        <v/>
      </c>
      <c r="AD504" s="220">
        <f>'[2]Изложницы без бурта'!B504</f>
        <v>195</v>
      </c>
      <c r="AE504" s="220">
        <f>'[2]Изложницы без бурта'!C504</f>
        <v>265</v>
      </c>
      <c r="AF504" s="56">
        <f>'[2]Изложницы без бурта'!D504</f>
        <v>285</v>
      </c>
      <c r="AG504" s="56">
        <f>'[2]Изложницы без бурта'!E504</f>
        <v>320</v>
      </c>
      <c r="AH504" s="56" t="str">
        <f>'[2]Изложницы без бурта'!F504</f>
        <v>72.11870 - 23</v>
      </c>
      <c r="AI504" s="56">
        <f>'[2]Изложницы без бурта'!G504</f>
        <v>0</v>
      </c>
      <c r="AJ504" s="56">
        <f>'[2]Изложницы без бурта'!H504</f>
        <v>0</v>
      </c>
      <c r="AK504" s="56">
        <f>'[2]Изложницы без бурта'!I504</f>
        <v>0</v>
      </c>
      <c r="AL504" s="56" t="s">
        <v>615</v>
      </c>
      <c r="AM504" s="56">
        <f>'[2]Изложницы без бурта'!K504</f>
        <v>0</v>
      </c>
    </row>
    <row r="505" spans="28:39" x14ac:dyDescent="0.25">
      <c r="AB505" s="258" t="str">
        <f t="shared" ref="AB505:AB568" si="18">IF(MAX(AC505:AC1582)&lt;ROW(427:427),"",VLOOKUP(ROW(427:427),AC505:AD1582,2))</f>
        <v/>
      </c>
      <c r="AC505" s="259" t="str">
        <f>IF(COUNTIF(AD$78:AD505,AD505)=1,MAX(AC$78:AC504)+1,"")</f>
        <v/>
      </c>
      <c r="AD505" s="220">
        <f>'[2]Изложницы без бурта'!B505</f>
        <v>195</v>
      </c>
      <c r="AE505" s="220">
        <f>'[2]Изложницы без бурта'!C505</f>
        <v>260</v>
      </c>
      <c r="AF505" s="56">
        <f>'[2]Изложницы без бурта'!D505</f>
        <v>285</v>
      </c>
      <c r="AG505" s="56">
        <f>'[2]Изложницы без бурта'!E505</f>
        <v>320</v>
      </c>
      <c r="AH505" s="56" t="str">
        <f>'[2]Изложницы без бурта'!F505</f>
        <v>72.11870 - 23</v>
      </c>
      <c r="AI505" s="56">
        <f>'[2]Изложницы без бурта'!G505</f>
        <v>0</v>
      </c>
      <c r="AJ505" s="56">
        <f>'[2]Изложницы без бурта'!H505</f>
        <v>0</v>
      </c>
      <c r="AK505" s="56">
        <f>'[2]Изложницы без бурта'!I505</f>
        <v>0</v>
      </c>
      <c r="AL505" s="56" t="s">
        <v>615</v>
      </c>
      <c r="AM505" s="56">
        <f>'[2]Изложницы без бурта'!K505</f>
        <v>0</v>
      </c>
    </row>
    <row r="506" spans="28:39" x14ac:dyDescent="0.25">
      <c r="AB506" s="258" t="str">
        <f t="shared" si="18"/>
        <v/>
      </c>
      <c r="AC506" s="259" t="str">
        <f>IF(COUNTIF(AD$78:AD506,AD506)=1,MAX(AC$78:AC505)+1,"")</f>
        <v/>
      </c>
      <c r="AD506" s="220">
        <f>'[2]Изложницы без бурта'!B506</f>
        <v>195</v>
      </c>
      <c r="AE506" s="220">
        <f>'[2]Изложницы без бурта'!C506</f>
        <v>265</v>
      </c>
      <c r="AF506" s="56">
        <f>'[2]Изложницы без бурта'!D506</f>
        <v>285</v>
      </c>
      <c r="AG506" s="56">
        <f>'[2]Изложницы без бурта'!E506</f>
        <v>320</v>
      </c>
      <c r="AH506" s="56" t="str">
        <f>'[2]Изложницы без бурта'!F506</f>
        <v>72.11870 - 23</v>
      </c>
      <c r="AI506" s="56">
        <f>'[2]Изложницы без бурта'!G506</f>
        <v>0</v>
      </c>
      <c r="AJ506" s="56">
        <f>'[2]Изложницы без бурта'!H506</f>
        <v>0</v>
      </c>
      <c r="AK506" s="56">
        <f>'[2]Изложницы без бурта'!I506</f>
        <v>0</v>
      </c>
      <c r="AL506" s="56" t="s">
        <v>615</v>
      </c>
      <c r="AM506" s="56">
        <f>'[2]Изложницы без бурта'!K506</f>
        <v>0</v>
      </c>
    </row>
    <row r="507" spans="28:39" x14ac:dyDescent="0.25">
      <c r="AB507" s="258" t="str">
        <f t="shared" si="18"/>
        <v/>
      </c>
      <c r="AC507" s="259" t="str">
        <f>IF(COUNTIF(AD$78:AD507,AD507)=1,MAX(AC$78:AC506)+1,"")</f>
        <v/>
      </c>
      <c r="AD507" s="220">
        <f>'[2]Изложницы без бурта'!B507</f>
        <v>195</v>
      </c>
      <c r="AE507" s="220">
        <f>'[2]Изложницы без бурта'!C507</f>
        <v>265</v>
      </c>
      <c r="AF507" s="56">
        <f>'[2]Изложницы без бурта'!D507</f>
        <v>285</v>
      </c>
      <c r="AG507" s="56">
        <f>'[2]Изложницы без бурта'!E507</f>
        <v>320</v>
      </c>
      <c r="AH507" s="56" t="str">
        <f>'[2]Изложницы без бурта'!F507</f>
        <v>72.11870 - 23</v>
      </c>
      <c r="AI507" s="56">
        <f>'[2]Изложницы без бурта'!G507</f>
        <v>0</v>
      </c>
      <c r="AJ507" s="56">
        <f>'[2]Изложницы без бурта'!H507</f>
        <v>0</v>
      </c>
      <c r="AK507" s="56">
        <f>'[2]Изложницы без бурта'!I507</f>
        <v>0</v>
      </c>
      <c r="AL507" s="56" t="s">
        <v>615</v>
      </c>
      <c r="AM507" s="56">
        <f>'[2]Изложницы без бурта'!K507</f>
        <v>0</v>
      </c>
    </row>
    <row r="508" spans="28:39" x14ac:dyDescent="0.25">
      <c r="AB508" s="258" t="str">
        <f t="shared" si="18"/>
        <v/>
      </c>
      <c r="AC508" s="259" t="str">
        <f>IF(COUNTIF(AD$78:AD508,AD508)=1,MAX(AC$78:AC507)+1,"")</f>
        <v/>
      </c>
      <c r="AD508" s="220">
        <f>'[2]Изложницы без бурта'!B508</f>
        <v>195</v>
      </c>
      <c r="AE508" s="220">
        <f>'[2]Изложницы без бурта'!C508</f>
        <v>318</v>
      </c>
      <c r="AF508" s="56">
        <f>'[2]Изложницы без бурта'!D508</f>
        <v>285</v>
      </c>
      <c r="AG508" s="56">
        <f>'[2]Изложницы без бурта'!E508</f>
        <v>320</v>
      </c>
      <c r="AH508" s="56" t="str">
        <f>'[2]Изложницы без бурта'!F508</f>
        <v>72.11871 - 23</v>
      </c>
      <c r="AI508" s="56">
        <f>'[2]Изложницы без бурта'!G508</f>
        <v>7260017</v>
      </c>
      <c r="AJ508" s="56">
        <f>'[2]Изложницы без бурта'!H508</f>
        <v>0</v>
      </c>
      <c r="AK508" s="56">
        <f>'[2]Изложницы без бурта'!I508</f>
        <v>0</v>
      </c>
      <c r="AL508" s="56" t="s">
        <v>615</v>
      </c>
      <c r="AM508" s="56">
        <f>'[2]Изложницы без бурта'!K508</f>
        <v>0</v>
      </c>
    </row>
    <row r="509" spans="28:39" x14ac:dyDescent="0.25">
      <c r="AB509" s="258" t="str">
        <f t="shared" si="18"/>
        <v/>
      </c>
      <c r="AC509" s="259" t="str">
        <f>IF(COUNTIF(AD$78:AD509,AD509)=1,MAX(AC$78:AC508)+1,"")</f>
        <v/>
      </c>
      <c r="AD509" s="220">
        <f>'[2]Изложницы без бурта'!B509</f>
        <v>195</v>
      </c>
      <c r="AE509" s="220">
        <f>'[2]Изложницы без бурта'!C509</f>
        <v>377</v>
      </c>
      <c r="AF509" s="56">
        <f>'[2]Изложницы без бурта'!D509</f>
        <v>285</v>
      </c>
      <c r="AG509" s="56">
        <f>'[2]Изложницы без бурта'!E509</f>
        <v>320</v>
      </c>
      <c r="AH509" s="56" t="str">
        <f>'[2]Изложницы без бурта'!F509</f>
        <v>72.42461 - 23</v>
      </c>
      <c r="AI509" s="56">
        <f>'[2]Изложницы без бурта'!G509</f>
        <v>7260018</v>
      </c>
      <c r="AJ509" s="56">
        <f>'[2]Изложницы без бурта'!H509</f>
        <v>0</v>
      </c>
      <c r="AK509" s="56">
        <f>'[2]Изложницы без бурта'!I509</f>
        <v>0</v>
      </c>
      <c r="AL509" s="56" t="s">
        <v>615</v>
      </c>
      <c r="AM509" s="56">
        <f>'[2]Изложницы без бурта'!K509</f>
        <v>0</v>
      </c>
    </row>
    <row r="510" spans="28:39" x14ac:dyDescent="0.25">
      <c r="AB510" s="258" t="str">
        <f t="shared" si="18"/>
        <v/>
      </c>
      <c r="AC510" s="259" t="str">
        <f>IF(COUNTIF(AD$78:AD510,AD510)=1,MAX(AC$78:AC509)+1,"")</f>
        <v/>
      </c>
      <c r="AD510" s="220">
        <f>'[2]Изложницы без бурта'!B510</f>
        <v>195</v>
      </c>
      <c r="AE510" s="220">
        <f>'[2]Изложницы без бурта'!C510</f>
        <v>263</v>
      </c>
      <c r="AF510" s="56">
        <f>'[2]Изложницы без бурта'!D510</f>
        <v>285</v>
      </c>
      <c r="AG510" s="56">
        <f>'[2]Изложницы без бурта'!E510</f>
        <v>320</v>
      </c>
      <c r="AH510" s="56" t="str">
        <f>'[2]Изложницы без бурта'!F510</f>
        <v>72.11870 - 23</v>
      </c>
      <c r="AI510" s="56">
        <f>'[2]Изложницы без бурта'!G510</f>
        <v>0</v>
      </c>
      <c r="AJ510" s="56">
        <f>'[2]Изложницы без бурта'!H510</f>
        <v>0</v>
      </c>
      <c r="AK510" s="56">
        <f>'[2]Изложницы без бурта'!I510</f>
        <v>0</v>
      </c>
      <c r="AL510" s="56" t="s">
        <v>615</v>
      </c>
      <c r="AM510" s="56">
        <f>'[2]Изложницы без бурта'!K510</f>
        <v>0</v>
      </c>
    </row>
    <row r="511" spans="28:39" x14ac:dyDescent="0.25">
      <c r="AB511" s="258" t="str">
        <f t="shared" si="18"/>
        <v/>
      </c>
      <c r="AC511" s="259" t="str">
        <f>IF(COUNTIF(AD$78:AD511,AD511)=1,MAX(AC$78:AC510)+1,"")</f>
        <v/>
      </c>
      <c r="AD511" s="220">
        <f>'[2]Изложницы без бурта'!B511</f>
        <v>195</v>
      </c>
      <c r="AE511" s="220">
        <f>'[2]Изложницы без бурта'!C511</f>
        <v>377</v>
      </c>
      <c r="AF511" s="56">
        <f>'[2]Изложницы без бурта'!D511</f>
        <v>285</v>
      </c>
      <c r="AG511" s="56">
        <f>'[2]Изложницы без бурта'!E511</f>
        <v>320</v>
      </c>
      <c r="AH511" s="56" t="str">
        <f>'[2]Изложницы без бурта'!F511</f>
        <v>72.42461 - 23</v>
      </c>
      <c r="AI511" s="56">
        <f>'[2]Изложницы без бурта'!G511</f>
        <v>7260018</v>
      </c>
      <c r="AJ511" s="56">
        <f>'[2]Изложницы без бурта'!H511</f>
        <v>0</v>
      </c>
      <c r="AK511" s="56">
        <f>'[2]Изложницы без бурта'!I511</f>
        <v>0</v>
      </c>
      <c r="AL511" s="56" t="s">
        <v>615</v>
      </c>
      <c r="AM511" s="56">
        <f>'[2]Изложницы без бурта'!K511</f>
        <v>0</v>
      </c>
    </row>
    <row r="512" spans="28:39" x14ac:dyDescent="0.25">
      <c r="AB512" s="258" t="str">
        <f t="shared" si="18"/>
        <v/>
      </c>
      <c r="AC512" s="259" t="str">
        <f>IF(COUNTIF(AD$78:AD512,AD512)=1,MAX(AC$78:AC511)+1,"")</f>
        <v/>
      </c>
      <c r="AD512" s="220">
        <f>'[2]Изложницы без бурта'!B512</f>
        <v>195</v>
      </c>
      <c r="AE512" s="220">
        <f>'[2]Изложницы без бурта'!C512</f>
        <v>260</v>
      </c>
      <c r="AF512" s="56">
        <f>'[2]Изложницы без бурта'!D512</f>
        <v>285</v>
      </c>
      <c r="AG512" s="56">
        <f>'[2]Изложницы без бурта'!E512</f>
        <v>320</v>
      </c>
      <c r="AH512" s="56" t="str">
        <f>'[2]Изложницы без бурта'!F512</f>
        <v>72.11870 - 23</v>
      </c>
      <c r="AI512" s="56">
        <f>'[2]Изложницы без бурта'!G512</f>
        <v>0</v>
      </c>
      <c r="AJ512" s="56">
        <f>'[2]Изложницы без бурта'!H512</f>
        <v>0</v>
      </c>
      <c r="AK512" s="56">
        <f>'[2]Изложницы без бурта'!I512</f>
        <v>0</v>
      </c>
      <c r="AL512" s="56" t="s">
        <v>615</v>
      </c>
      <c r="AM512" s="56">
        <f>'[2]Изложницы без бурта'!K512</f>
        <v>0</v>
      </c>
    </row>
    <row r="513" spans="28:39" x14ac:dyDescent="0.25">
      <c r="AB513" s="258" t="str">
        <f t="shared" si="18"/>
        <v/>
      </c>
      <c r="AC513" s="259" t="str">
        <f>IF(COUNTIF(AD$78:AD513,AD513)=1,MAX(AC$78:AC512)+1,"")</f>
        <v/>
      </c>
      <c r="AD513" s="220">
        <f>'[2]Изложницы без бурта'!B513</f>
        <v>195</v>
      </c>
      <c r="AE513" s="220">
        <f>'[2]Изложницы без бурта'!C513</f>
        <v>265</v>
      </c>
      <c r="AF513" s="56">
        <f>'[2]Изложницы без бурта'!D513</f>
        <v>285</v>
      </c>
      <c r="AG513" s="56">
        <f>'[2]Изложницы без бурта'!E513</f>
        <v>320</v>
      </c>
      <c r="AH513" s="56" t="str">
        <f>'[2]Изложницы без бурта'!F513</f>
        <v>72.11870 - 23</v>
      </c>
      <c r="AI513" s="56">
        <f>'[2]Изложницы без бурта'!G513</f>
        <v>0</v>
      </c>
      <c r="AJ513" s="56">
        <f>'[2]Изложницы без бурта'!H513</f>
        <v>0</v>
      </c>
      <c r="AK513" s="56">
        <f>'[2]Изложницы без бурта'!I513</f>
        <v>0</v>
      </c>
      <c r="AL513" s="56" t="s">
        <v>615</v>
      </c>
      <c r="AM513" s="56">
        <f>'[2]Изложницы без бурта'!K513</f>
        <v>0</v>
      </c>
    </row>
    <row r="514" spans="28:39" x14ac:dyDescent="0.25">
      <c r="AB514" s="258" t="str">
        <f t="shared" si="18"/>
        <v/>
      </c>
      <c r="AC514" s="259" t="str">
        <f>IF(COUNTIF(AD$78:AD514,AD514)=1,MAX(AC$78:AC513)+1,"")</f>
        <v/>
      </c>
      <c r="AD514" s="220">
        <f>'[2]Изложницы без бурта'!B514</f>
        <v>195</v>
      </c>
      <c r="AE514" s="220">
        <f>'[2]Изложницы без бурта'!C514</f>
        <v>265</v>
      </c>
      <c r="AF514" s="56">
        <f>'[2]Изложницы без бурта'!D514</f>
        <v>285</v>
      </c>
      <c r="AG514" s="56">
        <f>'[2]Изложницы без бурта'!E514</f>
        <v>320</v>
      </c>
      <c r="AH514" s="56" t="str">
        <f>'[2]Изложницы без бурта'!F514</f>
        <v>72.11870 - 23</v>
      </c>
      <c r="AI514" s="56">
        <f>'[2]Изложницы без бурта'!G514</f>
        <v>0</v>
      </c>
      <c r="AJ514" s="56">
        <f>'[2]Изложницы без бурта'!H514</f>
        <v>0</v>
      </c>
      <c r="AK514" s="56">
        <f>'[2]Изложницы без бурта'!I514</f>
        <v>0</v>
      </c>
      <c r="AL514" s="56" t="s">
        <v>615</v>
      </c>
      <c r="AM514" s="56">
        <f>'[2]Изложницы без бурта'!K514</f>
        <v>0</v>
      </c>
    </row>
    <row r="515" spans="28:39" x14ac:dyDescent="0.25">
      <c r="AB515" s="258" t="str">
        <f t="shared" si="18"/>
        <v/>
      </c>
      <c r="AC515" s="259">
        <f>IF(COUNTIF(AD$78:AD515,AD515)=1,MAX(AC$78:AC514)+1,"")</f>
        <v>44</v>
      </c>
      <c r="AD515" s="220">
        <f>'[2]Изложницы без бурта'!B515</f>
        <v>197.5</v>
      </c>
      <c r="AE515" s="220">
        <f>'[2]Изложницы без бурта'!C515</f>
        <v>265</v>
      </c>
      <c r="AF515" s="56">
        <f>'[2]Изложницы без бурта'!D515</f>
        <v>285</v>
      </c>
      <c r="AG515" s="56">
        <f>'[2]Изложницы без бурта'!E515</f>
        <v>320</v>
      </c>
      <c r="AH515" s="56" t="str">
        <f>'[2]Изложницы без бурта'!F515</f>
        <v>72.11870 - 24</v>
      </c>
      <c r="AI515" s="56">
        <f>'[2]Изложницы без бурта'!G515</f>
        <v>0</v>
      </c>
      <c r="AJ515" s="56">
        <f>'[2]Изложницы без бурта'!H515</f>
        <v>0</v>
      </c>
      <c r="AK515" s="56">
        <f>'[2]Изложницы без бурта'!I515</f>
        <v>0</v>
      </c>
      <c r="AL515" s="56" t="s">
        <v>616</v>
      </c>
      <c r="AM515" s="56">
        <f>'[2]Изложницы без бурта'!K515</f>
        <v>0</v>
      </c>
    </row>
    <row r="516" spans="28:39" x14ac:dyDescent="0.25">
      <c r="AB516" s="258" t="str">
        <f t="shared" si="18"/>
        <v/>
      </c>
      <c r="AC516" s="259" t="str">
        <f>IF(COUNTIF(AD$78:AD516,AD516)=1,MAX(AC$78:AC515)+1,"")</f>
        <v/>
      </c>
      <c r="AD516" s="220">
        <f>'[2]Изложницы без бурта'!B516</f>
        <v>197.5</v>
      </c>
      <c r="AE516" s="220">
        <f>'[2]Изложницы без бурта'!C516</f>
        <v>260</v>
      </c>
      <c r="AF516" s="56">
        <f>'[2]Изложницы без бурта'!D516</f>
        <v>285</v>
      </c>
      <c r="AG516" s="56">
        <f>'[2]Изложницы без бурта'!E516</f>
        <v>320</v>
      </c>
      <c r="AH516" s="56" t="str">
        <f>'[2]Изложницы без бурта'!F516</f>
        <v>72.11870 - 24</v>
      </c>
      <c r="AI516" s="56">
        <f>'[2]Изложницы без бурта'!G516</f>
        <v>0</v>
      </c>
      <c r="AJ516" s="56">
        <f>'[2]Изложницы без бурта'!H516</f>
        <v>0</v>
      </c>
      <c r="AK516" s="56">
        <f>'[2]Изложницы без бурта'!I516</f>
        <v>0</v>
      </c>
      <c r="AL516" s="56" t="s">
        <v>616</v>
      </c>
      <c r="AM516" s="56">
        <f>'[2]Изложницы без бурта'!K516</f>
        <v>0</v>
      </c>
    </row>
    <row r="517" spans="28:39" x14ac:dyDescent="0.25">
      <c r="AB517" s="258" t="str">
        <f t="shared" si="18"/>
        <v/>
      </c>
      <c r="AC517" s="259" t="str">
        <f>IF(COUNTIF(AD$78:AD517,AD517)=1,MAX(AC$78:AC516)+1,"")</f>
        <v/>
      </c>
      <c r="AD517" s="220">
        <f>'[2]Изложницы без бурта'!B517</f>
        <v>197.5</v>
      </c>
      <c r="AE517" s="220">
        <f>'[2]Изложницы без бурта'!C517</f>
        <v>260</v>
      </c>
      <c r="AF517" s="56">
        <f>'[2]Изложницы без бурта'!D517</f>
        <v>285</v>
      </c>
      <c r="AG517" s="56">
        <f>'[2]Изложницы без бурта'!E517</f>
        <v>320</v>
      </c>
      <c r="AH517" s="56" t="str">
        <f>'[2]Изложницы без бурта'!F517</f>
        <v>72.11870 - 24</v>
      </c>
      <c r="AI517" s="56">
        <f>'[2]Изложницы без бурта'!G517</f>
        <v>0</v>
      </c>
      <c r="AJ517" s="56">
        <f>'[2]Изложницы без бурта'!H517</f>
        <v>0</v>
      </c>
      <c r="AK517" s="56">
        <f>'[2]Изложницы без бурта'!I517</f>
        <v>0</v>
      </c>
      <c r="AL517" s="56" t="s">
        <v>616</v>
      </c>
      <c r="AM517" s="56">
        <f>'[2]Изложницы без бурта'!K517</f>
        <v>0</v>
      </c>
    </row>
    <row r="518" spans="28:39" x14ac:dyDescent="0.25">
      <c r="AB518" s="258" t="str">
        <f t="shared" si="18"/>
        <v/>
      </c>
      <c r="AC518" s="259" t="str">
        <f>IF(COUNTIF(AD$78:AD518,AD518)=1,MAX(AC$78:AC517)+1,"")</f>
        <v/>
      </c>
      <c r="AD518" s="220">
        <f>'[2]Изложницы без бурта'!B518</f>
        <v>197.5</v>
      </c>
      <c r="AE518" s="220">
        <f>'[2]Изложницы без бурта'!C518</f>
        <v>265</v>
      </c>
      <c r="AF518" s="56">
        <f>'[2]Изложницы без бурта'!D518</f>
        <v>285</v>
      </c>
      <c r="AG518" s="56">
        <f>'[2]Изложницы без бурта'!E518</f>
        <v>320</v>
      </c>
      <c r="AH518" s="56" t="str">
        <f>'[2]Изложницы без бурта'!F518</f>
        <v>72.11870 - 24</v>
      </c>
      <c r="AI518" s="56">
        <f>'[2]Изложницы без бурта'!G518</f>
        <v>0</v>
      </c>
      <c r="AJ518" s="56">
        <f>'[2]Изложницы без бурта'!H518</f>
        <v>0</v>
      </c>
      <c r="AK518" s="56">
        <f>'[2]Изложницы без бурта'!I518</f>
        <v>0</v>
      </c>
      <c r="AL518" s="56" t="s">
        <v>616</v>
      </c>
      <c r="AM518" s="56">
        <f>'[2]Изложницы без бурта'!K518</f>
        <v>0</v>
      </c>
    </row>
    <row r="519" spans="28:39" x14ac:dyDescent="0.25">
      <c r="AB519" s="258" t="str">
        <f t="shared" si="18"/>
        <v/>
      </c>
      <c r="AC519" s="259" t="str">
        <f>IF(COUNTIF(AD$78:AD519,AD519)=1,MAX(AC$78:AC518)+1,"")</f>
        <v/>
      </c>
      <c r="AD519" s="220">
        <f>'[2]Изложницы без бурта'!B519</f>
        <v>197.5</v>
      </c>
      <c r="AE519" s="220">
        <f>'[2]Изложницы без бурта'!C519</f>
        <v>265</v>
      </c>
      <c r="AF519" s="56">
        <f>'[2]Изложницы без бурта'!D519</f>
        <v>285</v>
      </c>
      <c r="AG519" s="56">
        <f>'[2]Изложницы без бурта'!E519</f>
        <v>320</v>
      </c>
      <c r="AH519" s="56" t="str">
        <f>'[2]Изложницы без бурта'!F519</f>
        <v>72.11870 - 24</v>
      </c>
      <c r="AI519" s="56">
        <f>'[2]Изложницы без бурта'!G519</f>
        <v>0</v>
      </c>
      <c r="AJ519" s="56">
        <f>'[2]Изложницы без бурта'!H519</f>
        <v>0</v>
      </c>
      <c r="AK519" s="56">
        <f>'[2]Изложницы без бурта'!I519</f>
        <v>0</v>
      </c>
      <c r="AL519" s="56" t="s">
        <v>616</v>
      </c>
      <c r="AM519" s="56">
        <f>'[2]Изложницы без бурта'!K519</f>
        <v>0</v>
      </c>
    </row>
    <row r="520" spans="28:39" x14ac:dyDescent="0.25">
      <c r="AB520" s="258" t="str">
        <f t="shared" si="18"/>
        <v/>
      </c>
      <c r="AC520" s="259" t="str">
        <f>IF(COUNTIF(AD$78:AD520,AD520)=1,MAX(AC$78:AC519)+1,"")</f>
        <v/>
      </c>
      <c r="AD520" s="220">
        <f>'[2]Изложницы без бурта'!B520</f>
        <v>197.5</v>
      </c>
      <c r="AE520" s="220">
        <f>'[2]Изложницы без бурта'!C520</f>
        <v>263</v>
      </c>
      <c r="AF520" s="56">
        <f>'[2]Изложницы без бурта'!D520</f>
        <v>285</v>
      </c>
      <c r="AG520" s="56">
        <f>'[2]Изложницы без бурта'!E520</f>
        <v>320</v>
      </c>
      <c r="AH520" s="56" t="str">
        <f>'[2]Изложницы без бурта'!F520</f>
        <v>72.11870 - 24</v>
      </c>
      <c r="AI520" s="56">
        <f>'[2]Изложницы без бурта'!G520</f>
        <v>0</v>
      </c>
      <c r="AJ520" s="56">
        <f>'[2]Изложницы без бурта'!H520</f>
        <v>0</v>
      </c>
      <c r="AK520" s="56">
        <f>'[2]Изложницы без бурта'!I520</f>
        <v>0</v>
      </c>
      <c r="AL520" s="56" t="s">
        <v>616</v>
      </c>
      <c r="AM520" s="56">
        <f>'[2]Изложницы без бурта'!K520</f>
        <v>0</v>
      </c>
    </row>
    <row r="521" spans="28:39" x14ac:dyDescent="0.25">
      <c r="AB521" s="258" t="str">
        <f t="shared" si="18"/>
        <v/>
      </c>
      <c r="AC521" s="259" t="str">
        <f>IF(COUNTIF(AD$78:AD521,AD521)=1,MAX(AC$78:AC520)+1,"")</f>
        <v/>
      </c>
      <c r="AD521" s="220">
        <f>'[2]Изложницы без бурта'!B521</f>
        <v>197.5</v>
      </c>
      <c r="AE521" s="220">
        <f>'[2]Изложницы без бурта'!C521</f>
        <v>318</v>
      </c>
      <c r="AF521" s="56">
        <f>'[2]Изложницы без бурта'!D521</f>
        <v>285</v>
      </c>
      <c r="AG521" s="56">
        <f>'[2]Изложницы без бурта'!E521</f>
        <v>320</v>
      </c>
      <c r="AH521" s="56" t="str">
        <f>'[2]Изложницы без бурта'!F521</f>
        <v>72.11871 - 24</v>
      </c>
      <c r="AI521" s="56">
        <f>'[2]Изложницы без бурта'!G521</f>
        <v>0</v>
      </c>
      <c r="AJ521" s="56">
        <f>'[2]Изложницы без бурта'!H521</f>
        <v>0</v>
      </c>
      <c r="AK521" s="56">
        <f>'[2]Изложницы без бурта'!I521</f>
        <v>0</v>
      </c>
      <c r="AL521" s="56" t="s">
        <v>616</v>
      </c>
      <c r="AM521" s="56">
        <f>'[2]Изложницы без бурта'!K521</f>
        <v>0</v>
      </c>
    </row>
    <row r="522" spans="28:39" x14ac:dyDescent="0.25">
      <c r="AB522" s="258" t="str">
        <f t="shared" si="18"/>
        <v/>
      </c>
      <c r="AC522" s="259" t="str">
        <f>IF(COUNTIF(AD$78:AD522,AD522)=1,MAX(AC$78:AC521)+1,"")</f>
        <v/>
      </c>
      <c r="AD522" s="220">
        <f>'[2]Изложницы без бурта'!B522</f>
        <v>197.5</v>
      </c>
      <c r="AE522" s="220">
        <f>'[2]Изложницы без бурта'!C522</f>
        <v>325</v>
      </c>
      <c r="AF522" s="56">
        <f>'[2]Изложницы без бурта'!D522</f>
        <v>285</v>
      </c>
      <c r="AG522" s="56">
        <f>'[2]Изложницы без бурта'!E522</f>
        <v>320</v>
      </c>
      <c r="AH522" s="56" t="str">
        <f>'[2]Изложницы без бурта'!F522</f>
        <v>72.11871 - 24</v>
      </c>
      <c r="AI522" s="56">
        <f>'[2]Изложницы без бурта'!G522</f>
        <v>0</v>
      </c>
      <c r="AJ522" s="56">
        <f>'[2]Изложницы без бурта'!H522</f>
        <v>0</v>
      </c>
      <c r="AK522" s="56">
        <f>'[2]Изложницы без бурта'!I522</f>
        <v>0</v>
      </c>
      <c r="AL522" s="56" t="s">
        <v>616</v>
      </c>
      <c r="AM522" s="56">
        <f>'[2]Изложницы без бурта'!K522</f>
        <v>0</v>
      </c>
    </row>
    <row r="523" spans="28:39" x14ac:dyDescent="0.25">
      <c r="AB523" s="258" t="str">
        <f t="shared" si="18"/>
        <v/>
      </c>
      <c r="AC523" s="259" t="str">
        <f>IF(COUNTIF(AD$78:AD523,AD523)=1,MAX(AC$78:AC522)+1,"")</f>
        <v/>
      </c>
      <c r="AD523" s="220">
        <f>'[2]Изложницы без бурта'!B523</f>
        <v>197.5</v>
      </c>
      <c r="AE523" s="220">
        <f>'[2]Изложницы без бурта'!C523</f>
        <v>265</v>
      </c>
      <c r="AF523" s="56">
        <f>'[2]Изложницы без бурта'!D523</f>
        <v>285</v>
      </c>
      <c r="AG523" s="56">
        <f>'[2]Изложницы без бурта'!E523</f>
        <v>320</v>
      </c>
      <c r="AH523" s="56" t="str">
        <f>'[2]Изложницы без бурта'!F523</f>
        <v>72.11870 - 24</v>
      </c>
      <c r="AI523" s="56">
        <f>'[2]Изложницы без бурта'!G523</f>
        <v>0</v>
      </c>
      <c r="AJ523" s="56">
        <f>'[2]Изложницы без бурта'!H523</f>
        <v>0</v>
      </c>
      <c r="AK523" s="56">
        <f>'[2]Изложницы без бурта'!I523</f>
        <v>0</v>
      </c>
      <c r="AL523" s="56" t="s">
        <v>616</v>
      </c>
      <c r="AM523" s="56">
        <f>'[2]Изложницы без бурта'!K523</f>
        <v>0</v>
      </c>
    </row>
    <row r="524" spans="28:39" x14ac:dyDescent="0.25">
      <c r="AB524" s="258" t="str">
        <f t="shared" si="18"/>
        <v/>
      </c>
      <c r="AC524" s="259" t="str">
        <f>IF(COUNTIF(AD$78:AD524,AD524)=1,MAX(AC$78:AC523)+1,"")</f>
        <v/>
      </c>
      <c r="AD524" s="220">
        <f>'[2]Изложницы без бурта'!B524</f>
        <v>197.5</v>
      </c>
      <c r="AE524" s="220">
        <f>'[2]Изложницы без бурта'!C524</f>
        <v>265</v>
      </c>
      <c r="AF524" s="56">
        <f>'[2]Изложницы без бурта'!D524</f>
        <v>285</v>
      </c>
      <c r="AG524" s="56">
        <f>'[2]Изложницы без бурта'!E524</f>
        <v>320</v>
      </c>
      <c r="AH524" s="56" t="str">
        <f>'[2]Изложницы без бурта'!F524</f>
        <v>72.11870 - 24</v>
      </c>
      <c r="AI524" s="56">
        <f>'[2]Изложницы без бурта'!G524</f>
        <v>0</v>
      </c>
      <c r="AJ524" s="56">
        <f>'[2]Изложницы без бурта'!H524</f>
        <v>0</v>
      </c>
      <c r="AK524" s="56">
        <f>'[2]Изложницы без бурта'!I524</f>
        <v>0</v>
      </c>
      <c r="AL524" s="56" t="s">
        <v>616</v>
      </c>
      <c r="AM524" s="56">
        <f>'[2]Изложницы без бурта'!K524</f>
        <v>0</v>
      </c>
    </row>
    <row r="525" spans="28:39" x14ac:dyDescent="0.25">
      <c r="AB525" s="258" t="str">
        <f t="shared" si="18"/>
        <v/>
      </c>
      <c r="AC525" s="259" t="str">
        <f>IF(COUNTIF(AD$78:AD525,AD525)=1,MAX(AC$78:AC524)+1,"")</f>
        <v/>
      </c>
      <c r="AD525" s="220">
        <f>'[2]Изложницы без бурта'!B525</f>
        <v>197.5</v>
      </c>
      <c r="AE525" s="220">
        <f>'[2]Изложницы без бурта'!C525</f>
        <v>260</v>
      </c>
      <c r="AF525" s="56">
        <f>'[2]Изложницы без бурта'!D525</f>
        <v>285</v>
      </c>
      <c r="AG525" s="56">
        <f>'[2]Изложницы без бурта'!E525</f>
        <v>320</v>
      </c>
      <c r="AH525" s="56" t="str">
        <f>'[2]Изложницы без бурта'!F525</f>
        <v>72.11870 - 24</v>
      </c>
      <c r="AI525" s="56">
        <f>'[2]Изложницы без бурта'!G525</f>
        <v>0</v>
      </c>
      <c r="AJ525" s="56">
        <f>'[2]Изложницы без бурта'!H525</f>
        <v>0</v>
      </c>
      <c r="AK525" s="56">
        <f>'[2]Изложницы без бурта'!I525</f>
        <v>0</v>
      </c>
      <c r="AL525" s="56" t="s">
        <v>616</v>
      </c>
      <c r="AM525" s="56">
        <f>'[2]Изложницы без бурта'!K525</f>
        <v>0</v>
      </c>
    </row>
    <row r="526" spans="28:39" x14ac:dyDescent="0.25">
      <c r="AB526" s="258" t="str">
        <f t="shared" si="18"/>
        <v/>
      </c>
      <c r="AC526" s="259" t="str">
        <f>IF(COUNTIF(AD$78:AD526,AD526)=1,MAX(AC$78:AC525)+1,"")</f>
        <v/>
      </c>
      <c r="AD526" s="220">
        <f>'[2]Изложницы без бурта'!B526</f>
        <v>197.5</v>
      </c>
      <c r="AE526" s="220">
        <f>'[2]Изложницы без бурта'!C526</f>
        <v>378</v>
      </c>
      <c r="AF526" s="56">
        <f>'[2]Изложницы без бурта'!D526</f>
        <v>285</v>
      </c>
      <c r="AG526" s="56">
        <f>'[2]Изложницы без бурта'!E526</f>
        <v>320</v>
      </c>
      <c r="AH526" s="56" t="str">
        <f>'[2]Изложницы без бурта'!F526</f>
        <v>72.42461 - 24</v>
      </c>
      <c r="AI526" s="56">
        <f>'[2]Изложницы без бурта'!G526</f>
        <v>0</v>
      </c>
      <c r="AJ526" s="56">
        <f>'[2]Изложницы без бурта'!H526</f>
        <v>0</v>
      </c>
      <c r="AK526" s="56">
        <f>'[2]Изложницы без бурта'!I526</f>
        <v>0</v>
      </c>
      <c r="AL526" s="56" t="s">
        <v>616</v>
      </c>
      <c r="AM526" s="56">
        <f>'[2]Изложницы без бурта'!K526</f>
        <v>0</v>
      </c>
    </row>
    <row r="527" spans="28:39" x14ac:dyDescent="0.25">
      <c r="AB527" s="258" t="str">
        <f t="shared" si="18"/>
        <v/>
      </c>
      <c r="AC527" s="259" t="str">
        <f>IF(COUNTIF(AD$78:AD527,AD527)=1,MAX(AC$78:AC526)+1,"")</f>
        <v/>
      </c>
      <c r="AD527" s="220">
        <f>'[2]Изложницы без бурта'!B527</f>
        <v>197.5</v>
      </c>
      <c r="AE527" s="220">
        <f>'[2]Изложницы без бурта'!C527</f>
        <v>318</v>
      </c>
      <c r="AF527" s="56">
        <f>'[2]Изложницы без бурта'!D527</f>
        <v>285</v>
      </c>
      <c r="AG527" s="56">
        <f>'[2]Изложницы без бурта'!E527</f>
        <v>320</v>
      </c>
      <c r="AH527" s="56" t="str">
        <f>'[2]Изложницы без бурта'!F527</f>
        <v>72.11871 - 24</v>
      </c>
      <c r="AI527" s="56">
        <f>'[2]Изложницы без бурта'!G527</f>
        <v>0</v>
      </c>
      <c r="AJ527" s="56">
        <f>'[2]Изложницы без бурта'!H527</f>
        <v>0</v>
      </c>
      <c r="AK527" s="56">
        <f>'[2]Изложницы без бурта'!I527</f>
        <v>0</v>
      </c>
      <c r="AL527" s="56" t="s">
        <v>616</v>
      </c>
      <c r="AM527" s="56">
        <f>'[2]Изложницы без бурта'!K527</f>
        <v>0</v>
      </c>
    </row>
    <row r="528" spans="28:39" x14ac:dyDescent="0.25">
      <c r="AB528" s="258" t="str">
        <f t="shared" si="18"/>
        <v/>
      </c>
      <c r="AC528" s="259" t="str">
        <f>IF(COUNTIF(AD$78:AD528,AD528)=1,MAX(AC$78:AC527)+1,"")</f>
        <v/>
      </c>
      <c r="AD528" s="220">
        <f>'[2]Изложницы без бурта'!B528</f>
        <v>197.5</v>
      </c>
      <c r="AE528" s="220">
        <f>'[2]Изложницы без бурта'!C528</f>
        <v>263</v>
      </c>
      <c r="AF528" s="56">
        <f>'[2]Изложницы без бурта'!D528</f>
        <v>285</v>
      </c>
      <c r="AG528" s="56">
        <f>'[2]Изложницы без бурта'!E528</f>
        <v>320</v>
      </c>
      <c r="AH528" s="56" t="str">
        <f>'[2]Изложницы без бурта'!F528</f>
        <v>72.11870 - 24</v>
      </c>
      <c r="AI528" s="56">
        <f>'[2]Изложницы без бурта'!G528</f>
        <v>0</v>
      </c>
      <c r="AJ528" s="56">
        <f>'[2]Изложницы без бурта'!H528</f>
        <v>0</v>
      </c>
      <c r="AK528" s="56">
        <f>'[2]Изложницы без бурта'!I528</f>
        <v>0</v>
      </c>
      <c r="AL528" s="56" t="s">
        <v>616</v>
      </c>
      <c r="AM528" s="56">
        <f>'[2]Изложницы без бурта'!K528</f>
        <v>0</v>
      </c>
    </row>
    <row r="529" spans="28:39" x14ac:dyDescent="0.25">
      <c r="AB529" s="258" t="str">
        <f t="shared" si="18"/>
        <v/>
      </c>
      <c r="AC529" s="259" t="str">
        <f>IF(COUNTIF(AD$78:AD529,AD529)=1,MAX(AC$78:AC528)+1,"")</f>
        <v/>
      </c>
      <c r="AD529" s="220">
        <f>'[2]Изложницы без бурта'!B529</f>
        <v>197.5</v>
      </c>
      <c r="AE529" s="220">
        <f>'[2]Изложницы без бурта'!C529</f>
        <v>265</v>
      </c>
      <c r="AF529" s="56">
        <f>'[2]Изложницы без бурта'!D529</f>
        <v>285</v>
      </c>
      <c r="AG529" s="56">
        <f>'[2]Изложницы без бурта'!E529</f>
        <v>320</v>
      </c>
      <c r="AH529" s="56" t="str">
        <f>'[2]Изложницы без бурта'!F529</f>
        <v>72.11870 - 24</v>
      </c>
      <c r="AI529" s="56">
        <f>'[2]Изложницы без бурта'!G529</f>
        <v>0</v>
      </c>
      <c r="AJ529" s="56">
        <f>'[2]Изложницы без бурта'!H529</f>
        <v>0</v>
      </c>
      <c r="AK529" s="56">
        <f>'[2]Изложницы без бурта'!I529</f>
        <v>0</v>
      </c>
      <c r="AL529" s="56" t="s">
        <v>616</v>
      </c>
      <c r="AM529" s="56">
        <f>'[2]Изложницы без бурта'!K529</f>
        <v>0</v>
      </c>
    </row>
    <row r="530" spans="28:39" x14ac:dyDescent="0.25">
      <c r="AB530" s="258" t="str">
        <f t="shared" si="18"/>
        <v/>
      </c>
      <c r="AC530" s="259" t="str">
        <f>IF(COUNTIF(AD$78:AD530,AD530)=1,MAX(AC$78:AC529)+1,"")</f>
        <v/>
      </c>
      <c r="AD530" s="220">
        <f>'[2]Изложницы без бурта'!B530</f>
        <v>197.5</v>
      </c>
      <c r="AE530" s="220">
        <f>'[2]Изложницы без бурта'!C530</f>
        <v>375</v>
      </c>
      <c r="AF530" s="56">
        <f>'[2]Изложницы без бурта'!D530</f>
        <v>285</v>
      </c>
      <c r="AG530" s="56">
        <f>'[2]Изложницы без бурта'!E530</f>
        <v>320</v>
      </c>
      <c r="AH530" s="56" t="str">
        <f>'[2]Изложницы без бурта'!F530</f>
        <v>72.42461 - 24</v>
      </c>
      <c r="AI530" s="56">
        <f>'[2]Изложницы без бурта'!G530</f>
        <v>0</v>
      </c>
      <c r="AJ530" s="56">
        <f>'[2]Изложницы без бурта'!H530</f>
        <v>0</v>
      </c>
      <c r="AK530" s="56">
        <f>'[2]Изложницы без бурта'!I530</f>
        <v>0</v>
      </c>
      <c r="AL530" s="56" t="s">
        <v>616</v>
      </c>
      <c r="AM530" s="56">
        <f>'[2]Изложницы без бурта'!K530</f>
        <v>0</v>
      </c>
    </row>
    <row r="531" spans="28:39" x14ac:dyDescent="0.25">
      <c r="AB531" s="258" t="str">
        <f t="shared" si="18"/>
        <v/>
      </c>
      <c r="AC531" s="259">
        <f>IF(COUNTIF(AD$78:AD531,AD531)=1,MAX(AC$78:AC530)+1,"")</f>
        <v>45</v>
      </c>
      <c r="AD531" s="220">
        <f>'[2]Изложницы без бурта'!B531</f>
        <v>200</v>
      </c>
      <c r="AE531" s="220">
        <f>'[2]Изложницы без бурта'!C531</f>
        <v>265</v>
      </c>
      <c r="AF531" s="56">
        <f>'[2]Изложницы без бурта'!D531</f>
        <v>285</v>
      </c>
      <c r="AG531" s="56">
        <f>'[2]Изложницы без бурта'!E531</f>
        <v>320</v>
      </c>
      <c r="AH531" s="56" t="str">
        <f>'[2]Изложницы без бурта'!F531</f>
        <v>72.11870 - 25</v>
      </c>
      <c r="AI531" s="56">
        <f>'[2]Изложницы без бурта'!G531</f>
        <v>0</v>
      </c>
      <c r="AJ531" s="56">
        <f>'[2]Изложницы без бурта'!H531</f>
        <v>0</v>
      </c>
      <c r="AK531" s="56">
        <f>'[2]Изложницы без бурта'!I531</f>
        <v>0</v>
      </c>
      <c r="AL531" s="56" t="s">
        <v>617</v>
      </c>
      <c r="AM531" s="56">
        <f>'[2]Изложницы без бурта'!K531</f>
        <v>0</v>
      </c>
    </row>
    <row r="532" spans="28:39" x14ac:dyDescent="0.25">
      <c r="AB532" s="258" t="str">
        <f t="shared" si="18"/>
        <v/>
      </c>
      <c r="AC532" s="259" t="str">
        <f>IF(COUNTIF(AD$78:AD532,AD532)=1,MAX(AC$78:AC531)+1,"")</f>
        <v/>
      </c>
      <c r="AD532" s="220">
        <f>'[2]Изложницы без бурта'!B532</f>
        <v>200</v>
      </c>
      <c r="AE532" s="220">
        <f>'[2]Изложницы без бурта'!C532</f>
        <v>265</v>
      </c>
      <c r="AF532" s="56">
        <f>'[2]Изложницы без бурта'!D532</f>
        <v>285</v>
      </c>
      <c r="AG532" s="56">
        <f>'[2]Изложницы без бурта'!E532</f>
        <v>320</v>
      </c>
      <c r="AH532" s="56" t="str">
        <f>'[2]Изложницы без бурта'!F532</f>
        <v>72.11870 - 25</v>
      </c>
      <c r="AI532" s="56">
        <f>'[2]Изложницы без бурта'!G532</f>
        <v>0</v>
      </c>
      <c r="AJ532" s="56">
        <f>'[2]Изложницы без бурта'!H532</f>
        <v>0</v>
      </c>
      <c r="AK532" s="56">
        <f>'[2]Изложницы без бурта'!I532</f>
        <v>0</v>
      </c>
      <c r="AL532" s="56" t="s">
        <v>617</v>
      </c>
      <c r="AM532" s="56">
        <f>'[2]Изложницы без бурта'!K532</f>
        <v>0</v>
      </c>
    </row>
    <row r="533" spans="28:39" x14ac:dyDescent="0.25">
      <c r="AB533" s="258" t="str">
        <f t="shared" si="18"/>
        <v/>
      </c>
      <c r="AC533" s="259" t="str">
        <f>IF(COUNTIF(AD$78:AD533,AD533)=1,MAX(AC$78:AC532)+1,"")</f>
        <v/>
      </c>
      <c r="AD533" s="220">
        <f>'[2]Изложницы без бурта'!B533</f>
        <v>200</v>
      </c>
      <c r="AE533" s="220">
        <f>'[2]Изложницы без бурта'!C533</f>
        <v>265</v>
      </c>
      <c r="AF533" s="56">
        <f>'[2]Изложницы без бурта'!D533</f>
        <v>285</v>
      </c>
      <c r="AG533" s="56">
        <f>'[2]Изложницы без бурта'!E533</f>
        <v>320</v>
      </c>
      <c r="AH533" s="56" t="str">
        <f>'[2]Изложницы без бурта'!F533</f>
        <v>72.11870 - 25</v>
      </c>
      <c r="AI533" s="56">
        <f>'[2]Изложницы без бурта'!G533</f>
        <v>0</v>
      </c>
      <c r="AJ533" s="56">
        <f>'[2]Изложницы без бурта'!H533</f>
        <v>0</v>
      </c>
      <c r="AK533" s="56">
        <f>'[2]Изложницы без бурта'!I533</f>
        <v>0</v>
      </c>
      <c r="AL533" s="56" t="s">
        <v>617</v>
      </c>
      <c r="AM533" s="56">
        <f>'[2]Изложницы без бурта'!K533</f>
        <v>0</v>
      </c>
    </row>
    <row r="534" spans="28:39" x14ac:dyDescent="0.25">
      <c r="AB534" s="258" t="str">
        <f t="shared" si="18"/>
        <v/>
      </c>
      <c r="AC534" s="259" t="str">
        <f>IF(COUNTIF(AD$78:AD534,AD534)=1,MAX(AC$78:AC533)+1,"")</f>
        <v/>
      </c>
      <c r="AD534" s="220">
        <f>'[2]Изложницы без бурта'!B534</f>
        <v>200</v>
      </c>
      <c r="AE534" s="220">
        <f>'[2]Изложницы без бурта'!C534</f>
        <v>410</v>
      </c>
      <c r="AF534" s="56">
        <f>'[2]Изложницы без бурта'!D534</f>
        <v>285</v>
      </c>
      <c r="AG534" s="56">
        <f>'[2]Изложницы без бурта'!E534</f>
        <v>320</v>
      </c>
      <c r="AH534" s="56" t="str">
        <f>'[2]Изложницы без бурта'!F534</f>
        <v>72.42346 - 01</v>
      </c>
      <c r="AI534" s="56">
        <f>'[2]Изложницы без бурта'!G534</f>
        <v>7260019</v>
      </c>
      <c r="AJ534" s="56">
        <f>'[2]Изложницы без бурта'!H534</f>
        <v>0</v>
      </c>
      <c r="AK534" s="56">
        <f>'[2]Изложницы без бурта'!I534</f>
        <v>0</v>
      </c>
      <c r="AL534" s="56" t="s">
        <v>617</v>
      </c>
      <c r="AM534" s="56">
        <f>'[2]Изложницы без бурта'!K534</f>
        <v>0</v>
      </c>
    </row>
    <row r="535" spans="28:39" x14ac:dyDescent="0.25">
      <c r="AB535" s="258" t="str">
        <f t="shared" si="18"/>
        <v/>
      </c>
      <c r="AC535" s="259" t="str">
        <f>IF(COUNTIF(AD$78:AD535,AD535)=1,MAX(AC$78:AC534)+1,"")</f>
        <v/>
      </c>
      <c r="AD535" s="220">
        <f>'[2]Изложницы без бурта'!B535</f>
        <v>200</v>
      </c>
      <c r="AE535" s="220">
        <f>'[2]Изложницы без бурта'!C535</f>
        <v>265</v>
      </c>
      <c r="AF535" s="56">
        <f>'[2]Изложницы без бурта'!D535</f>
        <v>285</v>
      </c>
      <c r="AG535" s="56">
        <f>'[2]Изложницы без бурта'!E535</f>
        <v>320</v>
      </c>
      <c r="AH535" s="56" t="str">
        <f>'[2]Изложницы без бурта'!F535</f>
        <v>72.11870 - 25</v>
      </c>
      <c r="AI535" s="56">
        <f>'[2]Изложницы без бурта'!G535</f>
        <v>0</v>
      </c>
      <c r="AJ535" s="56">
        <f>'[2]Изложницы без бурта'!H535</f>
        <v>0</v>
      </c>
      <c r="AK535" s="56">
        <f>'[2]Изложницы без бурта'!I535</f>
        <v>0</v>
      </c>
      <c r="AL535" s="56" t="s">
        <v>617</v>
      </c>
      <c r="AM535" s="56">
        <f>'[2]Изложницы без бурта'!K535</f>
        <v>0</v>
      </c>
    </row>
    <row r="536" spans="28:39" x14ac:dyDescent="0.25">
      <c r="AB536" s="258" t="str">
        <f t="shared" si="18"/>
        <v/>
      </c>
      <c r="AC536" s="259" t="str">
        <f>IF(COUNTIF(AD$78:AD536,AD536)=1,MAX(AC$78:AC535)+1,"")</f>
        <v/>
      </c>
      <c r="AD536" s="220">
        <f>'[2]Изложницы без бурта'!B536</f>
        <v>200</v>
      </c>
      <c r="AE536" s="220">
        <f>'[2]Изложницы без бурта'!C536</f>
        <v>265</v>
      </c>
      <c r="AF536" s="56">
        <f>'[2]Изложницы без бурта'!D536</f>
        <v>285</v>
      </c>
      <c r="AG536" s="56">
        <f>'[2]Изложницы без бурта'!E536</f>
        <v>320</v>
      </c>
      <c r="AH536" s="56" t="str">
        <f>'[2]Изложницы без бурта'!F536</f>
        <v>72.11870 - 25</v>
      </c>
      <c r="AI536" s="56">
        <f>'[2]Изложницы без бурта'!G536</f>
        <v>0</v>
      </c>
      <c r="AJ536" s="56">
        <f>'[2]Изложницы без бурта'!H536</f>
        <v>0</v>
      </c>
      <c r="AK536" s="56">
        <f>'[2]Изложницы без бурта'!I536</f>
        <v>0</v>
      </c>
      <c r="AL536" s="56" t="s">
        <v>617</v>
      </c>
      <c r="AM536" s="56">
        <f>'[2]Изложницы без бурта'!K536</f>
        <v>0</v>
      </c>
    </row>
    <row r="537" spans="28:39" x14ac:dyDescent="0.25">
      <c r="AB537" s="258" t="str">
        <f t="shared" si="18"/>
        <v/>
      </c>
      <c r="AC537" s="259" t="str">
        <f>IF(COUNTIF(AD$78:AD537,AD537)=1,MAX(AC$78:AC536)+1,"")</f>
        <v/>
      </c>
      <c r="AD537" s="220">
        <f>'[2]Изложницы без бурта'!B537</f>
        <v>200</v>
      </c>
      <c r="AE537" s="220">
        <f>'[2]Изложницы без бурта'!C537</f>
        <v>260</v>
      </c>
      <c r="AF537" s="56">
        <f>'[2]Изложницы без бурта'!D537</f>
        <v>285</v>
      </c>
      <c r="AG537" s="56">
        <f>'[2]Изложницы без бурта'!E537</f>
        <v>320</v>
      </c>
      <c r="AH537" s="56" t="str">
        <f>'[2]Изложницы без бурта'!F537</f>
        <v>72.11870 - 25</v>
      </c>
      <c r="AI537" s="56">
        <f>'[2]Изложницы без бурта'!G537</f>
        <v>0</v>
      </c>
      <c r="AJ537" s="56">
        <f>'[2]Изложницы без бурта'!H537</f>
        <v>0</v>
      </c>
      <c r="AK537" s="56">
        <f>'[2]Изложницы без бурта'!I537</f>
        <v>0</v>
      </c>
      <c r="AL537" s="56" t="s">
        <v>617</v>
      </c>
      <c r="AM537" s="56">
        <f>'[2]Изложницы без бурта'!K537</f>
        <v>0</v>
      </c>
    </row>
    <row r="538" spans="28:39" x14ac:dyDescent="0.25">
      <c r="AB538" s="258" t="str">
        <f t="shared" si="18"/>
        <v/>
      </c>
      <c r="AC538" s="259" t="str">
        <f>IF(COUNTIF(AD$78:AD538,AD538)=1,MAX(AC$78:AC537)+1,"")</f>
        <v/>
      </c>
      <c r="AD538" s="220">
        <f>'[2]Изложницы без бурта'!B538</f>
        <v>200</v>
      </c>
      <c r="AE538" s="220">
        <f>'[2]Изложницы без бурта'!C538</f>
        <v>265</v>
      </c>
      <c r="AF538" s="56">
        <f>'[2]Изложницы без бурта'!D538</f>
        <v>285</v>
      </c>
      <c r="AG538" s="56">
        <f>'[2]Изложницы без бурта'!E538</f>
        <v>320</v>
      </c>
      <c r="AH538" s="56" t="str">
        <f>'[2]Изложницы без бурта'!F538</f>
        <v>72.11870 - 25</v>
      </c>
      <c r="AI538" s="56">
        <f>'[2]Изложницы без бурта'!G538</f>
        <v>0</v>
      </c>
      <c r="AJ538" s="56">
        <f>'[2]Изложницы без бурта'!H538</f>
        <v>0</v>
      </c>
      <c r="AK538" s="56">
        <f>'[2]Изложницы без бурта'!I538</f>
        <v>0</v>
      </c>
      <c r="AL538" s="56" t="s">
        <v>617</v>
      </c>
      <c r="AM538" s="56">
        <f>'[2]Изложницы без бурта'!K538</f>
        <v>0</v>
      </c>
    </row>
    <row r="539" spans="28:39" x14ac:dyDescent="0.25">
      <c r="AB539" s="258" t="str">
        <f t="shared" si="18"/>
        <v/>
      </c>
      <c r="AC539" s="259" t="str">
        <f>IF(COUNTIF(AD$78:AD539,AD539)=1,MAX(AC$78:AC538)+1,"")</f>
        <v/>
      </c>
      <c r="AD539" s="220">
        <f>'[2]Изложницы без бурта'!B539</f>
        <v>200</v>
      </c>
      <c r="AE539" s="220">
        <f>'[2]Изложницы без бурта'!C539</f>
        <v>260</v>
      </c>
      <c r="AF539" s="56">
        <f>'[2]Изложницы без бурта'!D539</f>
        <v>285</v>
      </c>
      <c r="AG539" s="56">
        <f>'[2]Изложницы без бурта'!E539</f>
        <v>320</v>
      </c>
      <c r="AH539" s="56" t="str">
        <f>'[2]Изложницы без бурта'!F539</f>
        <v>72.11870 - 25</v>
      </c>
      <c r="AI539" s="56">
        <f>'[2]Изложницы без бурта'!G539</f>
        <v>0</v>
      </c>
      <c r="AJ539" s="56">
        <f>'[2]Изложницы без бурта'!H539</f>
        <v>0</v>
      </c>
      <c r="AK539" s="56">
        <f>'[2]Изложницы без бурта'!I539</f>
        <v>0</v>
      </c>
      <c r="AL539" s="56" t="s">
        <v>617</v>
      </c>
      <c r="AM539" s="56">
        <f>'[2]Изложницы без бурта'!K539</f>
        <v>0</v>
      </c>
    </row>
    <row r="540" spans="28:39" x14ac:dyDescent="0.25">
      <c r="AB540" s="258" t="str">
        <f t="shared" si="18"/>
        <v/>
      </c>
      <c r="AC540" s="259" t="str">
        <f>IF(COUNTIF(AD$78:AD540,AD540)=1,MAX(AC$78:AC539)+1,"")</f>
        <v/>
      </c>
      <c r="AD540" s="220">
        <f>'[2]Изложницы без бурта'!B540</f>
        <v>200</v>
      </c>
      <c r="AE540" s="220">
        <f>'[2]Изложницы без бурта'!C540</f>
        <v>265</v>
      </c>
      <c r="AF540" s="56">
        <f>'[2]Изложницы без бурта'!D540</f>
        <v>285</v>
      </c>
      <c r="AG540" s="56">
        <f>'[2]Изложницы без бурта'!E540</f>
        <v>320</v>
      </c>
      <c r="AH540" s="56" t="str">
        <f>'[2]Изложницы без бурта'!F540</f>
        <v>72.11870 - 25</v>
      </c>
      <c r="AI540" s="56">
        <f>'[2]Изложницы без бурта'!G540</f>
        <v>0</v>
      </c>
      <c r="AJ540" s="56">
        <f>'[2]Изложницы без бурта'!H540</f>
        <v>0</v>
      </c>
      <c r="AK540" s="56">
        <f>'[2]Изложницы без бурта'!I540</f>
        <v>0</v>
      </c>
      <c r="AL540" s="56" t="s">
        <v>617</v>
      </c>
      <c r="AM540" s="56">
        <f>'[2]Изложницы без бурта'!K540</f>
        <v>0</v>
      </c>
    </row>
    <row r="541" spans="28:39" x14ac:dyDescent="0.25">
      <c r="AB541" s="258" t="str">
        <f t="shared" si="18"/>
        <v/>
      </c>
      <c r="AC541" s="259" t="str">
        <f>IF(COUNTIF(AD$78:AD541,AD541)=1,MAX(AC$78:AC540)+1,"")</f>
        <v/>
      </c>
      <c r="AD541" s="220">
        <f>'[2]Изложницы без бурта'!B541</f>
        <v>200</v>
      </c>
      <c r="AE541" s="220">
        <f>'[2]Изложницы без бурта'!C541</f>
        <v>265</v>
      </c>
      <c r="AF541" s="56">
        <f>'[2]Изложницы без бурта'!D541</f>
        <v>285</v>
      </c>
      <c r="AG541" s="56">
        <f>'[2]Изложницы без бурта'!E541</f>
        <v>320</v>
      </c>
      <c r="AH541" s="56" t="str">
        <f>'[2]Изложницы без бурта'!F541</f>
        <v>72.11870 - 25</v>
      </c>
      <c r="AI541" s="56">
        <f>'[2]Изложницы без бурта'!G541</f>
        <v>0</v>
      </c>
      <c r="AJ541" s="56">
        <f>'[2]Изложницы без бурта'!H541</f>
        <v>0</v>
      </c>
      <c r="AK541" s="56">
        <f>'[2]Изложницы без бурта'!I541</f>
        <v>0</v>
      </c>
      <c r="AL541" s="56" t="s">
        <v>617</v>
      </c>
      <c r="AM541" s="56">
        <f>'[2]Изложницы без бурта'!K541</f>
        <v>0</v>
      </c>
    </row>
    <row r="542" spans="28:39" x14ac:dyDescent="0.25">
      <c r="AB542" s="258" t="str">
        <f t="shared" si="18"/>
        <v/>
      </c>
      <c r="AC542" s="259" t="str">
        <f>IF(COUNTIF(AD$78:AD542,AD542)=1,MAX(AC$78:AC541)+1,"")</f>
        <v/>
      </c>
      <c r="AD542" s="220">
        <f>'[2]Изложницы без бурта'!B542</f>
        <v>200</v>
      </c>
      <c r="AE542" s="220">
        <f>'[2]Изложницы без бурта'!C542</f>
        <v>265</v>
      </c>
      <c r="AF542" s="56">
        <f>'[2]Изложницы без бурта'!D542</f>
        <v>285</v>
      </c>
      <c r="AG542" s="56">
        <f>'[2]Изложницы без бурта'!E542</f>
        <v>320</v>
      </c>
      <c r="AH542" s="56" t="str">
        <f>'[2]Изложницы без бурта'!F542</f>
        <v>72.11870 - 25</v>
      </c>
      <c r="AI542" s="56">
        <f>'[2]Изложницы без бурта'!G542</f>
        <v>0</v>
      </c>
      <c r="AJ542" s="56">
        <f>'[2]Изложницы без бурта'!H542</f>
        <v>0</v>
      </c>
      <c r="AK542" s="56">
        <f>'[2]Изложницы без бурта'!I542</f>
        <v>0</v>
      </c>
      <c r="AL542" s="56" t="s">
        <v>617</v>
      </c>
      <c r="AM542" s="56">
        <f>'[2]Изложницы без бурта'!K542</f>
        <v>0</v>
      </c>
    </row>
    <row r="543" spans="28:39" x14ac:dyDescent="0.25">
      <c r="AB543" s="258" t="str">
        <f t="shared" si="18"/>
        <v/>
      </c>
      <c r="AC543" s="259" t="str">
        <f>IF(COUNTIF(AD$78:AD543,AD543)=1,MAX(AC$78:AC542)+1,"")</f>
        <v/>
      </c>
      <c r="AD543" s="220">
        <f>'[2]Изложницы без бурта'!B543</f>
        <v>200</v>
      </c>
      <c r="AE543" s="220">
        <f>'[2]Изложницы без бурта'!C543</f>
        <v>262</v>
      </c>
      <c r="AF543" s="56">
        <f>'[2]Изложницы без бурта'!D543</f>
        <v>285</v>
      </c>
      <c r="AG543" s="56">
        <f>'[2]Изложницы без бурта'!E543</f>
        <v>320</v>
      </c>
      <c r="AH543" s="56" t="str">
        <f>'[2]Изложницы без бурта'!F543</f>
        <v>72.11870 - 25</v>
      </c>
      <c r="AI543" s="56">
        <f>'[2]Изложницы без бурта'!G543</f>
        <v>0</v>
      </c>
      <c r="AJ543" s="56">
        <f>'[2]Изложницы без бурта'!H543</f>
        <v>0</v>
      </c>
      <c r="AK543" s="56">
        <f>'[2]Изложницы без бурта'!I543</f>
        <v>0</v>
      </c>
      <c r="AL543" s="56" t="s">
        <v>617</v>
      </c>
      <c r="AM543" s="56">
        <f>'[2]Изложницы без бурта'!K543</f>
        <v>0</v>
      </c>
    </row>
    <row r="544" spans="28:39" x14ac:dyDescent="0.25">
      <c r="AB544" s="258" t="str">
        <f t="shared" si="18"/>
        <v/>
      </c>
      <c r="AC544" s="259" t="str">
        <f>IF(COUNTIF(AD$78:AD544,AD544)=1,MAX(AC$78:AC543)+1,"")</f>
        <v/>
      </c>
      <c r="AD544" s="220">
        <f>'[2]Изложницы без бурта'!B544</f>
        <v>200</v>
      </c>
      <c r="AE544" s="220">
        <f>'[2]Изложницы без бурта'!C544</f>
        <v>265</v>
      </c>
      <c r="AF544" s="56">
        <f>'[2]Изложницы без бурта'!D544</f>
        <v>285</v>
      </c>
      <c r="AG544" s="56">
        <f>'[2]Изложницы без бурта'!E544</f>
        <v>320</v>
      </c>
      <c r="AH544" s="56" t="str">
        <f>'[2]Изложницы без бурта'!F544</f>
        <v>72.11870 - 25</v>
      </c>
      <c r="AI544" s="56">
        <f>'[2]Изложницы без бурта'!G544</f>
        <v>0</v>
      </c>
      <c r="AJ544" s="56">
        <f>'[2]Изложницы без бурта'!H544</f>
        <v>0</v>
      </c>
      <c r="AK544" s="56">
        <f>'[2]Изложницы без бурта'!I544</f>
        <v>0</v>
      </c>
      <c r="AL544" s="56" t="s">
        <v>617</v>
      </c>
      <c r="AM544" s="56">
        <f>'[2]Изложницы без бурта'!K544</f>
        <v>0</v>
      </c>
    </row>
    <row r="545" spans="28:39" x14ac:dyDescent="0.25">
      <c r="AB545" s="258" t="str">
        <f t="shared" si="18"/>
        <v/>
      </c>
      <c r="AC545" s="259" t="str">
        <f>IF(COUNTIF(AD$78:AD545,AD545)=1,MAX(AC$78:AC544)+1,"")</f>
        <v/>
      </c>
      <c r="AD545" s="220">
        <f>'[2]Изложницы без бурта'!B545</f>
        <v>200</v>
      </c>
      <c r="AE545" s="220">
        <f>'[2]Изложницы без бурта'!C545</f>
        <v>315</v>
      </c>
      <c r="AF545" s="56">
        <f>'[2]Изложницы без бурта'!D545</f>
        <v>285</v>
      </c>
      <c r="AG545" s="56">
        <f>'[2]Изложницы без бурта'!E545</f>
        <v>320</v>
      </c>
      <c r="AH545" s="56" t="str">
        <f>'[2]Изложницы без бурта'!F545</f>
        <v>72.11871 - 25</v>
      </c>
      <c r="AI545" s="56">
        <f>'[2]Изложницы без бурта'!G545</f>
        <v>0</v>
      </c>
      <c r="AJ545" s="56">
        <f>'[2]Изложницы без бурта'!H545</f>
        <v>0</v>
      </c>
      <c r="AK545" s="56">
        <f>'[2]Изложницы без бурта'!I545</f>
        <v>0</v>
      </c>
      <c r="AL545" s="56" t="s">
        <v>617</v>
      </c>
      <c r="AM545" s="56">
        <f>'[2]Изложницы без бурта'!K545</f>
        <v>0</v>
      </c>
    </row>
    <row r="546" spans="28:39" x14ac:dyDescent="0.25">
      <c r="AB546" s="258" t="str">
        <f t="shared" si="18"/>
        <v/>
      </c>
      <c r="AC546" s="259" t="str">
        <f>IF(COUNTIF(AD$78:AD546,AD546)=1,MAX(AC$78:AC545)+1,"")</f>
        <v/>
      </c>
      <c r="AD546" s="220">
        <f>'[2]Изложницы без бурта'!B546</f>
        <v>200</v>
      </c>
      <c r="AE546" s="220">
        <f>'[2]Изложницы без бурта'!C546</f>
        <v>265</v>
      </c>
      <c r="AF546" s="56">
        <f>'[2]Изложницы без бурта'!D546</f>
        <v>285</v>
      </c>
      <c r="AG546" s="56">
        <f>'[2]Изложницы без бурта'!E546</f>
        <v>320</v>
      </c>
      <c r="AH546" s="56" t="str">
        <f>'[2]Изложницы без бурта'!F546</f>
        <v>72.11870 - 25</v>
      </c>
      <c r="AI546" s="56">
        <f>'[2]Изложницы без бурта'!G546</f>
        <v>0</v>
      </c>
      <c r="AJ546" s="56">
        <f>'[2]Изложницы без бурта'!H546</f>
        <v>0</v>
      </c>
      <c r="AK546" s="56">
        <f>'[2]Изложницы без бурта'!I546</f>
        <v>0</v>
      </c>
      <c r="AL546" s="56" t="s">
        <v>617</v>
      </c>
      <c r="AM546" s="56">
        <f>'[2]Изложницы без бурта'!K546</f>
        <v>0</v>
      </c>
    </row>
    <row r="547" spans="28:39" x14ac:dyDescent="0.25">
      <c r="AB547" s="258" t="str">
        <f t="shared" si="18"/>
        <v/>
      </c>
      <c r="AC547" s="259">
        <f>IF(COUNTIF(AD$78:AD547,AD547)=1,MAX(AC$78:AC546)+1,"")</f>
        <v>46</v>
      </c>
      <c r="AD547" s="220">
        <f>'[2]Изложницы без бурта'!B547</f>
        <v>202.5</v>
      </c>
      <c r="AE547" s="220">
        <f>'[2]Изложницы без бурта'!C547</f>
        <v>410</v>
      </c>
      <c r="AF547" s="56">
        <f>'[2]Изложницы без бурта'!D547</f>
        <v>285</v>
      </c>
      <c r="AG547" s="56">
        <f>'[2]Изложницы без бурта'!E547</f>
        <v>320</v>
      </c>
      <c r="AH547" s="56" t="str">
        <f>'[2]Изложницы без бурта'!F547</f>
        <v>72.42346 - 02</v>
      </c>
      <c r="AI547" s="56">
        <f>'[2]Изложницы без бурта'!G547</f>
        <v>7260019</v>
      </c>
      <c r="AJ547" s="56">
        <f>'[2]Изложницы без бурта'!H547</f>
        <v>0</v>
      </c>
      <c r="AK547" s="56">
        <f>'[2]Изложницы без бурта'!I547</f>
        <v>0</v>
      </c>
      <c r="AL547" s="56" t="s">
        <v>618</v>
      </c>
      <c r="AM547" s="56">
        <f>'[2]Изложницы без бурта'!K547</f>
        <v>0</v>
      </c>
    </row>
    <row r="548" spans="28:39" x14ac:dyDescent="0.25">
      <c r="AB548" s="258" t="str">
        <f t="shared" si="18"/>
        <v/>
      </c>
      <c r="AC548" s="259">
        <f>IF(COUNTIF(AD$78:AD548,AD548)=1,MAX(AC$78:AC547)+1,"")</f>
        <v>47</v>
      </c>
      <c r="AD548" s="220">
        <f>'[2]Изложницы без бурта'!B548</f>
        <v>205</v>
      </c>
      <c r="AE548" s="220">
        <f>'[2]Изложницы без бурта'!C548</f>
        <v>260</v>
      </c>
      <c r="AF548" s="56">
        <f>'[2]Изложницы без бурта'!D548</f>
        <v>285</v>
      </c>
      <c r="AG548" s="56">
        <f>'[2]Изложницы без бурта'!E548</f>
        <v>320</v>
      </c>
      <c r="AH548" s="56" t="str">
        <f>'[2]Изложницы без бурта'!F548</f>
        <v>72.11870 - 27</v>
      </c>
      <c r="AI548" s="56">
        <f>'[2]Изложницы без бурта'!G548</f>
        <v>0</v>
      </c>
      <c r="AJ548" s="56">
        <f>'[2]Изложницы без бурта'!H548</f>
        <v>0</v>
      </c>
      <c r="AK548" s="56">
        <f>'[2]Изложницы без бурта'!I548</f>
        <v>0</v>
      </c>
      <c r="AL548" s="56" t="s">
        <v>619</v>
      </c>
      <c r="AM548" s="56">
        <f>'[2]Изложницы без бурта'!K548</f>
        <v>0</v>
      </c>
    </row>
    <row r="549" spans="28:39" x14ac:dyDescent="0.25">
      <c r="AB549" s="258" t="str">
        <f t="shared" si="18"/>
        <v/>
      </c>
      <c r="AC549" s="259" t="str">
        <f>IF(COUNTIF(AD$78:AD549,AD549)=1,MAX(AC$78:AC548)+1,"")</f>
        <v/>
      </c>
      <c r="AD549" s="220">
        <f>'[2]Изложницы без бурта'!B549</f>
        <v>205</v>
      </c>
      <c r="AE549" s="220">
        <f>'[2]Изложницы без бурта'!C549</f>
        <v>265</v>
      </c>
      <c r="AF549" s="56">
        <f>'[2]Изложницы без бурта'!D549</f>
        <v>285</v>
      </c>
      <c r="AG549" s="56">
        <f>'[2]Изложницы без бурта'!E549</f>
        <v>320</v>
      </c>
      <c r="AH549" s="56" t="str">
        <f>'[2]Изложницы без бурта'!F549</f>
        <v>72.11870 - 27</v>
      </c>
      <c r="AI549" s="56">
        <f>'[2]Изложницы без бурта'!G549</f>
        <v>0</v>
      </c>
      <c r="AJ549" s="56">
        <f>'[2]Изложницы без бурта'!H549</f>
        <v>0</v>
      </c>
      <c r="AK549" s="56">
        <f>'[2]Изложницы без бурта'!I549</f>
        <v>0</v>
      </c>
      <c r="AL549" s="56" t="s">
        <v>619</v>
      </c>
      <c r="AM549" s="56">
        <f>'[2]Изложницы без бурта'!K549</f>
        <v>0</v>
      </c>
    </row>
    <row r="550" spans="28:39" x14ac:dyDescent="0.25">
      <c r="AB550" s="258" t="str">
        <f t="shared" si="18"/>
        <v/>
      </c>
      <c r="AC550" s="259" t="str">
        <f>IF(COUNTIF(AD$78:AD550,AD550)=1,MAX(AC$78:AC549)+1,"")</f>
        <v/>
      </c>
      <c r="AD550" s="220">
        <f>'[2]Изложницы без бурта'!B550</f>
        <v>205</v>
      </c>
      <c r="AE550" s="220">
        <f>'[2]Изложницы без бурта'!C550</f>
        <v>265</v>
      </c>
      <c r="AF550" s="56">
        <f>'[2]Изложницы без бурта'!D550</f>
        <v>285</v>
      </c>
      <c r="AG550" s="56">
        <f>'[2]Изложницы без бурта'!E550</f>
        <v>320</v>
      </c>
      <c r="AH550" s="56" t="str">
        <f>'[2]Изложницы без бурта'!F550</f>
        <v>72.11870 - 27</v>
      </c>
      <c r="AI550" s="56">
        <f>'[2]Изложницы без бурта'!G550</f>
        <v>0</v>
      </c>
      <c r="AJ550" s="56">
        <f>'[2]Изложницы без бурта'!H550</f>
        <v>0</v>
      </c>
      <c r="AK550" s="56">
        <f>'[2]Изложницы без бурта'!I550</f>
        <v>0</v>
      </c>
      <c r="AL550" s="56" t="s">
        <v>619</v>
      </c>
      <c r="AM550" s="56">
        <f>'[2]Изложницы без бурта'!K550</f>
        <v>0</v>
      </c>
    </row>
    <row r="551" spans="28:39" x14ac:dyDescent="0.25">
      <c r="AB551" s="258" t="str">
        <f t="shared" si="18"/>
        <v/>
      </c>
      <c r="AC551" s="259" t="str">
        <f>IF(COUNTIF(AD$78:AD551,AD551)=1,MAX(AC$78:AC550)+1,"")</f>
        <v/>
      </c>
      <c r="AD551" s="220">
        <f>'[2]Изложницы без бурта'!B551</f>
        <v>205</v>
      </c>
      <c r="AE551" s="220">
        <f>'[2]Изложницы без бурта'!C551</f>
        <v>265</v>
      </c>
      <c r="AF551" s="56">
        <f>'[2]Изложницы без бурта'!D551</f>
        <v>285</v>
      </c>
      <c r="AG551" s="56">
        <f>'[2]Изложницы без бурта'!E551</f>
        <v>320</v>
      </c>
      <c r="AH551" s="56" t="str">
        <f>'[2]Изложницы без бурта'!F551</f>
        <v>72.11870 - 27</v>
      </c>
      <c r="AI551" s="56">
        <f>'[2]Изложницы без бурта'!G551</f>
        <v>0</v>
      </c>
      <c r="AJ551" s="56">
        <f>'[2]Изложницы без бурта'!H551</f>
        <v>0</v>
      </c>
      <c r="AK551" s="56">
        <f>'[2]Изложницы без бурта'!I551</f>
        <v>0</v>
      </c>
      <c r="AL551" s="56" t="s">
        <v>619</v>
      </c>
      <c r="AM551" s="56">
        <f>'[2]Изложницы без бурта'!K551</f>
        <v>0</v>
      </c>
    </row>
    <row r="552" spans="28:39" x14ac:dyDescent="0.25">
      <c r="AB552" s="258" t="str">
        <f t="shared" si="18"/>
        <v/>
      </c>
      <c r="AC552" s="259" t="str">
        <f>IF(COUNTIF(AD$78:AD552,AD552)=1,MAX(AC$78:AC551)+1,"")</f>
        <v/>
      </c>
      <c r="AD552" s="220">
        <f>'[2]Изложницы без бурта'!B552</f>
        <v>205</v>
      </c>
      <c r="AE552" s="220">
        <f>'[2]Изложницы без бурта'!C552</f>
        <v>265</v>
      </c>
      <c r="AF552" s="56">
        <f>'[2]Изложницы без бурта'!D552</f>
        <v>285</v>
      </c>
      <c r="AG552" s="56">
        <f>'[2]Изложницы без бурта'!E552</f>
        <v>320</v>
      </c>
      <c r="AH552" s="56" t="str">
        <f>'[2]Изложницы без бурта'!F552</f>
        <v>72.11870 - 27</v>
      </c>
      <c r="AI552" s="56">
        <f>'[2]Изложницы без бурта'!G552</f>
        <v>0</v>
      </c>
      <c r="AJ552" s="56">
        <f>'[2]Изложницы без бурта'!H552</f>
        <v>0</v>
      </c>
      <c r="AK552" s="56">
        <f>'[2]Изложницы без бурта'!I552</f>
        <v>0</v>
      </c>
      <c r="AL552" s="56" t="s">
        <v>619</v>
      </c>
      <c r="AM552" s="56">
        <f>'[2]Изложницы без бурта'!K552</f>
        <v>0</v>
      </c>
    </row>
    <row r="553" spans="28:39" x14ac:dyDescent="0.25">
      <c r="AB553" s="258" t="str">
        <f t="shared" si="18"/>
        <v/>
      </c>
      <c r="AC553" s="259" t="str">
        <f>IF(COUNTIF(AD$78:AD553,AD553)=1,MAX(AC$78:AC552)+1,"")</f>
        <v/>
      </c>
      <c r="AD553" s="220">
        <f>'[2]Изложницы без бурта'!B553</f>
        <v>205</v>
      </c>
      <c r="AE553" s="220">
        <f>'[2]Изложницы без бурта'!C553</f>
        <v>265</v>
      </c>
      <c r="AF553" s="56">
        <f>'[2]Изложницы без бурта'!D553</f>
        <v>285</v>
      </c>
      <c r="AG553" s="56">
        <f>'[2]Изложницы без бурта'!E553</f>
        <v>320</v>
      </c>
      <c r="AH553" s="56" t="str">
        <f>'[2]Изложницы без бурта'!F553</f>
        <v>72.11870 - 27</v>
      </c>
      <c r="AI553" s="56">
        <f>'[2]Изложницы без бурта'!G553</f>
        <v>0</v>
      </c>
      <c r="AJ553" s="56">
        <f>'[2]Изложницы без бурта'!H553</f>
        <v>0</v>
      </c>
      <c r="AK553" s="56">
        <f>'[2]Изложницы без бурта'!I553</f>
        <v>0</v>
      </c>
      <c r="AL553" s="56" t="s">
        <v>619</v>
      </c>
      <c r="AM553" s="56">
        <f>'[2]Изложницы без бурта'!K553</f>
        <v>0</v>
      </c>
    </row>
    <row r="554" spans="28:39" x14ac:dyDescent="0.25">
      <c r="AB554" s="258" t="str">
        <f t="shared" si="18"/>
        <v/>
      </c>
      <c r="AC554" s="259" t="str">
        <f>IF(COUNTIF(AD$78:AD554,AD554)=1,MAX(AC$78:AC553)+1,"")</f>
        <v/>
      </c>
      <c r="AD554" s="220">
        <f>'[2]Изложницы без бурта'!B554</f>
        <v>205</v>
      </c>
      <c r="AE554" s="220">
        <f>'[2]Изложницы без бурта'!C554</f>
        <v>265</v>
      </c>
      <c r="AF554" s="56">
        <f>'[2]Изложницы без бурта'!D554</f>
        <v>285</v>
      </c>
      <c r="AG554" s="56">
        <f>'[2]Изложницы без бурта'!E554</f>
        <v>320</v>
      </c>
      <c r="AH554" s="56" t="str">
        <f>'[2]Изложницы без бурта'!F554</f>
        <v>72.11870 - 27</v>
      </c>
      <c r="AI554" s="56">
        <f>'[2]Изложницы без бурта'!G554</f>
        <v>0</v>
      </c>
      <c r="AJ554" s="56">
        <f>'[2]Изложницы без бурта'!H554</f>
        <v>0</v>
      </c>
      <c r="AK554" s="56">
        <f>'[2]Изложницы без бурта'!I554</f>
        <v>0</v>
      </c>
      <c r="AL554" s="56" t="s">
        <v>619</v>
      </c>
      <c r="AM554" s="56">
        <f>'[2]Изложницы без бурта'!K554</f>
        <v>0</v>
      </c>
    </row>
    <row r="555" spans="28:39" x14ac:dyDescent="0.25">
      <c r="AB555" s="258" t="str">
        <f t="shared" si="18"/>
        <v/>
      </c>
      <c r="AC555" s="259" t="str">
        <f>IF(COUNTIF(AD$78:AD555,AD555)=1,MAX(AC$78:AC554)+1,"")</f>
        <v/>
      </c>
      <c r="AD555" s="220">
        <f>'[2]Изложницы без бурта'!B555</f>
        <v>205</v>
      </c>
      <c r="AE555" s="220">
        <f>'[2]Изложницы без бурта'!C555</f>
        <v>265</v>
      </c>
      <c r="AF555" s="56">
        <f>'[2]Изложницы без бурта'!D555</f>
        <v>285</v>
      </c>
      <c r="AG555" s="56">
        <f>'[2]Изложницы без бурта'!E555</f>
        <v>320</v>
      </c>
      <c r="AH555" s="56" t="str">
        <f>'[2]Изложницы без бурта'!F555</f>
        <v>72.11870 - 27</v>
      </c>
      <c r="AI555" s="56">
        <f>'[2]Изложницы без бурта'!G555</f>
        <v>0</v>
      </c>
      <c r="AJ555" s="56">
        <f>'[2]Изложницы без бурта'!H555</f>
        <v>0</v>
      </c>
      <c r="AK555" s="56">
        <f>'[2]Изложницы без бурта'!I555</f>
        <v>0</v>
      </c>
      <c r="AL555" s="56" t="s">
        <v>619</v>
      </c>
      <c r="AM555" s="56">
        <f>'[2]Изложницы без бурта'!K555</f>
        <v>0</v>
      </c>
    </row>
    <row r="556" spans="28:39" x14ac:dyDescent="0.25">
      <c r="AB556" s="258" t="str">
        <f t="shared" si="18"/>
        <v/>
      </c>
      <c r="AC556" s="259" t="str">
        <f>IF(COUNTIF(AD$78:AD556,AD556)=1,MAX(AC$78:AC555)+1,"")</f>
        <v/>
      </c>
      <c r="AD556" s="220">
        <f>'[2]Изложницы без бурта'!B556</f>
        <v>205</v>
      </c>
      <c r="AE556" s="220">
        <f>'[2]Изложницы без бурта'!C556</f>
        <v>265</v>
      </c>
      <c r="AF556" s="56">
        <f>'[2]Изложницы без бурта'!D556</f>
        <v>285</v>
      </c>
      <c r="AG556" s="56">
        <f>'[2]Изложницы без бурта'!E556</f>
        <v>320</v>
      </c>
      <c r="AH556" s="56" t="str">
        <f>'[2]Изложницы без бурта'!F556</f>
        <v>72.11870 - 27</v>
      </c>
      <c r="AI556" s="56">
        <f>'[2]Изложницы без бурта'!G556</f>
        <v>0</v>
      </c>
      <c r="AJ556" s="56">
        <f>'[2]Изложницы без бурта'!H556</f>
        <v>0</v>
      </c>
      <c r="AK556" s="56">
        <f>'[2]Изложницы без бурта'!I556</f>
        <v>0</v>
      </c>
      <c r="AL556" s="56" t="s">
        <v>619</v>
      </c>
      <c r="AM556" s="56">
        <f>'[2]Изложницы без бурта'!K556</f>
        <v>0</v>
      </c>
    </row>
    <row r="557" spans="28:39" x14ac:dyDescent="0.25">
      <c r="AB557" s="258" t="str">
        <f t="shared" si="18"/>
        <v/>
      </c>
      <c r="AC557" s="259" t="str">
        <f>IF(COUNTIF(AD$78:AD557,AD557)=1,MAX(AC$78:AC556)+1,"")</f>
        <v/>
      </c>
      <c r="AD557" s="220">
        <f>'[2]Изложницы без бурта'!B557</f>
        <v>205</v>
      </c>
      <c r="AE557" s="220">
        <f>'[2]Изложницы без бурта'!C557</f>
        <v>315</v>
      </c>
      <c r="AF557" s="56">
        <f>'[2]Изложницы без бурта'!D557</f>
        <v>285</v>
      </c>
      <c r="AG557" s="56">
        <f>'[2]Изложницы без бурта'!E557</f>
        <v>320</v>
      </c>
      <c r="AH557" s="56" t="str">
        <f>'[2]Изложницы без бурта'!F557</f>
        <v>72.11871 - 27</v>
      </c>
      <c r="AI557" s="56">
        <f>'[2]Изложницы без бурта'!G557</f>
        <v>0</v>
      </c>
      <c r="AJ557" s="56">
        <f>'[2]Изложницы без бурта'!H557</f>
        <v>0</v>
      </c>
      <c r="AK557" s="56">
        <f>'[2]Изложницы без бурта'!I557</f>
        <v>0</v>
      </c>
      <c r="AL557" s="56" t="s">
        <v>619</v>
      </c>
      <c r="AM557" s="56">
        <f>'[2]Изложницы без бурта'!K557</f>
        <v>0</v>
      </c>
    </row>
    <row r="558" spans="28:39" x14ac:dyDescent="0.25">
      <c r="AB558" s="258" t="str">
        <f t="shared" si="18"/>
        <v/>
      </c>
      <c r="AC558" s="259" t="str">
        <f>IF(COUNTIF(AD$78:AD558,AD558)=1,MAX(AC$78:AC557)+1,"")</f>
        <v/>
      </c>
      <c r="AD558" s="220">
        <f>'[2]Изложницы без бурта'!B558</f>
        <v>205</v>
      </c>
      <c r="AE558" s="220">
        <f>'[2]Изложницы без бурта'!C558</f>
        <v>260</v>
      </c>
      <c r="AF558" s="56">
        <f>'[2]Изложницы без бурта'!D558</f>
        <v>285</v>
      </c>
      <c r="AG558" s="56">
        <f>'[2]Изложницы без бурта'!E558</f>
        <v>320</v>
      </c>
      <c r="AH558" s="56" t="str">
        <f>'[2]Изложницы без бурта'!F558</f>
        <v>72.11870 - 27</v>
      </c>
      <c r="AI558" s="56">
        <f>'[2]Изложницы без бурта'!G558</f>
        <v>0</v>
      </c>
      <c r="AJ558" s="56">
        <f>'[2]Изложницы без бурта'!H558</f>
        <v>0</v>
      </c>
      <c r="AK558" s="56">
        <f>'[2]Изложницы без бурта'!I558</f>
        <v>0</v>
      </c>
      <c r="AL558" s="56" t="s">
        <v>619</v>
      </c>
      <c r="AM558" s="56">
        <f>'[2]Изложницы без бурта'!K558</f>
        <v>0</v>
      </c>
    </row>
    <row r="559" spans="28:39" x14ac:dyDescent="0.25">
      <c r="AB559" s="258" t="str">
        <f t="shared" si="18"/>
        <v/>
      </c>
      <c r="AC559" s="259" t="str">
        <f>IF(COUNTIF(AD$78:AD559,AD559)=1,MAX(AC$78:AC558)+1,"")</f>
        <v/>
      </c>
      <c r="AD559" s="220">
        <f>'[2]Изложницы без бурта'!B559</f>
        <v>205</v>
      </c>
      <c r="AE559" s="220">
        <f>'[2]Изложницы без бурта'!C559</f>
        <v>270</v>
      </c>
      <c r="AF559" s="56">
        <f>'[2]Изложницы без бурта'!D559</f>
        <v>285</v>
      </c>
      <c r="AG559" s="56">
        <f>'[2]Изложницы без бурта'!E559</f>
        <v>320</v>
      </c>
      <c r="AH559" s="56" t="str">
        <f>'[2]Изложницы без бурта'!F559</f>
        <v>72.11870 - 27</v>
      </c>
      <c r="AI559" s="56">
        <f>'[2]Изложницы без бурта'!G559</f>
        <v>0</v>
      </c>
      <c r="AJ559" s="56">
        <f>'[2]Изложницы без бурта'!H559</f>
        <v>0</v>
      </c>
      <c r="AK559" s="56">
        <f>'[2]Изложницы без бурта'!I559</f>
        <v>0</v>
      </c>
      <c r="AL559" s="56" t="s">
        <v>619</v>
      </c>
      <c r="AM559" s="56">
        <f>'[2]Изложницы без бурта'!K559</f>
        <v>0</v>
      </c>
    </row>
    <row r="560" spans="28:39" x14ac:dyDescent="0.25">
      <c r="AB560" s="258" t="str">
        <f t="shared" si="18"/>
        <v/>
      </c>
      <c r="AC560" s="259" t="str">
        <f>IF(COUNTIF(AD$78:AD560,AD560)=1,MAX(AC$78:AC559)+1,"")</f>
        <v/>
      </c>
      <c r="AD560" s="220">
        <f>'[2]Изложницы без бурта'!B560</f>
        <v>205</v>
      </c>
      <c r="AE560" s="220">
        <f>'[2]Изложницы без бурта'!C560</f>
        <v>263</v>
      </c>
      <c r="AF560" s="56">
        <f>'[2]Изложницы без бурта'!D560</f>
        <v>285</v>
      </c>
      <c r="AG560" s="56">
        <f>'[2]Изложницы без бурта'!E560</f>
        <v>320</v>
      </c>
      <c r="AH560" s="56" t="str">
        <f>'[2]Изложницы без бурта'!F560</f>
        <v>72.11870 - 27</v>
      </c>
      <c r="AI560" s="56">
        <f>'[2]Изложницы без бурта'!G560</f>
        <v>0</v>
      </c>
      <c r="AJ560" s="56">
        <f>'[2]Изложницы без бурта'!H560</f>
        <v>0</v>
      </c>
      <c r="AK560" s="56">
        <f>'[2]Изложницы без бурта'!I560</f>
        <v>0</v>
      </c>
      <c r="AL560" s="56" t="s">
        <v>619</v>
      </c>
      <c r="AM560" s="56">
        <f>'[2]Изложницы без бурта'!K560</f>
        <v>0</v>
      </c>
    </row>
    <row r="561" spans="28:39" x14ac:dyDescent="0.25">
      <c r="AB561" s="258" t="str">
        <f t="shared" si="18"/>
        <v/>
      </c>
      <c r="AC561" s="259" t="str">
        <f>IF(COUNTIF(AD$78:AD561,AD561)=1,MAX(AC$78:AC560)+1,"")</f>
        <v/>
      </c>
      <c r="AD561" s="220">
        <f>'[2]Изложницы без бурта'!B561</f>
        <v>205</v>
      </c>
      <c r="AE561" s="220">
        <f>'[2]Изложницы без бурта'!C561</f>
        <v>265</v>
      </c>
      <c r="AF561" s="56">
        <f>'[2]Изложницы без бурта'!D561</f>
        <v>285</v>
      </c>
      <c r="AG561" s="56">
        <f>'[2]Изложницы без бурта'!E561</f>
        <v>320</v>
      </c>
      <c r="AH561" s="56" t="str">
        <f>'[2]Изложницы без бурта'!F561</f>
        <v>72.11870 - 27</v>
      </c>
      <c r="AI561" s="56">
        <f>'[2]Изложницы без бурта'!G561</f>
        <v>0</v>
      </c>
      <c r="AJ561" s="56">
        <f>'[2]Изложницы без бурта'!H561</f>
        <v>0</v>
      </c>
      <c r="AK561" s="56">
        <f>'[2]Изложницы без бурта'!I561</f>
        <v>0</v>
      </c>
      <c r="AL561" s="56" t="s">
        <v>619</v>
      </c>
      <c r="AM561" s="56">
        <f>'[2]Изложницы без бурта'!K561</f>
        <v>0</v>
      </c>
    </row>
    <row r="562" spans="28:39" x14ac:dyDescent="0.25">
      <c r="AB562" s="258" t="str">
        <f t="shared" si="18"/>
        <v/>
      </c>
      <c r="AC562" s="259" t="str">
        <f>IF(COUNTIF(AD$78:AD562,AD562)=1,MAX(AC$78:AC561)+1,"")</f>
        <v/>
      </c>
      <c r="AD562" s="220">
        <f>'[2]Изложницы без бурта'!B562</f>
        <v>205</v>
      </c>
      <c r="AE562" s="220">
        <f>'[2]Изложницы без бурта'!C562</f>
        <v>260</v>
      </c>
      <c r="AF562" s="56">
        <f>'[2]Изложницы без бурта'!D562</f>
        <v>285</v>
      </c>
      <c r="AG562" s="56">
        <f>'[2]Изложницы без бурта'!E562</f>
        <v>320</v>
      </c>
      <c r="AH562" s="56" t="str">
        <f>'[2]Изложницы без бурта'!F562</f>
        <v>72.11870 - 27</v>
      </c>
      <c r="AI562" s="56">
        <f>'[2]Изложницы без бурта'!G562</f>
        <v>0</v>
      </c>
      <c r="AJ562" s="56">
        <f>'[2]Изложницы без бурта'!H562</f>
        <v>0</v>
      </c>
      <c r="AK562" s="56">
        <f>'[2]Изложницы без бурта'!I562</f>
        <v>0</v>
      </c>
      <c r="AL562" s="56" t="s">
        <v>619</v>
      </c>
      <c r="AM562" s="56">
        <f>'[2]Изложницы без бурта'!K562</f>
        <v>0</v>
      </c>
    </row>
    <row r="563" spans="28:39" x14ac:dyDescent="0.25">
      <c r="AB563" s="258" t="str">
        <f t="shared" si="18"/>
        <v/>
      </c>
      <c r="AC563" s="259" t="str">
        <f>IF(COUNTIF(AD$78:AD563,AD563)=1,MAX(AC$78:AC562)+1,"")</f>
        <v/>
      </c>
      <c r="AD563" s="220">
        <f>'[2]Изложницы без бурта'!B563</f>
        <v>205</v>
      </c>
      <c r="AE563" s="220">
        <f>'[2]Изложницы без бурта'!C563</f>
        <v>265</v>
      </c>
      <c r="AF563" s="56">
        <f>'[2]Изложницы без бурта'!D563</f>
        <v>285</v>
      </c>
      <c r="AG563" s="56">
        <f>'[2]Изложницы без бурта'!E563</f>
        <v>320</v>
      </c>
      <c r="AH563" s="56" t="str">
        <f>'[2]Изложницы без бурта'!F563</f>
        <v>72.11870 - 27</v>
      </c>
      <c r="AI563" s="56">
        <f>'[2]Изложницы без бурта'!G563</f>
        <v>0</v>
      </c>
      <c r="AJ563" s="56">
        <f>'[2]Изложницы без бурта'!H563</f>
        <v>0</v>
      </c>
      <c r="AK563" s="56">
        <f>'[2]Изложницы без бурта'!I563</f>
        <v>0</v>
      </c>
      <c r="AL563" s="56" t="s">
        <v>619</v>
      </c>
      <c r="AM563" s="56">
        <f>'[2]Изложницы без бурта'!K563</f>
        <v>0</v>
      </c>
    </row>
    <row r="564" spans="28:39" x14ac:dyDescent="0.25">
      <c r="AB564" s="258" t="str">
        <f t="shared" si="18"/>
        <v/>
      </c>
      <c r="AC564" s="259" t="str">
        <f>IF(COUNTIF(AD$78:AD564,AD564)=1,MAX(AC$78:AC563)+1,"")</f>
        <v/>
      </c>
      <c r="AD564" s="220">
        <f>'[2]Изложницы без бурта'!B564</f>
        <v>205</v>
      </c>
      <c r="AE564" s="220">
        <f>'[2]Изложницы без бурта'!C564</f>
        <v>265</v>
      </c>
      <c r="AF564" s="56">
        <f>'[2]Изложницы без бурта'!D564</f>
        <v>285</v>
      </c>
      <c r="AG564" s="56">
        <f>'[2]Изложницы без бурта'!E564</f>
        <v>320</v>
      </c>
      <c r="AH564" s="56" t="str">
        <f>'[2]Изложницы без бурта'!F564</f>
        <v>72.11870 - 27</v>
      </c>
      <c r="AI564" s="56">
        <f>'[2]Изложницы без бурта'!G564</f>
        <v>0</v>
      </c>
      <c r="AJ564" s="56">
        <f>'[2]Изложницы без бурта'!H564</f>
        <v>0</v>
      </c>
      <c r="AK564" s="56">
        <f>'[2]Изложницы без бурта'!I564</f>
        <v>0</v>
      </c>
      <c r="AL564" s="56" t="s">
        <v>619</v>
      </c>
      <c r="AM564" s="56">
        <f>'[2]Изложницы без бурта'!K564</f>
        <v>0</v>
      </c>
    </row>
    <row r="565" spans="28:39" x14ac:dyDescent="0.25">
      <c r="AB565" s="258" t="str">
        <f t="shared" si="18"/>
        <v/>
      </c>
      <c r="AC565" s="259">
        <f>IF(COUNTIF(AD$78:AD565,AD565)=1,MAX(AC$78:AC564)+1,"")</f>
        <v>48</v>
      </c>
      <c r="AD565" s="220">
        <f>'[2]Изложницы без бурта'!B565</f>
        <v>207.5</v>
      </c>
      <c r="AE565" s="220">
        <f>'[2]Изложницы без бурта'!C565</f>
        <v>275</v>
      </c>
      <c r="AF565" s="56">
        <f>'[2]Изложницы без бурта'!D565</f>
        <v>285</v>
      </c>
      <c r="AG565" s="56">
        <f>'[2]Изложницы без бурта'!E565</f>
        <v>320</v>
      </c>
      <c r="AH565" s="56" t="str">
        <f>'[2]Изложницы без бурта'!F565</f>
        <v>10.242267 - 1</v>
      </c>
      <c r="AI565" s="56">
        <f>'[2]Изложницы без бурта'!G565</f>
        <v>7260020</v>
      </c>
      <c r="AJ565" s="56">
        <f>'[2]Изложницы без бурта'!H565</f>
        <v>0</v>
      </c>
      <c r="AK565" s="56">
        <f>'[2]Изложницы без бурта'!I565</f>
        <v>0</v>
      </c>
      <c r="AL565" s="56" t="s">
        <v>620</v>
      </c>
      <c r="AM565" s="56">
        <f>'[2]Изложницы без бурта'!K565</f>
        <v>0</v>
      </c>
    </row>
    <row r="566" spans="28:39" x14ac:dyDescent="0.25">
      <c r="AB566" s="258" t="str">
        <f t="shared" si="18"/>
        <v/>
      </c>
      <c r="AC566" s="259" t="str">
        <f>IF(COUNTIF(AD$78:AD566,AD566)=1,MAX(AC$78:AC565)+1,"")</f>
        <v/>
      </c>
      <c r="AD566" s="220">
        <f>'[2]Изложницы без бурта'!B566</f>
        <v>207.5</v>
      </c>
      <c r="AE566" s="220">
        <f>'[2]Изложницы без бурта'!C566</f>
        <v>265</v>
      </c>
      <c r="AF566" s="56">
        <f>'[2]Изложницы без бурта'!D566</f>
        <v>285</v>
      </c>
      <c r="AG566" s="56">
        <f>'[2]Изложницы без бурта'!E566</f>
        <v>320</v>
      </c>
      <c r="AH566" s="56" t="str">
        <f>'[2]Изложницы без бурта'!F566</f>
        <v>72.11870 - 28</v>
      </c>
      <c r="AI566" s="56">
        <f>'[2]Изложницы без бурта'!G566</f>
        <v>0</v>
      </c>
      <c r="AJ566" s="56">
        <f>'[2]Изложницы без бурта'!H566</f>
        <v>0</v>
      </c>
      <c r="AK566" s="56">
        <f>'[2]Изложницы без бурта'!I566</f>
        <v>0</v>
      </c>
      <c r="AL566" s="56" t="s">
        <v>620</v>
      </c>
      <c r="AM566" s="56">
        <f>'[2]Изложницы без бурта'!K566</f>
        <v>0</v>
      </c>
    </row>
    <row r="567" spans="28:39" x14ac:dyDescent="0.25">
      <c r="AB567" s="258" t="str">
        <f t="shared" si="18"/>
        <v/>
      </c>
      <c r="AC567" s="259" t="str">
        <f>IF(COUNTIF(AD$78:AD567,AD567)=1,MAX(AC$78:AC566)+1,"")</f>
        <v/>
      </c>
      <c r="AD567" s="220">
        <f>'[2]Изложницы без бурта'!B567</f>
        <v>207.5</v>
      </c>
      <c r="AE567" s="220">
        <f>'[2]Изложницы без бурта'!C567</f>
        <v>440</v>
      </c>
      <c r="AF567" s="56">
        <f>'[2]Изложницы без бурта'!D567</f>
        <v>285</v>
      </c>
      <c r="AG567" s="56">
        <f>'[2]Изложницы без бурта'!E567</f>
        <v>320</v>
      </c>
      <c r="AH567" s="56" t="str">
        <f>'[2]Изложницы без бурта'!F567</f>
        <v>10.241070 - 02</v>
      </c>
      <c r="AI567" s="56">
        <f>'[2]Изложницы без бурта'!G567</f>
        <v>7260021</v>
      </c>
      <c r="AJ567" s="56">
        <f>'[2]Изложницы без бурта'!H567</f>
        <v>0</v>
      </c>
      <c r="AK567" s="56">
        <f>'[2]Изложницы без бурта'!I567</f>
        <v>0</v>
      </c>
      <c r="AL567" s="56" t="s">
        <v>620</v>
      </c>
      <c r="AM567" s="56">
        <f>'[2]Изложницы без бурта'!K567</f>
        <v>0</v>
      </c>
    </row>
    <row r="568" spans="28:39" x14ac:dyDescent="0.25">
      <c r="AB568" s="258" t="str">
        <f t="shared" si="18"/>
        <v/>
      </c>
      <c r="AC568" s="259" t="str">
        <f>IF(COUNTIF(AD$78:AD568,AD568)=1,MAX(AC$78:AC567)+1,"")</f>
        <v/>
      </c>
      <c r="AD568" s="220">
        <f>'[2]Изложницы без бурта'!B568</f>
        <v>207.5</v>
      </c>
      <c r="AE568" s="220">
        <f>'[2]Изложницы без бурта'!C568</f>
        <v>263</v>
      </c>
      <c r="AF568" s="56">
        <f>'[2]Изложницы без бурта'!D568</f>
        <v>285</v>
      </c>
      <c r="AG568" s="56">
        <f>'[2]Изложницы без бурта'!E568</f>
        <v>320</v>
      </c>
      <c r="AH568" s="56" t="str">
        <f>'[2]Изложницы без бурта'!F568</f>
        <v>72.11870 - 28</v>
      </c>
      <c r="AI568" s="56">
        <f>'[2]Изложницы без бурта'!G568</f>
        <v>0</v>
      </c>
      <c r="AJ568" s="56">
        <f>'[2]Изложницы без бурта'!H568</f>
        <v>0</v>
      </c>
      <c r="AK568" s="56">
        <f>'[2]Изложницы без бурта'!I568</f>
        <v>0</v>
      </c>
      <c r="AL568" s="56" t="s">
        <v>620</v>
      </c>
      <c r="AM568" s="56">
        <f>'[2]Изложницы без бурта'!K568</f>
        <v>0</v>
      </c>
    </row>
    <row r="569" spans="28:39" x14ac:dyDescent="0.25">
      <c r="AB569" s="258" t="str">
        <f t="shared" ref="AB569:AB632" si="19">IF(MAX(AC569:AC1646)&lt;ROW(491:491),"",VLOOKUP(ROW(491:491),AC569:AD1646,2))</f>
        <v/>
      </c>
      <c r="AC569" s="259" t="str">
        <f>IF(COUNTIF(AD$78:AD569,AD569)=1,MAX(AC$78:AC568)+1,"")</f>
        <v/>
      </c>
      <c r="AD569" s="220">
        <f>'[2]Изложницы без бурта'!B569</f>
        <v>207.5</v>
      </c>
      <c r="AE569" s="220">
        <f>'[2]Изложницы без бурта'!C569</f>
        <v>503</v>
      </c>
      <c r="AF569" s="56">
        <f>'[2]Изложницы без бурта'!D569</f>
        <v>285</v>
      </c>
      <c r="AG569" s="56">
        <f>'[2]Изложницы без бурта'!E569</f>
        <v>320</v>
      </c>
      <c r="AH569" s="56" t="str">
        <f>'[2]Изложницы без бурта'!F569</f>
        <v>72.23398 - 03</v>
      </c>
      <c r="AI569" s="56">
        <f>'[2]Изложницы без бурта'!G569</f>
        <v>7260022</v>
      </c>
      <c r="AJ569" s="56">
        <f>'[2]Изложницы без бурта'!H569</f>
        <v>0</v>
      </c>
      <c r="AK569" s="56">
        <f>'[2]Изложницы без бурта'!I569</f>
        <v>0</v>
      </c>
      <c r="AL569" s="56" t="s">
        <v>620</v>
      </c>
      <c r="AM569" s="56">
        <f>'[2]Изложницы без бурта'!K569</f>
        <v>0</v>
      </c>
    </row>
    <row r="570" spans="28:39" x14ac:dyDescent="0.25">
      <c r="AB570" s="258" t="str">
        <f t="shared" si="19"/>
        <v/>
      </c>
      <c r="AC570" s="259" t="str">
        <f>IF(COUNTIF(AD$78:AD570,AD570)=1,MAX(AC$78:AC569)+1,"")</f>
        <v/>
      </c>
      <c r="AD570" s="220">
        <f>'[2]Изложницы без бурта'!B570</f>
        <v>207.5</v>
      </c>
      <c r="AE570" s="220">
        <f>'[2]Изложницы без бурта'!C570</f>
        <v>264</v>
      </c>
      <c r="AF570" s="56">
        <f>'[2]Изложницы без бурта'!D570</f>
        <v>285</v>
      </c>
      <c r="AG570" s="56">
        <f>'[2]Изложницы без бурта'!E570</f>
        <v>320</v>
      </c>
      <c r="AH570" s="56" t="str">
        <f>'[2]Изложницы без бурта'!F570</f>
        <v>72.11870 - 28</v>
      </c>
      <c r="AI570" s="56">
        <f>'[2]Изложницы без бурта'!G570</f>
        <v>0</v>
      </c>
      <c r="AJ570" s="56">
        <f>'[2]Изложницы без бурта'!H570</f>
        <v>0</v>
      </c>
      <c r="AK570" s="56">
        <f>'[2]Изложницы без бурта'!I570</f>
        <v>0</v>
      </c>
      <c r="AL570" s="56" t="s">
        <v>620</v>
      </c>
      <c r="AM570" s="56">
        <f>'[2]Изложницы без бурта'!K570</f>
        <v>0</v>
      </c>
    </row>
    <row r="571" spans="28:39" x14ac:dyDescent="0.25">
      <c r="AB571" s="258" t="str">
        <f t="shared" si="19"/>
        <v/>
      </c>
      <c r="AC571" s="259" t="str">
        <f>IF(COUNTIF(AD$78:AD571,AD571)=1,MAX(AC$78:AC570)+1,"")</f>
        <v/>
      </c>
      <c r="AD571" s="220">
        <f>'[2]Изложницы без бурта'!B571</f>
        <v>207.5</v>
      </c>
      <c r="AE571" s="220">
        <f>'[2]Изложницы без бурта'!C571</f>
        <v>260</v>
      </c>
      <c r="AF571" s="56">
        <f>'[2]Изложницы без бурта'!D571</f>
        <v>285</v>
      </c>
      <c r="AG571" s="56">
        <f>'[2]Изложницы без бурта'!E571</f>
        <v>320</v>
      </c>
      <c r="AH571" s="56" t="str">
        <f>'[2]Изложницы без бурта'!F571</f>
        <v>72.11870 - 28</v>
      </c>
      <c r="AI571" s="56">
        <f>'[2]Изложницы без бурта'!G571</f>
        <v>0</v>
      </c>
      <c r="AJ571" s="56">
        <f>'[2]Изложницы без бурта'!H571</f>
        <v>0</v>
      </c>
      <c r="AK571" s="56">
        <f>'[2]Изложницы без бурта'!I571</f>
        <v>0</v>
      </c>
      <c r="AL571" s="56" t="s">
        <v>620</v>
      </c>
      <c r="AM571" s="56">
        <f>'[2]Изложницы без бурта'!K571</f>
        <v>0</v>
      </c>
    </row>
    <row r="572" spans="28:39" x14ac:dyDescent="0.25">
      <c r="AB572" s="258" t="str">
        <f t="shared" si="19"/>
        <v/>
      </c>
      <c r="AC572" s="259" t="str">
        <f>IF(COUNTIF(AD$78:AD572,AD572)=1,MAX(AC$78:AC571)+1,"")</f>
        <v/>
      </c>
      <c r="AD572" s="220">
        <f>'[2]Изложницы без бурта'!B572</f>
        <v>207.5</v>
      </c>
      <c r="AE572" s="220">
        <f>'[2]Изложницы без бурта'!C572</f>
        <v>375</v>
      </c>
      <c r="AF572" s="56">
        <f>'[2]Изложницы без бурта'!D572</f>
        <v>285</v>
      </c>
      <c r="AG572" s="56">
        <f>'[2]Изложницы без бурта'!E572</f>
        <v>320</v>
      </c>
      <c r="AH572" s="56" t="str">
        <f>'[2]Изложницы без бурта'!F572</f>
        <v>72.42461 - 28</v>
      </c>
      <c r="AI572" s="56">
        <f>'[2]Изложницы без бурта'!G572</f>
        <v>0</v>
      </c>
      <c r="AJ572" s="56">
        <f>'[2]Изложницы без бурта'!H572</f>
        <v>0</v>
      </c>
      <c r="AK572" s="56">
        <f>'[2]Изложницы без бурта'!I572</f>
        <v>0</v>
      </c>
      <c r="AL572" s="56" t="s">
        <v>620</v>
      </c>
      <c r="AM572" s="56">
        <f>'[2]Изложницы без бурта'!K572</f>
        <v>0</v>
      </c>
    </row>
    <row r="573" spans="28:39" x14ac:dyDescent="0.25">
      <c r="AB573" s="258" t="str">
        <f t="shared" si="19"/>
        <v/>
      </c>
      <c r="AC573" s="259" t="str">
        <f>IF(COUNTIF(AD$78:AD573,AD573)=1,MAX(AC$78:AC572)+1,"")</f>
        <v/>
      </c>
      <c r="AD573" s="220">
        <f>'[2]Изложницы без бурта'!B573</f>
        <v>207.5</v>
      </c>
      <c r="AE573" s="220">
        <f>'[2]Изложницы без бурта'!C573</f>
        <v>263</v>
      </c>
      <c r="AF573" s="56">
        <f>'[2]Изложницы без бурта'!D573</f>
        <v>285</v>
      </c>
      <c r="AG573" s="56">
        <f>'[2]Изложницы без бурта'!E573</f>
        <v>320</v>
      </c>
      <c r="AH573" s="56" t="str">
        <f>'[2]Изложницы без бурта'!F573</f>
        <v>72.11870 - 28</v>
      </c>
      <c r="AI573" s="56">
        <f>'[2]Изложницы без бурта'!G573</f>
        <v>0</v>
      </c>
      <c r="AJ573" s="56">
        <f>'[2]Изложницы без бурта'!H573</f>
        <v>0</v>
      </c>
      <c r="AK573" s="56">
        <f>'[2]Изложницы без бурта'!I573</f>
        <v>0</v>
      </c>
      <c r="AL573" s="56" t="s">
        <v>620</v>
      </c>
      <c r="AM573" s="56">
        <f>'[2]Изложницы без бурта'!K573</f>
        <v>0</v>
      </c>
    </row>
    <row r="574" spans="28:39" x14ac:dyDescent="0.25">
      <c r="AB574" s="258" t="str">
        <f t="shared" si="19"/>
        <v/>
      </c>
      <c r="AC574" s="259">
        <f>IF(COUNTIF(AD$78:AD574,AD574)=1,MAX(AC$78:AC573)+1,"")</f>
        <v>49</v>
      </c>
      <c r="AD574" s="220">
        <f>'[2]Изложницы без бурта'!B574</f>
        <v>210</v>
      </c>
      <c r="AE574" s="220">
        <f>'[2]Изложницы без бурта'!C574</f>
        <v>380</v>
      </c>
      <c r="AF574" s="56">
        <f>'[2]Изложницы без бурта'!D574</f>
        <v>285</v>
      </c>
      <c r="AG574" s="56">
        <f>'[2]Изложницы без бурта'!E574</f>
        <v>320</v>
      </c>
      <c r="AH574" s="56" t="str">
        <f>'[2]Изложницы без бурта'!F574</f>
        <v>72.42461 - 29</v>
      </c>
      <c r="AI574" s="56">
        <f>'[2]Изложницы без бурта'!G574</f>
        <v>0</v>
      </c>
      <c r="AJ574" s="56">
        <f>'[2]Изложницы без бурта'!H574</f>
        <v>0</v>
      </c>
      <c r="AK574" s="56">
        <f>'[2]Изложницы без бурта'!I574</f>
        <v>0</v>
      </c>
      <c r="AL574" s="56" t="s">
        <v>621</v>
      </c>
      <c r="AM574" s="56">
        <f>'[2]Изложницы без бурта'!K574</f>
        <v>0</v>
      </c>
    </row>
    <row r="575" spans="28:39" x14ac:dyDescent="0.25">
      <c r="AB575" s="258" t="str">
        <f t="shared" si="19"/>
        <v/>
      </c>
      <c r="AC575" s="259" t="str">
        <f>IF(COUNTIF(AD$78:AD575,AD575)=1,MAX(AC$78:AC574)+1,"")</f>
        <v/>
      </c>
      <c r="AD575" s="220">
        <f>'[2]Изложницы без бурта'!B575</f>
        <v>210</v>
      </c>
      <c r="AE575" s="220">
        <f>'[2]Изложницы без бурта'!C575</f>
        <v>265</v>
      </c>
      <c r="AF575" s="56">
        <f>'[2]Изложницы без бурта'!D575</f>
        <v>285</v>
      </c>
      <c r="AG575" s="56">
        <f>'[2]Изложницы без бурта'!E575</f>
        <v>320</v>
      </c>
      <c r="AH575" s="56" t="str">
        <f>'[2]Изложницы без бурта'!F575</f>
        <v>72.11870 - 29</v>
      </c>
      <c r="AI575" s="56">
        <f>'[2]Изложницы без бурта'!G575</f>
        <v>0</v>
      </c>
      <c r="AJ575" s="56">
        <f>'[2]Изложницы без бурта'!H575</f>
        <v>0</v>
      </c>
      <c r="AK575" s="56">
        <f>'[2]Изложницы без бурта'!I575</f>
        <v>0</v>
      </c>
      <c r="AL575" s="56" t="s">
        <v>621</v>
      </c>
      <c r="AM575" s="56">
        <f>'[2]Изложницы без бурта'!K575</f>
        <v>0</v>
      </c>
    </row>
    <row r="576" spans="28:39" x14ac:dyDescent="0.25">
      <c r="AB576" s="258" t="str">
        <f t="shared" si="19"/>
        <v/>
      </c>
      <c r="AC576" s="259" t="str">
        <f>IF(COUNTIF(AD$78:AD576,AD576)=1,MAX(AC$78:AC575)+1,"")</f>
        <v/>
      </c>
      <c r="AD576" s="220">
        <f>'[2]Изложницы без бурта'!B576</f>
        <v>210</v>
      </c>
      <c r="AE576" s="220">
        <f>'[2]Изложницы без бурта'!C576</f>
        <v>262</v>
      </c>
      <c r="AF576" s="56">
        <f>'[2]Изложницы без бурта'!D576</f>
        <v>285</v>
      </c>
      <c r="AG576" s="56">
        <f>'[2]Изложницы без бурта'!E576</f>
        <v>320</v>
      </c>
      <c r="AH576" s="56" t="str">
        <f>'[2]Изложницы без бурта'!F576</f>
        <v>72.11870 - 29</v>
      </c>
      <c r="AI576" s="56">
        <f>'[2]Изложницы без бурта'!G576</f>
        <v>0</v>
      </c>
      <c r="AJ576" s="56">
        <f>'[2]Изложницы без бурта'!H576</f>
        <v>0</v>
      </c>
      <c r="AK576" s="56">
        <f>'[2]Изложницы без бурта'!I576</f>
        <v>0</v>
      </c>
      <c r="AL576" s="56" t="s">
        <v>621</v>
      </c>
      <c r="AM576" s="56">
        <f>'[2]Изложницы без бурта'!K576</f>
        <v>0</v>
      </c>
    </row>
    <row r="577" spans="28:39" x14ac:dyDescent="0.25">
      <c r="AB577" s="258" t="str">
        <f t="shared" si="19"/>
        <v/>
      </c>
      <c r="AC577" s="259" t="str">
        <f>IF(COUNTIF(AD$78:AD577,AD577)=1,MAX(AC$78:AC576)+1,"")</f>
        <v/>
      </c>
      <c r="AD577" s="220">
        <f>'[2]Изложницы без бурта'!B577</f>
        <v>210</v>
      </c>
      <c r="AE577" s="220">
        <f>'[2]Изложницы без бурта'!C577</f>
        <v>380</v>
      </c>
      <c r="AF577" s="56">
        <f>'[2]Изложницы без бурта'!D577</f>
        <v>285</v>
      </c>
      <c r="AG577" s="56">
        <f>'[2]Изложницы без бурта'!E577</f>
        <v>320</v>
      </c>
      <c r="AH577" s="56" t="str">
        <f>'[2]Изложницы без бурта'!F577</f>
        <v>72.42461 - 29</v>
      </c>
      <c r="AI577" s="56">
        <f>'[2]Изложницы без бурта'!G577</f>
        <v>0</v>
      </c>
      <c r="AJ577" s="56">
        <f>'[2]Изложницы без бурта'!H577</f>
        <v>0</v>
      </c>
      <c r="AK577" s="56">
        <f>'[2]Изложницы без бурта'!I577</f>
        <v>0</v>
      </c>
      <c r="AL577" s="56" t="s">
        <v>621</v>
      </c>
      <c r="AM577" s="56">
        <f>'[2]Изложницы без бурта'!K577</f>
        <v>0</v>
      </c>
    </row>
    <row r="578" spans="28:39" x14ac:dyDescent="0.25">
      <c r="AB578" s="258" t="str">
        <f t="shared" si="19"/>
        <v/>
      </c>
      <c r="AC578" s="259" t="str">
        <f>IF(COUNTIF(AD$78:AD578,AD578)=1,MAX(AC$78:AC577)+1,"")</f>
        <v/>
      </c>
      <c r="AD578" s="220">
        <f>'[2]Изложницы без бурта'!B578</f>
        <v>210</v>
      </c>
      <c r="AE578" s="220">
        <f>'[2]Изложницы без бурта'!C578</f>
        <v>380</v>
      </c>
      <c r="AF578" s="56">
        <f>'[2]Изложницы без бурта'!D578</f>
        <v>285</v>
      </c>
      <c r="AG578" s="56">
        <f>'[2]Изложницы без бурта'!E578</f>
        <v>320</v>
      </c>
      <c r="AH578" s="56" t="str">
        <f>'[2]Изложницы без бурта'!F578</f>
        <v>72.42461 - 29</v>
      </c>
      <c r="AI578" s="56">
        <f>'[2]Изложницы без бурта'!G578</f>
        <v>0</v>
      </c>
      <c r="AJ578" s="56">
        <f>'[2]Изложницы без бурта'!H578</f>
        <v>0</v>
      </c>
      <c r="AK578" s="56">
        <f>'[2]Изложницы без бурта'!I578</f>
        <v>0</v>
      </c>
      <c r="AL578" s="56" t="s">
        <v>621</v>
      </c>
      <c r="AM578" s="56">
        <f>'[2]Изложницы без бурта'!K578</f>
        <v>0</v>
      </c>
    </row>
    <row r="579" spans="28:39" x14ac:dyDescent="0.25">
      <c r="AB579" s="258" t="str">
        <f t="shared" si="19"/>
        <v/>
      </c>
      <c r="AC579" s="259" t="str">
        <f>IF(COUNTIF(AD$78:AD579,AD579)=1,MAX(AC$78:AC578)+1,"")</f>
        <v/>
      </c>
      <c r="AD579" s="220">
        <f>'[2]Изложницы без бурта'!B579</f>
        <v>210</v>
      </c>
      <c r="AE579" s="220">
        <f>'[2]Изложницы без бурта'!C579</f>
        <v>265</v>
      </c>
      <c r="AF579" s="56">
        <f>'[2]Изложницы без бурта'!D579</f>
        <v>285</v>
      </c>
      <c r="AG579" s="56">
        <f>'[2]Изложницы без бурта'!E579</f>
        <v>320</v>
      </c>
      <c r="AH579" s="56" t="str">
        <f>'[2]Изложницы без бурта'!F579</f>
        <v>72.11870 - 29</v>
      </c>
      <c r="AI579" s="56">
        <f>'[2]Изложницы без бурта'!G579</f>
        <v>0</v>
      </c>
      <c r="AJ579" s="56">
        <f>'[2]Изложницы без бурта'!H579</f>
        <v>0</v>
      </c>
      <c r="AK579" s="56">
        <f>'[2]Изложницы без бурта'!I579</f>
        <v>0</v>
      </c>
      <c r="AL579" s="56" t="s">
        <v>621</v>
      </c>
      <c r="AM579" s="56">
        <f>'[2]Изложницы без бурта'!K579</f>
        <v>0</v>
      </c>
    </row>
    <row r="580" spans="28:39" x14ac:dyDescent="0.25">
      <c r="AB580" s="258" t="str">
        <f t="shared" si="19"/>
        <v/>
      </c>
      <c r="AC580" s="259" t="str">
        <f>IF(COUNTIF(AD$78:AD580,AD580)=1,MAX(AC$78:AC579)+1,"")</f>
        <v/>
      </c>
      <c r="AD580" s="220">
        <f>'[2]Изложницы без бурта'!B580</f>
        <v>210</v>
      </c>
      <c r="AE580" s="220">
        <f>'[2]Изложницы без бурта'!C580</f>
        <v>265</v>
      </c>
      <c r="AF580" s="56">
        <f>'[2]Изложницы без бурта'!D580</f>
        <v>285</v>
      </c>
      <c r="AG580" s="56">
        <f>'[2]Изложницы без бурта'!E580</f>
        <v>320</v>
      </c>
      <c r="AH580" s="56" t="str">
        <f>'[2]Изложницы без бурта'!F580</f>
        <v>72.11870 - 29</v>
      </c>
      <c r="AI580" s="56">
        <f>'[2]Изложницы без бурта'!G580</f>
        <v>0</v>
      </c>
      <c r="AJ580" s="56">
        <f>'[2]Изложницы без бурта'!H580</f>
        <v>0</v>
      </c>
      <c r="AK580" s="56">
        <f>'[2]Изложницы без бурта'!I580</f>
        <v>0</v>
      </c>
      <c r="AL580" s="56" t="s">
        <v>621</v>
      </c>
      <c r="AM580" s="56">
        <f>'[2]Изложницы без бурта'!K580</f>
        <v>0</v>
      </c>
    </row>
    <row r="581" spans="28:39" x14ac:dyDescent="0.25">
      <c r="AB581" s="258" t="str">
        <f t="shared" si="19"/>
        <v/>
      </c>
      <c r="AC581" s="259" t="str">
        <f>IF(COUNTIF(AD$78:AD581,AD581)=1,MAX(AC$78:AC580)+1,"")</f>
        <v/>
      </c>
      <c r="AD581" s="220">
        <f>'[2]Изложницы без бурта'!B581</f>
        <v>210</v>
      </c>
      <c r="AE581" s="220">
        <f>'[2]Изложницы без бурта'!C581</f>
        <v>376</v>
      </c>
      <c r="AF581" s="56">
        <f>'[2]Изложницы без бурта'!D581</f>
        <v>285</v>
      </c>
      <c r="AG581" s="56">
        <f>'[2]Изложницы без бурта'!E581</f>
        <v>320</v>
      </c>
      <c r="AH581" s="56" t="str">
        <f>'[2]Изложницы без бурта'!F581</f>
        <v>72.42461 - 29</v>
      </c>
      <c r="AI581" s="56">
        <f>'[2]Изложницы без бурта'!G581</f>
        <v>0</v>
      </c>
      <c r="AJ581" s="56">
        <f>'[2]Изложницы без бурта'!H581</f>
        <v>0</v>
      </c>
      <c r="AK581" s="56">
        <f>'[2]Изложницы без бурта'!I581</f>
        <v>0</v>
      </c>
      <c r="AL581" s="56" t="s">
        <v>621</v>
      </c>
      <c r="AM581" s="56">
        <f>'[2]Изложницы без бурта'!K581</f>
        <v>0</v>
      </c>
    </row>
    <row r="582" spans="28:39" x14ac:dyDescent="0.25">
      <c r="AB582" s="258" t="str">
        <f t="shared" si="19"/>
        <v/>
      </c>
      <c r="AC582" s="259" t="str">
        <f>IF(COUNTIF(AD$78:AD582,AD582)=1,MAX(AC$78:AC581)+1,"")</f>
        <v/>
      </c>
      <c r="AD582" s="220">
        <f>'[2]Изложницы без бурта'!B582</f>
        <v>210</v>
      </c>
      <c r="AE582" s="220">
        <f>'[2]Изложницы без бурта'!C582</f>
        <v>263</v>
      </c>
      <c r="AF582" s="56">
        <f>'[2]Изложницы без бурта'!D582</f>
        <v>285</v>
      </c>
      <c r="AG582" s="56">
        <f>'[2]Изложницы без бурта'!E582</f>
        <v>320</v>
      </c>
      <c r="AH582" s="56" t="str">
        <f>'[2]Изложницы без бурта'!F582</f>
        <v>72.11870 - 29</v>
      </c>
      <c r="AI582" s="56">
        <f>'[2]Изложницы без бурта'!G582</f>
        <v>0</v>
      </c>
      <c r="AJ582" s="56">
        <f>'[2]Изложницы без бурта'!H582</f>
        <v>0</v>
      </c>
      <c r="AK582" s="56">
        <f>'[2]Изложницы без бурта'!I582</f>
        <v>0</v>
      </c>
      <c r="AL582" s="56" t="s">
        <v>621</v>
      </c>
      <c r="AM582" s="56">
        <f>'[2]Изложницы без бурта'!K582</f>
        <v>0</v>
      </c>
    </row>
    <row r="583" spans="28:39" x14ac:dyDescent="0.25">
      <c r="AB583" s="258" t="str">
        <f t="shared" si="19"/>
        <v/>
      </c>
      <c r="AC583" s="259" t="str">
        <f>IF(COUNTIF(AD$78:AD583,AD583)=1,MAX(AC$78:AC582)+1,"")</f>
        <v/>
      </c>
      <c r="AD583" s="220">
        <f>'[2]Изложницы без бурта'!B583</f>
        <v>210</v>
      </c>
      <c r="AE583" s="220">
        <f>'[2]Изложницы без бурта'!C583</f>
        <v>265</v>
      </c>
      <c r="AF583" s="56">
        <f>'[2]Изложницы без бурта'!D583</f>
        <v>285</v>
      </c>
      <c r="AG583" s="56">
        <f>'[2]Изложницы без бурта'!E583</f>
        <v>320</v>
      </c>
      <c r="AH583" s="56" t="str">
        <f>'[2]Изложницы без бурта'!F583</f>
        <v>72.11870 - 29</v>
      </c>
      <c r="AI583" s="56">
        <f>'[2]Изложницы без бурта'!G583</f>
        <v>0</v>
      </c>
      <c r="AJ583" s="56">
        <f>'[2]Изложницы без бурта'!H583</f>
        <v>0</v>
      </c>
      <c r="AK583" s="56">
        <f>'[2]Изложницы без бурта'!I583</f>
        <v>0</v>
      </c>
      <c r="AL583" s="56" t="s">
        <v>621</v>
      </c>
      <c r="AM583" s="56">
        <f>'[2]Изложницы без бурта'!K583</f>
        <v>0</v>
      </c>
    </row>
    <row r="584" spans="28:39" x14ac:dyDescent="0.25">
      <c r="AB584" s="258" t="str">
        <f t="shared" si="19"/>
        <v/>
      </c>
      <c r="AC584" s="259" t="str">
        <f>IF(COUNTIF(AD$78:AD584,AD584)=1,MAX(AC$78:AC583)+1,"")</f>
        <v/>
      </c>
      <c r="AD584" s="220">
        <f>'[2]Изложницы без бурта'!B584</f>
        <v>210</v>
      </c>
      <c r="AE584" s="220">
        <f>'[2]Изложницы без бурта'!C584</f>
        <v>263</v>
      </c>
      <c r="AF584" s="56">
        <f>'[2]Изложницы без бурта'!D584</f>
        <v>285</v>
      </c>
      <c r="AG584" s="56">
        <f>'[2]Изложницы без бурта'!E584</f>
        <v>320</v>
      </c>
      <c r="AH584" s="56" t="str">
        <f>'[2]Изложницы без бурта'!F584</f>
        <v>72.11870 - 29</v>
      </c>
      <c r="AI584" s="56">
        <f>'[2]Изложницы без бурта'!G584</f>
        <v>0</v>
      </c>
      <c r="AJ584" s="56">
        <f>'[2]Изложницы без бурта'!H584</f>
        <v>0</v>
      </c>
      <c r="AK584" s="56">
        <f>'[2]Изложницы без бурта'!I584</f>
        <v>0</v>
      </c>
      <c r="AL584" s="56" t="s">
        <v>621</v>
      </c>
      <c r="AM584" s="56">
        <f>'[2]Изложницы без бурта'!K584</f>
        <v>0</v>
      </c>
    </row>
    <row r="585" spans="28:39" x14ac:dyDescent="0.25">
      <c r="AB585" s="258" t="str">
        <f t="shared" si="19"/>
        <v/>
      </c>
      <c r="AC585" s="259" t="str">
        <f>IF(COUNTIF(AD$78:AD585,AD585)=1,MAX(AC$78:AC584)+1,"")</f>
        <v/>
      </c>
      <c r="AD585" s="220">
        <f>'[2]Изложницы без бурта'!B585</f>
        <v>210</v>
      </c>
      <c r="AE585" s="220">
        <f>'[2]Изложницы без бурта'!C585</f>
        <v>398</v>
      </c>
      <c r="AF585" s="56">
        <f>'[2]Изложницы без бурта'!D585</f>
        <v>285</v>
      </c>
      <c r="AG585" s="56">
        <f>'[2]Изложницы без бурта'!E585</f>
        <v>320</v>
      </c>
      <c r="AH585" s="56" t="str">
        <f>'[2]Изложницы без бурта'!F585</f>
        <v>10.255223 - 5</v>
      </c>
      <c r="AI585" s="56">
        <f>'[2]Изложницы без бурта'!G585</f>
        <v>7260023</v>
      </c>
      <c r="AJ585" s="56">
        <f>'[2]Изложницы без бурта'!H585</f>
        <v>0</v>
      </c>
      <c r="AK585" s="56">
        <f>'[2]Изложницы без бурта'!I585</f>
        <v>0</v>
      </c>
      <c r="AL585" s="56" t="s">
        <v>621</v>
      </c>
      <c r="AM585" s="56">
        <f>'[2]Изложницы без бурта'!K585</f>
        <v>0</v>
      </c>
    </row>
    <row r="586" spans="28:39" x14ac:dyDescent="0.25">
      <c r="AB586" s="258" t="str">
        <f t="shared" si="19"/>
        <v/>
      </c>
      <c r="AC586" s="259" t="str">
        <f>IF(COUNTIF(AD$78:AD586,AD586)=1,MAX(AC$78:AC585)+1,"")</f>
        <v/>
      </c>
      <c r="AD586" s="220">
        <f>'[2]Изложницы без бурта'!B586</f>
        <v>210</v>
      </c>
      <c r="AE586" s="220">
        <f>'[2]Изложницы без бурта'!C586</f>
        <v>400</v>
      </c>
      <c r="AF586" s="56">
        <f>'[2]Изложницы без бурта'!D586</f>
        <v>285</v>
      </c>
      <c r="AG586" s="56">
        <f>'[2]Изложницы без бурта'!E586</f>
        <v>320</v>
      </c>
      <c r="AH586" s="56" t="str">
        <f>'[2]Изложницы без бурта'!F586</f>
        <v>10.255223 - 5</v>
      </c>
      <c r="AI586" s="56">
        <f>'[2]Изложницы без бурта'!G586</f>
        <v>7260023</v>
      </c>
      <c r="AJ586" s="56" t="str">
        <f>'[2]Изложницы без бурта'!H586</f>
        <v>Н.Н. - нет кокиля - 26.07.2022</v>
      </c>
      <c r="AK586" s="56">
        <f>'[2]Изложницы без бурта'!I586</f>
        <v>0</v>
      </c>
      <c r="AL586" s="56" t="s">
        <v>621</v>
      </c>
      <c r="AM586" s="56">
        <f>'[2]Изложницы без бурта'!K586</f>
        <v>0</v>
      </c>
    </row>
    <row r="587" spans="28:39" x14ac:dyDescent="0.25">
      <c r="AB587" s="258" t="str">
        <f t="shared" si="19"/>
        <v/>
      </c>
      <c r="AC587" s="259" t="str">
        <f>IF(COUNTIF(AD$78:AD587,AD587)=1,MAX(AC$78:AC586)+1,"")</f>
        <v/>
      </c>
      <c r="AD587" s="220">
        <f>'[2]Изложницы без бурта'!B587</f>
        <v>210</v>
      </c>
      <c r="AE587" s="220">
        <f>'[2]Изложницы без бурта'!C587</f>
        <v>380</v>
      </c>
      <c r="AF587" s="56">
        <f>'[2]Изложницы без бурта'!D587</f>
        <v>285</v>
      </c>
      <c r="AG587" s="56">
        <f>'[2]Изложницы без бурта'!E587</f>
        <v>320</v>
      </c>
      <c r="AH587" s="56" t="str">
        <f>'[2]Изложницы без бурта'!F587</f>
        <v>72.42461 - 29</v>
      </c>
      <c r="AI587" s="56">
        <f>'[2]Изложницы без бурта'!G587</f>
        <v>0</v>
      </c>
      <c r="AJ587" s="56">
        <f>'[2]Изложницы без бурта'!H587</f>
        <v>0</v>
      </c>
      <c r="AK587" s="56">
        <f>'[2]Изложницы без бурта'!I587</f>
        <v>0</v>
      </c>
      <c r="AL587" s="56" t="s">
        <v>621</v>
      </c>
      <c r="AM587" s="56">
        <f>'[2]Изложницы без бурта'!K587</f>
        <v>0</v>
      </c>
    </row>
    <row r="588" spans="28:39" x14ac:dyDescent="0.25">
      <c r="AB588" s="258" t="str">
        <f t="shared" si="19"/>
        <v/>
      </c>
      <c r="AC588" s="259" t="str">
        <f>IF(COUNTIF(AD$78:AD588,AD588)=1,MAX(AC$78:AC587)+1,"")</f>
        <v/>
      </c>
      <c r="AD588" s="220">
        <f>'[2]Изложницы без бурта'!B588</f>
        <v>210</v>
      </c>
      <c r="AE588" s="220">
        <f>'[2]Изложницы без бурта'!C588</f>
        <v>263</v>
      </c>
      <c r="AF588" s="56">
        <f>'[2]Изложницы без бурта'!D588</f>
        <v>285</v>
      </c>
      <c r="AG588" s="56">
        <f>'[2]Изложницы без бурта'!E588</f>
        <v>320</v>
      </c>
      <c r="AH588" s="56" t="str">
        <f>'[2]Изложницы без бурта'!F588</f>
        <v>72.11870 - 29</v>
      </c>
      <c r="AI588" s="56">
        <f>'[2]Изложницы без бурта'!G588</f>
        <v>0</v>
      </c>
      <c r="AJ588" s="56">
        <f>'[2]Изложницы без бурта'!H588</f>
        <v>0</v>
      </c>
      <c r="AK588" s="56">
        <f>'[2]Изложницы без бурта'!I588</f>
        <v>0</v>
      </c>
      <c r="AL588" s="56" t="s">
        <v>621</v>
      </c>
      <c r="AM588" s="56">
        <f>'[2]Изложницы без бурта'!K588</f>
        <v>0</v>
      </c>
    </row>
    <row r="589" spans="28:39" x14ac:dyDescent="0.25">
      <c r="AB589" s="258" t="str">
        <f t="shared" si="19"/>
        <v/>
      </c>
      <c r="AC589" s="259" t="str">
        <f>IF(COUNTIF(AD$78:AD589,AD589)=1,MAX(AC$78:AC588)+1,"")</f>
        <v/>
      </c>
      <c r="AD589" s="220">
        <f>'[2]Изложницы без бурта'!B589</f>
        <v>210</v>
      </c>
      <c r="AE589" s="220">
        <f>'[2]Изложницы без бурта'!C589</f>
        <v>377</v>
      </c>
      <c r="AF589" s="56">
        <f>'[2]Изложницы без бурта'!D589</f>
        <v>285</v>
      </c>
      <c r="AG589" s="56">
        <f>'[2]Изложницы без бурта'!E589</f>
        <v>320</v>
      </c>
      <c r="AH589" s="56" t="str">
        <f>'[2]Изложницы без бурта'!F589</f>
        <v>72.42461 - 29</v>
      </c>
      <c r="AI589" s="56">
        <f>'[2]Изложницы без бурта'!G589</f>
        <v>0</v>
      </c>
      <c r="AJ589" s="56">
        <f>'[2]Изложницы без бурта'!H589</f>
        <v>0</v>
      </c>
      <c r="AK589" s="56">
        <f>'[2]Изложницы без бурта'!I589</f>
        <v>0</v>
      </c>
      <c r="AL589" s="56" t="s">
        <v>621</v>
      </c>
      <c r="AM589" s="56">
        <f>'[2]Изложницы без бурта'!K589</f>
        <v>0</v>
      </c>
    </row>
    <row r="590" spans="28:39" x14ac:dyDescent="0.25">
      <c r="AB590" s="258" t="str">
        <f t="shared" si="19"/>
        <v/>
      </c>
      <c r="AC590" s="259" t="str">
        <f>IF(COUNTIF(AD$78:AD590,AD590)=1,MAX(AC$78:AC589)+1,"")</f>
        <v/>
      </c>
      <c r="AD590" s="220">
        <f>'[2]Изложницы без бурта'!B590</f>
        <v>210</v>
      </c>
      <c r="AE590" s="220">
        <f>'[2]Изложницы без бурта'!C590</f>
        <v>318</v>
      </c>
      <c r="AF590" s="56">
        <f>'[2]Изложницы без бурта'!D590</f>
        <v>285</v>
      </c>
      <c r="AG590" s="56">
        <f>'[2]Изложницы без бурта'!E590</f>
        <v>320</v>
      </c>
      <c r="AH590" s="56" t="str">
        <f>'[2]Изложницы без бурта'!F590</f>
        <v>72.11871 - 29</v>
      </c>
      <c r="AI590" s="56">
        <f>'[2]Изложницы без бурта'!G590</f>
        <v>0</v>
      </c>
      <c r="AJ590" s="56">
        <f>'[2]Изложницы без бурта'!H590</f>
        <v>0</v>
      </c>
      <c r="AK590" s="56">
        <f>'[2]Изложницы без бурта'!I590</f>
        <v>0</v>
      </c>
      <c r="AL590" s="56" t="s">
        <v>621</v>
      </c>
      <c r="AM590" s="56">
        <f>'[2]Изложницы без бурта'!K590</f>
        <v>0</v>
      </c>
    </row>
    <row r="591" spans="28:39" x14ac:dyDescent="0.25">
      <c r="AB591" s="258" t="str">
        <f t="shared" si="19"/>
        <v/>
      </c>
      <c r="AC591" s="259" t="str">
        <f>IF(COUNTIF(AD$78:AD591,AD591)=1,MAX(AC$78:AC590)+1,"")</f>
        <v/>
      </c>
      <c r="AD591" s="220">
        <f>'[2]Изложницы без бурта'!B591</f>
        <v>210</v>
      </c>
      <c r="AE591" s="220">
        <f>'[2]Изложницы без бурта'!C591</f>
        <v>320</v>
      </c>
      <c r="AF591" s="56">
        <f>'[2]Изложницы без бурта'!D591</f>
        <v>285</v>
      </c>
      <c r="AG591" s="56">
        <f>'[2]Изложницы без бурта'!E591</f>
        <v>320</v>
      </c>
      <c r="AH591" s="56" t="str">
        <f>'[2]Изложницы без бурта'!F591</f>
        <v>72.11871 - 29</v>
      </c>
      <c r="AI591" s="56">
        <f>'[2]Изложницы без бурта'!G591</f>
        <v>0</v>
      </c>
      <c r="AJ591" s="56">
        <f>'[2]Изложницы без бурта'!H591</f>
        <v>0</v>
      </c>
      <c r="AK591" s="56">
        <f>'[2]Изложницы без бурта'!I591</f>
        <v>0</v>
      </c>
      <c r="AL591" s="56" t="s">
        <v>621</v>
      </c>
      <c r="AM591" s="56">
        <f>'[2]Изложницы без бурта'!K591</f>
        <v>0</v>
      </c>
    </row>
    <row r="592" spans="28:39" x14ac:dyDescent="0.25">
      <c r="AB592" s="258" t="str">
        <f t="shared" si="19"/>
        <v/>
      </c>
      <c r="AC592" s="259" t="str">
        <f>IF(COUNTIF(AD$78:AD592,AD592)=1,MAX(AC$78:AC591)+1,"")</f>
        <v/>
      </c>
      <c r="AD592" s="220">
        <f>'[2]Изложницы без бурта'!B592</f>
        <v>210</v>
      </c>
      <c r="AE592" s="220">
        <f>'[2]Изложницы без бурта'!C592</f>
        <v>315</v>
      </c>
      <c r="AF592" s="56">
        <f>'[2]Изложницы без бурта'!D592</f>
        <v>285</v>
      </c>
      <c r="AG592" s="56">
        <f>'[2]Изложницы без бурта'!E592</f>
        <v>320</v>
      </c>
      <c r="AH592" s="56" t="str">
        <f>'[2]Изложницы без бурта'!F592</f>
        <v>72.11871 - 29</v>
      </c>
      <c r="AI592" s="56">
        <f>'[2]Изложницы без бурта'!G592</f>
        <v>0</v>
      </c>
      <c r="AJ592" s="56">
        <f>'[2]Изложницы без бурта'!H592</f>
        <v>0</v>
      </c>
      <c r="AK592" s="56">
        <f>'[2]Изложницы без бурта'!I592</f>
        <v>0</v>
      </c>
      <c r="AL592" s="56" t="s">
        <v>621</v>
      </c>
      <c r="AM592" s="56">
        <f>'[2]Изложницы без бурта'!K592</f>
        <v>0</v>
      </c>
    </row>
    <row r="593" spans="28:39" x14ac:dyDescent="0.25">
      <c r="AB593" s="258" t="str">
        <f t="shared" si="19"/>
        <v/>
      </c>
      <c r="AC593" s="259" t="str">
        <f>IF(COUNTIF(AD$78:AD593,AD593)=1,MAX(AC$78:AC592)+1,"")</f>
        <v/>
      </c>
      <c r="AD593" s="220">
        <f>'[2]Изложницы без бурта'!B593</f>
        <v>210</v>
      </c>
      <c r="AE593" s="220">
        <f>'[2]Изложницы без бурта'!C593</f>
        <v>263</v>
      </c>
      <c r="AF593" s="56">
        <f>'[2]Изложницы без бурта'!D593</f>
        <v>285</v>
      </c>
      <c r="AG593" s="56">
        <f>'[2]Изложницы без бурта'!E593</f>
        <v>320</v>
      </c>
      <c r="AH593" s="56" t="str">
        <f>'[2]Изложницы без бурта'!F593</f>
        <v>72.11870 - 29</v>
      </c>
      <c r="AI593" s="56">
        <f>'[2]Изложницы без бурта'!G593</f>
        <v>0</v>
      </c>
      <c r="AJ593" s="56">
        <f>'[2]Изложницы без бурта'!H593</f>
        <v>0</v>
      </c>
      <c r="AK593" s="56">
        <f>'[2]Изложницы без бурта'!I593</f>
        <v>0</v>
      </c>
      <c r="AL593" s="56" t="s">
        <v>621</v>
      </c>
      <c r="AM593" s="56">
        <f>'[2]Изложницы без бурта'!K593</f>
        <v>0</v>
      </c>
    </row>
    <row r="594" spans="28:39" x14ac:dyDescent="0.25">
      <c r="AB594" s="258" t="str">
        <f t="shared" si="19"/>
        <v/>
      </c>
      <c r="AC594" s="259" t="str">
        <f>IF(COUNTIF(AD$78:AD594,AD594)=1,MAX(AC$78:AC593)+1,"")</f>
        <v/>
      </c>
      <c r="AD594" s="220">
        <f>'[2]Изложницы без бурта'!B594</f>
        <v>210</v>
      </c>
      <c r="AE594" s="220">
        <f>'[2]Изложницы без бурта'!C594</f>
        <v>263</v>
      </c>
      <c r="AF594" s="56">
        <f>'[2]Изложницы без бурта'!D594</f>
        <v>285</v>
      </c>
      <c r="AG594" s="56">
        <f>'[2]Изложницы без бурта'!E594</f>
        <v>320</v>
      </c>
      <c r="AH594" s="56" t="str">
        <f>'[2]Изложницы без бурта'!F594</f>
        <v>72.11870 - 29</v>
      </c>
      <c r="AI594" s="56">
        <f>'[2]Изложницы без бурта'!G594</f>
        <v>0</v>
      </c>
      <c r="AJ594" s="56">
        <f>'[2]Изложницы без бурта'!H594</f>
        <v>0</v>
      </c>
      <c r="AK594" s="56">
        <f>'[2]Изложницы без бурта'!I594</f>
        <v>0</v>
      </c>
      <c r="AL594" s="56" t="s">
        <v>621</v>
      </c>
      <c r="AM594" s="56">
        <f>'[2]Изложницы без бурта'!K594</f>
        <v>0</v>
      </c>
    </row>
    <row r="595" spans="28:39" x14ac:dyDescent="0.25">
      <c r="AB595" s="258" t="str">
        <f t="shared" si="19"/>
        <v/>
      </c>
      <c r="AC595" s="259" t="str">
        <f>IF(COUNTIF(AD$78:AD595,AD595)=1,MAX(AC$78:AC594)+1,"")</f>
        <v/>
      </c>
      <c r="AD595" s="220">
        <f>'[2]Изложницы без бурта'!B595</f>
        <v>210</v>
      </c>
      <c r="AE595" s="220">
        <f>'[2]Изложницы без бурта'!C595</f>
        <v>263</v>
      </c>
      <c r="AF595" s="56">
        <f>'[2]Изложницы без бурта'!D595</f>
        <v>285</v>
      </c>
      <c r="AG595" s="56">
        <f>'[2]Изложницы без бурта'!E595</f>
        <v>320</v>
      </c>
      <c r="AH595" s="56" t="str">
        <f>'[2]Изложницы без бурта'!F595</f>
        <v>72.11870 - 29</v>
      </c>
      <c r="AI595" s="56">
        <f>'[2]Изложницы без бурта'!G595</f>
        <v>0</v>
      </c>
      <c r="AJ595" s="56">
        <f>'[2]Изложницы без бурта'!H595</f>
        <v>0</v>
      </c>
      <c r="AK595" s="56">
        <f>'[2]Изложницы без бурта'!I595</f>
        <v>0</v>
      </c>
      <c r="AL595" s="56" t="s">
        <v>621</v>
      </c>
      <c r="AM595" s="56">
        <f>'[2]Изложницы без бурта'!K595</f>
        <v>0</v>
      </c>
    </row>
    <row r="596" spans="28:39" x14ac:dyDescent="0.25">
      <c r="AB596" s="258" t="str">
        <f t="shared" si="19"/>
        <v/>
      </c>
      <c r="AC596" s="259" t="str">
        <f>IF(COUNTIF(AD$78:AD596,AD596)=1,MAX(AC$78:AC595)+1,"")</f>
        <v/>
      </c>
      <c r="AD596" s="220">
        <f>'[2]Изложницы без бурта'!B596</f>
        <v>210</v>
      </c>
      <c r="AE596" s="220">
        <f>'[2]Изложницы без бурта'!C596</f>
        <v>380</v>
      </c>
      <c r="AF596" s="56">
        <f>'[2]Изложницы без бурта'!D596</f>
        <v>285</v>
      </c>
      <c r="AG596" s="56">
        <f>'[2]Изложницы без бурта'!E596</f>
        <v>320</v>
      </c>
      <c r="AH596" s="56" t="str">
        <f>'[2]Изложницы без бурта'!F596</f>
        <v>72.42461 - 29</v>
      </c>
      <c r="AI596" s="56">
        <f>'[2]Изложницы без бурта'!G596</f>
        <v>0</v>
      </c>
      <c r="AJ596" s="56">
        <f>'[2]Изложницы без бурта'!H596</f>
        <v>0</v>
      </c>
      <c r="AK596" s="56">
        <f>'[2]Изложницы без бурта'!I596</f>
        <v>0</v>
      </c>
      <c r="AL596" s="56" t="s">
        <v>621</v>
      </c>
      <c r="AM596" s="56">
        <f>'[2]Изложницы без бурта'!K596</f>
        <v>0</v>
      </c>
    </row>
    <row r="597" spans="28:39" x14ac:dyDescent="0.25">
      <c r="AB597" s="258" t="str">
        <f t="shared" si="19"/>
        <v/>
      </c>
      <c r="AC597" s="259" t="str">
        <f>IF(COUNTIF(AD$78:AD597,AD597)=1,MAX(AC$78:AC596)+1,"")</f>
        <v/>
      </c>
      <c r="AD597" s="220">
        <f>'[2]Изложницы без бурта'!B597</f>
        <v>210</v>
      </c>
      <c r="AE597" s="220">
        <f>'[2]Изложницы без бурта'!C597</f>
        <v>375</v>
      </c>
      <c r="AF597" s="56">
        <f>'[2]Изложницы без бурта'!D597</f>
        <v>285</v>
      </c>
      <c r="AG597" s="56">
        <f>'[2]Изложницы без бурта'!E597</f>
        <v>320</v>
      </c>
      <c r="AH597" s="56" t="str">
        <f>'[2]Изложницы без бурта'!F597</f>
        <v>72.42461 - 29</v>
      </c>
      <c r="AI597" s="56">
        <f>'[2]Изложницы без бурта'!G597</f>
        <v>0</v>
      </c>
      <c r="AJ597" s="56">
        <f>'[2]Изложницы без бурта'!H597</f>
        <v>0</v>
      </c>
      <c r="AK597" s="56">
        <f>'[2]Изложницы без бурта'!I597</f>
        <v>0</v>
      </c>
      <c r="AL597" s="56" t="s">
        <v>621</v>
      </c>
      <c r="AM597" s="56">
        <f>'[2]Изложницы без бурта'!K597</f>
        <v>0</v>
      </c>
    </row>
    <row r="598" spans="28:39" x14ac:dyDescent="0.25">
      <c r="AB598" s="258" t="str">
        <f t="shared" si="19"/>
        <v/>
      </c>
      <c r="AC598" s="259" t="str">
        <f>IF(COUNTIF(AD$78:AD598,AD598)=1,MAX(AC$78:AC597)+1,"")</f>
        <v/>
      </c>
      <c r="AD598" s="220">
        <f>'[2]Изложницы без бурта'!B598</f>
        <v>210</v>
      </c>
      <c r="AE598" s="220">
        <f>'[2]Изложницы без бурта'!C598</f>
        <v>375</v>
      </c>
      <c r="AF598" s="56">
        <f>'[2]Изложницы без бурта'!D598</f>
        <v>285</v>
      </c>
      <c r="AG598" s="56">
        <f>'[2]Изложницы без бурта'!E598</f>
        <v>320</v>
      </c>
      <c r="AH598" s="56" t="str">
        <f>'[2]Изложницы без бурта'!F598</f>
        <v>72.42461 - 29</v>
      </c>
      <c r="AI598" s="56">
        <f>'[2]Изложницы без бурта'!G598</f>
        <v>0</v>
      </c>
      <c r="AJ598" s="56">
        <f>'[2]Изложницы без бурта'!H598</f>
        <v>0</v>
      </c>
      <c r="AK598" s="56">
        <f>'[2]Изложницы без бурта'!I598</f>
        <v>0</v>
      </c>
      <c r="AL598" s="56" t="s">
        <v>621</v>
      </c>
      <c r="AM598" s="56">
        <f>'[2]Изложницы без бурта'!K598</f>
        <v>0</v>
      </c>
    </row>
    <row r="599" spans="28:39" x14ac:dyDescent="0.25">
      <c r="AB599" s="258" t="str">
        <f t="shared" si="19"/>
        <v/>
      </c>
      <c r="AC599" s="259">
        <f>IF(COUNTIF(AD$78:AD599,AD599)=1,MAX(AC$78:AC598)+1,"")</f>
        <v>50</v>
      </c>
      <c r="AD599" s="220">
        <f>'[2]Изложницы без бурта'!B599</f>
        <v>212.5</v>
      </c>
      <c r="AE599" s="220">
        <f>'[2]Изложницы без бурта'!C599</f>
        <v>320</v>
      </c>
      <c r="AF599" s="56">
        <f>'[2]Изложницы без бурта'!D599</f>
        <v>285</v>
      </c>
      <c r="AG599" s="56">
        <f>'[2]Изложницы без бурта'!E599</f>
        <v>320</v>
      </c>
      <c r="AH599" s="56" t="str">
        <f>'[2]Изложницы без бурта'!F599</f>
        <v>72.11871 - 30</v>
      </c>
      <c r="AI599" s="56">
        <f>'[2]Изложницы без бурта'!G599</f>
        <v>7260024</v>
      </c>
      <c r="AJ599" s="56">
        <f>'[2]Изложницы без бурта'!H599</f>
        <v>0</v>
      </c>
      <c r="AK599" s="56">
        <f>'[2]Изложницы без бурта'!I599</f>
        <v>0</v>
      </c>
      <c r="AL599" s="56" t="s">
        <v>622</v>
      </c>
      <c r="AM599" s="56">
        <f>'[2]Изложницы без бурта'!K599</f>
        <v>0</v>
      </c>
    </row>
    <row r="600" spans="28:39" x14ac:dyDescent="0.25">
      <c r="AB600" s="258" t="str">
        <f t="shared" si="19"/>
        <v/>
      </c>
      <c r="AC600" s="259" t="str">
        <f>IF(COUNTIF(AD$78:AD600,AD600)=1,MAX(AC$78:AC599)+1,"")</f>
        <v/>
      </c>
      <c r="AD600" s="220">
        <f>'[2]Изложницы без бурта'!B600</f>
        <v>212.5</v>
      </c>
      <c r="AE600" s="220">
        <f>'[2]Изложницы без бурта'!C600</f>
        <v>263</v>
      </c>
      <c r="AF600" s="56">
        <f>'[2]Изложницы без бурта'!D600</f>
        <v>285</v>
      </c>
      <c r="AG600" s="56">
        <f>'[2]Изложницы без бурта'!E600</f>
        <v>320</v>
      </c>
      <c r="AH600" s="56" t="str">
        <f>'[2]Изложницы без бурта'!F600</f>
        <v>72.11870 - 30</v>
      </c>
      <c r="AI600" s="56">
        <f>'[2]Изложницы без бурта'!G600</f>
        <v>0</v>
      </c>
      <c r="AJ600" s="56">
        <f>'[2]Изложницы без бурта'!H600</f>
        <v>0</v>
      </c>
      <c r="AK600" s="56">
        <f>'[2]Изложницы без бурта'!I600</f>
        <v>0</v>
      </c>
      <c r="AL600" s="56" t="s">
        <v>622</v>
      </c>
      <c r="AM600" s="56">
        <f>'[2]Изложницы без бурта'!K600</f>
        <v>0</v>
      </c>
    </row>
    <row r="601" spans="28:39" x14ac:dyDescent="0.25">
      <c r="AB601" s="258" t="str">
        <f t="shared" si="19"/>
        <v/>
      </c>
      <c r="AC601" s="259" t="str">
        <f>IF(COUNTIF(AD$78:AD601,AD601)=1,MAX(AC$78:AC600)+1,"")</f>
        <v/>
      </c>
      <c r="AD601" s="220">
        <f>'[2]Изложницы без бурта'!B601</f>
        <v>212.5</v>
      </c>
      <c r="AE601" s="220">
        <f>'[2]Изложницы без бурта'!C601</f>
        <v>400</v>
      </c>
      <c r="AF601" s="56">
        <f>'[2]Изложницы без бурта'!D601</f>
        <v>285</v>
      </c>
      <c r="AG601" s="56">
        <f>'[2]Изложницы без бурта'!E601</f>
        <v>320</v>
      </c>
      <c r="AH601" s="56" t="str">
        <f>'[2]Изложницы без бурта'!F601</f>
        <v>10.255223 - 6</v>
      </c>
      <c r="AI601" s="56">
        <f>'[2]Изложницы без бурта'!G601</f>
        <v>0</v>
      </c>
      <c r="AJ601" s="56">
        <f>'[2]Изложницы без бурта'!H601</f>
        <v>0</v>
      </c>
      <c r="AK601" s="56">
        <f>'[2]Изложницы без бурта'!I601</f>
        <v>0</v>
      </c>
      <c r="AL601" s="56" t="s">
        <v>622</v>
      </c>
      <c r="AM601" s="56">
        <f>'[2]Изложницы без бурта'!K601</f>
        <v>0</v>
      </c>
    </row>
    <row r="602" spans="28:39" x14ac:dyDescent="0.25">
      <c r="AB602" s="258" t="str">
        <f t="shared" si="19"/>
        <v/>
      </c>
      <c r="AC602" s="259" t="str">
        <f>IF(COUNTIF(AD$78:AD602,AD602)=1,MAX(AC$78:AC601)+1,"")</f>
        <v/>
      </c>
      <c r="AD602" s="220">
        <f>'[2]Изложницы без бурта'!B602</f>
        <v>212.5</v>
      </c>
      <c r="AE602" s="220">
        <f>'[2]Изложницы без бурта'!C602</f>
        <v>375</v>
      </c>
      <c r="AF602" s="56">
        <f>'[2]Изложницы без бурта'!D602</f>
        <v>285</v>
      </c>
      <c r="AG602" s="56">
        <f>'[2]Изложницы без бурта'!E602</f>
        <v>320</v>
      </c>
      <c r="AH602" s="56" t="str">
        <f>'[2]Изложницы без бурта'!F602</f>
        <v>72.42461 - 30</v>
      </c>
      <c r="AI602" s="56">
        <f>'[2]Изложницы без бурта'!G602</f>
        <v>0</v>
      </c>
      <c r="AJ602" s="56">
        <f>'[2]Изложницы без бурта'!H602</f>
        <v>0</v>
      </c>
      <c r="AK602" s="56">
        <f>'[2]Изложницы без бурта'!I602</f>
        <v>0</v>
      </c>
      <c r="AL602" s="56" t="s">
        <v>622</v>
      </c>
      <c r="AM602" s="56">
        <f>'[2]Изложницы без бурта'!K602</f>
        <v>0</v>
      </c>
    </row>
    <row r="603" spans="28:39" x14ac:dyDescent="0.25">
      <c r="AB603" s="258" t="str">
        <f t="shared" si="19"/>
        <v/>
      </c>
      <c r="AC603" s="259" t="str">
        <f>IF(COUNTIF(AD$78:AD603,AD603)=1,MAX(AC$78:AC602)+1,"")</f>
        <v/>
      </c>
      <c r="AD603" s="220">
        <f>'[2]Изложницы без бурта'!B603</f>
        <v>212.5</v>
      </c>
      <c r="AE603" s="220">
        <f>'[2]Изложницы без бурта'!C603</f>
        <v>380</v>
      </c>
      <c r="AF603" s="56">
        <f>'[2]Изложницы без бурта'!D603</f>
        <v>285</v>
      </c>
      <c r="AG603" s="56">
        <f>'[2]Изложницы без бурта'!E603</f>
        <v>320</v>
      </c>
      <c r="AH603" s="56" t="str">
        <f>'[2]Изложницы без бурта'!F603</f>
        <v>72.42461 - 30</v>
      </c>
      <c r="AI603" s="56">
        <f>'[2]Изложницы без бурта'!G603</f>
        <v>0</v>
      </c>
      <c r="AJ603" s="56">
        <f>'[2]Изложницы без бурта'!H603</f>
        <v>0</v>
      </c>
      <c r="AK603" s="56">
        <f>'[2]Изложницы без бурта'!I603</f>
        <v>0</v>
      </c>
      <c r="AL603" s="56" t="s">
        <v>622</v>
      </c>
      <c r="AM603" s="56">
        <f>'[2]Изложницы без бурта'!K603</f>
        <v>0</v>
      </c>
    </row>
    <row r="604" spans="28:39" x14ac:dyDescent="0.25">
      <c r="AB604" s="258" t="str">
        <f t="shared" si="19"/>
        <v/>
      </c>
      <c r="AC604" s="259" t="str">
        <f>IF(COUNTIF(AD$78:AD604,AD604)=1,MAX(AC$78:AC603)+1,"")</f>
        <v/>
      </c>
      <c r="AD604" s="220">
        <f>'[2]Изложницы без бурта'!B604</f>
        <v>212.5</v>
      </c>
      <c r="AE604" s="220">
        <f>'[2]Изложницы без бурта'!C604</f>
        <v>320</v>
      </c>
      <c r="AF604" s="56">
        <f>'[2]Изложницы без бурта'!D604</f>
        <v>285</v>
      </c>
      <c r="AG604" s="56">
        <f>'[2]Изложницы без бурта'!E604</f>
        <v>320</v>
      </c>
      <c r="AH604" s="56" t="str">
        <f>'[2]Изложницы без бурта'!F604</f>
        <v>72.11871 - 30</v>
      </c>
      <c r="AI604" s="56">
        <f>'[2]Изложницы без бурта'!G604</f>
        <v>7260024</v>
      </c>
      <c r="AJ604" s="56">
        <f>'[2]Изложницы без бурта'!H604</f>
        <v>0</v>
      </c>
      <c r="AK604" s="56">
        <f>'[2]Изложницы без бурта'!I604</f>
        <v>0</v>
      </c>
      <c r="AL604" s="56" t="s">
        <v>622</v>
      </c>
      <c r="AM604" s="56">
        <f>'[2]Изложницы без бурта'!K604</f>
        <v>0</v>
      </c>
    </row>
    <row r="605" spans="28:39" x14ac:dyDescent="0.25">
      <c r="AB605" s="258" t="str">
        <f t="shared" si="19"/>
        <v/>
      </c>
      <c r="AC605" s="259" t="str">
        <f>IF(COUNTIF(AD$78:AD605,AD605)=1,MAX(AC$78:AC604)+1,"")</f>
        <v/>
      </c>
      <c r="AD605" s="220">
        <f>'[2]Изложницы без бурта'!B605</f>
        <v>212.5</v>
      </c>
      <c r="AE605" s="220">
        <f>'[2]Изложницы без бурта'!C605</f>
        <v>375</v>
      </c>
      <c r="AF605" s="56">
        <f>'[2]Изложницы без бурта'!D605</f>
        <v>285</v>
      </c>
      <c r="AG605" s="56">
        <f>'[2]Изложницы без бурта'!E605</f>
        <v>320</v>
      </c>
      <c r="AH605" s="56" t="str">
        <f>'[2]Изложницы без бурта'!F605</f>
        <v>72.42461 - 30</v>
      </c>
      <c r="AI605" s="56">
        <f>'[2]Изложницы без бурта'!G605</f>
        <v>0</v>
      </c>
      <c r="AJ605" s="56">
        <f>'[2]Изложницы без бурта'!H605</f>
        <v>0</v>
      </c>
      <c r="AK605" s="56">
        <f>'[2]Изложницы без бурта'!I605</f>
        <v>0</v>
      </c>
      <c r="AL605" s="56" t="s">
        <v>622</v>
      </c>
      <c r="AM605" s="56">
        <f>'[2]Изложницы без бурта'!K605</f>
        <v>0</v>
      </c>
    </row>
    <row r="606" spans="28:39" x14ac:dyDescent="0.25">
      <c r="AB606" s="258" t="str">
        <f t="shared" si="19"/>
        <v/>
      </c>
      <c r="AC606" s="259" t="str">
        <f>IF(COUNTIF(AD$78:AD606,AD606)=1,MAX(AC$78:AC605)+1,"")</f>
        <v/>
      </c>
      <c r="AD606" s="220">
        <f>'[2]Изложницы без бурта'!B606</f>
        <v>212.5</v>
      </c>
      <c r="AE606" s="220">
        <f>'[2]Изложницы без бурта'!C606</f>
        <v>375</v>
      </c>
      <c r="AF606" s="56">
        <f>'[2]Изложницы без бурта'!D606</f>
        <v>285</v>
      </c>
      <c r="AG606" s="56">
        <f>'[2]Изложницы без бурта'!E606</f>
        <v>320</v>
      </c>
      <c r="AH606" s="56" t="str">
        <f>'[2]Изложницы без бурта'!F606</f>
        <v>72.42461 - 30</v>
      </c>
      <c r="AI606" s="56">
        <f>'[2]Изложницы без бурта'!G606</f>
        <v>0</v>
      </c>
      <c r="AJ606" s="56">
        <f>'[2]Изложницы без бурта'!H606</f>
        <v>0</v>
      </c>
      <c r="AK606" s="56">
        <f>'[2]Изложницы без бурта'!I606</f>
        <v>0</v>
      </c>
      <c r="AL606" s="56" t="s">
        <v>622</v>
      </c>
      <c r="AM606" s="56">
        <f>'[2]Изложницы без бурта'!K606</f>
        <v>0</v>
      </c>
    </row>
    <row r="607" spans="28:39" x14ac:dyDescent="0.25">
      <c r="AB607" s="258" t="str">
        <f t="shared" si="19"/>
        <v/>
      </c>
      <c r="AC607" s="259" t="str">
        <f>IF(COUNTIF(AD$78:AD607,AD607)=1,MAX(AC$78:AC606)+1,"")</f>
        <v/>
      </c>
      <c r="AD607" s="220">
        <f>'[2]Изложницы без бурта'!B607</f>
        <v>212.5</v>
      </c>
      <c r="AE607" s="220">
        <f>'[2]Изложницы без бурта'!C607</f>
        <v>263</v>
      </c>
      <c r="AF607" s="56">
        <f>'[2]Изложницы без бурта'!D607</f>
        <v>285</v>
      </c>
      <c r="AG607" s="56">
        <f>'[2]Изложницы без бурта'!E607</f>
        <v>320</v>
      </c>
      <c r="AH607" s="56" t="str">
        <f>'[2]Изложницы без бурта'!F607</f>
        <v>72.11870 - 30</v>
      </c>
      <c r="AI607" s="56">
        <f>'[2]Изложницы без бурта'!G607</f>
        <v>0</v>
      </c>
      <c r="AJ607" s="56">
        <f>'[2]Изложницы без бурта'!H607</f>
        <v>0</v>
      </c>
      <c r="AK607" s="56">
        <f>'[2]Изложницы без бурта'!I607</f>
        <v>0</v>
      </c>
      <c r="AL607" s="56" t="s">
        <v>622</v>
      </c>
      <c r="AM607" s="56">
        <f>'[2]Изложницы без бурта'!K607</f>
        <v>0</v>
      </c>
    </row>
    <row r="608" spans="28:39" x14ac:dyDescent="0.25">
      <c r="AB608" s="258" t="str">
        <f t="shared" si="19"/>
        <v/>
      </c>
      <c r="AC608" s="259">
        <f>IF(COUNTIF(AD$78:AD608,AD608)=1,MAX(AC$78:AC607)+1,"")</f>
        <v>51</v>
      </c>
      <c r="AD608" s="220">
        <f>'[2]Изложницы без бурта'!B608</f>
        <v>215</v>
      </c>
      <c r="AE608" s="220">
        <f>'[2]Изложницы без бурта'!C608</f>
        <v>375</v>
      </c>
      <c r="AF608" s="56">
        <f>'[2]Изложницы без бурта'!D608</f>
        <v>285</v>
      </c>
      <c r="AG608" s="56">
        <f>'[2]Изложницы без бурта'!E608</f>
        <v>320</v>
      </c>
      <c r="AH608" s="56" t="str">
        <f>'[2]Изложницы без бурта'!F608</f>
        <v>72.42461 - 31</v>
      </c>
      <c r="AI608" s="56">
        <f>'[2]Изложницы без бурта'!G608</f>
        <v>0</v>
      </c>
      <c r="AJ608" s="56">
        <f>'[2]Изложницы без бурта'!H608</f>
        <v>0</v>
      </c>
      <c r="AK608" s="56">
        <f>'[2]Изложницы без бурта'!I608</f>
        <v>0</v>
      </c>
      <c r="AL608" s="56" t="s">
        <v>623</v>
      </c>
      <c r="AM608" s="56">
        <f>'[2]Изложницы без бурта'!K608</f>
        <v>0</v>
      </c>
    </row>
    <row r="609" spans="28:39" x14ac:dyDescent="0.25">
      <c r="AB609" s="258" t="str">
        <f t="shared" si="19"/>
        <v/>
      </c>
      <c r="AC609" s="259" t="str">
        <f>IF(COUNTIF(AD$78:AD609,AD609)=1,MAX(AC$78:AC608)+1,"")</f>
        <v/>
      </c>
      <c r="AD609" s="220">
        <f>'[2]Изложницы без бурта'!B609</f>
        <v>215</v>
      </c>
      <c r="AE609" s="220">
        <f>'[2]Изложницы без бурта'!C609</f>
        <v>265</v>
      </c>
      <c r="AF609" s="56">
        <f>'[2]Изложницы без бурта'!D609</f>
        <v>285</v>
      </c>
      <c r="AG609" s="56">
        <f>'[2]Изложницы без бурта'!E609</f>
        <v>320</v>
      </c>
      <c r="AH609" s="56" t="str">
        <f>'[2]Изложницы без бурта'!F609</f>
        <v>72.11870 - 31</v>
      </c>
      <c r="AI609" s="56">
        <f>'[2]Изложницы без бурта'!G609</f>
        <v>0</v>
      </c>
      <c r="AJ609" s="56">
        <f>'[2]Изложницы без бурта'!H609</f>
        <v>0</v>
      </c>
      <c r="AK609" s="56">
        <f>'[2]Изложницы без бурта'!I609</f>
        <v>0</v>
      </c>
      <c r="AL609" s="56" t="s">
        <v>623</v>
      </c>
      <c r="AM609" s="56">
        <f>'[2]Изложницы без бурта'!K609</f>
        <v>0</v>
      </c>
    </row>
    <row r="610" spans="28:39" x14ac:dyDescent="0.25">
      <c r="AB610" s="258" t="str">
        <f t="shared" si="19"/>
        <v/>
      </c>
      <c r="AC610" s="259" t="str">
        <f>IF(COUNTIF(AD$78:AD610,AD610)=1,MAX(AC$78:AC609)+1,"")</f>
        <v/>
      </c>
      <c r="AD610" s="220">
        <f>'[2]Изложницы без бурта'!B610</f>
        <v>215</v>
      </c>
      <c r="AE610" s="220">
        <f>'[2]Изложницы без бурта'!C610</f>
        <v>265</v>
      </c>
      <c r="AF610" s="56">
        <f>'[2]Изложницы без бурта'!D610</f>
        <v>285</v>
      </c>
      <c r="AG610" s="56">
        <f>'[2]Изложницы без бурта'!E610</f>
        <v>320</v>
      </c>
      <c r="AH610" s="56" t="str">
        <f>'[2]Изложницы без бурта'!F610</f>
        <v>72.11870 - 31</v>
      </c>
      <c r="AI610" s="56">
        <f>'[2]Изложницы без бурта'!G610</f>
        <v>0</v>
      </c>
      <c r="AJ610" s="56">
        <f>'[2]Изложницы без бурта'!H610</f>
        <v>0</v>
      </c>
      <c r="AK610" s="56">
        <f>'[2]Изложницы без бурта'!I610</f>
        <v>0</v>
      </c>
      <c r="AL610" s="56" t="s">
        <v>623</v>
      </c>
      <c r="AM610" s="56">
        <f>'[2]Изложницы без бурта'!K610</f>
        <v>0</v>
      </c>
    </row>
    <row r="611" spans="28:39" x14ac:dyDescent="0.25">
      <c r="AB611" s="258" t="str">
        <f t="shared" si="19"/>
        <v/>
      </c>
      <c r="AC611" s="259" t="str">
        <f>IF(COUNTIF(AD$78:AD611,AD611)=1,MAX(AC$78:AC610)+1,"")</f>
        <v/>
      </c>
      <c r="AD611" s="220">
        <f>'[2]Изложницы без бурта'!B611</f>
        <v>215</v>
      </c>
      <c r="AE611" s="220">
        <f>'[2]Изложницы без бурта'!C611</f>
        <v>265</v>
      </c>
      <c r="AF611" s="56">
        <f>'[2]Изложницы без бурта'!D611</f>
        <v>285</v>
      </c>
      <c r="AG611" s="56">
        <f>'[2]Изложницы без бурта'!E611</f>
        <v>320</v>
      </c>
      <c r="AH611" s="56" t="str">
        <f>'[2]Изложницы без бурта'!F611</f>
        <v>72.11870 - 31</v>
      </c>
      <c r="AI611" s="56">
        <f>'[2]Изложницы без бурта'!G611</f>
        <v>0</v>
      </c>
      <c r="AJ611" s="56">
        <f>'[2]Изложницы без бурта'!H611</f>
        <v>0</v>
      </c>
      <c r="AK611" s="56">
        <f>'[2]Изложницы без бурта'!I611</f>
        <v>0</v>
      </c>
      <c r="AL611" s="56" t="s">
        <v>623</v>
      </c>
      <c r="AM611" s="56">
        <f>'[2]Изложницы без бурта'!K611</f>
        <v>0</v>
      </c>
    </row>
    <row r="612" spans="28:39" x14ac:dyDescent="0.25">
      <c r="AB612" s="258" t="str">
        <f t="shared" si="19"/>
        <v/>
      </c>
      <c r="AC612" s="259" t="str">
        <f>IF(COUNTIF(AD$78:AD612,AD612)=1,MAX(AC$78:AC611)+1,"")</f>
        <v/>
      </c>
      <c r="AD612" s="220">
        <f>'[2]Изложницы без бурта'!B612</f>
        <v>215</v>
      </c>
      <c r="AE612" s="220">
        <f>'[2]Изложницы без бурта'!C612</f>
        <v>320</v>
      </c>
      <c r="AF612" s="56">
        <f>'[2]Изложницы без бурта'!D612</f>
        <v>285</v>
      </c>
      <c r="AG612" s="56">
        <f>'[2]Изложницы без бурта'!E612</f>
        <v>320</v>
      </c>
      <c r="AH612" s="56" t="str">
        <f>'[2]Изложницы без бурта'!F612</f>
        <v>72.11871 - 31</v>
      </c>
      <c r="AI612" s="56">
        <f>'[2]Изложницы без бурта'!G612</f>
        <v>0</v>
      </c>
      <c r="AJ612" s="56">
        <f>'[2]Изложницы без бурта'!H612</f>
        <v>0</v>
      </c>
      <c r="AK612" s="56">
        <f>'[2]Изложницы без бурта'!I612</f>
        <v>0</v>
      </c>
      <c r="AL612" s="56" t="s">
        <v>623</v>
      </c>
      <c r="AM612" s="56">
        <f>'[2]Изложницы без бурта'!K612</f>
        <v>0</v>
      </c>
    </row>
    <row r="613" spans="28:39" x14ac:dyDescent="0.25">
      <c r="AB613" s="258" t="str">
        <f t="shared" si="19"/>
        <v/>
      </c>
      <c r="AC613" s="259" t="str">
        <f>IF(COUNTIF(AD$78:AD613,AD613)=1,MAX(AC$78:AC612)+1,"")</f>
        <v/>
      </c>
      <c r="AD613" s="220">
        <f>'[2]Изложницы без бурта'!B613</f>
        <v>215</v>
      </c>
      <c r="AE613" s="220">
        <f>'[2]Изложницы без бурта'!C613</f>
        <v>265</v>
      </c>
      <c r="AF613" s="56">
        <f>'[2]Изложницы без бурта'!D613</f>
        <v>285</v>
      </c>
      <c r="AG613" s="56">
        <f>'[2]Изложницы без бурта'!E613</f>
        <v>320</v>
      </c>
      <c r="AH613" s="56" t="str">
        <f>'[2]Изложницы без бурта'!F613</f>
        <v>72.11870 - 31</v>
      </c>
      <c r="AI613" s="56">
        <f>'[2]Изложницы без бурта'!G613</f>
        <v>0</v>
      </c>
      <c r="AJ613" s="56">
        <f>'[2]Изложницы без бурта'!H613</f>
        <v>0</v>
      </c>
      <c r="AK613" s="56">
        <f>'[2]Изложницы без бурта'!I613</f>
        <v>0</v>
      </c>
      <c r="AL613" s="56" t="s">
        <v>623</v>
      </c>
      <c r="AM613" s="56">
        <f>'[2]Изложницы без бурта'!K613</f>
        <v>0</v>
      </c>
    </row>
    <row r="614" spans="28:39" x14ac:dyDescent="0.25">
      <c r="AB614" s="258" t="str">
        <f t="shared" si="19"/>
        <v/>
      </c>
      <c r="AC614" s="259" t="str">
        <f>IF(COUNTIF(AD$78:AD614,AD614)=1,MAX(AC$78:AC613)+1,"")</f>
        <v/>
      </c>
      <c r="AD614" s="220">
        <f>'[2]Изложницы без бурта'!B614</f>
        <v>215</v>
      </c>
      <c r="AE614" s="220">
        <f>'[2]Изложницы без бурта'!C614</f>
        <v>377</v>
      </c>
      <c r="AF614" s="56">
        <f>'[2]Изложницы без бурта'!D614</f>
        <v>285</v>
      </c>
      <c r="AG614" s="56">
        <f>'[2]Изложницы без бурта'!E614</f>
        <v>320</v>
      </c>
      <c r="AH614" s="56" t="str">
        <f>'[2]Изложницы без бурта'!F614</f>
        <v>72.42461 - 31</v>
      </c>
      <c r="AI614" s="56">
        <f>'[2]Изложницы без бурта'!G614</f>
        <v>0</v>
      </c>
      <c r="AJ614" s="56">
        <f>'[2]Изложницы без бурта'!H614</f>
        <v>0</v>
      </c>
      <c r="AK614" s="56">
        <f>'[2]Изложницы без бурта'!I614</f>
        <v>0</v>
      </c>
      <c r="AL614" s="56" t="s">
        <v>623</v>
      </c>
      <c r="AM614" s="56">
        <f>'[2]Изложницы без бурта'!K614</f>
        <v>0</v>
      </c>
    </row>
    <row r="615" spans="28:39" x14ac:dyDescent="0.25">
      <c r="AB615" s="258" t="str">
        <f t="shared" si="19"/>
        <v/>
      </c>
      <c r="AC615" s="259" t="str">
        <f>IF(COUNTIF(AD$78:AD615,AD615)=1,MAX(AC$78:AC614)+1,"")</f>
        <v/>
      </c>
      <c r="AD615" s="220">
        <f>'[2]Изложницы без бурта'!B615</f>
        <v>215</v>
      </c>
      <c r="AE615" s="220">
        <f>'[2]Изложницы без бурта'!C615</f>
        <v>263</v>
      </c>
      <c r="AF615" s="56">
        <f>'[2]Изложницы без бурта'!D615</f>
        <v>285</v>
      </c>
      <c r="AG615" s="56">
        <f>'[2]Изложницы без бурта'!E615</f>
        <v>320</v>
      </c>
      <c r="AH615" s="56" t="str">
        <f>'[2]Изложницы без бурта'!F615</f>
        <v>72.11870 - 31</v>
      </c>
      <c r="AI615" s="56">
        <f>'[2]Изложницы без бурта'!G615</f>
        <v>0</v>
      </c>
      <c r="AJ615" s="56">
        <f>'[2]Изложницы без бурта'!H615</f>
        <v>0</v>
      </c>
      <c r="AK615" s="56">
        <f>'[2]Изложницы без бурта'!I615</f>
        <v>0</v>
      </c>
      <c r="AL615" s="56" t="s">
        <v>623</v>
      </c>
      <c r="AM615" s="56">
        <f>'[2]Изложницы без бурта'!K615</f>
        <v>0</v>
      </c>
    </row>
    <row r="616" spans="28:39" x14ac:dyDescent="0.25">
      <c r="AB616" s="258" t="str">
        <f t="shared" si="19"/>
        <v/>
      </c>
      <c r="AC616" s="259" t="str">
        <f>IF(COUNTIF(AD$78:AD616,AD616)=1,MAX(AC$78:AC615)+1,"")</f>
        <v/>
      </c>
      <c r="AD616" s="220">
        <f>'[2]Изложницы без бурта'!B616</f>
        <v>215</v>
      </c>
      <c r="AE616" s="220">
        <f>'[2]Изложницы без бурта'!C616</f>
        <v>263</v>
      </c>
      <c r="AF616" s="56">
        <f>'[2]Изложницы без бурта'!D616</f>
        <v>285</v>
      </c>
      <c r="AG616" s="56">
        <f>'[2]Изложницы без бурта'!E616</f>
        <v>320</v>
      </c>
      <c r="AH616" s="56" t="str">
        <f>'[2]Изложницы без бурта'!F616</f>
        <v>72.11870 - 31</v>
      </c>
      <c r="AI616" s="56">
        <f>'[2]Изложницы без бурта'!G616</f>
        <v>0</v>
      </c>
      <c r="AJ616" s="56">
        <f>'[2]Изложницы без бурта'!H616</f>
        <v>0</v>
      </c>
      <c r="AK616" s="56">
        <f>'[2]Изложницы без бурта'!I616</f>
        <v>0</v>
      </c>
      <c r="AL616" s="56" t="s">
        <v>623</v>
      </c>
      <c r="AM616" s="56">
        <f>'[2]Изложницы без бурта'!K616</f>
        <v>0</v>
      </c>
    </row>
    <row r="617" spans="28:39" x14ac:dyDescent="0.25">
      <c r="AB617" s="258" t="str">
        <f t="shared" si="19"/>
        <v/>
      </c>
      <c r="AC617" s="259" t="str">
        <f>IF(COUNTIF(AD$78:AD617,AD617)=1,MAX(AC$78:AC616)+1,"")</f>
        <v/>
      </c>
      <c r="AD617" s="220">
        <f>'[2]Изложницы без бурта'!B617</f>
        <v>215</v>
      </c>
      <c r="AE617" s="220">
        <f>'[2]Изложницы без бурта'!C617</f>
        <v>262</v>
      </c>
      <c r="AF617" s="56">
        <f>'[2]Изложницы без бурта'!D617</f>
        <v>285</v>
      </c>
      <c r="AG617" s="56">
        <f>'[2]Изложницы без бурта'!E617</f>
        <v>320</v>
      </c>
      <c r="AH617" s="56" t="str">
        <f>'[2]Изложницы без бурта'!F617</f>
        <v>72.11870 - 31</v>
      </c>
      <c r="AI617" s="56">
        <f>'[2]Изложницы без бурта'!G617</f>
        <v>0</v>
      </c>
      <c r="AJ617" s="56">
        <f>'[2]Изложницы без бурта'!H617</f>
        <v>0</v>
      </c>
      <c r="AK617" s="56">
        <f>'[2]Изложницы без бурта'!I617</f>
        <v>0</v>
      </c>
      <c r="AL617" s="56" t="s">
        <v>623</v>
      </c>
      <c r="AM617" s="56">
        <f>'[2]Изложницы без бурта'!K617</f>
        <v>0</v>
      </c>
    </row>
    <row r="618" spans="28:39" x14ac:dyDescent="0.25">
      <c r="AB618" s="258" t="str">
        <f t="shared" si="19"/>
        <v/>
      </c>
      <c r="AC618" s="259" t="str">
        <f>IF(COUNTIF(AD$78:AD618,AD618)=1,MAX(AC$78:AC617)+1,"")</f>
        <v/>
      </c>
      <c r="AD618" s="220">
        <f>'[2]Изложницы без бурта'!B618</f>
        <v>215</v>
      </c>
      <c r="AE618" s="220">
        <f>'[2]Изложницы без бурта'!C618</f>
        <v>375</v>
      </c>
      <c r="AF618" s="56">
        <f>'[2]Изложницы без бурта'!D618</f>
        <v>285</v>
      </c>
      <c r="AG618" s="56">
        <f>'[2]Изложницы без бурта'!E618</f>
        <v>320</v>
      </c>
      <c r="AH618" s="56" t="str">
        <f>'[2]Изложницы без бурта'!F618</f>
        <v>72.42461 - 31</v>
      </c>
      <c r="AI618" s="56">
        <f>'[2]Изложницы без бурта'!G618</f>
        <v>0</v>
      </c>
      <c r="AJ618" s="56">
        <f>'[2]Изложницы без бурта'!H618</f>
        <v>0</v>
      </c>
      <c r="AK618" s="56">
        <f>'[2]Изложницы без бурта'!I618</f>
        <v>0</v>
      </c>
      <c r="AL618" s="56" t="s">
        <v>623</v>
      </c>
      <c r="AM618" s="56">
        <f>'[2]Изложницы без бурта'!K618</f>
        <v>0</v>
      </c>
    </row>
    <row r="619" spans="28:39" x14ac:dyDescent="0.25">
      <c r="AB619" s="258" t="str">
        <f t="shared" si="19"/>
        <v/>
      </c>
      <c r="AC619" s="259" t="str">
        <f>IF(COUNTIF(AD$78:AD619,AD619)=1,MAX(AC$78:AC618)+1,"")</f>
        <v/>
      </c>
      <c r="AD619" s="220">
        <f>'[2]Изложницы без бурта'!B619</f>
        <v>215</v>
      </c>
      <c r="AE619" s="220">
        <f>'[2]Изложницы без бурта'!C619</f>
        <v>253</v>
      </c>
      <c r="AF619" s="56">
        <f>'[2]Изложницы без бурта'!D619</f>
        <v>375</v>
      </c>
      <c r="AG619" s="56">
        <f>'[2]Изложницы без бурта'!E619</f>
        <v>320</v>
      </c>
      <c r="AH619" s="56" t="str">
        <f>'[2]Изложницы без бурта'!F619</f>
        <v>72.11870 - 31</v>
      </c>
      <c r="AI619" s="56">
        <f>'[2]Изложницы без бурта'!G619</f>
        <v>7260025</v>
      </c>
      <c r="AJ619" s="56">
        <f>'[2]Изложницы без бурта'!H619</f>
        <v>0</v>
      </c>
      <c r="AK619" s="56">
        <f>'[2]Изложницы без бурта'!I619</f>
        <v>0</v>
      </c>
      <c r="AL619" s="56" t="s">
        <v>623</v>
      </c>
      <c r="AM619" s="56">
        <f>'[2]Изложницы без бурта'!K619</f>
        <v>0</v>
      </c>
    </row>
    <row r="620" spans="28:39" x14ac:dyDescent="0.25">
      <c r="AB620" s="258" t="str">
        <f t="shared" si="19"/>
        <v/>
      </c>
      <c r="AC620" s="259" t="str">
        <f>IF(COUNTIF(AD$78:AD620,AD620)=1,MAX(AC$78:AC619)+1,"")</f>
        <v/>
      </c>
      <c r="AD620" s="220">
        <f>'[2]Изложницы без бурта'!B620</f>
        <v>215</v>
      </c>
      <c r="AE620" s="220">
        <f>'[2]Изложницы без бурта'!C620</f>
        <v>377</v>
      </c>
      <c r="AF620" s="56">
        <f>'[2]Изложницы без бурта'!D620</f>
        <v>285</v>
      </c>
      <c r="AG620" s="56">
        <f>'[2]Изложницы без бурта'!E620</f>
        <v>320</v>
      </c>
      <c r="AH620" s="56" t="str">
        <f>'[2]Изложницы без бурта'!F620</f>
        <v>72.42461 - 31</v>
      </c>
      <c r="AI620" s="56">
        <f>'[2]Изложницы без бурта'!G620</f>
        <v>0</v>
      </c>
      <c r="AJ620" s="56">
        <f>'[2]Изложницы без бурта'!H620</f>
        <v>0</v>
      </c>
      <c r="AK620" s="56">
        <f>'[2]Изложницы без бурта'!I620</f>
        <v>0</v>
      </c>
      <c r="AL620" s="56" t="s">
        <v>623</v>
      </c>
      <c r="AM620" s="56">
        <f>'[2]Изложницы без бурта'!K620</f>
        <v>0</v>
      </c>
    </row>
    <row r="621" spans="28:39" x14ac:dyDescent="0.25">
      <c r="AB621" s="258" t="str">
        <f t="shared" si="19"/>
        <v/>
      </c>
      <c r="AC621" s="259" t="str">
        <f>IF(COUNTIF(AD$78:AD621,AD621)=1,MAX(AC$78:AC620)+1,"")</f>
        <v/>
      </c>
      <c r="AD621" s="220">
        <f>'[2]Изложницы без бурта'!B621</f>
        <v>215</v>
      </c>
      <c r="AE621" s="220">
        <f>'[2]Изложницы без бурта'!C621</f>
        <v>317</v>
      </c>
      <c r="AF621" s="56">
        <f>'[2]Изложницы без бурта'!D621</f>
        <v>285</v>
      </c>
      <c r="AG621" s="56">
        <f>'[2]Изложницы без бурта'!E621</f>
        <v>320</v>
      </c>
      <c r="AH621" s="56" t="str">
        <f>'[2]Изложницы без бурта'!F621</f>
        <v>72.11871 - 31</v>
      </c>
      <c r="AI621" s="56">
        <f>'[2]Изложницы без бурта'!G621</f>
        <v>0</v>
      </c>
      <c r="AJ621" s="56">
        <f>'[2]Изложницы без бурта'!H621</f>
        <v>0</v>
      </c>
      <c r="AK621" s="56">
        <f>'[2]Изложницы без бурта'!I621</f>
        <v>0</v>
      </c>
      <c r="AL621" s="56" t="s">
        <v>623</v>
      </c>
      <c r="AM621" s="56">
        <f>'[2]Изложницы без бурта'!K621</f>
        <v>0</v>
      </c>
    </row>
    <row r="622" spans="28:39" x14ac:dyDescent="0.25">
      <c r="AB622" s="258" t="str">
        <f t="shared" si="19"/>
        <v/>
      </c>
      <c r="AC622" s="259" t="str">
        <f>IF(COUNTIF(AD$78:AD622,AD622)=1,MAX(AC$78:AC621)+1,"")</f>
        <v/>
      </c>
      <c r="AD622" s="220">
        <f>'[2]Изложницы без бурта'!B622</f>
        <v>215</v>
      </c>
      <c r="AE622" s="220">
        <f>'[2]Изложницы без бурта'!C622</f>
        <v>317</v>
      </c>
      <c r="AF622" s="56">
        <f>'[2]Изложницы без бурта'!D622</f>
        <v>285</v>
      </c>
      <c r="AG622" s="56">
        <f>'[2]Изложницы без бурта'!E622</f>
        <v>320</v>
      </c>
      <c r="AH622" s="56" t="str">
        <f>'[2]Изложницы без бурта'!F622</f>
        <v>72.11871 - 31</v>
      </c>
      <c r="AI622" s="56">
        <f>'[2]Изложницы без бурта'!G622</f>
        <v>0</v>
      </c>
      <c r="AJ622" s="56">
        <f>'[2]Изложницы без бурта'!H622</f>
        <v>0</v>
      </c>
      <c r="AK622" s="56">
        <f>'[2]Изложницы без бурта'!I622</f>
        <v>0</v>
      </c>
      <c r="AL622" s="56" t="s">
        <v>623</v>
      </c>
      <c r="AM622" s="56">
        <f>'[2]Изложницы без бурта'!K622</f>
        <v>0</v>
      </c>
    </row>
    <row r="623" spans="28:39" x14ac:dyDescent="0.25">
      <c r="AB623" s="258" t="str">
        <f t="shared" si="19"/>
        <v/>
      </c>
      <c r="AC623" s="259" t="str">
        <f>IF(COUNTIF(AD$78:AD623,AD623)=1,MAX(AC$78:AC622)+1,"")</f>
        <v/>
      </c>
      <c r="AD623" s="220">
        <f>'[2]Изложницы без бурта'!B623</f>
        <v>215</v>
      </c>
      <c r="AE623" s="220">
        <f>'[2]Изложницы без бурта'!C623</f>
        <v>265</v>
      </c>
      <c r="AF623" s="56">
        <f>'[2]Изложницы без бурта'!D623</f>
        <v>285</v>
      </c>
      <c r="AG623" s="56">
        <f>'[2]Изложницы без бурта'!E623</f>
        <v>320</v>
      </c>
      <c r="AH623" s="56" t="str">
        <f>'[2]Изложницы без бурта'!F623</f>
        <v>72.11870 - 31</v>
      </c>
      <c r="AI623" s="56">
        <f>'[2]Изложницы без бурта'!G623</f>
        <v>0</v>
      </c>
      <c r="AJ623" s="56">
        <f>'[2]Изложницы без бурта'!H623</f>
        <v>0</v>
      </c>
      <c r="AK623" s="56">
        <f>'[2]Изложницы без бурта'!I623</f>
        <v>0</v>
      </c>
      <c r="AL623" s="56" t="s">
        <v>623</v>
      </c>
      <c r="AM623" s="56">
        <f>'[2]Изложницы без бурта'!K623</f>
        <v>0</v>
      </c>
    </row>
    <row r="624" spans="28:39" x14ac:dyDescent="0.25">
      <c r="AB624" s="258" t="str">
        <f t="shared" si="19"/>
        <v/>
      </c>
      <c r="AC624" s="259">
        <f>IF(COUNTIF(AD$78:AD624,AD624)=1,MAX(AC$78:AC623)+1,"")</f>
        <v>52</v>
      </c>
      <c r="AD624" s="220">
        <f>'[2]Изложницы без бурта'!B624</f>
        <v>217.5</v>
      </c>
      <c r="AE624" s="220">
        <f>'[2]Изложницы без бурта'!C624</f>
        <v>320</v>
      </c>
      <c r="AF624" s="56">
        <f>'[2]Изложницы без бурта'!D624</f>
        <v>285</v>
      </c>
      <c r="AG624" s="56">
        <f>'[2]Изложницы без бурта'!E624</f>
        <v>320</v>
      </c>
      <c r="AH624" s="56" t="str">
        <f>'[2]Изложницы без бурта'!F624</f>
        <v>72.11871 - 32</v>
      </c>
      <c r="AI624" s="56">
        <f>'[2]Изложницы без бурта'!G624</f>
        <v>0</v>
      </c>
      <c r="AJ624" s="56">
        <f>'[2]Изложницы без бурта'!H624</f>
        <v>0</v>
      </c>
      <c r="AK624" s="56">
        <f>'[2]Изложницы без бурта'!I624</f>
        <v>0</v>
      </c>
      <c r="AL624" s="56" t="s">
        <v>624</v>
      </c>
      <c r="AM624" s="56">
        <f>'[2]Изложницы без бурта'!K624</f>
        <v>0</v>
      </c>
    </row>
    <row r="625" spans="28:39" x14ac:dyDescent="0.25">
      <c r="AB625" s="258" t="str">
        <f t="shared" si="19"/>
        <v/>
      </c>
      <c r="AC625" s="259" t="str">
        <f>IF(COUNTIF(AD$78:AD625,AD625)=1,MAX(AC$78:AC624)+1,"")</f>
        <v/>
      </c>
      <c r="AD625" s="220">
        <f>'[2]Изложницы без бурта'!B625</f>
        <v>217.5</v>
      </c>
      <c r="AE625" s="220">
        <f>'[2]Изложницы без бурта'!C625</f>
        <v>320</v>
      </c>
      <c r="AF625" s="56">
        <f>'[2]Изложницы без бурта'!D625</f>
        <v>285</v>
      </c>
      <c r="AG625" s="56">
        <f>'[2]Изложницы без бурта'!E625</f>
        <v>320</v>
      </c>
      <c r="AH625" s="56" t="str">
        <f>'[2]Изложницы без бурта'!F625</f>
        <v>72.11871 - 32</v>
      </c>
      <c r="AI625" s="56">
        <f>'[2]Изложницы без бурта'!G625</f>
        <v>0</v>
      </c>
      <c r="AJ625" s="56">
        <f>'[2]Изложницы без бурта'!H625</f>
        <v>0</v>
      </c>
      <c r="AK625" s="56">
        <f>'[2]Изложницы без бурта'!I625</f>
        <v>0</v>
      </c>
      <c r="AL625" s="56" t="s">
        <v>624</v>
      </c>
      <c r="AM625" s="56">
        <f>'[2]Изложницы без бурта'!K625</f>
        <v>0</v>
      </c>
    </row>
    <row r="626" spans="28:39" x14ac:dyDescent="0.25">
      <c r="AB626" s="258" t="str">
        <f t="shared" si="19"/>
        <v/>
      </c>
      <c r="AC626" s="259" t="str">
        <f>IF(COUNTIF(AD$78:AD626,AD626)=1,MAX(AC$78:AC625)+1,"")</f>
        <v/>
      </c>
      <c r="AD626" s="220">
        <f>'[2]Изложницы без бурта'!B626</f>
        <v>217.5</v>
      </c>
      <c r="AE626" s="220">
        <f>'[2]Изложницы без бурта'!C626</f>
        <v>315</v>
      </c>
      <c r="AF626" s="56">
        <f>'[2]Изложницы без бурта'!D626</f>
        <v>285</v>
      </c>
      <c r="AG626" s="56">
        <f>'[2]Изложницы без бурта'!E626</f>
        <v>320</v>
      </c>
      <c r="AH626" s="56" t="str">
        <f>'[2]Изложницы без бурта'!F626</f>
        <v>72.11871 - 32</v>
      </c>
      <c r="AI626" s="56">
        <f>'[2]Изложницы без бурта'!G626</f>
        <v>0</v>
      </c>
      <c r="AJ626" s="56">
        <f>'[2]Изложницы без бурта'!H626</f>
        <v>0</v>
      </c>
      <c r="AK626" s="56">
        <f>'[2]Изложницы без бурта'!I626</f>
        <v>0</v>
      </c>
      <c r="AL626" s="56" t="s">
        <v>624</v>
      </c>
      <c r="AM626" s="56">
        <f>'[2]Изложницы без бурта'!K626</f>
        <v>0</v>
      </c>
    </row>
    <row r="627" spans="28:39" x14ac:dyDescent="0.25">
      <c r="AB627" s="258" t="str">
        <f t="shared" si="19"/>
        <v/>
      </c>
      <c r="AC627" s="259" t="str">
        <f>IF(COUNTIF(AD$78:AD627,AD627)=1,MAX(AC$78:AC626)+1,"")</f>
        <v/>
      </c>
      <c r="AD627" s="220">
        <f>'[2]Изложницы без бурта'!B627</f>
        <v>217.5</v>
      </c>
      <c r="AE627" s="220">
        <f>'[2]Изложницы без бурта'!C627</f>
        <v>400</v>
      </c>
      <c r="AF627" s="56">
        <f>'[2]Изложницы без бурта'!D627</f>
        <v>285</v>
      </c>
      <c r="AG627" s="56">
        <f>'[2]Изложницы без бурта'!E627</f>
        <v>320</v>
      </c>
      <c r="AH627" s="56" t="str">
        <f>'[2]Изложницы без бурта'!F627</f>
        <v>10.255223 - 8</v>
      </c>
      <c r="AI627" s="56">
        <f>'[2]Изложницы без бурта'!G627</f>
        <v>0</v>
      </c>
      <c r="AJ627" s="56">
        <f>'[2]Изложницы без бурта'!H627</f>
        <v>0</v>
      </c>
      <c r="AK627" s="56">
        <f>'[2]Изложницы без бурта'!I627</f>
        <v>0</v>
      </c>
      <c r="AL627" s="56" t="s">
        <v>624</v>
      </c>
      <c r="AM627" s="56">
        <f>'[2]Изложницы без бурта'!K627</f>
        <v>0</v>
      </c>
    </row>
    <row r="628" spans="28:39" x14ac:dyDescent="0.25">
      <c r="AB628" s="258" t="str">
        <f t="shared" si="19"/>
        <v/>
      </c>
      <c r="AC628" s="259" t="str">
        <f>IF(COUNTIF(AD$78:AD628,AD628)=1,MAX(AC$78:AC627)+1,"")</f>
        <v/>
      </c>
      <c r="AD628" s="220">
        <f>'[2]Изложницы без бурта'!B628</f>
        <v>217.5</v>
      </c>
      <c r="AE628" s="220">
        <f>'[2]Изложницы без бурта'!C628</f>
        <v>255</v>
      </c>
      <c r="AF628" s="56">
        <f>'[2]Изложницы без бурта'!D628</f>
        <v>285</v>
      </c>
      <c r="AG628" s="56">
        <f>'[2]Изложницы без бурта'!E628</f>
        <v>320</v>
      </c>
      <c r="AH628" s="56" t="str">
        <f>'[2]Изложницы без бурта'!F628</f>
        <v>72.11870 - 32</v>
      </c>
      <c r="AI628" s="56">
        <f>'[2]Изложницы без бурта'!G628</f>
        <v>0</v>
      </c>
      <c r="AJ628" s="56">
        <f>'[2]Изложницы без бурта'!H628</f>
        <v>0</v>
      </c>
      <c r="AK628" s="56">
        <f>'[2]Изложницы без бурта'!I628</f>
        <v>0</v>
      </c>
      <c r="AL628" s="56" t="s">
        <v>624</v>
      </c>
      <c r="AM628" s="56">
        <f>'[2]Изложницы без бурта'!K628</f>
        <v>0</v>
      </c>
    </row>
    <row r="629" spans="28:39" x14ac:dyDescent="0.25">
      <c r="AB629" s="258" t="str">
        <f t="shared" si="19"/>
        <v/>
      </c>
      <c r="AC629" s="259" t="str">
        <f>IF(COUNTIF(AD$78:AD629,AD629)=1,MAX(AC$78:AC628)+1,"")</f>
        <v/>
      </c>
      <c r="AD629" s="220">
        <f>'[2]Изложницы без бурта'!B629</f>
        <v>217.5</v>
      </c>
      <c r="AE629" s="220">
        <f>'[2]Изложницы без бурта'!C629</f>
        <v>400</v>
      </c>
      <c r="AF629" s="56">
        <f>'[2]Изложницы без бурта'!D629</f>
        <v>285</v>
      </c>
      <c r="AG629" s="56">
        <f>'[2]Изложницы без бурта'!E629</f>
        <v>320</v>
      </c>
      <c r="AH629" s="56" t="str">
        <f>'[2]Изложницы без бурта'!F629</f>
        <v>10.255223 - 8</v>
      </c>
      <c r="AI629" s="56">
        <f>'[2]Изложницы без бурта'!G629</f>
        <v>0</v>
      </c>
      <c r="AJ629" s="56">
        <f>'[2]Изложницы без бурта'!H629</f>
        <v>0</v>
      </c>
      <c r="AK629" s="56">
        <f>'[2]Изложницы без бурта'!I629</f>
        <v>0</v>
      </c>
      <c r="AL629" s="56" t="s">
        <v>624</v>
      </c>
      <c r="AM629" s="56">
        <f>'[2]Изложницы без бурта'!K629</f>
        <v>0</v>
      </c>
    </row>
    <row r="630" spans="28:39" x14ac:dyDescent="0.25">
      <c r="AB630" s="258" t="str">
        <f t="shared" si="19"/>
        <v/>
      </c>
      <c r="AC630" s="259" t="str">
        <f>IF(COUNTIF(AD$78:AD630,AD630)=1,MAX(AC$78:AC629)+1,"")</f>
        <v/>
      </c>
      <c r="AD630" s="220">
        <f>'[2]Изложницы без бурта'!B630</f>
        <v>217.5</v>
      </c>
      <c r="AE630" s="220">
        <f>'[2]Изложницы без бурта'!C630</f>
        <v>320</v>
      </c>
      <c r="AF630" s="56">
        <f>'[2]Изложницы без бурта'!D630</f>
        <v>285</v>
      </c>
      <c r="AG630" s="56">
        <f>'[2]Изложницы без бурта'!E630</f>
        <v>320</v>
      </c>
      <c r="AH630" s="56" t="str">
        <f>'[2]Изложницы без бурта'!F630</f>
        <v>72.11871 - 32</v>
      </c>
      <c r="AI630" s="56">
        <f>'[2]Изложницы без бурта'!G630</f>
        <v>0</v>
      </c>
      <c r="AJ630" s="56">
        <f>'[2]Изложницы без бурта'!H630</f>
        <v>0</v>
      </c>
      <c r="AK630" s="56">
        <f>'[2]Изложницы без бурта'!I630</f>
        <v>0</v>
      </c>
      <c r="AL630" s="56" t="s">
        <v>624</v>
      </c>
      <c r="AM630" s="56">
        <f>'[2]Изложницы без бурта'!K630</f>
        <v>0</v>
      </c>
    </row>
    <row r="631" spans="28:39" x14ac:dyDescent="0.25">
      <c r="AB631" s="258" t="str">
        <f t="shared" si="19"/>
        <v/>
      </c>
      <c r="AC631" s="259" t="str">
        <f>IF(COUNTIF(AD$78:AD631,AD631)=1,MAX(AC$78:AC630)+1,"")</f>
        <v/>
      </c>
      <c r="AD631" s="220">
        <f>'[2]Изложницы без бурта'!B631</f>
        <v>217.5</v>
      </c>
      <c r="AE631" s="220">
        <f>'[2]Изложницы без бурта'!C631</f>
        <v>455</v>
      </c>
      <c r="AF631" s="56">
        <f>'[2]Изложницы без бурта'!D631</f>
        <v>285</v>
      </c>
      <c r="AG631" s="56">
        <f>'[2]Изложницы без бурта'!E631</f>
        <v>320</v>
      </c>
      <c r="AH631" s="56" t="str">
        <f>'[2]Изложницы без бурта'!F631</f>
        <v>72.48007 - 01</v>
      </c>
      <c r="AI631" s="56">
        <f>'[2]Изложницы без бурта'!G631</f>
        <v>7260026</v>
      </c>
      <c r="AJ631" s="56">
        <f>'[2]Изложницы без бурта'!H631</f>
        <v>0</v>
      </c>
      <c r="AK631" s="56">
        <f>'[2]Изложницы без бурта'!I631</f>
        <v>0</v>
      </c>
      <c r="AL631" s="56" t="s">
        <v>624</v>
      </c>
      <c r="AM631" s="56">
        <f>'[2]Изложницы без бурта'!K631</f>
        <v>0</v>
      </c>
    </row>
    <row r="632" spans="28:39" x14ac:dyDescent="0.25">
      <c r="AB632" s="258" t="str">
        <f t="shared" si="19"/>
        <v/>
      </c>
      <c r="AC632" s="259" t="str">
        <f>IF(COUNTIF(AD$78:AD632,AD632)=1,MAX(AC$78:AC631)+1,"")</f>
        <v/>
      </c>
      <c r="AD632" s="220">
        <f>'[2]Изложницы без бурта'!B632</f>
        <v>217.5</v>
      </c>
      <c r="AE632" s="220">
        <f>'[2]Изложницы без бурта'!C632</f>
        <v>260</v>
      </c>
      <c r="AF632" s="56">
        <f>'[2]Изложницы без бурта'!D632</f>
        <v>285</v>
      </c>
      <c r="AG632" s="56">
        <f>'[2]Изложницы без бурта'!E632</f>
        <v>320</v>
      </c>
      <c r="AH632" s="56" t="str">
        <f>'[2]Изложницы без бурта'!F632</f>
        <v>72.11870 - 32</v>
      </c>
      <c r="AI632" s="56">
        <f>'[2]Изложницы без бурта'!G632</f>
        <v>0</v>
      </c>
      <c r="AJ632" s="56">
        <f>'[2]Изложницы без бурта'!H632</f>
        <v>0</v>
      </c>
      <c r="AK632" s="56">
        <f>'[2]Изложницы без бурта'!I632</f>
        <v>0</v>
      </c>
      <c r="AL632" s="56" t="s">
        <v>624</v>
      </c>
      <c r="AM632" s="56">
        <f>'[2]Изложницы без бурта'!K632</f>
        <v>0</v>
      </c>
    </row>
    <row r="633" spans="28:39" x14ac:dyDescent="0.25">
      <c r="AB633" s="258" t="str">
        <f t="shared" ref="AB633:AB696" si="20">IF(MAX(AC633:AC1710)&lt;ROW(555:555),"",VLOOKUP(ROW(555:555),AC633:AD1710,2))</f>
        <v/>
      </c>
      <c r="AC633" s="259">
        <f>IF(COUNTIF(AD$78:AD633,AD633)=1,MAX(AC$78:AC632)+1,"")</f>
        <v>53</v>
      </c>
      <c r="AD633" s="220">
        <f>'[2]Изложницы без бурта'!B633</f>
        <v>220</v>
      </c>
      <c r="AE633" s="220">
        <f>'[2]Изложницы без бурта'!C633</f>
        <v>265</v>
      </c>
      <c r="AF633" s="56">
        <f>'[2]Изложницы без бурта'!D633</f>
        <v>285</v>
      </c>
      <c r="AG633" s="56">
        <f>'[2]Изложницы без бурта'!E633</f>
        <v>320</v>
      </c>
      <c r="AH633" s="56" t="str">
        <f>'[2]Изложницы без бурта'!F633</f>
        <v>72.11870 - 33</v>
      </c>
      <c r="AI633" s="56">
        <f>'[2]Изложницы без бурта'!G633</f>
        <v>0</v>
      </c>
      <c r="AJ633" s="56">
        <f>'[2]Изложницы без бурта'!H633</f>
        <v>0</v>
      </c>
      <c r="AK633" s="56">
        <f>'[2]Изложницы без бурта'!I633</f>
        <v>0</v>
      </c>
      <c r="AL633" s="56" t="s">
        <v>625</v>
      </c>
      <c r="AM633" s="56">
        <f>'[2]Изложницы без бурта'!K633</f>
        <v>0</v>
      </c>
    </row>
    <row r="634" spans="28:39" x14ac:dyDescent="0.25">
      <c r="AB634" s="258" t="str">
        <f t="shared" si="20"/>
        <v/>
      </c>
      <c r="AC634" s="259" t="str">
        <f>IF(COUNTIF(AD$78:AD634,AD634)=1,MAX(AC$78:AC633)+1,"")</f>
        <v/>
      </c>
      <c r="AD634" s="220">
        <f>'[2]Изложницы без бурта'!B634</f>
        <v>220</v>
      </c>
      <c r="AE634" s="220">
        <f>'[2]Изложницы без бурта'!C634</f>
        <v>260</v>
      </c>
      <c r="AF634" s="56">
        <f>'[2]Изложницы без бурта'!D634</f>
        <v>375</v>
      </c>
      <c r="AG634" s="56">
        <f>'[2]Изложницы без бурта'!E634</f>
        <v>450</v>
      </c>
      <c r="AH634" s="56" t="str">
        <f>'[2]Изложницы без бурта'!F634</f>
        <v>72.11870 - 33</v>
      </c>
      <c r="AI634" s="56">
        <f>'[2]Изложницы без бурта'!G634</f>
        <v>0</v>
      </c>
      <c r="AJ634" s="56">
        <f>'[2]Изложницы без бурта'!H634</f>
        <v>0</v>
      </c>
      <c r="AK634" s="56">
        <f>'[2]Изложницы без бурта'!I634</f>
        <v>0</v>
      </c>
      <c r="AL634" s="56" t="s">
        <v>625</v>
      </c>
      <c r="AM634" s="56">
        <f>'[2]Изложницы без бурта'!K634</f>
        <v>0</v>
      </c>
    </row>
    <row r="635" spans="28:39" x14ac:dyDescent="0.25">
      <c r="AB635" s="258" t="str">
        <f t="shared" si="20"/>
        <v/>
      </c>
      <c r="AC635" s="259" t="str">
        <f>IF(COUNTIF(AD$78:AD635,AD635)=1,MAX(AC$78:AC634)+1,"")</f>
        <v/>
      </c>
      <c r="AD635" s="220">
        <f>'[2]Изложницы без бурта'!B635</f>
        <v>220</v>
      </c>
      <c r="AE635" s="220">
        <f>'[2]Изложницы без бурта'!C635</f>
        <v>265</v>
      </c>
      <c r="AF635" s="56">
        <f>'[2]Изложницы без бурта'!D635</f>
        <v>285</v>
      </c>
      <c r="AG635" s="56">
        <f>'[2]Изложницы без бурта'!E635</f>
        <v>320</v>
      </c>
      <c r="AH635" s="56" t="str">
        <f>'[2]Изложницы без бурта'!F635</f>
        <v>72.11870 - 33</v>
      </c>
      <c r="AI635" s="56">
        <f>'[2]Изложницы без бурта'!G635</f>
        <v>0</v>
      </c>
      <c r="AJ635" s="56">
        <f>'[2]Изложницы без бурта'!H635</f>
        <v>0</v>
      </c>
      <c r="AK635" s="56">
        <f>'[2]Изложницы без бурта'!I635</f>
        <v>0</v>
      </c>
      <c r="AL635" s="56" t="s">
        <v>625</v>
      </c>
      <c r="AM635" s="56">
        <f>'[2]Изложницы без бурта'!K635</f>
        <v>0</v>
      </c>
    </row>
    <row r="636" spans="28:39" x14ac:dyDescent="0.25">
      <c r="AB636" s="258" t="str">
        <f t="shared" si="20"/>
        <v/>
      </c>
      <c r="AC636" s="259" t="str">
        <f>IF(COUNTIF(AD$78:AD636,AD636)=1,MAX(AC$78:AC635)+1,"")</f>
        <v/>
      </c>
      <c r="AD636" s="220">
        <f>'[2]Изложницы без бурта'!B636</f>
        <v>220</v>
      </c>
      <c r="AE636" s="220">
        <f>'[2]Изложницы без бурта'!C636</f>
        <v>264</v>
      </c>
      <c r="AF636" s="56">
        <f>'[2]Изложницы без бурта'!D636</f>
        <v>285</v>
      </c>
      <c r="AG636" s="56">
        <f>'[2]Изложницы без бурта'!E636</f>
        <v>320</v>
      </c>
      <c r="AH636" s="56" t="str">
        <f>'[2]Изложницы без бурта'!F636</f>
        <v>72.11870 - 33</v>
      </c>
      <c r="AI636" s="56">
        <f>'[2]Изложницы без бурта'!G636</f>
        <v>0</v>
      </c>
      <c r="AJ636" s="56">
        <f>'[2]Изложницы без бурта'!H636</f>
        <v>0</v>
      </c>
      <c r="AK636" s="56">
        <f>'[2]Изложницы без бурта'!I636</f>
        <v>0</v>
      </c>
      <c r="AL636" s="56" t="s">
        <v>625</v>
      </c>
      <c r="AM636" s="56">
        <f>'[2]Изложницы без бурта'!K636</f>
        <v>0</v>
      </c>
    </row>
    <row r="637" spans="28:39" x14ac:dyDescent="0.25">
      <c r="AB637" s="258" t="str">
        <f t="shared" si="20"/>
        <v/>
      </c>
      <c r="AC637" s="259" t="str">
        <f>IF(COUNTIF(AD$78:AD637,AD637)=1,MAX(AC$78:AC636)+1,"")</f>
        <v/>
      </c>
      <c r="AD637" s="220">
        <f>'[2]Изложницы без бурта'!B637</f>
        <v>220</v>
      </c>
      <c r="AE637" s="220">
        <f>'[2]Изложницы без бурта'!C637</f>
        <v>265</v>
      </c>
      <c r="AF637" s="56">
        <f>'[2]Изложницы без бурта'!D637</f>
        <v>285</v>
      </c>
      <c r="AG637" s="56">
        <f>'[2]Изложницы без бурта'!E637</f>
        <v>320</v>
      </c>
      <c r="AH637" s="56" t="str">
        <f>'[2]Изложницы без бурта'!F637</f>
        <v>72.11870 - 33</v>
      </c>
      <c r="AI637" s="56">
        <f>'[2]Изложницы без бурта'!G637</f>
        <v>0</v>
      </c>
      <c r="AJ637" s="56">
        <f>'[2]Изложницы без бурта'!H637</f>
        <v>0</v>
      </c>
      <c r="AK637" s="56">
        <f>'[2]Изложницы без бурта'!I637</f>
        <v>0</v>
      </c>
      <c r="AL637" s="56" t="s">
        <v>625</v>
      </c>
      <c r="AM637" s="56">
        <f>'[2]Изложницы без бурта'!K637</f>
        <v>0</v>
      </c>
    </row>
    <row r="638" spans="28:39" x14ac:dyDescent="0.25">
      <c r="AB638" s="258" t="str">
        <f t="shared" si="20"/>
        <v/>
      </c>
      <c r="AC638" s="259" t="str">
        <f>IF(COUNTIF(AD$78:AD638,AD638)=1,MAX(AC$78:AC637)+1,"")</f>
        <v/>
      </c>
      <c r="AD638" s="220">
        <f>'[2]Изложницы без бурта'!B638</f>
        <v>220</v>
      </c>
      <c r="AE638" s="220">
        <f>'[2]Изложницы без бурта'!C638</f>
        <v>263</v>
      </c>
      <c r="AF638" s="56">
        <f>'[2]Изложницы без бурта'!D638</f>
        <v>285</v>
      </c>
      <c r="AG638" s="56">
        <f>'[2]Изложницы без бурта'!E638</f>
        <v>320</v>
      </c>
      <c r="AH638" s="56" t="str">
        <f>'[2]Изложницы без бурта'!F638</f>
        <v>72.11870 - 33</v>
      </c>
      <c r="AI638" s="56">
        <f>'[2]Изложницы без бурта'!G638</f>
        <v>0</v>
      </c>
      <c r="AJ638" s="56">
        <f>'[2]Изложницы без бурта'!H638</f>
        <v>0</v>
      </c>
      <c r="AK638" s="56">
        <f>'[2]Изложницы без бурта'!I638</f>
        <v>0</v>
      </c>
      <c r="AL638" s="56" t="s">
        <v>625</v>
      </c>
      <c r="AM638" s="56">
        <f>'[2]Изложницы без бурта'!K638</f>
        <v>0</v>
      </c>
    </row>
    <row r="639" spans="28:39" x14ac:dyDescent="0.25">
      <c r="AB639" s="258" t="str">
        <f t="shared" si="20"/>
        <v/>
      </c>
      <c r="AC639" s="259" t="str">
        <f>IF(COUNTIF(AD$78:AD639,AD639)=1,MAX(AC$78:AC638)+1,"")</f>
        <v/>
      </c>
      <c r="AD639" s="220">
        <f>'[2]Изложницы без бурта'!B639</f>
        <v>220</v>
      </c>
      <c r="AE639" s="220">
        <f>'[2]Изложницы без бурта'!C639</f>
        <v>218</v>
      </c>
      <c r="AF639" s="56">
        <f>'[2]Изложницы без бурта'!D639</f>
        <v>285</v>
      </c>
      <c r="AG639" s="56">
        <f>'[2]Изложницы без бурта'!E639</f>
        <v>320</v>
      </c>
      <c r="AH639" s="56" t="str">
        <f>'[2]Изложницы без бурта'!F639</f>
        <v>10.247619 - 4</v>
      </c>
      <c r="AI639" s="56">
        <f>'[2]Изложницы без бурта'!G639</f>
        <v>7260027</v>
      </c>
      <c r="AJ639" s="56">
        <f>'[2]Изложницы без бурта'!H639</f>
        <v>0</v>
      </c>
      <c r="AK639" s="56">
        <f>'[2]Изложницы без бурта'!I639</f>
        <v>0</v>
      </c>
      <c r="AL639" s="56" t="s">
        <v>625</v>
      </c>
      <c r="AM639" s="56">
        <f>'[2]Изложницы без бурта'!K639</f>
        <v>0</v>
      </c>
    </row>
    <row r="640" spans="28:39" x14ac:dyDescent="0.25">
      <c r="AB640" s="258" t="str">
        <f t="shared" si="20"/>
        <v/>
      </c>
      <c r="AC640" s="259" t="str">
        <f>IF(COUNTIF(AD$78:AD640,AD640)=1,MAX(AC$78:AC639)+1,"")</f>
        <v/>
      </c>
      <c r="AD640" s="220">
        <f>'[2]Изложницы без бурта'!B640</f>
        <v>220</v>
      </c>
      <c r="AE640" s="220">
        <f>'[2]Изложницы без бурта'!C640</f>
        <v>317</v>
      </c>
      <c r="AF640" s="56">
        <f>'[2]Изложницы без бурта'!D640</f>
        <v>375</v>
      </c>
      <c r="AG640" s="56">
        <f>'[2]Изложницы без бурта'!E640</f>
        <v>450</v>
      </c>
      <c r="AH640" s="56" t="str">
        <f>'[2]Изложницы без бурта'!F640</f>
        <v>72.11871 - 33</v>
      </c>
      <c r="AI640" s="56">
        <f>'[2]Изложницы без бурта'!G640</f>
        <v>0</v>
      </c>
      <c r="AJ640" s="56">
        <f>'[2]Изложницы без бурта'!H640</f>
        <v>0</v>
      </c>
      <c r="AK640" s="56">
        <f>'[2]Изложницы без бурта'!I640</f>
        <v>0</v>
      </c>
      <c r="AL640" s="56" t="s">
        <v>625</v>
      </c>
      <c r="AM640" s="56">
        <f>'[2]Изложницы без бурта'!K640</f>
        <v>0</v>
      </c>
    </row>
    <row r="641" spans="28:39" x14ac:dyDescent="0.25">
      <c r="AB641" s="258" t="str">
        <f t="shared" si="20"/>
        <v/>
      </c>
      <c r="AC641" s="259" t="str">
        <f>IF(COUNTIF(AD$78:AD641,AD641)=1,MAX(AC$78:AC640)+1,"")</f>
        <v/>
      </c>
      <c r="AD641" s="220">
        <f>'[2]Изложницы без бурта'!B641</f>
        <v>220</v>
      </c>
      <c r="AE641" s="220">
        <f>'[2]Изложницы без бурта'!C641</f>
        <v>263</v>
      </c>
      <c r="AF641" s="56">
        <f>'[2]Изложницы без бурта'!D641</f>
        <v>285</v>
      </c>
      <c r="AG641" s="56">
        <f>'[2]Изложницы без бурта'!E641</f>
        <v>320</v>
      </c>
      <c r="AH641" s="56" t="str">
        <f>'[2]Изложницы без бурта'!F641</f>
        <v>72.11870 - 33</v>
      </c>
      <c r="AI641" s="56">
        <f>'[2]Изложницы без бурта'!G641</f>
        <v>0</v>
      </c>
      <c r="AJ641" s="56">
        <f>'[2]Изложницы без бурта'!H641</f>
        <v>0</v>
      </c>
      <c r="AK641" s="56">
        <f>'[2]Изложницы без бурта'!I641</f>
        <v>0</v>
      </c>
      <c r="AL641" s="56" t="s">
        <v>625</v>
      </c>
      <c r="AM641" s="56">
        <f>'[2]Изложницы без бурта'!K641</f>
        <v>0</v>
      </c>
    </row>
    <row r="642" spans="28:39" x14ac:dyDescent="0.25">
      <c r="AB642" s="258" t="str">
        <f t="shared" si="20"/>
        <v/>
      </c>
      <c r="AC642" s="259" t="str">
        <f>IF(COUNTIF(AD$78:AD642,AD642)=1,MAX(AC$78:AC641)+1,"")</f>
        <v/>
      </c>
      <c r="AD642" s="220">
        <f>'[2]Изложницы без бурта'!B642</f>
        <v>220</v>
      </c>
      <c r="AE642" s="220">
        <f>'[2]Изложницы без бурта'!C642</f>
        <v>505</v>
      </c>
      <c r="AF642" s="56">
        <f>'[2]Изложницы без бурта'!D642</f>
        <v>285</v>
      </c>
      <c r="AG642" s="56">
        <f>'[2]Изложницы без бурта'!E642</f>
        <v>320</v>
      </c>
      <c r="AH642" s="56" t="str">
        <f>'[2]Изложницы без бурта'!F642</f>
        <v>72.23398 - 1</v>
      </c>
      <c r="AI642" s="56">
        <f>'[2]Изложницы без бурта'!G642</f>
        <v>7260028</v>
      </c>
      <c r="AJ642" s="56">
        <f>'[2]Изложницы без бурта'!H642</f>
        <v>0</v>
      </c>
      <c r="AK642" s="56">
        <f>'[2]Изложницы без бурта'!I642</f>
        <v>0</v>
      </c>
      <c r="AL642" s="56" t="s">
        <v>625</v>
      </c>
      <c r="AM642" s="56">
        <f>'[2]Изложницы без бурта'!K642</f>
        <v>0</v>
      </c>
    </row>
    <row r="643" spans="28:39" x14ac:dyDescent="0.25">
      <c r="AB643" s="258" t="str">
        <f t="shared" si="20"/>
        <v/>
      </c>
      <c r="AC643" s="259" t="str">
        <f>IF(COUNTIF(AD$78:AD643,AD643)=1,MAX(AC$78:AC642)+1,"")</f>
        <v/>
      </c>
      <c r="AD643" s="220">
        <f>'[2]Изложницы без бурта'!B643</f>
        <v>220</v>
      </c>
      <c r="AE643" s="220">
        <f>'[2]Изложницы без бурта'!C643</f>
        <v>380</v>
      </c>
      <c r="AF643" s="56">
        <f>'[2]Изложницы без бурта'!D643</f>
        <v>360</v>
      </c>
      <c r="AG643" s="56">
        <f>'[2]Изложницы без бурта'!E643</f>
        <v>450</v>
      </c>
      <c r="AH643" s="56" t="str">
        <f>'[2]Изложницы без бурта'!F643</f>
        <v>72.42461 - 33</v>
      </c>
      <c r="AI643" s="56">
        <f>'[2]Изложницы без бурта'!G643</f>
        <v>7260029</v>
      </c>
      <c r="AJ643" s="56">
        <f>'[2]Изложницы без бурта'!H643</f>
        <v>0</v>
      </c>
      <c r="AK643" s="56">
        <f>'[2]Изложницы без бурта'!I643</f>
        <v>0</v>
      </c>
      <c r="AL643" s="56" t="s">
        <v>625</v>
      </c>
      <c r="AM643" s="56">
        <f>'[2]Изложницы без бурта'!K643</f>
        <v>0</v>
      </c>
    </row>
    <row r="644" spans="28:39" x14ac:dyDescent="0.25">
      <c r="AB644" s="258" t="str">
        <f t="shared" si="20"/>
        <v/>
      </c>
      <c r="AC644" s="259" t="str">
        <f>IF(COUNTIF(AD$78:AD644,AD644)=1,MAX(AC$78:AC643)+1,"")</f>
        <v/>
      </c>
      <c r="AD644" s="220">
        <f>'[2]Изложницы без бурта'!B644</f>
        <v>220</v>
      </c>
      <c r="AE644" s="220">
        <f>'[2]Изложницы без бурта'!C644</f>
        <v>377</v>
      </c>
      <c r="AF644" s="56">
        <f>'[2]Изложницы без бурта'!D644</f>
        <v>360</v>
      </c>
      <c r="AG644" s="56">
        <f>'[2]Изложницы без бурта'!E644</f>
        <v>450</v>
      </c>
      <c r="AH644" s="56" t="str">
        <f>'[2]Изложницы без бурта'!F644</f>
        <v>72.42461 - 33</v>
      </c>
      <c r="AI644" s="56">
        <f>'[2]Изложницы без бурта'!G644</f>
        <v>7260029</v>
      </c>
      <c r="AJ644" s="56">
        <f>'[2]Изложницы без бурта'!H644</f>
        <v>0</v>
      </c>
      <c r="AK644" s="56">
        <f>'[2]Изложницы без бурта'!I644</f>
        <v>0</v>
      </c>
      <c r="AL644" s="56" t="s">
        <v>625</v>
      </c>
      <c r="AM644" s="56">
        <f>'[2]Изложницы без бурта'!K644</f>
        <v>0</v>
      </c>
    </row>
    <row r="645" spans="28:39" x14ac:dyDescent="0.25">
      <c r="AB645" s="258" t="str">
        <f t="shared" si="20"/>
        <v/>
      </c>
      <c r="AC645" s="259" t="str">
        <f>IF(COUNTIF(AD$78:AD645,AD645)=1,MAX(AC$78:AC644)+1,"")</f>
        <v/>
      </c>
      <c r="AD645" s="220">
        <f>'[2]Изложницы без бурта'!B645</f>
        <v>220</v>
      </c>
      <c r="AE645" s="220">
        <f>'[2]Изложницы без бурта'!C645</f>
        <v>320</v>
      </c>
      <c r="AF645" s="56">
        <f>'[2]Изложницы без бурта'!D645</f>
        <v>285</v>
      </c>
      <c r="AG645" s="56">
        <f>'[2]Изложницы без бурта'!E645</f>
        <v>320</v>
      </c>
      <c r="AH645" s="56" t="str">
        <f>'[2]Изложницы без бурта'!F645</f>
        <v>72.11871 - 33</v>
      </c>
      <c r="AI645" s="56">
        <f>'[2]Изложницы без бурта'!G645</f>
        <v>0</v>
      </c>
      <c r="AJ645" s="56">
        <f>'[2]Изложницы без бурта'!H645</f>
        <v>0</v>
      </c>
      <c r="AK645" s="56">
        <f>'[2]Изложницы без бурта'!I645</f>
        <v>0</v>
      </c>
      <c r="AL645" s="56" t="s">
        <v>625</v>
      </c>
      <c r="AM645" s="56">
        <f>'[2]Изложницы без бурта'!K645</f>
        <v>0</v>
      </c>
    </row>
    <row r="646" spans="28:39" x14ac:dyDescent="0.25">
      <c r="AB646" s="258" t="str">
        <f t="shared" si="20"/>
        <v/>
      </c>
      <c r="AC646" s="259" t="str">
        <f>IF(COUNTIF(AD$78:AD646,AD646)=1,MAX(AC$78:AC645)+1,"")</f>
        <v/>
      </c>
      <c r="AD646" s="220">
        <f>'[2]Изложницы без бурта'!B646</f>
        <v>220</v>
      </c>
      <c r="AE646" s="220">
        <f>'[2]Изложницы без бурта'!C646</f>
        <v>320</v>
      </c>
      <c r="AF646" s="56">
        <f>'[2]Изложницы без бурта'!D646</f>
        <v>360</v>
      </c>
      <c r="AG646" s="56">
        <f>'[2]Изложницы без бурта'!E646</f>
        <v>450</v>
      </c>
      <c r="AH646" s="56" t="str">
        <f>'[2]Изложницы без бурта'!F646</f>
        <v>72.11871 - 33</v>
      </c>
      <c r="AI646" s="56">
        <f>'[2]Изложницы без бурта'!G646</f>
        <v>0</v>
      </c>
      <c r="AJ646" s="56">
        <f>'[2]Изложницы без бурта'!H646</f>
        <v>0</v>
      </c>
      <c r="AK646" s="56">
        <f>'[2]Изложницы без бурта'!I646</f>
        <v>0</v>
      </c>
      <c r="AL646" s="56" t="s">
        <v>625</v>
      </c>
      <c r="AM646" s="56">
        <f>'[2]Изложницы без бурта'!K646</f>
        <v>0</v>
      </c>
    </row>
    <row r="647" spans="28:39" x14ac:dyDescent="0.25">
      <c r="AB647" s="258" t="str">
        <f t="shared" si="20"/>
        <v/>
      </c>
      <c r="AC647" s="259" t="str">
        <f>IF(COUNTIF(AD$78:AD647,AD647)=1,MAX(AC$78:AC646)+1,"")</f>
        <v/>
      </c>
      <c r="AD647" s="220">
        <f>'[2]Изложницы без бурта'!B647</f>
        <v>220</v>
      </c>
      <c r="AE647" s="220">
        <f>'[2]Изложницы без бурта'!C647</f>
        <v>380</v>
      </c>
      <c r="AF647" s="56">
        <f>'[2]Изложницы без бурта'!D647</f>
        <v>360</v>
      </c>
      <c r="AG647" s="56">
        <f>'[2]Изложницы без бурта'!E647</f>
        <v>450</v>
      </c>
      <c r="AH647" s="56" t="str">
        <f>'[2]Изложницы без бурта'!F647</f>
        <v>72.42461 - 33</v>
      </c>
      <c r="AI647" s="56">
        <f>'[2]Изложницы без бурта'!G647</f>
        <v>7260029</v>
      </c>
      <c r="AJ647" s="56">
        <f>'[2]Изложницы без бурта'!H647</f>
        <v>0</v>
      </c>
      <c r="AK647" s="56">
        <f>'[2]Изложницы без бурта'!I647</f>
        <v>0</v>
      </c>
      <c r="AL647" s="56" t="s">
        <v>625</v>
      </c>
      <c r="AM647" s="56">
        <f>'[2]Изложницы без бурта'!K647</f>
        <v>0</v>
      </c>
    </row>
    <row r="648" spans="28:39" x14ac:dyDescent="0.25">
      <c r="AB648" s="258" t="str">
        <f t="shared" si="20"/>
        <v/>
      </c>
      <c r="AC648" s="259">
        <f>IF(COUNTIF(AD$78:AD648,AD648)=1,MAX(AC$78:AC647)+1,"")</f>
        <v>54</v>
      </c>
      <c r="AD648" s="220">
        <f>'[2]Изложницы без бурта'!B648</f>
        <v>222.5</v>
      </c>
      <c r="AE648" s="220">
        <f>'[2]Изложницы без бурта'!C648</f>
        <v>255</v>
      </c>
      <c r="AF648" s="56">
        <f>'[2]Изложницы без бурта'!D648</f>
        <v>360</v>
      </c>
      <c r="AG648" s="56">
        <f>'[2]Изложницы без бурта'!E648</f>
        <v>450</v>
      </c>
      <c r="AH648" s="56" t="str">
        <f>'[2]Изложницы без бурта'!F648</f>
        <v>72.11872 - 1</v>
      </c>
      <c r="AI648" s="56">
        <f>'[2]Изложницы без бурта'!G648</f>
        <v>0</v>
      </c>
      <c r="AJ648" s="56">
        <f>'[2]Изложницы без бурта'!H648</f>
        <v>0</v>
      </c>
      <c r="AK648" s="56">
        <f>'[2]Изложницы без бурта'!I648</f>
        <v>0</v>
      </c>
      <c r="AL648" s="56" t="s">
        <v>626</v>
      </c>
      <c r="AM648" s="56">
        <f>'[2]Изложницы без бурта'!K648</f>
        <v>0</v>
      </c>
    </row>
    <row r="649" spans="28:39" x14ac:dyDescent="0.25">
      <c r="AB649" s="258" t="str">
        <f t="shared" si="20"/>
        <v/>
      </c>
      <c r="AC649" s="259" t="str">
        <f>IF(COUNTIF(AD$78:AD649,AD649)=1,MAX(AC$78:AC648)+1,"")</f>
        <v/>
      </c>
      <c r="AD649" s="220">
        <f>'[2]Изложницы без бурта'!B649</f>
        <v>222.5</v>
      </c>
      <c r="AE649" s="220">
        <f>'[2]Изложницы без бурта'!C649</f>
        <v>260</v>
      </c>
      <c r="AF649" s="56">
        <f>'[2]Изложницы без бурта'!D649</f>
        <v>375</v>
      </c>
      <c r="AG649" s="56">
        <f>'[2]Изложницы без бурта'!E649</f>
        <v>450</v>
      </c>
      <c r="AH649" s="56" t="str">
        <f>'[2]Изложницы без бурта'!F649</f>
        <v>72.11872 - 1</v>
      </c>
      <c r="AI649" s="56">
        <f>'[2]Изложницы без бурта'!G649</f>
        <v>0</v>
      </c>
      <c r="AJ649" s="56">
        <f>'[2]Изложницы без бурта'!H649</f>
        <v>0</v>
      </c>
      <c r="AK649" s="56">
        <f>'[2]Изложницы без бурта'!I649</f>
        <v>0</v>
      </c>
      <c r="AL649" s="56" t="s">
        <v>626</v>
      </c>
      <c r="AM649" s="56">
        <f>'[2]Изложницы без бурта'!K649</f>
        <v>0</v>
      </c>
    </row>
    <row r="650" spans="28:39" x14ac:dyDescent="0.25">
      <c r="AB650" s="258" t="str">
        <f t="shared" si="20"/>
        <v/>
      </c>
      <c r="AC650" s="259" t="str">
        <f>IF(COUNTIF(AD$78:AD650,AD650)=1,MAX(AC$78:AC649)+1,"")</f>
        <v/>
      </c>
      <c r="AD650" s="220">
        <f>'[2]Изложницы без бурта'!B650</f>
        <v>222.5</v>
      </c>
      <c r="AE650" s="220">
        <f>'[2]Изложницы без бурта'!C650</f>
        <v>260</v>
      </c>
      <c r="AF650" s="56">
        <f>'[2]Изложницы без бурта'!D650</f>
        <v>360</v>
      </c>
      <c r="AG650" s="56">
        <f>'[2]Изложницы без бурта'!E650</f>
        <v>450</v>
      </c>
      <c r="AH650" s="56" t="str">
        <f>'[2]Изложницы без бурта'!F650</f>
        <v>72.11872 - 1</v>
      </c>
      <c r="AI650" s="56">
        <f>'[2]Изложницы без бурта'!G650</f>
        <v>0</v>
      </c>
      <c r="AJ650" s="56">
        <f>'[2]Изложницы без бурта'!H650</f>
        <v>0</v>
      </c>
      <c r="AK650" s="56">
        <f>'[2]Изложницы без бурта'!I650</f>
        <v>0</v>
      </c>
      <c r="AL650" s="56" t="s">
        <v>626</v>
      </c>
      <c r="AM650" s="56">
        <f>'[2]Изложницы без бурта'!K650</f>
        <v>0</v>
      </c>
    </row>
    <row r="651" spans="28:39" x14ac:dyDescent="0.25">
      <c r="AB651" s="258" t="str">
        <f t="shared" si="20"/>
        <v/>
      </c>
      <c r="AC651" s="259" t="str">
        <f>IF(COUNTIF(AD$78:AD651,AD651)=1,MAX(AC$78:AC650)+1,"")</f>
        <v/>
      </c>
      <c r="AD651" s="220">
        <f>'[2]Изложницы без бурта'!B651</f>
        <v>222.5</v>
      </c>
      <c r="AE651" s="220">
        <f>'[2]Изложницы без бурта'!C651</f>
        <v>260</v>
      </c>
      <c r="AF651" s="56">
        <f>'[2]Изложницы без бурта'!D651</f>
        <v>375</v>
      </c>
      <c r="AG651" s="56">
        <f>'[2]Изложницы без бурта'!E651</f>
        <v>450</v>
      </c>
      <c r="AH651" s="56" t="str">
        <f>'[2]Изложницы без бурта'!F651</f>
        <v>72.11872 - 1</v>
      </c>
      <c r="AI651" s="56">
        <f>'[2]Изложницы без бурта'!G651</f>
        <v>0</v>
      </c>
      <c r="AJ651" s="56">
        <f>'[2]Изложницы без бурта'!H651</f>
        <v>0</v>
      </c>
      <c r="AK651" s="56">
        <f>'[2]Изложницы без бурта'!I651</f>
        <v>0</v>
      </c>
      <c r="AL651" s="56" t="s">
        <v>626</v>
      </c>
      <c r="AM651" s="56">
        <f>'[2]Изложницы без бурта'!K651</f>
        <v>0</v>
      </c>
    </row>
    <row r="652" spans="28:39" x14ac:dyDescent="0.25">
      <c r="AB652" s="258" t="str">
        <f t="shared" si="20"/>
        <v/>
      </c>
      <c r="AC652" s="259" t="str">
        <f>IF(COUNTIF(AD$78:AD652,AD652)=1,MAX(AC$78:AC651)+1,"")</f>
        <v/>
      </c>
      <c r="AD652" s="220">
        <f>'[2]Изложницы без бурта'!B652</f>
        <v>222.5</v>
      </c>
      <c r="AE652" s="220">
        <f>'[2]Изложницы без бурта'!C652</f>
        <v>320</v>
      </c>
      <c r="AF652" s="56">
        <f>'[2]Изложницы без бурта'!D652</f>
        <v>360</v>
      </c>
      <c r="AG652" s="56">
        <f>'[2]Изложницы без бурта'!E652</f>
        <v>450</v>
      </c>
      <c r="AH652" s="56" t="str">
        <f>'[2]Изложницы без бурта'!F652</f>
        <v>72.11873 - 1</v>
      </c>
      <c r="AI652" s="56">
        <f>'[2]Изложницы без бурта'!G652</f>
        <v>0</v>
      </c>
      <c r="AJ652" s="56">
        <f>'[2]Изложницы без бурта'!H652</f>
        <v>0</v>
      </c>
      <c r="AK652" s="56">
        <f>'[2]Изложницы без бурта'!I652</f>
        <v>0</v>
      </c>
      <c r="AL652" s="56" t="s">
        <v>626</v>
      </c>
      <c r="AM652" s="56">
        <f>'[2]Изложницы без бурта'!K652</f>
        <v>0</v>
      </c>
    </row>
    <row r="653" spans="28:39" x14ac:dyDescent="0.25">
      <c r="AB653" s="258" t="str">
        <f t="shared" si="20"/>
        <v/>
      </c>
      <c r="AC653" s="259" t="str">
        <f>IF(COUNTIF(AD$78:AD653,AD653)=1,MAX(AC$78:AC652)+1,"")</f>
        <v/>
      </c>
      <c r="AD653" s="220">
        <f>'[2]Изложницы без бурта'!B653</f>
        <v>222.5</v>
      </c>
      <c r="AE653" s="220">
        <f>'[2]Изложницы без бурта'!C653</f>
        <v>497</v>
      </c>
      <c r="AF653" s="56">
        <f>'[2]Изложницы без бурта'!D653</f>
        <v>360</v>
      </c>
      <c r="AG653" s="56">
        <f>'[2]Изложницы без бурта'!E653</f>
        <v>400</v>
      </c>
      <c r="AH653" s="56" t="str">
        <f>'[2]Изложницы без бурта'!F653</f>
        <v>72.23398 - 1</v>
      </c>
      <c r="AI653" s="56">
        <f>'[2]Изложницы без бурта'!G653</f>
        <v>0</v>
      </c>
      <c r="AJ653" s="56">
        <f>'[2]Изложницы без бурта'!H653</f>
        <v>0</v>
      </c>
      <c r="AK653" s="56">
        <f>'[2]Изложницы без бурта'!I653</f>
        <v>0</v>
      </c>
      <c r="AL653" s="56" t="s">
        <v>626</v>
      </c>
      <c r="AM653" s="56">
        <f>'[2]Изложницы без бурта'!K653</f>
        <v>0</v>
      </c>
    </row>
    <row r="654" spans="28:39" x14ac:dyDescent="0.25">
      <c r="AB654" s="258" t="str">
        <f t="shared" si="20"/>
        <v/>
      </c>
      <c r="AC654" s="259" t="str">
        <f>IF(COUNTIF(AD$78:AD654,AD654)=1,MAX(AC$78:AC653)+1,"")</f>
        <v/>
      </c>
      <c r="AD654" s="220">
        <f>'[2]Изложницы без бурта'!B654</f>
        <v>222.5</v>
      </c>
      <c r="AE654" s="220">
        <f>'[2]Изложницы без бурта'!C654</f>
        <v>497</v>
      </c>
      <c r="AF654" s="56">
        <f>'[2]Изложницы без бурта'!D654</f>
        <v>360</v>
      </c>
      <c r="AG654" s="56">
        <f>'[2]Изложницы без бурта'!E654</f>
        <v>400</v>
      </c>
      <c r="AH654" s="56" t="str">
        <f>'[2]Изложницы без бурта'!F654</f>
        <v>72.23398 - 1</v>
      </c>
      <c r="AI654" s="56">
        <f>'[2]Изложницы без бурта'!G654</f>
        <v>0</v>
      </c>
      <c r="AJ654" s="56">
        <f>'[2]Изложницы без бурта'!H654</f>
        <v>0</v>
      </c>
      <c r="AK654" s="56">
        <f>'[2]Изложницы без бурта'!I654</f>
        <v>0</v>
      </c>
      <c r="AL654" s="56" t="s">
        <v>626</v>
      </c>
      <c r="AM654" s="56">
        <f>'[2]Изложницы без бурта'!K654</f>
        <v>0</v>
      </c>
    </row>
    <row r="655" spans="28:39" x14ac:dyDescent="0.25">
      <c r="AB655" s="258" t="str">
        <f t="shared" si="20"/>
        <v/>
      </c>
      <c r="AC655" s="259" t="str">
        <f>IF(COUNTIF(AD$78:AD655,AD655)=1,MAX(AC$78:AC654)+1,"")</f>
        <v/>
      </c>
      <c r="AD655" s="220">
        <f>'[2]Изложницы без бурта'!B655</f>
        <v>222.5</v>
      </c>
      <c r="AE655" s="220">
        <f>'[2]Изложницы без бурта'!C655</f>
        <v>257</v>
      </c>
      <c r="AF655" s="56">
        <f>'[2]Изложницы без бурта'!D655</f>
        <v>360</v>
      </c>
      <c r="AG655" s="56">
        <f>'[2]Изложницы без бурта'!E655</f>
        <v>450</v>
      </c>
      <c r="AH655" s="56" t="str">
        <f>'[2]Изложницы без бурта'!F655</f>
        <v>72.11872 - 1</v>
      </c>
      <c r="AI655" s="56">
        <f>'[2]Изложницы без бурта'!G655</f>
        <v>0</v>
      </c>
      <c r="AJ655" s="56">
        <f>'[2]Изложницы без бурта'!H655</f>
        <v>0</v>
      </c>
      <c r="AK655" s="56">
        <f>'[2]Изложницы без бурта'!I655</f>
        <v>0</v>
      </c>
      <c r="AL655" s="56" t="s">
        <v>626</v>
      </c>
      <c r="AM655" s="56">
        <f>'[2]Изложницы без бурта'!K655</f>
        <v>0</v>
      </c>
    </row>
    <row r="656" spans="28:39" x14ac:dyDescent="0.25">
      <c r="AB656" s="258" t="str">
        <f t="shared" si="20"/>
        <v/>
      </c>
      <c r="AC656" s="259">
        <f>IF(COUNTIF(AD$78:AD656,AD656)=1,MAX(AC$78:AC655)+1,"")</f>
        <v>55</v>
      </c>
      <c r="AD656" s="220">
        <f>'[2]Изложницы без бурта'!B656</f>
        <v>225</v>
      </c>
      <c r="AE656" s="220">
        <f>'[2]Изложницы без бурта'!C656</f>
        <v>497</v>
      </c>
      <c r="AF656" s="56">
        <f>'[2]Изложницы без бурта'!D656</f>
        <v>360</v>
      </c>
      <c r="AG656" s="56">
        <f>'[2]Изложницы без бурта'!E656</f>
        <v>400</v>
      </c>
      <c r="AH656" s="56" t="str">
        <f>'[2]Изложницы без бурта'!F656</f>
        <v>72.23398 - 2</v>
      </c>
      <c r="AI656" s="56">
        <f>'[2]Изложницы без бурта'!G656</f>
        <v>0</v>
      </c>
      <c r="AJ656" s="56">
        <f>'[2]Изложницы без бурта'!H656</f>
        <v>0</v>
      </c>
      <c r="AK656" s="56">
        <f>'[2]Изложницы без бурта'!I656</f>
        <v>0</v>
      </c>
      <c r="AL656" s="56" t="s">
        <v>627</v>
      </c>
      <c r="AM656" s="56">
        <f>'[2]Изложницы без бурта'!K656</f>
        <v>0</v>
      </c>
    </row>
    <row r="657" spans="28:39" x14ac:dyDescent="0.25">
      <c r="AB657" s="258" t="str">
        <f t="shared" si="20"/>
        <v/>
      </c>
      <c r="AC657" s="259" t="str">
        <f>IF(COUNTIF(AD$78:AD657,AD657)=1,MAX(AC$78:AC656)+1,"")</f>
        <v/>
      </c>
      <c r="AD657" s="220">
        <f>'[2]Изложницы без бурта'!B657</f>
        <v>225</v>
      </c>
      <c r="AE657" s="220">
        <f>'[2]Изложницы без бурта'!C657</f>
        <v>258</v>
      </c>
      <c r="AF657" s="56">
        <f>'[2]Изложницы без бурта'!D657</f>
        <v>360</v>
      </c>
      <c r="AG657" s="56">
        <f>'[2]Изложницы без бурта'!E657</f>
        <v>450</v>
      </c>
      <c r="AH657" s="56" t="str">
        <f>'[2]Изложницы без бурта'!F657</f>
        <v>72.11872 - 2</v>
      </c>
      <c r="AI657" s="56">
        <f>'[2]Изложницы без бурта'!G657</f>
        <v>0</v>
      </c>
      <c r="AJ657" s="56">
        <f>'[2]Изложницы без бурта'!H657</f>
        <v>0</v>
      </c>
      <c r="AK657" s="56">
        <f>'[2]Изложницы без бурта'!I657</f>
        <v>0</v>
      </c>
      <c r="AL657" s="56" t="s">
        <v>627</v>
      </c>
      <c r="AM657" s="56">
        <f>'[2]Изложницы без бурта'!K657</f>
        <v>0</v>
      </c>
    </row>
    <row r="658" spans="28:39" x14ac:dyDescent="0.25">
      <c r="AB658" s="258" t="str">
        <f t="shared" si="20"/>
        <v/>
      </c>
      <c r="AC658" s="259" t="str">
        <f>IF(COUNTIF(AD$78:AD658,AD658)=1,MAX(AC$78:AC657)+1,"")</f>
        <v/>
      </c>
      <c r="AD658" s="220">
        <f>'[2]Изложницы без бурта'!B658</f>
        <v>225</v>
      </c>
      <c r="AE658" s="220">
        <f>'[2]Изложницы без бурта'!C658</f>
        <v>317</v>
      </c>
      <c r="AF658" s="56">
        <f>'[2]Изложницы без бурта'!D658</f>
        <v>375</v>
      </c>
      <c r="AG658" s="56">
        <f>'[2]Изложницы без бурта'!E658</f>
        <v>450</v>
      </c>
      <c r="AH658" s="56" t="str">
        <f>'[2]Изложницы без бурта'!F658</f>
        <v>72.11873 - 2</v>
      </c>
      <c r="AI658" s="56">
        <f>'[2]Изложницы без бурта'!G658</f>
        <v>0</v>
      </c>
      <c r="AJ658" s="56">
        <f>'[2]Изложницы без бурта'!H658</f>
        <v>0</v>
      </c>
      <c r="AK658" s="56">
        <f>'[2]Изложницы без бурта'!I658</f>
        <v>0</v>
      </c>
      <c r="AL658" s="56" t="s">
        <v>627</v>
      </c>
      <c r="AM658" s="56">
        <f>'[2]Изложницы без бурта'!K658</f>
        <v>0</v>
      </c>
    </row>
    <row r="659" spans="28:39" x14ac:dyDescent="0.25">
      <c r="AB659" s="258" t="str">
        <f t="shared" si="20"/>
        <v/>
      </c>
      <c r="AC659" s="259" t="str">
        <f>IF(COUNTIF(AD$78:AD659,AD659)=1,MAX(AC$78:AC658)+1,"")</f>
        <v/>
      </c>
      <c r="AD659" s="220">
        <f>'[2]Изложницы без бурта'!B659</f>
        <v>225</v>
      </c>
      <c r="AE659" s="220">
        <f>'[2]Изложницы без бурта'!C659</f>
        <v>320</v>
      </c>
      <c r="AF659" s="56">
        <f>'[2]Изложницы без бурта'!D659</f>
        <v>360</v>
      </c>
      <c r="AG659" s="56">
        <f>'[2]Изложницы без бурта'!E659</f>
        <v>450</v>
      </c>
      <c r="AH659" s="56" t="str">
        <f>'[2]Изложницы без бурта'!F659</f>
        <v>72.11873 - 2</v>
      </c>
      <c r="AI659" s="56">
        <f>'[2]Изложницы без бурта'!G659</f>
        <v>0</v>
      </c>
      <c r="AJ659" s="56">
        <f>'[2]Изложницы без бурта'!H659</f>
        <v>0</v>
      </c>
      <c r="AK659" s="56">
        <f>'[2]Изложницы без бурта'!I659</f>
        <v>0</v>
      </c>
      <c r="AL659" s="56" t="s">
        <v>627</v>
      </c>
      <c r="AM659" s="56">
        <f>'[2]Изложницы без бурта'!K659</f>
        <v>0</v>
      </c>
    </row>
    <row r="660" spans="28:39" x14ac:dyDescent="0.25">
      <c r="AB660" s="258" t="str">
        <f t="shared" si="20"/>
        <v/>
      </c>
      <c r="AC660" s="259" t="str">
        <f>IF(COUNTIF(AD$78:AD660,AD660)=1,MAX(AC$78:AC659)+1,"")</f>
        <v/>
      </c>
      <c r="AD660" s="220">
        <f>'[2]Изложницы без бурта'!B660</f>
        <v>225</v>
      </c>
      <c r="AE660" s="220">
        <f>'[2]Изложницы без бурта'!C660</f>
        <v>380</v>
      </c>
      <c r="AF660" s="56">
        <f>'[2]Изложницы без бурта'!D660</f>
        <v>360</v>
      </c>
      <c r="AG660" s="56">
        <f>'[2]Изложницы без бурта'!E660</f>
        <v>450</v>
      </c>
      <c r="AH660" s="56" t="str">
        <f>'[2]Изложницы без бурта'!F660</f>
        <v>72.11874 - 2</v>
      </c>
      <c r="AI660" s="56">
        <f>'[2]Изложницы без бурта'!G660</f>
        <v>7260030</v>
      </c>
      <c r="AJ660" s="56">
        <f>'[2]Изложницы без бурта'!H660</f>
        <v>0</v>
      </c>
      <c r="AK660" s="56">
        <f>'[2]Изложницы без бурта'!I660</f>
        <v>0</v>
      </c>
      <c r="AL660" s="56" t="s">
        <v>627</v>
      </c>
      <c r="AM660" s="56">
        <f>'[2]Изложницы без бурта'!K660</f>
        <v>0</v>
      </c>
    </row>
    <row r="661" spans="28:39" x14ac:dyDescent="0.25">
      <c r="AB661" s="258" t="str">
        <f t="shared" si="20"/>
        <v/>
      </c>
      <c r="AC661" s="259">
        <f>IF(COUNTIF(AD$78:AD661,AD661)=1,MAX(AC$78:AC660)+1,"")</f>
        <v>56</v>
      </c>
      <c r="AD661" s="220">
        <f>'[2]Изложницы без бурта'!B661</f>
        <v>227.5</v>
      </c>
      <c r="AE661" s="220">
        <f>'[2]Изложницы без бурта'!C661</f>
        <v>312</v>
      </c>
      <c r="AF661" s="56">
        <f>'[2]Изложницы без бурта'!D661</f>
        <v>375</v>
      </c>
      <c r="AG661" s="56">
        <f>'[2]Изложницы без бурта'!E661</f>
        <v>450</v>
      </c>
      <c r="AH661" s="56" t="str">
        <f>'[2]Изложницы без бурта'!F661</f>
        <v>72.11873 - 3</v>
      </c>
      <c r="AI661" s="56">
        <f>'[2]Изложницы без бурта'!G661</f>
        <v>0</v>
      </c>
      <c r="AJ661" s="56">
        <f>'[2]Изложницы без бурта'!H661</f>
        <v>0</v>
      </c>
      <c r="AK661" s="56">
        <f>'[2]Изложницы без бурта'!I661</f>
        <v>0</v>
      </c>
      <c r="AL661" s="56" t="s">
        <v>628</v>
      </c>
      <c r="AM661" s="56">
        <f>'[2]Изложницы без бурта'!K661</f>
        <v>0</v>
      </c>
    </row>
    <row r="662" spans="28:39" x14ac:dyDescent="0.25">
      <c r="AB662" s="258" t="str">
        <f t="shared" si="20"/>
        <v/>
      </c>
      <c r="AC662" s="259" t="str">
        <f>IF(COUNTIF(AD$78:AD662,AD662)=1,MAX(AC$78:AC661)+1,"")</f>
        <v/>
      </c>
      <c r="AD662" s="220">
        <f>'[2]Изложницы без бурта'!B662</f>
        <v>227.5</v>
      </c>
      <c r="AE662" s="220">
        <f>'[2]Изложницы без бурта'!C662</f>
        <v>320</v>
      </c>
      <c r="AF662" s="56">
        <f>'[2]Изложницы без бурта'!D662</f>
        <v>360</v>
      </c>
      <c r="AG662" s="56">
        <f>'[2]Изложницы без бурта'!E662</f>
        <v>450</v>
      </c>
      <c r="AH662" s="56" t="str">
        <f>'[2]Изложницы без бурта'!F662</f>
        <v>72.11873 - 3</v>
      </c>
      <c r="AI662" s="56">
        <f>'[2]Изложницы без бурта'!G662</f>
        <v>0</v>
      </c>
      <c r="AJ662" s="56">
        <f>'[2]Изложницы без бурта'!H662</f>
        <v>0</v>
      </c>
      <c r="AK662" s="56">
        <f>'[2]Изложницы без бурта'!I662</f>
        <v>0</v>
      </c>
      <c r="AL662" s="56" t="s">
        <v>628</v>
      </c>
      <c r="AM662" s="56">
        <f>'[2]Изложницы без бурта'!K662</f>
        <v>0</v>
      </c>
    </row>
    <row r="663" spans="28:39" x14ac:dyDescent="0.25">
      <c r="AB663" s="258" t="str">
        <f t="shared" si="20"/>
        <v/>
      </c>
      <c r="AC663" s="259" t="str">
        <f>IF(COUNTIF(AD$78:AD663,AD663)=1,MAX(AC$78:AC662)+1,"")</f>
        <v/>
      </c>
      <c r="AD663" s="220">
        <f>'[2]Изложницы без бурта'!B663</f>
        <v>227.5</v>
      </c>
      <c r="AE663" s="220">
        <f>'[2]Изложницы без бурта'!C663</f>
        <v>317</v>
      </c>
      <c r="AF663" s="56">
        <f>'[2]Изложницы без бурта'!D663</f>
        <v>360</v>
      </c>
      <c r="AG663" s="56">
        <f>'[2]Изложницы без бурта'!E663</f>
        <v>450</v>
      </c>
      <c r="AH663" s="56" t="str">
        <f>'[2]Изложницы без бурта'!F663</f>
        <v>72.11873 - 3</v>
      </c>
      <c r="AI663" s="56">
        <f>'[2]Изложницы без бурта'!G663</f>
        <v>0</v>
      </c>
      <c r="AJ663" s="56">
        <f>'[2]Изложницы без бурта'!H663</f>
        <v>0</v>
      </c>
      <c r="AK663" s="56">
        <f>'[2]Изложницы без бурта'!I663</f>
        <v>0</v>
      </c>
      <c r="AL663" s="56" t="s">
        <v>628</v>
      </c>
      <c r="AM663" s="56">
        <f>'[2]Изложницы без бурта'!K663</f>
        <v>0</v>
      </c>
    </row>
    <row r="664" spans="28:39" x14ac:dyDescent="0.25">
      <c r="AB664" s="258" t="str">
        <f t="shared" si="20"/>
        <v/>
      </c>
      <c r="AC664" s="259" t="str">
        <f>IF(COUNTIF(AD$78:AD664,AD664)=1,MAX(AC$78:AC663)+1,"")</f>
        <v/>
      </c>
      <c r="AD664" s="220">
        <f>'[2]Изложницы без бурта'!B664</f>
        <v>227.5</v>
      </c>
      <c r="AE664" s="220">
        <f>'[2]Изложницы без бурта'!C664</f>
        <v>318</v>
      </c>
      <c r="AF664" s="56">
        <f>'[2]Изложницы без бурта'!D664</f>
        <v>360</v>
      </c>
      <c r="AG664" s="56">
        <f>'[2]Изложницы без бурта'!E664</f>
        <v>450</v>
      </c>
      <c r="AH664" s="56" t="str">
        <f>'[2]Изложницы без бурта'!F664</f>
        <v>72.11873 - 3</v>
      </c>
      <c r="AI664" s="56">
        <f>'[2]Изложницы без бурта'!G664</f>
        <v>0</v>
      </c>
      <c r="AJ664" s="56">
        <f>'[2]Изложницы без бурта'!H664</f>
        <v>0</v>
      </c>
      <c r="AK664" s="56">
        <f>'[2]Изложницы без бурта'!I664</f>
        <v>0</v>
      </c>
      <c r="AL664" s="56" t="s">
        <v>628</v>
      </c>
      <c r="AM664" s="56">
        <f>'[2]Изложницы без бурта'!K664</f>
        <v>0</v>
      </c>
    </row>
    <row r="665" spans="28:39" x14ac:dyDescent="0.25">
      <c r="AB665" s="258" t="str">
        <f t="shared" si="20"/>
        <v/>
      </c>
      <c r="AC665" s="259" t="str">
        <f>IF(COUNTIF(AD$78:AD665,AD665)=1,MAX(AC$78:AC664)+1,"")</f>
        <v/>
      </c>
      <c r="AD665" s="220">
        <f>'[2]Изложницы без бурта'!B665</f>
        <v>227.5</v>
      </c>
      <c r="AE665" s="220">
        <f>'[2]Изложницы без бурта'!C665</f>
        <v>260</v>
      </c>
      <c r="AF665" s="56">
        <f>'[2]Изложницы без бурта'!D665</f>
        <v>360</v>
      </c>
      <c r="AG665" s="56">
        <f>'[2]Изложницы без бурта'!E665</f>
        <v>450</v>
      </c>
      <c r="AH665" s="56" t="str">
        <f>'[2]Изложницы без бурта'!F665</f>
        <v>72.11872 - 3</v>
      </c>
      <c r="AI665" s="56">
        <f>'[2]Изложницы без бурта'!G665</f>
        <v>0</v>
      </c>
      <c r="AJ665" s="56">
        <f>'[2]Изложницы без бурта'!H665</f>
        <v>0</v>
      </c>
      <c r="AK665" s="56">
        <f>'[2]Изложницы без бурта'!I665</f>
        <v>0</v>
      </c>
      <c r="AL665" s="56" t="s">
        <v>628</v>
      </c>
      <c r="AM665" s="56">
        <f>'[2]Изложницы без бурта'!K665</f>
        <v>0</v>
      </c>
    </row>
    <row r="666" spans="28:39" x14ac:dyDescent="0.25">
      <c r="AB666" s="258" t="str">
        <f t="shared" si="20"/>
        <v/>
      </c>
      <c r="AC666" s="259" t="str">
        <f>IF(COUNTIF(AD$78:AD666,AD666)=1,MAX(AC$78:AC665)+1,"")</f>
        <v/>
      </c>
      <c r="AD666" s="220">
        <f>'[2]Изложницы без бурта'!B666</f>
        <v>227.5</v>
      </c>
      <c r="AE666" s="220">
        <f>'[2]Изложницы без бурта'!C666</f>
        <v>320</v>
      </c>
      <c r="AF666" s="56">
        <f>'[2]Изложницы без бурта'!D666</f>
        <v>360</v>
      </c>
      <c r="AG666" s="56">
        <f>'[2]Изложницы без бурта'!E666</f>
        <v>450</v>
      </c>
      <c r="AH666" s="56" t="str">
        <f>'[2]Изложницы без бурта'!F666</f>
        <v>72.11873 - 3</v>
      </c>
      <c r="AI666" s="56">
        <f>'[2]Изложницы без бурта'!G666</f>
        <v>0</v>
      </c>
      <c r="AJ666" s="56">
        <f>'[2]Изложницы без бурта'!H666</f>
        <v>0</v>
      </c>
      <c r="AK666" s="56">
        <f>'[2]Изложницы без бурта'!I666</f>
        <v>0</v>
      </c>
      <c r="AL666" s="56" t="s">
        <v>628</v>
      </c>
      <c r="AM666" s="56">
        <f>'[2]Изложницы без бурта'!K666</f>
        <v>0</v>
      </c>
    </row>
    <row r="667" spans="28:39" x14ac:dyDescent="0.25">
      <c r="AB667" s="258" t="str">
        <f t="shared" si="20"/>
        <v/>
      </c>
      <c r="AC667" s="259" t="str">
        <f>IF(COUNTIF(AD$78:AD667,AD667)=1,MAX(AC$78:AC666)+1,"")</f>
        <v/>
      </c>
      <c r="AD667" s="220">
        <f>'[2]Изложницы без бурта'!B667</f>
        <v>227.5</v>
      </c>
      <c r="AE667" s="220">
        <f>'[2]Изложницы без бурта'!C667</f>
        <v>500</v>
      </c>
      <c r="AF667" s="56">
        <f>'[2]Изложницы без бурта'!D667</f>
        <v>360</v>
      </c>
      <c r="AG667" s="56">
        <f>'[2]Изложницы без бурта'!E667</f>
        <v>400</v>
      </c>
      <c r="AH667" s="56" t="str">
        <f>'[2]Изложницы без бурта'!F667</f>
        <v>72.23398 - 3</v>
      </c>
      <c r="AI667" s="56">
        <f>'[2]Изложницы без бурта'!G667</f>
        <v>0</v>
      </c>
      <c r="AJ667" s="56">
        <f>'[2]Изложницы без бурта'!H667</f>
        <v>0</v>
      </c>
      <c r="AK667" s="56">
        <f>'[2]Изложницы без бурта'!I667</f>
        <v>0</v>
      </c>
      <c r="AL667" s="56" t="s">
        <v>628</v>
      </c>
      <c r="AM667" s="56">
        <f>'[2]Изложницы без бурта'!K667</f>
        <v>0</v>
      </c>
    </row>
    <row r="668" spans="28:39" x14ac:dyDescent="0.25">
      <c r="AB668" s="258" t="str">
        <f t="shared" si="20"/>
        <v/>
      </c>
      <c r="AC668" s="259" t="str">
        <f>IF(COUNTIF(AD$78:AD668,AD668)=1,MAX(AC$78:AC667)+1,"")</f>
        <v/>
      </c>
      <c r="AD668" s="220">
        <f>'[2]Изложницы без бурта'!B668</f>
        <v>227.5</v>
      </c>
      <c r="AE668" s="220">
        <f>'[2]Изложницы без бурта'!C668</f>
        <v>498</v>
      </c>
      <c r="AF668" s="56">
        <f>'[2]Изложницы без бурта'!D668</f>
        <v>360</v>
      </c>
      <c r="AG668" s="56">
        <f>'[2]Изложницы без бурта'!E668</f>
        <v>400</v>
      </c>
      <c r="AH668" s="56" t="str">
        <f>'[2]Изложницы без бурта'!F668</f>
        <v>72.23398 - 3</v>
      </c>
      <c r="AI668" s="56">
        <f>'[2]Изложницы без бурта'!G668</f>
        <v>0</v>
      </c>
      <c r="AJ668" s="56">
        <f>'[2]Изложницы без бурта'!H668</f>
        <v>0</v>
      </c>
      <c r="AK668" s="56">
        <f>'[2]Изложницы без бурта'!I668</f>
        <v>0</v>
      </c>
      <c r="AL668" s="56" t="s">
        <v>628</v>
      </c>
      <c r="AM668" s="56">
        <f>'[2]Изложницы без бурта'!K668</f>
        <v>0</v>
      </c>
    </row>
    <row r="669" spans="28:39" x14ac:dyDescent="0.25">
      <c r="AB669" s="258" t="str">
        <f t="shared" si="20"/>
        <v/>
      </c>
      <c r="AC669" s="259">
        <f>IF(COUNTIF(AD$78:AD669,AD669)=1,MAX(AC$78:AC668)+1,"")</f>
        <v>57</v>
      </c>
      <c r="AD669" s="220">
        <f>'[2]Изложницы без бурта'!B669</f>
        <v>230</v>
      </c>
      <c r="AE669" s="220">
        <f>'[2]Изложницы без бурта'!C669</f>
        <v>260</v>
      </c>
      <c r="AF669" s="56">
        <f>'[2]Изложницы без бурта'!D669</f>
        <v>375</v>
      </c>
      <c r="AG669" s="56">
        <f>'[2]Изложницы без бурта'!E669</f>
        <v>450</v>
      </c>
      <c r="AH669" s="56" t="str">
        <f>'[2]Изложницы без бурта'!F669</f>
        <v>72.11872 - 4</v>
      </c>
      <c r="AI669" s="56">
        <f>'[2]Изложницы без бурта'!G669</f>
        <v>0</v>
      </c>
      <c r="AJ669" s="56">
        <f>'[2]Изложницы без бурта'!H669</f>
        <v>0</v>
      </c>
      <c r="AK669" s="56">
        <f>'[2]Изложницы без бурта'!I669</f>
        <v>0</v>
      </c>
      <c r="AL669" s="56" t="s">
        <v>629</v>
      </c>
      <c r="AM669" s="56">
        <f>'[2]Изложницы без бурта'!K669</f>
        <v>0</v>
      </c>
    </row>
    <row r="670" spans="28:39" x14ac:dyDescent="0.25">
      <c r="AB670" s="258" t="str">
        <f t="shared" si="20"/>
        <v/>
      </c>
      <c r="AC670" s="259" t="str">
        <f>IF(COUNTIF(AD$78:AD670,AD670)=1,MAX(AC$78:AC669)+1,"")</f>
        <v/>
      </c>
      <c r="AD670" s="220">
        <f>'[2]Изложницы без бурта'!B670</f>
        <v>230</v>
      </c>
      <c r="AE670" s="220">
        <f>'[2]Изложницы без бурта'!C670</f>
        <v>260</v>
      </c>
      <c r="AF670" s="56">
        <f>'[2]Изложницы без бурта'!D670</f>
        <v>375</v>
      </c>
      <c r="AG670" s="56">
        <f>'[2]Изложницы без бурта'!E670</f>
        <v>450</v>
      </c>
      <c r="AH670" s="56" t="str">
        <f>'[2]Изложницы без бурта'!F670</f>
        <v>72.11872 - 4</v>
      </c>
      <c r="AI670" s="56">
        <f>'[2]Изложницы без бурта'!G670</f>
        <v>0</v>
      </c>
      <c r="AJ670" s="56">
        <f>'[2]Изложницы без бурта'!H670</f>
        <v>0</v>
      </c>
      <c r="AK670" s="56">
        <f>'[2]Изложницы без бурта'!I670</f>
        <v>0</v>
      </c>
      <c r="AL670" s="56" t="s">
        <v>629</v>
      </c>
      <c r="AM670" s="56">
        <f>'[2]Изложницы без бурта'!K670</f>
        <v>0</v>
      </c>
    </row>
    <row r="671" spans="28:39" x14ac:dyDescent="0.25">
      <c r="AB671" s="258" t="str">
        <f t="shared" si="20"/>
        <v/>
      </c>
      <c r="AC671" s="259" t="str">
        <f>IF(COUNTIF(AD$78:AD671,AD671)=1,MAX(AC$78:AC670)+1,"")</f>
        <v/>
      </c>
      <c r="AD671" s="220">
        <f>'[2]Изложницы без бурта'!B671</f>
        <v>230</v>
      </c>
      <c r="AE671" s="220">
        <f>'[2]Изложницы без бурта'!C671</f>
        <v>318</v>
      </c>
      <c r="AF671" s="56">
        <f>'[2]Изложницы без бурта'!D671</f>
        <v>360</v>
      </c>
      <c r="AG671" s="56">
        <f>'[2]Изложницы без бурта'!E671</f>
        <v>450</v>
      </c>
      <c r="AH671" s="56" t="str">
        <f>'[2]Изложницы без бурта'!F671</f>
        <v>72.11873 - 4</v>
      </c>
      <c r="AI671" s="56">
        <f>'[2]Изложницы без бурта'!G671</f>
        <v>0</v>
      </c>
      <c r="AJ671" s="56">
        <f>'[2]Изложницы без бурта'!H671</f>
        <v>0</v>
      </c>
      <c r="AK671" s="56">
        <f>'[2]Изложницы без бурта'!I671</f>
        <v>0</v>
      </c>
      <c r="AL671" s="56" t="s">
        <v>629</v>
      </c>
      <c r="AM671" s="56">
        <f>'[2]Изложницы без бурта'!K671</f>
        <v>0</v>
      </c>
    </row>
    <row r="672" spans="28:39" x14ac:dyDescent="0.25">
      <c r="AB672" s="258" t="str">
        <f t="shared" si="20"/>
        <v/>
      </c>
      <c r="AC672" s="259" t="str">
        <f>IF(COUNTIF(AD$78:AD672,AD672)=1,MAX(AC$78:AC671)+1,"")</f>
        <v/>
      </c>
      <c r="AD672" s="220">
        <f>'[2]Изложницы без бурта'!B672</f>
        <v>230</v>
      </c>
      <c r="AE672" s="220">
        <f>'[2]Изложницы без бурта'!C672</f>
        <v>380</v>
      </c>
      <c r="AF672" s="56">
        <f>'[2]Изложницы без бурта'!D672</f>
        <v>360</v>
      </c>
      <c r="AG672" s="56">
        <f>'[2]Изложницы без бурта'!E672</f>
        <v>450</v>
      </c>
      <c r="AH672" s="56" t="str">
        <f>'[2]Изложницы без бурта'!F672</f>
        <v>72.11874 - 4</v>
      </c>
      <c r="AI672" s="56">
        <f>'[2]Изложницы без бурта'!G672</f>
        <v>0</v>
      </c>
      <c r="AJ672" s="56">
        <f>'[2]Изложницы без бурта'!H672</f>
        <v>0</v>
      </c>
      <c r="AK672" s="56">
        <f>'[2]Изложницы без бурта'!I672</f>
        <v>0</v>
      </c>
      <c r="AL672" s="56" t="s">
        <v>629</v>
      </c>
      <c r="AM672" s="56">
        <f>'[2]Изложницы без бурта'!K672</f>
        <v>0</v>
      </c>
    </row>
    <row r="673" spans="28:39" x14ac:dyDescent="0.25">
      <c r="AB673" s="258" t="str">
        <f t="shared" si="20"/>
        <v/>
      </c>
      <c r="AC673" s="259" t="str">
        <f>IF(COUNTIF(AD$78:AD673,AD673)=1,MAX(AC$78:AC672)+1,"")</f>
        <v/>
      </c>
      <c r="AD673" s="220">
        <f>'[2]Изложницы без бурта'!B673</f>
        <v>230</v>
      </c>
      <c r="AE673" s="220">
        <f>'[2]Изложницы без бурта'!C673</f>
        <v>318</v>
      </c>
      <c r="AF673" s="56">
        <f>'[2]Изложницы без бурта'!D673</f>
        <v>360</v>
      </c>
      <c r="AG673" s="56">
        <f>'[2]Изложницы без бурта'!E673</f>
        <v>450</v>
      </c>
      <c r="AH673" s="56" t="str">
        <f>'[2]Изложницы без бурта'!F673</f>
        <v>72.11873 - 4</v>
      </c>
      <c r="AI673" s="56">
        <f>'[2]Изложницы без бурта'!G673</f>
        <v>0</v>
      </c>
      <c r="AJ673" s="56">
        <f>'[2]Изложницы без бурта'!H673</f>
        <v>0</v>
      </c>
      <c r="AK673" s="56">
        <f>'[2]Изложницы без бурта'!I673</f>
        <v>0</v>
      </c>
      <c r="AL673" s="56" t="s">
        <v>629</v>
      </c>
      <c r="AM673" s="56">
        <f>'[2]Изложницы без бурта'!K673</f>
        <v>0</v>
      </c>
    </row>
    <row r="674" spans="28:39" x14ac:dyDescent="0.25">
      <c r="AB674" s="258" t="str">
        <f t="shared" si="20"/>
        <v/>
      </c>
      <c r="AC674" s="259" t="str">
        <f>IF(COUNTIF(AD$78:AD674,AD674)=1,MAX(AC$78:AC673)+1,"")</f>
        <v/>
      </c>
      <c r="AD674" s="220">
        <f>'[2]Изложницы без бурта'!B674</f>
        <v>230</v>
      </c>
      <c r="AE674" s="220">
        <f>'[2]Изложницы без бурта'!C674</f>
        <v>380</v>
      </c>
      <c r="AF674" s="56">
        <f>'[2]Изложницы без бурта'!D674</f>
        <v>360</v>
      </c>
      <c r="AG674" s="56">
        <f>'[2]Изложницы без бурта'!E674</f>
        <v>450</v>
      </c>
      <c r="AH674" s="56" t="str">
        <f>'[2]Изложницы без бурта'!F674</f>
        <v>72.11874 - 4</v>
      </c>
      <c r="AI674" s="56">
        <f>'[2]Изложницы без бурта'!G674</f>
        <v>0</v>
      </c>
      <c r="AJ674" s="56">
        <f>'[2]Изложницы без бурта'!H674</f>
        <v>0</v>
      </c>
      <c r="AK674" s="56">
        <f>'[2]Изложницы без бурта'!I674</f>
        <v>0</v>
      </c>
      <c r="AL674" s="56" t="s">
        <v>629</v>
      </c>
      <c r="AM674" s="56">
        <f>'[2]Изложницы без бурта'!K674</f>
        <v>0</v>
      </c>
    </row>
    <row r="675" spans="28:39" x14ac:dyDescent="0.25">
      <c r="AB675" s="258" t="str">
        <f t="shared" si="20"/>
        <v/>
      </c>
      <c r="AC675" s="259" t="str">
        <f>IF(COUNTIF(AD$78:AD675,AD675)=1,MAX(AC$78:AC674)+1,"")</f>
        <v/>
      </c>
      <c r="AD675" s="220">
        <f>'[2]Изложницы без бурта'!B675</f>
        <v>230</v>
      </c>
      <c r="AE675" s="220">
        <f>'[2]Изложницы без бурта'!C675</f>
        <v>260</v>
      </c>
      <c r="AF675" s="56">
        <f>'[2]Изложницы без бурта'!D675</f>
        <v>360</v>
      </c>
      <c r="AG675" s="56">
        <f>'[2]Изложницы без бурта'!E675</f>
        <v>450</v>
      </c>
      <c r="AH675" s="56" t="str">
        <f>'[2]Изложницы без бурта'!F675</f>
        <v>72.11872 - 4</v>
      </c>
      <c r="AI675" s="56">
        <f>'[2]Изложницы без бурта'!G675</f>
        <v>0</v>
      </c>
      <c r="AJ675" s="56">
        <f>'[2]Изложницы без бурта'!H675</f>
        <v>0</v>
      </c>
      <c r="AK675" s="56">
        <f>'[2]Изложницы без бурта'!I675</f>
        <v>0</v>
      </c>
      <c r="AL675" s="56" t="s">
        <v>629</v>
      </c>
      <c r="AM675" s="56">
        <f>'[2]Изложницы без бурта'!K675</f>
        <v>0</v>
      </c>
    </row>
    <row r="676" spans="28:39" x14ac:dyDescent="0.25">
      <c r="AB676" s="258" t="str">
        <f t="shared" si="20"/>
        <v/>
      </c>
      <c r="AC676" s="259" t="str">
        <f>IF(COUNTIF(AD$78:AD676,AD676)=1,MAX(AC$78:AC675)+1,"")</f>
        <v/>
      </c>
      <c r="AD676" s="220">
        <f>'[2]Изложницы без бурта'!B676</f>
        <v>230</v>
      </c>
      <c r="AE676" s="220">
        <f>'[2]Изложницы без бурта'!C676</f>
        <v>260</v>
      </c>
      <c r="AF676" s="56">
        <f>'[2]Изложницы без бурта'!D676</f>
        <v>360</v>
      </c>
      <c r="AG676" s="56">
        <f>'[2]Изложницы без бурта'!E676</f>
        <v>450</v>
      </c>
      <c r="AH676" s="56" t="str">
        <f>'[2]Изложницы без бурта'!F676</f>
        <v>72.11872 - 4</v>
      </c>
      <c r="AI676" s="56">
        <f>'[2]Изложницы без бурта'!G676</f>
        <v>0</v>
      </c>
      <c r="AJ676" s="56">
        <f>'[2]Изложницы без бурта'!H676</f>
        <v>0</v>
      </c>
      <c r="AK676" s="56">
        <f>'[2]Изложницы без бурта'!I676</f>
        <v>0</v>
      </c>
      <c r="AL676" s="56" t="s">
        <v>629</v>
      </c>
      <c r="AM676" s="56">
        <f>'[2]Изложницы без бурта'!K676</f>
        <v>0</v>
      </c>
    </row>
    <row r="677" spans="28:39" x14ac:dyDescent="0.25">
      <c r="AB677" s="258" t="str">
        <f t="shared" si="20"/>
        <v/>
      </c>
      <c r="AC677" s="259" t="str">
        <f>IF(COUNTIF(AD$78:AD677,AD677)=1,MAX(AC$78:AC676)+1,"")</f>
        <v/>
      </c>
      <c r="AD677" s="220">
        <f>'[2]Изложницы без бурта'!B677</f>
        <v>230</v>
      </c>
      <c r="AE677" s="220">
        <f>'[2]Изложницы без бурта'!C677</f>
        <v>260</v>
      </c>
      <c r="AF677" s="56">
        <f>'[2]Изложницы без бурта'!D677</f>
        <v>375</v>
      </c>
      <c r="AG677" s="56">
        <f>'[2]Изложницы без бурта'!E677</f>
        <v>450</v>
      </c>
      <c r="AH677" s="56" t="str">
        <f>'[2]Изложницы без бурта'!F677</f>
        <v>72.11872 - 4</v>
      </c>
      <c r="AI677" s="56">
        <f>'[2]Изложницы без бурта'!G677</f>
        <v>0</v>
      </c>
      <c r="AJ677" s="56">
        <f>'[2]Изложницы без бурта'!H677</f>
        <v>0</v>
      </c>
      <c r="AK677" s="56">
        <f>'[2]Изложницы без бурта'!I677</f>
        <v>0</v>
      </c>
      <c r="AL677" s="56" t="s">
        <v>629</v>
      </c>
      <c r="AM677" s="56">
        <f>'[2]Изложницы без бурта'!K677</f>
        <v>0</v>
      </c>
    </row>
    <row r="678" spans="28:39" x14ac:dyDescent="0.25">
      <c r="AB678" s="258" t="str">
        <f t="shared" si="20"/>
        <v/>
      </c>
      <c r="AC678" s="259" t="str">
        <f>IF(COUNTIF(AD$78:AD678,AD678)=1,MAX(AC$78:AC677)+1,"")</f>
        <v/>
      </c>
      <c r="AD678" s="220">
        <f>'[2]Изложницы без бурта'!B678</f>
        <v>230</v>
      </c>
      <c r="AE678" s="220">
        <f>'[2]Изложницы без бурта'!C678</f>
        <v>380</v>
      </c>
      <c r="AF678" s="56">
        <f>'[2]Изложницы без бурта'!D678</f>
        <v>360</v>
      </c>
      <c r="AG678" s="56">
        <f>'[2]Изложницы без бурта'!E678</f>
        <v>450</v>
      </c>
      <c r="AH678" s="56" t="str">
        <f>'[2]Изложницы без бурта'!F678</f>
        <v>72.11874 - 4</v>
      </c>
      <c r="AI678" s="56">
        <f>'[2]Изложницы без бурта'!G678</f>
        <v>0</v>
      </c>
      <c r="AJ678" s="56">
        <f>'[2]Изложницы без бурта'!H678</f>
        <v>0</v>
      </c>
      <c r="AK678" s="56">
        <f>'[2]Изложницы без бурта'!I678</f>
        <v>0</v>
      </c>
      <c r="AL678" s="56" t="s">
        <v>629</v>
      </c>
      <c r="AM678" s="56">
        <f>'[2]Изложницы без бурта'!K678</f>
        <v>0</v>
      </c>
    </row>
    <row r="679" spans="28:39" x14ac:dyDescent="0.25">
      <c r="AB679" s="258" t="str">
        <f t="shared" si="20"/>
        <v/>
      </c>
      <c r="AC679" s="259">
        <f>IF(COUNTIF(AD$78:AD679,AD679)=1,MAX(AC$78:AC678)+1,"")</f>
        <v>58</v>
      </c>
      <c r="AD679" s="220">
        <f>'[2]Изложницы без бурта'!B679</f>
        <v>232.5</v>
      </c>
      <c r="AE679" s="220">
        <f>'[2]Изложницы без бурта'!C679</f>
        <v>380</v>
      </c>
      <c r="AF679" s="56">
        <f>'[2]Изложницы без бурта'!D679</f>
        <v>360</v>
      </c>
      <c r="AG679" s="56">
        <f>'[2]Изложницы без бурта'!E679</f>
        <v>450</v>
      </c>
      <c r="AH679" s="56" t="str">
        <f>'[2]Изложницы без бурта'!F679</f>
        <v>72.11874 - 5</v>
      </c>
      <c r="AI679" s="56">
        <f>'[2]Изложницы без бурта'!G679</f>
        <v>0</v>
      </c>
      <c r="AJ679" s="56">
        <f>'[2]Изложницы без бурта'!H679</f>
        <v>0</v>
      </c>
      <c r="AK679" s="56">
        <f>'[2]Изложницы без бурта'!I679</f>
        <v>0</v>
      </c>
      <c r="AL679" s="56" t="s">
        <v>630</v>
      </c>
      <c r="AM679" s="56">
        <f>'[2]Изложницы без бурта'!K679</f>
        <v>0</v>
      </c>
    </row>
    <row r="680" spans="28:39" x14ac:dyDescent="0.25">
      <c r="AB680" s="258" t="str">
        <f t="shared" si="20"/>
        <v/>
      </c>
      <c r="AC680" s="259" t="str">
        <f>IF(COUNTIF(AD$78:AD680,AD680)=1,MAX(AC$78:AC679)+1,"")</f>
        <v/>
      </c>
      <c r="AD680" s="220">
        <f>'[2]Изложницы без бурта'!B680</f>
        <v>232.5</v>
      </c>
      <c r="AE680" s="220">
        <f>'[2]Изложницы без бурта'!C680</f>
        <v>260</v>
      </c>
      <c r="AF680" s="56">
        <f>'[2]Изложницы без бурта'!D680</f>
        <v>375</v>
      </c>
      <c r="AG680" s="56">
        <f>'[2]Изложницы без бурта'!E680</f>
        <v>450</v>
      </c>
      <c r="AH680" s="56" t="str">
        <f>'[2]Изложницы без бурта'!F680</f>
        <v>72.11872 - 5</v>
      </c>
      <c r="AI680" s="56">
        <f>'[2]Изложницы без бурта'!G680</f>
        <v>0</v>
      </c>
      <c r="AJ680" s="56">
        <f>'[2]Изложницы без бурта'!H680</f>
        <v>0</v>
      </c>
      <c r="AK680" s="56">
        <f>'[2]Изложницы без бурта'!I680</f>
        <v>0</v>
      </c>
      <c r="AL680" s="56" t="s">
        <v>630</v>
      </c>
      <c r="AM680" s="56">
        <f>'[2]Изложницы без бурта'!K680</f>
        <v>0</v>
      </c>
    </row>
    <row r="681" spans="28:39" x14ac:dyDescent="0.25">
      <c r="AB681" s="258" t="str">
        <f t="shared" si="20"/>
        <v/>
      </c>
      <c r="AC681" s="259" t="str">
        <f>IF(COUNTIF(AD$78:AD681,AD681)=1,MAX(AC$78:AC680)+1,"")</f>
        <v/>
      </c>
      <c r="AD681" s="220">
        <f>'[2]Изложницы без бурта'!B681</f>
        <v>232.5</v>
      </c>
      <c r="AE681" s="220">
        <f>'[2]Изложницы без бурта'!C681</f>
        <v>500</v>
      </c>
      <c r="AF681" s="56">
        <f>'[2]Изложницы без бурта'!D681</f>
        <v>375</v>
      </c>
      <c r="AG681" s="56">
        <f>'[2]Изложницы без бурта'!E681</f>
        <v>400</v>
      </c>
      <c r="AH681" s="56" t="str">
        <f>'[2]Изложницы без бурта'!F681</f>
        <v>72.23398 - 5</v>
      </c>
      <c r="AI681" s="56">
        <f>'[2]Изложницы без бурта'!G681</f>
        <v>0</v>
      </c>
      <c r="AJ681" s="56">
        <f>'[2]Изложницы без бурта'!H681</f>
        <v>0</v>
      </c>
      <c r="AK681" s="56">
        <f>'[2]Изложницы без бурта'!I681</f>
        <v>0</v>
      </c>
      <c r="AL681" s="56" t="s">
        <v>630</v>
      </c>
      <c r="AM681" s="56">
        <f>'[2]Изложницы без бурта'!K681</f>
        <v>0</v>
      </c>
    </row>
    <row r="682" spans="28:39" x14ac:dyDescent="0.25">
      <c r="AB682" s="258" t="str">
        <f t="shared" si="20"/>
        <v/>
      </c>
      <c r="AC682" s="259" t="str">
        <f>IF(COUNTIF(AD$78:AD682,AD682)=1,MAX(AC$78:AC681)+1,"")</f>
        <v/>
      </c>
      <c r="AD682" s="220">
        <f>'[2]Изложницы без бурта'!B682</f>
        <v>232.5</v>
      </c>
      <c r="AE682" s="220">
        <f>'[2]Изложницы без бурта'!C682</f>
        <v>260</v>
      </c>
      <c r="AF682" s="56">
        <f>'[2]Изложницы без бурта'!D682</f>
        <v>375</v>
      </c>
      <c r="AG682" s="56">
        <f>'[2]Изложницы без бурта'!E682</f>
        <v>450</v>
      </c>
      <c r="AH682" s="56" t="str">
        <f>'[2]Изложницы без бурта'!F682</f>
        <v>72.11872 - 5</v>
      </c>
      <c r="AI682" s="56">
        <f>'[2]Изложницы без бурта'!G682</f>
        <v>0</v>
      </c>
      <c r="AJ682" s="56">
        <f>'[2]Изложницы без бурта'!H682</f>
        <v>0</v>
      </c>
      <c r="AK682" s="56">
        <f>'[2]Изложницы без бурта'!I682</f>
        <v>0</v>
      </c>
      <c r="AL682" s="56" t="s">
        <v>630</v>
      </c>
      <c r="AM682" s="56">
        <f>'[2]Изложницы без бурта'!K682</f>
        <v>0</v>
      </c>
    </row>
    <row r="683" spans="28:39" x14ac:dyDescent="0.25">
      <c r="AB683" s="258" t="str">
        <f t="shared" si="20"/>
        <v/>
      </c>
      <c r="AC683" s="259" t="str">
        <f>IF(COUNTIF(AD$78:AD683,AD683)=1,MAX(AC$78:AC682)+1,"")</f>
        <v/>
      </c>
      <c r="AD683" s="220">
        <f>'[2]Изложницы без бурта'!B683</f>
        <v>232.5</v>
      </c>
      <c r="AE683" s="220">
        <f>'[2]Изложницы без бурта'!C683</f>
        <v>260</v>
      </c>
      <c r="AF683" s="56">
        <f>'[2]Изложницы без бурта'!D683</f>
        <v>375</v>
      </c>
      <c r="AG683" s="56">
        <f>'[2]Изложницы без бурта'!E683</f>
        <v>450</v>
      </c>
      <c r="AH683" s="56" t="str">
        <f>'[2]Изложницы без бурта'!F683</f>
        <v>72.11872 - 5</v>
      </c>
      <c r="AI683" s="56">
        <f>'[2]Изложницы без бурта'!G683</f>
        <v>0</v>
      </c>
      <c r="AJ683" s="56">
        <f>'[2]Изложницы без бурта'!H683</f>
        <v>0</v>
      </c>
      <c r="AK683" s="56">
        <f>'[2]Изложницы без бурта'!I683</f>
        <v>0</v>
      </c>
      <c r="AL683" s="56" t="s">
        <v>630</v>
      </c>
      <c r="AM683" s="56">
        <f>'[2]Изложницы без бурта'!K683</f>
        <v>0</v>
      </c>
    </row>
    <row r="684" spans="28:39" x14ac:dyDescent="0.25">
      <c r="AB684" s="258" t="str">
        <f t="shared" si="20"/>
        <v/>
      </c>
      <c r="AC684" s="259" t="str">
        <f>IF(COUNTIF(AD$78:AD684,AD684)=1,MAX(AC$78:AC683)+1,"")</f>
        <v/>
      </c>
      <c r="AD684" s="220">
        <f>'[2]Изложницы без бурта'!B684</f>
        <v>232.5</v>
      </c>
      <c r="AE684" s="220">
        <f>'[2]Изложницы без бурта'!C684</f>
        <v>260</v>
      </c>
      <c r="AF684" s="56">
        <f>'[2]Изложницы без бурта'!D684</f>
        <v>375</v>
      </c>
      <c r="AG684" s="56">
        <f>'[2]Изложницы без бурта'!E684</f>
        <v>450</v>
      </c>
      <c r="AH684" s="56" t="str">
        <f>'[2]Изложницы без бурта'!F684</f>
        <v>72.11872 - 5</v>
      </c>
      <c r="AI684" s="56">
        <f>'[2]Изложницы без бурта'!G684</f>
        <v>0</v>
      </c>
      <c r="AJ684" s="56">
        <f>'[2]Изложницы без бурта'!H684</f>
        <v>0</v>
      </c>
      <c r="AK684" s="56">
        <f>'[2]Изложницы без бурта'!I684</f>
        <v>0</v>
      </c>
      <c r="AL684" s="56" t="s">
        <v>630</v>
      </c>
      <c r="AM684" s="56">
        <f>'[2]Изложницы без бурта'!K684</f>
        <v>0</v>
      </c>
    </row>
    <row r="685" spans="28:39" x14ac:dyDescent="0.25">
      <c r="AB685" s="258" t="str">
        <f t="shared" si="20"/>
        <v/>
      </c>
      <c r="AC685" s="259" t="str">
        <f>IF(COUNTIF(AD$78:AD685,AD685)=1,MAX(AC$78:AC684)+1,"")</f>
        <v/>
      </c>
      <c r="AD685" s="220">
        <f>'[2]Изложницы без бурта'!B685</f>
        <v>232.5</v>
      </c>
      <c r="AE685" s="220">
        <f>'[2]Изложницы без бурта'!C685</f>
        <v>258</v>
      </c>
      <c r="AF685" s="56">
        <f>'[2]Изложницы без бурта'!D685</f>
        <v>360</v>
      </c>
      <c r="AG685" s="56">
        <f>'[2]Изложницы без бурта'!E685</f>
        <v>450</v>
      </c>
      <c r="AH685" s="56" t="str">
        <f>'[2]Изложницы без бурта'!F685</f>
        <v>72.11872 - 5</v>
      </c>
      <c r="AI685" s="56">
        <f>'[2]Изложницы без бурта'!G685</f>
        <v>0</v>
      </c>
      <c r="AJ685" s="56">
        <f>'[2]Изложницы без бурта'!H685</f>
        <v>0</v>
      </c>
      <c r="AK685" s="56">
        <f>'[2]Изложницы без бурта'!I685</f>
        <v>0</v>
      </c>
      <c r="AL685" s="56" t="s">
        <v>630</v>
      </c>
      <c r="AM685" s="56">
        <f>'[2]Изложницы без бурта'!K685</f>
        <v>0</v>
      </c>
    </row>
    <row r="686" spans="28:39" x14ac:dyDescent="0.25">
      <c r="AB686" s="258" t="str">
        <f t="shared" si="20"/>
        <v/>
      </c>
      <c r="AC686" s="259" t="str">
        <f>IF(COUNTIF(AD$78:AD686,AD686)=1,MAX(AC$78:AC685)+1,"")</f>
        <v/>
      </c>
      <c r="AD686" s="220">
        <f>'[2]Изложницы без бурта'!B686</f>
        <v>232.5</v>
      </c>
      <c r="AE686" s="220">
        <f>'[2]Изложницы без бурта'!C686</f>
        <v>257</v>
      </c>
      <c r="AF686" s="56">
        <f>'[2]Изложницы без бурта'!D686</f>
        <v>360</v>
      </c>
      <c r="AG686" s="56">
        <f>'[2]Изложницы без бурта'!E686</f>
        <v>450</v>
      </c>
      <c r="AH686" s="56" t="str">
        <f>'[2]Изложницы без бурта'!F686</f>
        <v>72.11872 - 5</v>
      </c>
      <c r="AI686" s="56">
        <f>'[2]Изложницы без бурта'!G686</f>
        <v>0</v>
      </c>
      <c r="AJ686" s="56">
        <f>'[2]Изложницы без бурта'!H686</f>
        <v>0</v>
      </c>
      <c r="AK686" s="56">
        <f>'[2]Изложницы без бурта'!I686</f>
        <v>0</v>
      </c>
      <c r="AL686" s="56" t="s">
        <v>630</v>
      </c>
      <c r="AM686" s="56">
        <f>'[2]Изложницы без бурта'!K686</f>
        <v>0</v>
      </c>
    </row>
    <row r="687" spans="28:39" x14ac:dyDescent="0.25">
      <c r="AB687" s="258" t="str">
        <f t="shared" si="20"/>
        <v/>
      </c>
      <c r="AC687" s="259" t="str">
        <f>IF(COUNTIF(AD$78:AD687,AD687)=1,MAX(AC$78:AC686)+1,"")</f>
        <v/>
      </c>
      <c r="AD687" s="220">
        <f>'[2]Изложницы без бурта'!B687</f>
        <v>232.5</v>
      </c>
      <c r="AE687" s="220">
        <f>'[2]Изложницы без бурта'!C687</f>
        <v>260</v>
      </c>
      <c r="AF687" s="56">
        <f>'[2]Изложницы без бурта'!D687</f>
        <v>360</v>
      </c>
      <c r="AG687" s="56">
        <f>'[2]Изложницы без бурта'!E687</f>
        <v>450</v>
      </c>
      <c r="AH687" s="56" t="str">
        <f>'[2]Изложницы без бурта'!F687</f>
        <v>72.11872 - 5</v>
      </c>
      <c r="AI687" s="56">
        <f>'[2]Изложницы без бурта'!G687</f>
        <v>0</v>
      </c>
      <c r="AJ687" s="56">
        <f>'[2]Изложницы без бурта'!H687</f>
        <v>0</v>
      </c>
      <c r="AK687" s="56">
        <f>'[2]Изложницы без бурта'!I687</f>
        <v>0</v>
      </c>
      <c r="AL687" s="56" t="s">
        <v>630</v>
      </c>
      <c r="AM687" s="56">
        <f>'[2]Изложницы без бурта'!K687</f>
        <v>0</v>
      </c>
    </row>
    <row r="688" spans="28:39" x14ac:dyDescent="0.25">
      <c r="AB688" s="258" t="str">
        <f t="shared" si="20"/>
        <v/>
      </c>
      <c r="AC688" s="259" t="str">
        <f>IF(COUNTIF(AD$78:AD688,AD688)=1,MAX(AC$78:AC687)+1,"")</f>
        <v/>
      </c>
      <c r="AD688" s="220">
        <f>'[2]Изложницы без бурта'!B688</f>
        <v>232.5</v>
      </c>
      <c r="AE688" s="220">
        <f>'[2]Изложницы без бурта'!C688</f>
        <v>260</v>
      </c>
      <c r="AF688" s="56">
        <f>'[2]Изложницы без бурта'!D688</f>
        <v>375</v>
      </c>
      <c r="AG688" s="56">
        <f>'[2]Изложницы без бурта'!E688</f>
        <v>450</v>
      </c>
      <c r="AH688" s="56" t="str">
        <f>'[2]Изложницы без бурта'!F688</f>
        <v>72.11872 - 5</v>
      </c>
      <c r="AI688" s="56">
        <f>'[2]Изложницы без бурта'!G688</f>
        <v>0</v>
      </c>
      <c r="AJ688" s="56">
        <f>'[2]Изложницы без бурта'!H688</f>
        <v>0</v>
      </c>
      <c r="AK688" s="56">
        <f>'[2]Изложницы без бурта'!I688</f>
        <v>0</v>
      </c>
      <c r="AL688" s="56" t="s">
        <v>630</v>
      </c>
      <c r="AM688" s="56">
        <f>'[2]Изложницы без бурта'!K688</f>
        <v>0</v>
      </c>
    </row>
    <row r="689" spans="28:39" x14ac:dyDescent="0.25">
      <c r="AB689" s="258" t="str">
        <f t="shared" si="20"/>
        <v/>
      </c>
      <c r="AC689" s="259" t="str">
        <f>IF(COUNTIF(AD$78:AD689,AD689)=1,MAX(AC$78:AC688)+1,"")</f>
        <v/>
      </c>
      <c r="AD689" s="220">
        <f>'[2]Изложницы без бурта'!B689</f>
        <v>232.5</v>
      </c>
      <c r="AE689" s="220">
        <f>'[2]Изложницы без бурта'!C689</f>
        <v>380</v>
      </c>
      <c r="AF689" s="56">
        <f>'[2]Изложницы без бурта'!D689</f>
        <v>375</v>
      </c>
      <c r="AG689" s="56">
        <f>'[2]Изложницы без бурта'!E689</f>
        <v>450</v>
      </c>
      <c r="AH689" s="56" t="str">
        <f>'[2]Изложницы без бурта'!F689</f>
        <v>72.11874 - 5</v>
      </c>
      <c r="AI689" s="56">
        <f>'[2]Изложницы без бурта'!G689</f>
        <v>0</v>
      </c>
      <c r="AJ689" s="56">
        <f>'[2]Изложницы без бурта'!H689</f>
        <v>0</v>
      </c>
      <c r="AK689" s="56">
        <f>'[2]Изложницы без бурта'!I689</f>
        <v>0</v>
      </c>
      <c r="AL689" s="56" t="s">
        <v>630</v>
      </c>
      <c r="AM689" s="56">
        <f>'[2]Изложницы без бурта'!K689</f>
        <v>0</v>
      </c>
    </row>
    <row r="690" spans="28:39" x14ac:dyDescent="0.25">
      <c r="AB690" s="258" t="str">
        <f t="shared" si="20"/>
        <v/>
      </c>
      <c r="AC690" s="259" t="str">
        <f>IF(COUNTIF(AD$78:AD690,AD690)=1,MAX(AC$78:AC689)+1,"")</f>
        <v/>
      </c>
      <c r="AD690" s="220">
        <f>'[2]Изложницы без бурта'!B690</f>
        <v>232.5</v>
      </c>
      <c r="AE690" s="220">
        <f>'[2]Изложницы без бурта'!C690</f>
        <v>260</v>
      </c>
      <c r="AF690" s="56">
        <f>'[2]Изложницы без бурта'!D690</f>
        <v>375</v>
      </c>
      <c r="AG690" s="56">
        <f>'[2]Изложницы без бурта'!E690</f>
        <v>450</v>
      </c>
      <c r="AH690" s="56" t="str">
        <f>'[2]Изложницы без бурта'!F690</f>
        <v>72.11872 - 5</v>
      </c>
      <c r="AI690" s="56">
        <f>'[2]Изложницы без бурта'!G690</f>
        <v>0</v>
      </c>
      <c r="AJ690" s="56">
        <f>'[2]Изложницы без бурта'!H690</f>
        <v>0</v>
      </c>
      <c r="AK690" s="56">
        <f>'[2]Изложницы без бурта'!I690</f>
        <v>0</v>
      </c>
      <c r="AL690" s="56" t="s">
        <v>630</v>
      </c>
      <c r="AM690" s="56">
        <f>'[2]Изложницы без бурта'!K690</f>
        <v>0</v>
      </c>
    </row>
    <row r="691" spans="28:39" x14ac:dyDescent="0.25">
      <c r="AB691" s="258" t="str">
        <f t="shared" si="20"/>
        <v/>
      </c>
      <c r="AC691" s="259" t="str">
        <f>IF(COUNTIF(AD$78:AD691,AD691)=1,MAX(AC$78:AC690)+1,"")</f>
        <v/>
      </c>
      <c r="AD691" s="220">
        <f>'[2]Изложницы без бурта'!B691</f>
        <v>232.5</v>
      </c>
      <c r="AE691" s="220">
        <f>'[2]Изложницы без бурта'!C691</f>
        <v>380</v>
      </c>
      <c r="AF691" s="56">
        <f>'[2]Изложницы без бурта'!D691</f>
        <v>360</v>
      </c>
      <c r="AG691" s="56">
        <f>'[2]Изложницы без бурта'!E691</f>
        <v>450</v>
      </c>
      <c r="AH691" s="56" t="str">
        <f>'[2]Изложницы без бурта'!F691</f>
        <v>72.11874 - 5</v>
      </c>
      <c r="AI691" s="56">
        <f>'[2]Изложницы без бурта'!G691</f>
        <v>0</v>
      </c>
      <c r="AJ691" s="56">
        <f>'[2]Изложницы без бурта'!H691</f>
        <v>0</v>
      </c>
      <c r="AK691" s="56">
        <f>'[2]Изложницы без бурта'!I691</f>
        <v>0</v>
      </c>
      <c r="AL691" s="56" t="s">
        <v>630</v>
      </c>
      <c r="AM691" s="56">
        <f>'[2]Изложницы без бурта'!K691</f>
        <v>0</v>
      </c>
    </row>
    <row r="692" spans="28:39" x14ac:dyDescent="0.25">
      <c r="AB692" s="258" t="str">
        <f t="shared" si="20"/>
        <v/>
      </c>
      <c r="AC692" s="259" t="str">
        <f>IF(COUNTIF(AD$78:AD692,AD692)=1,MAX(AC$78:AC691)+1,"")</f>
        <v/>
      </c>
      <c r="AD692" s="220">
        <f>'[2]Изложницы без бурта'!B692</f>
        <v>232.5</v>
      </c>
      <c r="AE692" s="220">
        <f>'[2]Изложницы без бурта'!C692</f>
        <v>260</v>
      </c>
      <c r="AF692" s="56">
        <f>'[2]Изложницы без бурта'!D692</f>
        <v>375</v>
      </c>
      <c r="AG692" s="56">
        <f>'[2]Изложницы без бурта'!E692</f>
        <v>450</v>
      </c>
      <c r="AH692" s="56" t="str">
        <f>'[2]Изложницы без бурта'!F692</f>
        <v>72.11872 - 5</v>
      </c>
      <c r="AI692" s="56">
        <f>'[2]Изложницы без бурта'!G692</f>
        <v>0</v>
      </c>
      <c r="AJ692" s="56">
        <f>'[2]Изложницы без бурта'!H692</f>
        <v>0</v>
      </c>
      <c r="AK692" s="56">
        <f>'[2]Изложницы без бурта'!I692</f>
        <v>0</v>
      </c>
      <c r="AL692" s="56" t="s">
        <v>630</v>
      </c>
      <c r="AM692" s="56">
        <f>'[2]Изложницы без бурта'!K692</f>
        <v>0</v>
      </c>
    </row>
    <row r="693" spans="28:39" x14ac:dyDescent="0.25">
      <c r="AB693" s="258" t="str">
        <f t="shared" si="20"/>
        <v/>
      </c>
      <c r="AC693" s="259" t="str">
        <f>IF(COUNTIF(AD$78:AD693,AD693)=1,MAX(AC$78:AC692)+1,"")</f>
        <v/>
      </c>
      <c r="AD693" s="220">
        <f>'[2]Изложницы без бурта'!B693</f>
        <v>232.5</v>
      </c>
      <c r="AE693" s="220">
        <f>'[2]Изложницы без бурта'!C693</f>
        <v>260</v>
      </c>
      <c r="AF693" s="56">
        <f>'[2]Изложницы без бурта'!D693</f>
        <v>375</v>
      </c>
      <c r="AG693" s="56">
        <f>'[2]Изложницы без бурта'!E693</f>
        <v>450</v>
      </c>
      <c r="AH693" s="56" t="str">
        <f>'[2]Изложницы без бурта'!F693</f>
        <v>72.11872 - 5</v>
      </c>
      <c r="AI693" s="56">
        <f>'[2]Изложницы без бурта'!G693</f>
        <v>0</v>
      </c>
      <c r="AJ693" s="56">
        <f>'[2]Изложницы без бурта'!H693</f>
        <v>0</v>
      </c>
      <c r="AK693" s="56">
        <f>'[2]Изложницы без бурта'!I693</f>
        <v>0</v>
      </c>
      <c r="AL693" s="56" t="s">
        <v>630</v>
      </c>
      <c r="AM693" s="56">
        <f>'[2]Изложницы без бурта'!K693</f>
        <v>0</v>
      </c>
    </row>
    <row r="694" spans="28:39" x14ac:dyDescent="0.25">
      <c r="AB694" s="258" t="str">
        <f t="shared" si="20"/>
        <v/>
      </c>
      <c r="AC694" s="259" t="str">
        <f>IF(COUNTIF(AD$78:AD694,AD694)=1,MAX(AC$78:AC693)+1,"")</f>
        <v/>
      </c>
      <c r="AD694" s="220">
        <f>'[2]Изложницы без бурта'!B694</f>
        <v>232.5</v>
      </c>
      <c r="AE694" s="220">
        <f>'[2]Изложницы без бурта'!C694</f>
        <v>260</v>
      </c>
      <c r="AF694" s="56">
        <f>'[2]Изложницы без бурта'!D694</f>
        <v>375</v>
      </c>
      <c r="AG694" s="56">
        <f>'[2]Изложницы без бурта'!E694</f>
        <v>450</v>
      </c>
      <c r="AH694" s="56" t="str">
        <f>'[2]Изложницы без бурта'!F694</f>
        <v>72.11872 - 5</v>
      </c>
      <c r="AI694" s="56">
        <f>'[2]Изложницы без бурта'!G694</f>
        <v>0</v>
      </c>
      <c r="AJ694" s="56">
        <f>'[2]Изложницы без бурта'!H694</f>
        <v>0</v>
      </c>
      <c r="AK694" s="56">
        <f>'[2]Изложницы без бурта'!I694</f>
        <v>0</v>
      </c>
      <c r="AL694" s="56" t="s">
        <v>630</v>
      </c>
      <c r="AM694" s="56">
        <f>'[2]Изложницы без бурта'!K694</f>
        <v>0</v>
      </c>
    </row>
    <row r="695" spans="28:39" x14ac:dyDescent="0.25">
      <c r="AB695" s="258" t="str">
        <f t="shared" si="20"/>
        <v/>
      </c>
      <c r="AC695" s="259" t="str">
        <f>IF(COUNTIF(AD$78:AD695,AD695)=1,MAX(AC$78:AC694)+1,"")</f>
        <v/>
      </c>
      <c r="AD695" s="220">
        <f>'[2]Изложницы без бурта'!B695</f>
        <v>232.5</v>
      </c>
      <c r="AE695" s="220">
        <f>'[2]Изложницы без бурта'!C695</f>
        <v>260</v>
      </c>
      <c r="AF695" s="56">
        <f>'[2]Изложницы без бурта'!D695</f>
        <v>375</v>
      </c>
      <c r="AG695" s="56">
        <f>'[2]Изложницы без бурта'!E695</f>
        <v>450</v>
      </c>
      <c r="AH695" s="56" t="str">
        <f>'[2]Изложницы без бурта'!F695</f>
        <v>72.11872 - 5</v>
      </c>
      <c r="AI695" s="56">
        <f>'[2]Изложницы без бурта'!G695</f>
        <v>0</v>
      </c>
      <c r="AJ695" s="56">
        <f>'[2]Изложницы без бурта'!H695</f>
        <v>0</v>
      </c>
      <c r="AK695" s="56">
        <f>'[2]Изложницы без бурта'!I695</f>
        <v>0</v>
      </c>
      <c r="AL695" s="56" t="s">
        <v>630</v>
      </c>
      <c r="AM695" s="56">
        <f>'[2]Изложницы без бурта'!K695</f>
        <v>0</v>
      </c>
    </row>
    <row r="696" spans="28:39" x14ac:dyDescent="0.25">
      <c r="AB696" s="258" t="str">
        <f t="shared" si="20"/>
        <v/>
      </c>
      <c r="AC696" s="259" t="str">
        <f>IF(COUNTIF(AD$78:AD696,AD696)=1,MAX(AC$78:AC695)+1,"")</f>
        <v/>
      </c>
      <c r="AD696" s="220">
        <f>'[2]Изложницы без бурта'!B696</f>
        <v>232.5</v>
      </c>
      <c r="AE696" s="220">
        <f>'[2]Изложницы без бурта'!C696</f>
        <v>260</v>
      </c>
      <c r="AF696" s="56">
        <f>'[2]Изложницы без бурта'!D696</f>
        <v>360</v>
      </c>
      <c r="AG696" s="56">
        <f>'[2]Изложницы без бурта'!E696</f>
        <v>450</v>
      </c>
      <c r="AH696" s="56" t="str">
        <f>'[2]Изложницы без бурта'!F696</f>
        <v>72.11872 - 5</v>
      </c>
      <c r="AI696" s="56">
        <f>'[2]Изложницы без бурта'!G696</f>
        <v>0</v>
      </c>
      <c r="AJ696" s="56">
        <f>'[2]Изложницы без бурта'!H696</f>
        <v>0</v>
      </c>
      <c r="AK696" s="56">
        <f>'[2]Изложницы без бурта'!I696</f>
        <v>0</v>
      </c>
      <c r="AL696" s="56" t="s">
        <v>630</v>
      </c>
      <c r="AM696" s="56">
        <f>'[2]Изложницы без бурта'!K696</f>
        <v>0</v>
      </c>
    </row>
    <row r="697" spans="28:39" x14ac:dyDescent="0.25">
      <c r="AB697" s="258" t="str">
        <f t="shared" ref="AB697:AB760" si="21">IF(MAX(AC697:AC1774)&lt;ROW(619:619),"",VLOOKUP(ROW(619:619),AC697:AD1774,2))</f>
        <v/>
      </c>
      <c r="AC697" s="259" t="str">
        <f>IF(COUNTIF(AD$78:AD697,AD697)=1,MAX(AC$78:AC696)+1,"")</f>
        <v/>
      </c>
      <c r="AD697" s="220">
        <f>'[2]Изложницы без бурта'!B697</f>
        <v>232.5</v>
      </c>
      <c r="AE697" s="220">
        <f>'[2]Изложницы без бурта'!C697</f>
        <v>395</v>
      </c>
      <c r="AF697" s="56">
        <f>'[2]Изложницы без бурта'!D697</f>
        <v>360</v>
      </c>
      <c r="AG697" s="56">
        <f>'[2]Изложницы без бурта'!E697</f>
        <v>400</v>
      </c>
      <c r="AH697" s="56" t="str">
        <f>'[2]Изложницы без бурта'!F697</f>
        <v>10.255223 - 14</v>
      </c>
      <c r="AI697" s="56">
        <f>'[2]Изложницы без бурта'!G697</f>
        <v>7260031</v>
      </c>
      <c r="AJ697" s="56">
        <f>'[2]Изложницы без бурта'!H697</f>
        <v>0</v>
      </c>
      <c r="AK697" s="56">
        <f>'[2]Изложницы без бурта'!I697</f>
        <v>0</v>
      </c>
      <c r="AL697" s="56" t="s">
        <v>630</v>
      </c>
      <c r="AM697" s="56">
        <f>'[2]Изложницы без бурта'!K697</f>
        <v>0</v>
      </c>
    </row>
    <row r="698" spans="28:39" x14ac:dyDescent="0.25">
      <c r="AB698" s="258" t="str">
        <f t="shared" si="21"/>
        <v/>
      </c>
      <c r="AC698" s="259" t="str">
        <f>IF(COUNTIF(AD$78:AD698,AD698)=1,MAX(AC$78:AC697)+1,"")</f>
        <v/>
      </c>
      <c r="AD698" s="220">
        <f>'[2]Изложницы без бурта'!B698</f>
        <v>232.5</v>
      </c>
      <c r="AE698" s="220">
        <f>'[2]Изложницы без бурта'!C698</f>
        <v>398</v>
      </c>
      <c r="AF698" s="56">
        <f>'[2]Изложницы без бурта'!D698</f>
        <v>285</v>
      </c>
      <c r="AG698" s="56">
        <f>'[2]Изложницы без бурта'!E698</f>
        <v>400</v>
      </c>
      <c r="AH698" s="56" t="str">
        <f>'[2]Изложницы без бурта'!F698</f>
        <v>10.255223 - 14</v>
      </c>
      <c r="AI698" s="56">
        <f>'[2]Изложницы без бурта'!G698</f>
        <v>7260031</v>
      </c>
      <c r="AJ698" s="56">
        <f>'[2]Изложницы без бурта'!H698</f>
        <v>0</v>
      </c>
      <c r="AK698" s="56">
        <f>'[2]Изложницы без бурта'!I698</f>
        <v>0</v>
      </c>
      <c r="AL698" s="56" t="s">
        <v>630</v>
      </c>
      <c r="AM698" s="56">
        <f>'[2]Изложницы без бурта'!K698</f>
        <v>0</v>
      </c>
    </row>
    <row r="699" spans="28:39" x14ac:dyDescent="0.25">
      <c r="AB699" s="258" t="str">
        <f t="shared" si="21"/>
        <v/>
      </c>
      <c r="AC699" s="259">
        <f>IF(COUNTIF(AD$78:AD699,AD699)=1,MAX(AC$78:AC698)+1,"")</f>
        <v>59</v>
      </c>
      <c r="AD699" s="220">
        <f>'[2]Изложницы без бурта'!B699</f>
        <v>235</v>
      </c>
      <c r="AE699" s="220">
        <f>'[2]Изложницы без бурта'!C699</f>
        <v>320</v>
      </c>
      <c r="AF699" s="56">
        <f>'[2]Изложницы без бурта'!D699</f>
        <v>375</v>
      </c>
      <c r="AG699" s="56">
        <f>'[2]Изложницы без бурта'!E699</f>
        <v>450</v>
      </c>
      <c r="AH699" s="56" t="str">
        <f>'[2]Изложницы без бурта'!F699</f>
        <v>72.11873 - 6</v>
      </c>
      <c r="AI699" s="56">
        <f>'[2]Изложницы без бурта'!G699</f>
        <v>0</v>
      </c>
      <c r="AJ699" s="56">
        <f>'[2]Изложницы без бурта'!H699</f>
        <v>0</v>
      </c>
      <c r="AK699" s="56">
        <f>'[2]Изложницы без бурта'!I699</f>
        <v>0</v>
      </c>
      <c r="AL699" s="56" t="s">
        <v>631</v>
      </c>
      <c r="AM699" s="56">
        <f>'[2]Изложницы без бурта'!K699</f>
        <v>0</v>
      </c>
    </row>
    <row r="700" spans="28:39" x14ac:dyDescent="0.25">
      <c r="AB700" s="258" t="str">
        <f t="shared" si="21"/>
        <v/>
      </c>
      <c r="AC700" s="259" t="str">
        <f>IF(COUNTIF(AD$78:AD700,AD700)=1,MAX(AC$78:AC699)+1,"")</f>
        <v/>
      </c>
      <c r="AD700" s="220">
        <f>'[2]Изложницы без бурта'!B700</f>
        <v>235</v>
      </c>
      <c r="AE700" s="220">
        <f>'[2]Изложницы без бурта'!C700</f>
        <v>318</v>
      </c>
      <c r="AF700" s="56">
        <f>'[2]Изложницы без бурта'!D700</f>
        <v>360</v>
      </c>
      <c r="AG700" s="56">
        <f>'[2]Изложницы без бурта'!E700</f>
        <v>450</v>
      </c>
      <c r="AH700" s="56" t="str">
        <f>'[2]Изложницы без бурта'!F700</f>
        <v>72.11873 - 6</v>
      </c>
      <c r="AI700" s="56">
        <f>'[2]Изложницы без бурта'!G700</f>
        <v>0</v>
      </c>
      <c r="AJ700" s="56">
        <f>'[2]Изложницы без бурта'!H700</f>
        <v>0</v>
      </c>
      <c r="AK700" s="56">
        <f>'[2]Изложницы без бурта'!I700</f>
        <v>0</v>
      </c>
      <c r="AL700" s="56" t="s">
        <v>631</v>
      </c>
      <c r="AM700" s="56">
        <f>'[2]Изложницы без бурта'!K700</f>
        <v>0</v>
      </c>
    </row>
    <row r="701" spans="28:39" x14ac:dyDescent="0.25">
      <c r="AB701" s="258" t="str">
        <f t="shared" si="21"/>
        <v/>
      </c>
      <c r="AC701" s="259" t="str">
        <f>IF(COUNTIF(AD$78:AD701,AD701)=1,MAX(AC$78:AC700)+1,"")</f>
        <v/>
      </c>
      <c r="AD701" s="220">
        <f>'[2]Изложницы без бурта'!B701</f>
        <v>235</v>
      </c>
      <c r="AE701" s="220">
        <f>'[2]Изложницы без бурта'!C701</f>
        <v>318</v>
      </c>
      <c r="AF701" s="56">
        <f>'[2]Изложницы без бурта'!D701</f>
        <v>375</v>
      </c>
      <c r="AG701" s="56">
        <f>'[2]Изложницы без бурта'!E701</f>
        <v>450</v>
      </c>
      <c r="AH701" s="56" t="str">
        <f>'[2]Изложницы без бурта'!F701</f>
        <v>72.11873 - 6</v>
      </c>
      <c r="AI701" s="56">
        <f>'[2]Изложницы без бурта'!G701</f>
        <v>0</v>
      </c>
      <c r="AJ701" s="56">
        <f>'[2]Изложницы без бурта'!H701</f>
        <v>0</v>
      </c>
      <c r="AK701" s="56">
        <f>'[2]Изложницы без бурта'!I701</f>
        <v>0</v>
      </c>
      <c r="AL701" s="56" t="s">
        <v>631</v>
      </c>
      <c r="AM701" s="56">
        <f>'[2]Изложницы без бурта'!K701</f>
        <v>0</v>
      </c>
    </row>
    <row r="702" spans="28:39" x14ac:dyDescent="0.25">
      <c r="AB702" s="258" t="str">
        <f t="shared" si="21"/>
        <v/>
      </c>
      <c r="AC702" s="259" t="str">
        <f>IF(COUNTIF(AD$78:AD702,AD702)=1,MAX(AC$78:AC701)+1,"")</f>
        <v/>
      </c>
      <c r="AD702" s="220">
        <f>'[2]Изложницы без бурта'!B702</f>
        <v>235</v>
      </c>
      <c r="AE702" s="220">
        <f>'[2]Изложницы без бурта'!C702</f>
        <v>380</v>
      </c>
      <c r="AF702" s="56">
        <f>'[2]Изложницы без бурта'!D702</f>
        <v>360</v>
      </c>
      <c r="AG702" s="56">
        <f>'[2]Изложницы без бурта'!E702</f>
        <v>450</v>
      </c>
      <c r="AH702" s="56" t="str">
        <f>'[2]Изложницы без бурта'!F702</f>
        <v>72.11874 - 6</v>
      </c>
      <c r="AI702" s="56">
        <f>'[2]Изложницы без бурта'!G702</f>
        <v>0</v>
      </c>
      <c r="AJ702" s="56">
        <f>'[2]Изложницы без бурта'!H702</f>
        <v>0</v>
      </c>
      <c r="AK702" s="56">
        <f>'[2]Изложницы без бурта'!I702</f>
        <v>0</v>
      </c>
      <c r="AL702" s="56" t="s">
        <v>631</v>
      </c>
      <c r="AM702" s="56">
        <f>'[2]Изложницы без бурта'!K702</f>
        <v>0</v>
      </c>
    </row>
    <row r="703" spans="28:39" x14ac:dyDescent="0.25">
      <c r="AB703" s="258" t="str">
        <f t="shared" si="21"/>
        <v/>
      </c>
      <c r="AC703" s="259" t="str">
        <f>IF(COUNTIF(AD$78:AD703,AD703)=1,MAX(AC$78:AC702)+1,"")</f>
        <v/>
      </c>
      <c r="AD703" s="220">
        <f>'[2]Изложницы без бурта'!B703</f>
        <v>235</v>
      </c>
      <c r="AE703" s="220">
        <f>'[2]Изложницы без бурта'!C703</f>
        <v>258</v>
      </c>
      <c r="AF703" s="56">
        <f>'[2]Изложницы без бурта'!D703</f>
        <v>360</v>
      </c>
      <c r="AG703" s="56">
        <f>'[2]Изложницы без бурта'!E703</f>
        <v>450</v>
      </c>
      <c r="AH703" s="56" t="str">
        <f>'[2]Изложницы без бурта'!F703</f>
        <v>72.11872 - 6</v>
      </c>
      <c r="AI703" s="56">
        <f>'[2]Изложницы без бурта'!G703</f>
        <v>7260032</v>
      </c>
      <c r="AJ703" s="56">
        <f>'[2]Изложницы без бурта'!H703</f>
        <v>0</v>
      </c>
      <c r="AK703" s="56">
        <f>'[2]Изложницы без бурта'!I703</f>
        <v>0</v>
      </c>
      <c r="AL703" s="56" t="s">
        <v>631</v>
      </c>
      <c r="AM703" s="56">
        <f>'[2]Изложницы без бурта'!K703</f>
        <v>0</v>
      </c>
    </row>
    <row r="704" spans="28:39" x14ac:dyDescent="0.25">
      <c r="AB704" s="258" t="str">
        <f t="shared" si="21"/>
        <v/>
      </c>
      <c r="AC704" s="259" t="str">
        <f>IF(COUNTIF(AD$78:AD704,AD704)=1,MAX(AC$78:AC703)+1,"")</f>
        <v/>
      </c>
      <c r="AD704" s="220">
        <f>'[2]Изложницы без бурта'!B704</f>
        <v>235</v>
      </c>
      <c r="AE704" s="220">
        <f>'[2]Изложницы без бурта'!C704</f>
        <v>377</v>
      </c>
      <c r="AF704" s="56">
        <f>'[2]Изложницы без бурта'!D704</f>
        <v>360</v>
      </c>
      <c r="AG704" s="56">
        <f>'[2]Изложницы без бурта'!E704</f>
        <v>450</v>
      </c>
      <c r="AH704" s="56" t="str">
        <f>'[2]Изложницы без бурта'!F704</f>
        <v>72.11874 - 6</v>
      </c>
      <c r="AI704" s="56">
        <f>'[2]Изложницы без бурта'!G704</f>
        <v>0</v>
      </c>
      <c r="AJ704" s="56">
        <f>'[2]Изложницы без бурта'!H704</f>
        <v>0</v>
      </c>
      <c r="AK704" s="56">
        <f>'[2]Изложницы без бурта'!I704</f>
        <v>0</v>
      </c>
      <c r="AL704" s="56" t="s">
        <v>631</v>
      </c>
      <c r="AM704" s="56">
        <f>'[2]Изложницы без бурта'!K704</f>
        <v>0</v>
      </c>
    </row>
    <row r="705" spans="28:39" x14ac:dyDescent="0.25">
      <c r="AB705" s="258" t="str">
        <f t="shared" si="21"/>
        <v/>
      </c>
      <c r="AC705" s="259" t="str">
        <f>IF(COUNTIF(AD$78:AD705,AD705)=1,MAX(AC$78:AC704)+1,"")</f>
        <v/>
      </c>
      <c r="AD705" s="220">
        <f>'[2]Изложницы без бурта'!B705</f>
        <v>235</v>
      </c>
      <c r="AE705" s="220">
        <f>'[2]Изложницы без бурта'!C705</f>
        <v>380</v>
      </c>
      <c r="AF705" s="56">
        <f>'[2]Изложницы без бурта'!D705</f>
        <v>360</v>
      </c>
      <c r="AG705" s="56">
        <f>'[2]Изложницы без бурта'!E705</f>
        <v>450</v>
      </c>
      <c r="AH705" s="56" t="str">
        <f>'[2]Изложницы без бурта'!F705</f>
        <v>72.11874 - 6</v>
      </c>
      <c r="AI705" s="56">
        <f>'[2]Изложницы без бурта'!G705</f>
        <v>0</v>
      </c>
      <c r="AJ705" s="56">
        <f>'[2]Изложницы без бурта'!H705</f>
        <v>0</v>
      </c>
      <c r="AK705" s="56">
        <f>'[2]Изложницы без бурта'!I705</f>
        <v>0</v>
      </c>
      <c r="AL705" s="56" t="s">
        <v>631</v>
      </c>
      <c r="AM705" s="56">
        <f>'[2]Изложницы без бурта'!K705</f>
        <v>0</v>
      </c>
    </row>
    <row r="706" spans="28:39" x14ac:dyDescent="0.25">
      <c r="AB706" s="258" t="str">
        <f t="shared" si="21"/>
        <v/>
      </c>
      <c r="AC706" s="259">
        <f>IF(COUNTIF(AD$78:AD706,AD706)=1,MAX(AC$78:AC705)+1,"")</f>
        <v>60</v>
      </c>
      <c r="AD706" s="220">
        <f>'[2]Изложницы без бурта'!B706</f>
        <v>237.5</v>
      </c>
      <c r="AE706" s="220">
        <f>'[2]Изложницы без бурта'!C706</f>
        <v>317</v>
      </c>
      <c r="AF706" s="56">
        <f>'[2]Изложницы без бурта'!D706</f>
        <v>360</v>
      </c>
      <c r="AG706" s="56">
        <f>'[2]Изложницы без бурта'!E706</f>
        <v>450</v>
      </c>
      <c r="AH706" s="56" t="str">
        <f>'[2]Изложницы без бурта'!F706</f>
        <v>72.11873 - 7</v>
      </c>
      <c r="AI706" s="56">
        <f>'[2]Изложницы без бурта'!G706</f>
        <v>0</v>
      </c>
      <c r="AJ706" s="56">
        <f>'[2]Изложницы без бурта'!H706</f>
        <v>0</v>
      </c>
      <c r="AK706" s="56">
        <f>'[2]Изложницы без бурта'!I706</f>
        <v>0</v>
      </c>
      <c r="AL706" s="56" t="s">
        <v>632</v>
      </c>
      <c r="AM706" s="56">
        <f>'[2]Изложницы без бурта'!K706</f>
        <v>0</v>
      </c>
    </row>
    <row r="707" spans="28:39" x14ac:dyDescent="0.25">
      <c r="AB707" s="258" t="str">
        <f t="shared" si="21"/>
        <v/>
      </c>
      <c r="AC707" s="259" t="str">
        <f>IF(COUNTIF(AD$78:AD707,AD707)=1,MAX(AC$78:AC706)+1,"")</f>
        <v/>
      </c>
      <c r="AD707" s="220">
        <f>'[2]Изложницы без бурта'!B707</f>
        <v>237.5</v>
      </c>
      <c r="AE707" s="220">
        <f>'[2]Изложницы без бурта'!C707</f>
        <v>260</v>
      </c>
      <c r="AF707" s="56">
        <f>'[2]Изложницы без бурта'!D707</f>
        <v>360</v>
      </c>
      <c r="AG707" s="56">
        <f>'[2]Изложницы без бурта'!E707</f>
        <v>450</v>
      </c>
      <c r="AH707" s="56" t="str">
        <f>'[2]Изложницы без бурта'!F707</f>
        <v>72.11872 - 7</v>
      </c>
      <c r="AI707" s="56">
        <f>'[2]Изложницы без бурта'!G707</f>
        <v>0</v>
      </c>
      <c r="AJ707" s="56">
        <f>'[2]Изложницы без бурта'!H707</f>
        <v>0</v>
      </c>
      <c r="AK707" s="56">
        <f>'[2]Изложницы без бурта'!I707</f>
        <v>0</v>
      </c>
      <c r="AL707" s="56" t="s">
        <v>632</v>
      </c>
      <c r="AM707" s="56">
        <f>'[2]Изложницы без бурта'!K707</f>
        <v>0</v>
      </c>
    </row>
    <row r="708" spans="28:39" x14ac:dyDescent="0.25">
      <c r="AB708" s="258" t="str">
        <f t="shared" si="21"/>
        <v/>
      </c>
      <c r="AC708" s="259" t="str">
        <f>IF(COUNTIF(AD$78:AD708,AD708)=1,MAX(AC$78:AC707)+1,"")</f>
        <v/>
      </c>
      <c r="AD708" s="220">
        <f>'[2]Изложницы без бурта'!B708</f>
        <v>237.5</v>
      </c>
      <c r="AE708" s="220">
        <f>'[2]Изложницы без бурта'!C708</f>
        <v>323</v>
      </c>
      <c r="AF708" s="56">
        <f>'[2]Изложницы без бурта'!D708</f>
        <v>360</v>
      </c>
      <c r="AG708" s="56">
        <f>'[2]Изложницы без бурта'!E708</f>
        <v>450</v>
      </c>
      <c r="AH708" s="56" t="str">
        <f>'[2]Изложницы без бурта'!F708</f>
        <v>72.11873 - 7</v>
      </c>
      <c r="AI708" s="56">
        <f>'[2]Изложницы без бурта'!G708</f>
        <v>0</v>
      </c>
      <c r="AJ708" s="56">
        <f>'[2]Изложницы без бурта'!H708</f>
        <v>0</v>
      </c>
      <c r="AK708" s="56">
        <f>'[2]Изложницы без бурта'!I708</f>
        <v>0</v>
      </c>
      <c r="AL708" s="56" t="s">
        <v>632</v>
      </c>
      <c r="AM708" s="56">
        <f>'[2]Изложницы без бурта'!K708</f>
        <v>0</v>
      </c>
    </row>
    <row r="709" spans="28:39" x14ac:dyDescent="0.25">
      <c r="AB709" s="258" t="str">
        <f t="shared" si="21"/>
        <v/>
      </c>
      <c r="AC709" s="259" t="str">
        <f>IF(COUNTIF(AD$78:AD709,AD709)=1,MAX(AC$78:AC708)+1,"")</f>
        <v/>
      </c>
      <c r="AD709" s="220">
        <f>'[2]Изложницы без бурта'!B709</f>
        <v>237.5</v>
      </c>
      <c r="AE709" s="220">
        <f>'[2]Изложницы без бурта'!C709</f>
        <v>260</v>
      </c>
      <c r="AF709" s="56">
        <f>'[2]Изложницы без бурта'!D709</f>
        <v>360</v>
      </c>
      <c r="AG709" s="56">
        <f>'[2]Изложницы без бурта'!E709</f>
        <v>450</v>
      </c>
      <c r="AH709" s="56" t="str">
        <f>'[2]Изложницы без бурта'!F709</f>
        <v>72.11872 - 7</v>
      </c>
      <c r="AI709" s="56">
        <f>'[2]Изложницы без бурта'!G709</f>
        <v>0</v>
      </c>
      <c r="AJ709" s="56">
        <f>'[2]Изложницы без бурта'!H709</f>
        <v>0</v>
      </c>
      <c r="AK709" s="56">
        <f>'[2]Изложницы без бурта'!I709</f>
        <v>0</v>
      </c>
      <c r="AL709" s="56" t="s">
        <v>632</v>
      </c>
      <c r="AM709" s="56">
        <f>'[2]Изложницы без бурта'!K709</f>
        <v>0</v>
      </c>
    </row>
    <row r="710" spans="28:39" x14ac:dyDescent="0.25">
      <c r="AB710" s="258" t="str">
        <f t="shared" si="21"/>
        <v/>
      </c>
      <c r="AC710" s="259" t="str">
        <f>IF(COUNTIF(AD$78:AD710,AD710)=1,MAX(AC$78:AC709)+1,"")</f>
        <v/>
      </c>
      <c r="AD710" s="220">
        <f>'[2]Изложницы без бурта'!B710</f>
        <v>237.5</v>
      </c>
      <c r="AE710" s="220">
        <f>'[2]Изложницы без бурта'!C710</f>
        <v>320</v>
      </c>
      <c r="AF710" s="56">
        <f>'[2]Изложницы без бурта'!D710</f>
        <v>375</v>
      </c>
      <c r="AG710" s="56">
        <f>'[2]Изложницы без бурта'!E710</f>
        <v>450</v>
      </c>
      <c r="AH710" s="56" t="str">
        <f>'[2]Изложницы без бурта'!F710</f>
        <v>72.11873 - 7</v>
      </c>
      <c r="AI710" s="56">
        <f>'[2]Изложницы без бурта'!G710</f>
        <v>0</v>
      </c>
      <c r="AJ710" s="56">
        <f>'[2]Изложницы без бурта'!H710</f>
        <v>0</v>
      </c>
      <c r="AK710" s="56">
        <f>'[2]Изложницы без бурта'!I710</f>
        <v>0</v>
      </c>
      <c r="AL710" s="56" t="s">
        <v>632</v>
      </c>
      <c r="AM710" s="56">
        <f>'[2]Изложницы без бурта'!K710</f>
        <v>0</v>
      </c>
    </row>
    <row r="711" spans="28:39" x14ac:dyDescent="0.25">
      <c r="AB711" s="258" t="str">
        <f t="shared" si="21"/>
        <v/>
      </c>
      <c r="AC711" s="259" t="str">
        <f>IF(COUNTIF(AD$78:AD711,AD711)=1,MAX(AC$78:AC710)+1,"")</f>
        <v/>
      </c>
      <c r="AD711" s="220">
        <f>'[2]Изложницы без бурта'!B711</f>
        <v>237.5</v>
      </c>
      <c r="AE711" s="220">
        <f>'[2]Изложницы без бурта'!C711</f>
        <v>378</v>
      </c>
      <c r="AF711" s="56">
        <f>'[2]Изложницы без бурта'!D711</f>
        <v>360</v>
      </c>
      <c r="AG711" s="56">
        <f>'[2]Изложницы без бурта'!E711</f>
        <v>450</v>
      </c>
      <c r="AH711" s="56" t="str">
        <f>'[2]Изложницы без бурта'!F711</f>
        <v>72.11874 - 7</v>
      </c>
      <c r="AI711" s="56">
        <f>'[2]Изложницы без бурта'!G711</f>
        <v>0</v>
      </c>
      <c r="AJ711" s="56">
        <f>'[2]Изложницы без бурта'!H711</f>
        <v>0</v>
      </c>
      <c r="AK711" s="56">
        <f>'[2]Изложницы без бурта'!I711</f>
        <v>0</v>
      </c>
      <c r="AL711" s="56" t="s">
        <v>632</v>
      </c>
      <c r="AM711" s="56">
        <f>'[2]Изложницы без бурта'!K711</f>
        <v>0</v>
      </c>
    </row>
    <row r="712" spans="28:39" x14ac:dyDescent="0.25">
      <c r="AB712" s="258" t="str">
        <f t="shared" si="21"/>
        <v/>
      </c>
      <c r="AC712" s="259">
        <f>IF(COUNTIF(AD$78:AD712,AD712)=1,MAX(AC$78:AC711)+1,"")</f>
        <v>61</v>
      </c>
      <c r="AD712" s="220">
        <f>'[2]Изложницы без бурта'!B712</f>
        <v>240</v>
      </c>
      <c r="AE712" s="220">
        <f>'[2]Изложницы без бурта'!C712</f>
        <v>215</v>
      </c>
      <c r="AF712" s="56">
        <f>'[2]Изложницы без бурта'!D712</f>
        <v>375</v>
      </c>
      <c r="AG712" s="56">
        <f>'[2]Изложницы без бурта'!E712</f>
        <v>450</v>
      </c>
      <c r="AH712" s="56" t="str">
        <f>'[2]Изложницы без бурта'!F712</f>
        <v>10.247619 - 8</v>
      </c>
      <c r="AI712" s="56">
        <f>'[2]Изложницы без бурта'!G712</f>
        <v>0</v>
      </c>
      <c r="AJ712" s="56">
        <f>'[2]Изложницы без бурта'!H712</f>
        <v>0</v>
      </c>
      <c r="AK712" s="56">
        <f>'[2]Изложницы без бурта'!I712</f>
        <v>0</v>
      </c>
      <c r="AL712" s="56" t="s">
        <v>633</v>
      </c>
      <c r="AM712" s="56">
        <f>'[2]Изложницы без бурта'!K712</f>
        <v>0</v>
      </c>
    </row>
    <row r="713" spans="28:39" x14ac:dyDescent="0.25">
      <c r="AB713" s="258" t="str">
        <f t="shared" si="21"/>
        <v/>
      </c>
      <c r="AC713" s="259" t="str">
        <f>IF(COUNTIF(AD$78:AD713,AD713)=1,MAX(AC$78:AC712)+1,"")</f>
        <v/>
      </c>
      <c r="AD713" s="220">
        <f>'[2]Изложницы без бурта'!B713</f>
        <v>240</v>
      </c>
      <c r="AE713" s="220">
        <f>'[2]Изложницы без бурта'!C713</f>
        <v>500</v>
      </c>
      <c r="AF713" s="56">
        <f>'[2]Изложницы без бурта'!D713</f>
        <v>375</v>
      </c>
      <c r="AG713" s="56">
        <f>'[2]Изложницы без бурта'!E713</f>
        <v>400</v>
      </c>
      <c r="AH713" s="56" t="str">
        <f>'[2]Изложницы без бурта'!F713</f>
        <v>72.23398 - 8</v>
      </c>
      <c r="AI713" s="56">
        <f>'[2]Изложницы без бурта'!G713</f>
        <v>7260033</v>
      </c>
      <c r="AJ713" s="56">
        <f>'[2]Изложницы без бурта'!H713</f>
        <v>0</v>
      </c>
      <c r="AK713" s="56">
        <f>'[2]Изложницы без бурта'!I713</f>
        <v>0</v>
      </c>
      <c r="AL713" s="56" t="s">
        <v>633</v>
      </c>
      <c r="AM713" s="56">
        <f>'[2]Изложницы без бурта'!K713</f>
        <v>0</v>
      </c>
    </row>
    <row r="714" spans="28:39" x14ac:dyDescent="0.25">
      <c r="AB714" s="258" t="str">
        <f t="shared" si="21"/>
        <v/>
      </c>
      <c r="AC714" s="259" t="str">
        <f>IF(COUNTIF(AD$78:AD714,AD714)=1,MAX(AC$78:AC713)+1,"")</f>
        <v/>
      </c>
      <c r="AD714" s="220">
        <f>'[2]Изложницы без бурта'!B714</f>
        <v>240</v>
      </c>
      <c r="AE714" s="220">
        <f>'[2]Изложницы без бурта'!C714</f>
        <v>215</v>
      </c>
      <c r="AF714" s="56">
        <f>'[2]Изложницы без бурта'!D714</f>
        <v>375</v>
      </c>
      <c r="AG714" s="56">
        <f>'[2]Изложницы без бурта'!E714</f>
        <v>450</v>
      </c>
      <c r="AH714" s="56" t="str">
        <f>'[2]Изложницы без бурта'!F714</f>
        <v>10.247619 - 8</v>
      </c>
      <c r="AI714" s="56">
        <f>'[2]Изложницы без бурта'!G714</f>
        <v>0</v>
      </c>
      <c r="AJ714" s="56">
        <f>'[2]Изложницы без бурта'!H714</f>
        <v>0</v>
      </c>
      <c r="AK714" s="56">
        <f>'[2]Изложницы без бурта'!I714</f>
        <v>0</v>
      </c>
      <c r="AL714" s="56" t="s">
        <v>633</v>
      </c>
      <c r="AM714" s="56">
        <f>'[2]Изложницы без бурта'!K714</f>
        <v>0</v>
      </c>
    </row>
    <row r="715" spans="28:39" x14ac:dyDescent="0.25">
      <c r="AB715" s="258" t="str">
        <f t="shared" si="21"/>
        <v/>
      </c>
      <c r="AC715" s="259" t="str">
        <f>IF(COUNTIF(AD$78:AD715,AD715)=1,MAX(AC$78:AC714)+1,"")</f>
        <v/>
      </c>
      <c r="AD715" s="220">
        <f>'[2]Изложницы без бурта'!B715</f>
        <v>240</v>
      </c>
      <c r="AE715" s="220">
        <f>'[2]Изложницы без бурта'!C715</f>
        <v>215</v>
      </c>
      <c r="AF715" s="56">
        <f>'[2]Изложницы без бурта'!D715</f>
        <v>375</v>
      </c>
      <c r="AG715" s="56">
        <f>'[2]Изложницы без бурта'!E715</f>
        <v>450</v>
      </c>
      <c r="AH715" s="56" t="str">
        <f>'[2]Изложницы без бурта'!F715</f>
        <v>10.247619 - 8</v>
      </c>
      <c r="AI715" s="56">
        <f>'[2]Изложницы без бурта'!G715</f>
        <v>0</v>
      </c>
      <c r="AJ715" s="56">
        <f>'[2]Изложницы без бурта'!H715</f>
        <v>0</v>
      </c>
      <c r="AK715" s="56">
        <f>'[2]Изложницы без бурта'!I715</f>
        <v>0</v>
      </c>
      <c r="AL715" s="56" t="s">
        <v>633</v>
      </c>
      <c r="AM715" s="56">
        <f>'[2]Изложницы без бурта'!K715</f>
        <v>0</v>
      </c>
    </row>
    <row r="716" spans="28:39" x14ac:dyDescent="0.25">
      <c r="AB716" s="258" t="str">
        <f t="shared" si="21"/>
        <v/>
      </c>
      <c r="AC716" s="259" t="str">
        <f>IF(COUNTIF(AD$78:AD716,AD716)=1,MAX(AC$78:AC715)+1,"")</f>
        <v/>
      </c>
      <c r="AD716" s="220">
        <f>'[2]Изложницы без бурта'!B716</f>
        <v>240</v>
      </c>
      <c r="AE716" s="220">
        <f>'[2]Изложницы без бурта'!C716</f>
        <v>213</v>
      </c>
      <c r="AF716" s="56">
        <f>'[2]Изложницы без бурта'!D716</f>
        <v>375</v>
      </c>
      <c r="AG716" s="56">
        <f>'[2]Изложницы без бурта'!E716</f>
        <v>450</v>
      </c>
      <c r="AH716" s="56" t="str">
        <f>'[2]Изложницы без бурта'!F716</f>
        <v>10.247619 - 8</v>
      </c>
      <c r="AI716" s="56">
        <f>'[2]Изложницы без бурта'!G716</f>
        <v>0</v>
      </c>
      <c r="AJ716" s="56">
        <f>'[2]Изложницы без бурта'!H716</f>
        <v>0</v>
      </c>
      <c r="AK716" s="56">
        <f>'[2]Изложницы без бурта'!I716</f>
        <v>0</v>
      </c>
      <c r="AL716" s="56" t="s">
        <v>633</v>
      </c>
      <c r="AM716" s="56">
        <f>'[2]Изложницы без бурта'!K716</f>
        <v>0</v>
      </c>
    </row>
    <row r="717" spans="28:39" x14ac:dyDescent="0.25">
      <c r="AB717" s="258" t="str">
        <f t="shared" si="21"/>
        <v/>
      </c>
      <c r="AC717" s="259" t="str">
        <f>IF(COUNTIF(AD$78:AD717,AD717)=1,MAX(AC$78:AC716)+1,"")</f>
        <v/>
      </c>
      <c r="AD717" s="220">
        <f>'[2]Изложницы без бурта'!B717</f>
        <v>240</v>
      </c>
      <c r="AE717" s="220">
        <f>'[2]Изложницы без бурта'!C717</f>
        <v>318</v>
      </c>
      <c r="AF717" s="56">
        <f>'[2]Изложницы без бурта'!D717</f>
        <v>360</v>
      </c>
      <c r="AG717" s="56">
        <f>'[2]Изложницы без бурта'!E717</f>
        <v>450</v>
      </c>
      <c r="AH717" s="56" t="str">
        <f>'[2]Изложницы без бурта'!F717</f>
        <v>72.11873 - 8</v>
      </c>
      <c r="AI717" s="56">
        <f>'[2]Изложницы без бурта'!G717</f>
        <v>0</v>
      </c>
      <c r="AJ717" s="56">
        <f>'[2]Изложницы без бурта'!H717</f>
        <v>0</v>
      </c>
      <c r="AK717" s="56">
        <f>'[2]Изложницы без бурта'!I717</f>
        <v>0</v>
      </c>
      <c r="AL717" s="56" t="s">
        <v>633</v>
      </c>
      <c r="AM717" s="56">
        <f>'[2]Изложницы без бурта'!K717</f>
        <v>0</v>
      </c>
    </row>
    <row r="718" spans="28:39" x14ac:dyDescent="0.25">
      <c r="AB718" s="258" t="str">
        <f t="shared" si="21"/>
        <v/>
      </c>
      <c r="AC718" s="259" t="str">
        <f>IF(COUNTIF(AD$78:AD718,AD718)=1,MAX(AC$78:AC717)+1,"")</f>
        <v/>
      </c>
      <c r="AD718" s="220">
        <f>'[2]Изложницы без бурта'!B718</f>
        <v>240</v>
      </c>
      <c r="AE718" s="220">
        <f>'[2]Изложницы без бурта'!C718</f>
        <v>320</v>
      </c>
      <c r="AF718" s="56">
        <f>'[2]Изложницы без бурта'!D718</f>
        <v>360</v>
      </c>
      <c r="AG718" s="56">
        <f>'[2]Изложницы без бурта'!E718</f>
        <v>450</v>
      </c>
      <c r="AH718" s="56" t="str">
        <f>'[2]Изложницы без бурта'!F718</f>
        <v>72.11873 - 8</v>
      </c>
      <c r="AI718" s="56">
        <f>'[2]Изложницы без бурта'!G718</f>
        <v>0</v>
      </c>
      <c r="AJ718" s="56">
        <f>'[2]Изложницы без бурта'!H718</f>
        <v>0</v>
      </c>
      <c r="AK718" s="56">
        <f>'[2]Изложницы без бурта'!I718</f>
        <v>0</v>
      </c>
      <c r="AL718" s="56" t="s">
        <v>633</v>
      </c>
      <c r="AM718" s="56">
        <f>'[2]Изложницы без бурта'!K718</f>
        <v>0</v>
      </c>
    </row>
    <row r="719" spans="28:39" x14ac:dyDescent="0.25">
      <c r="AB719" s="258" t="str">
        <f t="shared" si="21"/>
        <v/>
      </c>
      <c r="AC719" s="259" t="str">
        <f>IF(COUNTIF(AD$78:AD719,AD719)=1,MAX(AC$78:AC718)+1,"")</f>
        <v/>
      </c>
      <c r="AD719" s="220">
        <f>'[2]Изложницы без бурта'!B719</f>
        <v>240</v>
      </c>
      <c r="AE719" s="220">
        <f>'[2]Изложницы без бурта'!C719</f>
        <v>315</v>
      </c>
      <c r="AF719" s="56">
        <f>'[2]Изложницы без бурта'!D719</f>
        <v>360</v>
      </c>
      <c r="AG719" s="56">
        <f>'[2]Изложницы без бурта'!E719</f>
        <v>450</v>
      </c>
      <c r="AH719" s="56" t="str">
        <f>'[2]Изложницы без бурта'!F719</f>
        <v>72.11873 - 8</v>
      </c>
      <c r="AI719" s="56">
        <f>'[2]Изложницы без бурта'!G719</f>
        <v>0</v>
      </c>
      <c r="AJ719" s="56">
        <f>'[2]Изложницы без бурта'!H719</f>
        <v>0</v>
      </c>
      <c r="AK719" s="56">
        <f>'[2]Изложницы без бурта'!I719</f>
        <v>0</v>
      </c>
      <c r="AL719" s="56" t="s">
        <v>633</v>
      </c>
      <c r="AM719" s="56">
        <f>'[2]Изложницы без бурта'!K719</f>
        <v>0</v>
      </c>
    </row>
    <row r="720" spans="28:39" x14ac:dyDescent="0.25">
      <c r="AB720" s="258" t="str">
        <f t="shared" si="21"/>
        <v/>
      </c>
      <c r="AC720" s="259" t="str">
        <f>IF(COUNTIF(AD$78:AD720,AD720)=1,MAX(AC$78:AC719)+1,"")</f>
        <v/>
      </c>
      <c r="AD720" s="220">
        <f>'[2]Изложницы без бурта'!B720</f>
        <v>240</v>
      </c>
      <c r="AE720" s="220">
        <f>'[2]Изложницы без бурта'!C720</f>
        <v>380</v>
      </c>
      <c r="AF720" s="56">
        <f>'[2]Изложницы без бурта'!D720</f>
        <v>360</v>
      </c>
      <c r="AG720" s="56">
        <f>'[2]Изложницы без бурта'!E720</f>
        <v>450</v>
      </c>
      <c r="AH720" s="56" t="str">
        <f>'[2]Изложницы без бурта'!F720</f>
        <v>72.11874 - 8</v>
      </c>
      <c r="AI720" s="56">
        <f>'[2]Изложницы без бурта'!G720</f>
        <v>0</v>
      </c>
      <c r="AJ720" s="56">
        <f>'[2]Изложницы без бурта'!H720</f>
        <v>0</v>
      </c>
      <c r="AK720" s="56">
        <f>'[2]Изложницы без бурта'!I720</f>
        <v>0</v>
      </c>
      <c r="AL720" s="56" t="s">
        <v>633</v>
      </c>
      <c r="AM720" s="56">
        <f>'[2]Изложницы без бурта'!K720</f>
        <v>0</v>
      </c>
    </row>
    <row r="721" spans="28:39" x14ac:dyDescent="0.25">
      <c r="AB721" s="258" t="str">
        <f t="shared" si="21"/>
        <v/>
      </c>
      <c r="AC721" s="259" t="str">
        <f>IF(COUNTIF(AD$78:AD721,AD721)=1,MAX(AC$78:AC720)+1,"")</f>
        <v/>
      </c>
      <c r="AD721" s="220">
        <f>'[2]Изложницы без бурта'!B721</f>
        <v>240</v>
      </c>
      <c r="AE721" s="220">
        <f>'[2]Изложницы без бурта'!C721</f>
        <v>320</v>
      </c>
      <c r="AF721" s="56">
        <f>'[2]Изложницы без бурта'!D721</f>
        <v>360</v>
      </c>
      <c r="AG721" s="56">
        <f>'[2]Изложницы без бурта'!E721</f>
        <v>450</v>
      </c>
      <c r="AH721" s="56" t="str">
        <f>'[2]Изложницы без бурта'!F721</f>
        <v>72.11873 - 8</v>
      </c>
      <c r="AI721" s="56">
        <f>'[2]Изложницы без бурта'!G721</f>
        <v>0</v>
      </c>
      <c r="AJ721" s="56">
        <f>'[2]Изложницы без бурта'!H721</f>
        <v>0</v>
      </c>
      <c r="AK721" s="56">
        <f>'[2]Изложницы без бурта'!I721</f>
        <v>0</v>
      </c>
      <c r="AL721" s="56" t="s">
        <v>633</v>
      </c>
      <c r="AM721" s="56">
        <f>'[2]Изложницы без бурта'!K721</f>
        <v>0</v>
      </c>
    </row>
    <row r="722" spans="28:39" x14ac:dyDescent="0.25">
      <c r="AB722" s="258" t="str">
        <f t="shared" si="21"/>
        <v/>
      </c>
      <c r="AC722" s="259" t="str">
        <f>IF(COUNTIF(AD$78:AD722,AD722)=1,MAX(AC$78:AC721)+1,"")</f>
        <v/>
      </c>
      <c r="AD722" s="220">
        <f>'[2]Изложницы без бурта'!B722</f>
        <v>240</v>
      </c>
      <c r="AE722" s="220">
        <f>'[2]Изложницы без бурта'!C722</f>
        <v>320</v>
      </c>
      <c r="AF722" s="56">
        <f>'[2]Изложницы без бурта'!D722</f>
        <v>360</v>
      </c>
      <c r="AG722" s="56">
        <f>'[2]Изложницы без бурта'!E722</f>
        <v>450</v>
      </c>
      <c r="AH722" s="56" t="str">
        <f>'[2]Изложницы без бурта'!F722</f>
        <v>72.11873 - 8</v>
      </c>
      <c r="AI722" s="56">
        <f>'[2]Изложницы без бурта'!G722</f>
        <v>0</v>
      </c>
      <c r="AJ722" s="56">
        <f>'[2]Изложницы без бурта'!H722</f>
        <v>0</v>
      </c>
      <c r="AK722" s="56">
        <f>'[2]Изложницы без бурта'!I722</f>
        <v>0</v>
      </c>
      <c r="AL722" s="56" t="s">
        <v>633</v>
      </c>
      <c r="AM722" s="56">
        <f>'[2]Изложницы без бурта'!K722</f>
        <v>0</v>
      </c>
    </row>
    <row r="723" spans="28:39" x14ac:dyDescent="0.25">
      <c r="AB723" s="258" t="str">
        <f t="shared" si="21"/>
        <v/>
      </c>
      <c r="AC723" s="259">
        <f>IF(COUNTIF(AD$78:AD723,AD723)=1,MAX(AC$78:AC722)+1,"")</f>
        <v>62</v>
      </c>
      <c r="AD723" s="220">
        <f>'[2]Изложницы без бурта'!B723</f>
        <v>242.5</v>
      </c>
      <c r="AE723" s="220">
        <f>'[2]Изложницы без бурта'!C723</f>
        <v>377</v>
      </c>
      <c r="AF723" s="56">
        <f>'[2]Изложницы без бурта'!D723</f>
        <v>375</v>
      </c>
      <c r="AG723" s="56">
        <f>'[2]Изложницы без бурта'!E723</f>
        <v>450</v>
      </c>
      <c r="AH723" s="56" t="str">
        <f>'[2]Изложницы без бурта'!F723</f>
        <v>72.11874 - 9</v>
      </c>
      <c r="AI723" s="56">
        <f>'[2]Изложницы без бурта'!G723</f>
        <v>0</v>
      </c>
      <c r="AJ723" s="56">
        <f>'[2]Изложницы без бурта'!H723</f>
        <v>0</v>
      </c>
      <c r="AK723" s="56">
        <f>'[2]Изложницы без бурта'!I723</f>
        <v>0</v>
      </c>
      <c r="AL723" s="56" t="s">
        <v>634</v>
      </c>
      <c r="AM723" s="56">
        <f>'[2]Изложницы без бурта'!K723</f>
        <v>0</v>
      </c>
    </row>
    <row r="724" spans="28:39" x14ac:dyDescent="0.25">
      <c r="AB724" s="258" t="str">
        <f t="shared" si="21"/>
        <v/>
      </c>
      <c r="AC724" s="259">
        <f>IF(COUNTIF(AD$78:AD724,AD724)=1,MAX(AC$78:AC723)+1,"")</f>
        <v>63</v>
      </c>
      <c r="AD724" s="220">
        <f>'[2]Изложницы без бурта'!B724</f>
        <v>245</v>
      </c>
      <c r="AE724" s="220">
        <f>'[2]Изложницы без бурта'!C724</f>
        <v>497</v>
      </c>
      <c r="AF724" s="56">
        <f>'[2]Изложницы без бурта'!D724</f>
        <v>360</v>
      </c>
      <c r="AG724" s="56">
        <f>'[2]Изложницы без бурта'!E724</f>
        <v>400</v>
      </c>
      <c r="AH724" s="56" t="str">
        <f>'[2]Изложницы без бурта'!F724</f>
        <v>72.23398 - 10</v>
      </c>
      <c r="AI724" s="56">
        <f>'[2]Изложницы без бурта'!G724</f>
        <v>0</v>
      </c>
      <c r="AJ724" s="56">
        <f>'[2]Изложницы без бурта'!H724</f>
        <v>0</v>
      </c>
      <c r="AK724" s="56">
        <f>'[2]Изложницы без бурта'!I724</f>
        <v>0</v>
      </c>
      <c r="AL724" s="56" t="s">
        <v>635</v>
      </c>
      <c r="AM724" s="56">
        <f>'[2]Изложницы без бурта'!K724</f>
        <v>0</v>
      </c>
    </row>
    <row r="725" spans="28:39" x14ac:dyDescent="0.25">
      <c r="AB725" s="258" t="str">
        <f t="shared" si="21"/>
        <v/>
      </c>
      <c r="AC725" s="259" t="str">
        <f>IF(COUNTIF(AD$78:AD725,AD725)=1,MAX(AC$78:AC724)+1,"")</f>
        <v/>
      </c>
      <c r="AD725" s="220">
        <f>'[2]Изложницы без бурта'!B725</f>
        <v>245</v>
      </c>
      <c r="AE725" s="220">
        <f>'[2]Изложницы без бурта'!C725</f>
        <v>500</v>
      </c>
      <c r="AF725" s="56">
        <f>'[2]Изложницы без бурта'!D725</f>
        <v>375</v>
      </c>
      <c r="AG725" s="56">
        <f>'[2]Изложницы без бурта'!E725</f>
        <v>450</v>
      </c>
      <c r="AH725" s="56" t="str">
        <f>'[2]Изложницы без бурта'!F725</f>
        <v>72.23398 - 10</v>
      </c>
      <c r="AI725" s="56">
        <f>'[2]Изложницы без бурта'!G725</f>
        <v>0</v>
      </c>
      <c r="AJ725" s="56">
        <f>'[2]Изложницы без бурта'!H725</f>
        <v>0</v>
      </c>
      <c r="AK725" s="56">
        <f>'[2]Изложницы без бурта'!I725</f>
        <v>0</v>
      </c>
      <c r="AL725" s="56" t="s">
        <v>635</v>
      </c>
      <c r="AM725" s="56">
        <f>'[2]Изложницы без бурта'!K725</f>
        <v>0</v>
      </c>
    </row>
    <row r="726" spans="28:39" x14ac:dyDescent="0.25">
      <c r="AB726" s="258" t="str">
        <f t="shared" si="21"/>
        <v/>
      </c>
      <c r="AC726" s="259" t="str">
        <f>IF(COUNTIF(AD$78:AD726,AD726)=1,MAX(AC$78:AC725)+1,"")</f>
        <v/>
      </c>
      <c r="AD726" s="220">
        <f>'[2]Изложницы без бурта'!B726</f>
        <v>245</v>
      </c>
      <c r="AE726" s="220">
        <f>'[2]Изложницы без бурта'!C726</f>
        <v>260</v>
      </c>
      <c r="AF726" s="56">
        <f>'[2]Изложницы без бурта'!D726</f>
        <v>360</v>
      </c>
      <c r="AG726" s="56">
        <f>'[2]Изложницы без бурта'!E726</f>
        <v>450</v>
      </c>
      <c r="AH726" s="56" t="str">
        <f>'[2]Изложницы без бурта'!F726</f>
        <v>72.11872 - 10</v>
      </c>
      <c r="AI726" s="56">
        <f>'[2]Изложницы без бурта'!G726</f>
        <v>0</v>
      </c>
      <c r="AJ726" s="56">
        <f>'[2]Изложницы без бурта'!H726</f>
        <v>0</v>
      </c>
      <c r="AK726" s="56">
        <f>'[2]Изложницы без бурта'!I726</f>
        <v>0</v>
      </c>
      <c r="AL726" s="56" t="s">
        <v>635</v>
      </c>
      <c r="AM726" s="56">
        <f>'[2]Изложницы без бурта'!K726</f>
        <v>0</v>
      </c>
    </row>
    <row r="727" spans="28:39" x14ac:dyDescent="0.25">
      <c r="AB727" s="258" t="str">
        <f t="shared" si="21"/>
        <v/>
      </c>
      <c r="AC727" s="259" t="str">
        <f>IF(COUNTIF(AD$78:AD727,AD727)=1,MAX(AC$78:AC726)+1,"")</f>
        <v/>
      </c>
      <c r="AD727" s="220">
        <f>'[2]Изложницы без бурта'!B727</f>
        <v>245</v>
      </c>
      <c r="AE727" s="220">
        <f>'[2]Изложницы без бурта'!C727</f>
        <v>257</v>
      </c>
      <c r="AF727" s="56">
        <f>'[2]Изложницы без бурта'!D727</f>
        <v>360</v>
      </c>
      <c r="AG727" s="56">
        <f>'[2]Изложницы без бурта'!E727</f>
        <v>450</v>
      </c>
      <c r="AH727" s="56" t="str">
        <f>'[2]Изложницы без бурта'!F727</f>
        <v>72.11872 - 10</v>
      </c>
      <c r="AI727" s="56">
        <f>'[2]Изложницы без бурта'!G727</f>
        <v>0</v>
      </c>
      <c r="AJ727" s="56">
        <f>'[2]Изложницы без бурта'!H727</f>
        <v>0</v>
      </c>
      <c r="AK727" s="56">
        <f>'[2]Изложницы без бурта'!I727</f>
        <v>0</v>
      </c>
      <c r="AL727" s="56" t="s">
        <v>635</v>
      </c>
      <c r="AM727" s="56">
        <f>'[2]Изложницы без бурта'!K727</f>
        <v>0</v>
      </c>
    </row>
    <row r="728" spans="28:39" x14ac:dyDescent="0.25">
      <c r="AB728" s="258" t="str">
        <f t="shared" si="21"/>
        <v/>
      </c>
      <c r="AC728" s="259" t="str">
        <f>IF(COUNTIF(AD$78:AD728,AD728)=1,MAX(AC$78:AC727)+1,"")</f>
        <v/>
      </c>
      <c r="AD728" s="220">
        <f>'[2]Изложницы без бурта'!B728</f>
        <v>245</v>
      </c>
      <c r="AE728" s="220">
        <f>'[2]Изложницы без бурта'!C728</f>
        <v>257</v>
      </c>
      <c r="AF728" s="56">
        <f>'[2]Изложницы без бурта'!D728</f>
        <v>360</v>
      </c>
      <c r="AG728" s="56">
        <f>'[2]Изложницы без бурта'!E728</f>
        <v>450</v>
      </c>
      <c r="AH728" s="56" t="str">
        <f>'[2]Изложницы без бурта'!F728</f>
        <v>72.11872 - 10</v>
      </c>
      <c r="AI728" s="56">
        <f>'[2]Изложницы без бурта'!G728</f>
        <v>0</v>
      </c>
      <c r="AJ728" s="56">
        <f>'[2]Изложницы без бурта'!H728</f>
        <v>0</v>
      </c>
      <c r="AK728" s="56">
        <f>'[2]Изложницы без бурта'!I728</f>
        <v>0</v>
      </c>
      <c r="AL728" s="56" t="s">
        <v>635</v>
      </c>
      <c r="AM728" s="56">
        <f>'[2]Изложницы без бурта'!K728</f>
        <v>0</v>
      </c>
    </row>
    <row r="729" spans="28:39" x14ac:dyDescent="0.25">
      <c r="AB729" s="258" t="str">
        <f t="shared" si="21"/>
        <v/>
      </c>
      <c r="AC729" s="259" t="str">
        <f>IF(COUNTIF(AD$78:AD729,AD729)=1,MAX(AC$78:AC728)+1,"")</f>
        <v/>
      </c>
      <c r="AD729" s="220">
        <f>'[2]Изложницы без бурта'!B729</f>
        <v>245</v>
      </c>
      <c r="AE729" s="220">
        <f>'[2]Изложницы без бурта'!C729</f>
        <v>497</v>
      </c>
      <c r="AF729" s="56">
        <f>'[2]Изложницы без бурта'!D729</f>
        <v>360</v>
      </c>
      <c r="AG729" s="56">
        <f>'[2]Изложницы без бурта'!E729</f>
        <v>400</v>
      </c>
      <c r="AH729" s="56" t="str">
        <f>'[2]Изложницы без бурта'!F729</f>
        <v>72.23398 - 10</v>
      </c>
      <c r="AI729" s="56">
        <f>'[2]Изложницы без бурта'!G729</f>
        <v>0</v>
      </c>
      <c r="AJ729" s="56">
        <f>'[2]Изложницы без бурта'!H729</f>
        <v>0</v>
      </c>
      <c r="AK729" s="56">
        <f>'[2]Изложницы без бурта'!I729</f>
        <v>0</v>
      </c>
      <c r="AL729" s="56" t="s">
        <v>635</v>
      </c>
      <c r="AM729" s="56">
        <f>'[2]Изложницы без бурта'!K729</f>
        <v>0</v>
      </c>
    </row>
    <row r="730" spans="28:39" x14ac:dyDescent="0.25">
      <c r="AB730" s="258" t="str">
        <f t="shared" si="21"/>
        <v/>
      </c>
      <c r="AC730" s="259" t="str">
        <f>IF(COUNTIF(AD$78:AD730,AD730)=1,MAX(AC$78:AC729)+1,"")</f>
        <v/>
      </c>
      <c r="AD730" s="220">
        <f>'[2]Изложницы без бурта'!B730</f>
        <v>245</v>
      </c>
      <c r="AE730" s="220">
        <f>'[2]Изложницы без бурта'!C730</f>
        <v>257</v>
      </c>
      <c r="AF730" s="56">
        <f>'[2]Изложницы без бурта'!D730</f>
        <v>360</v>
      </c>
      <c r="AG730" s="56">
        <f>'[2]Изложницы без бурта'!E730</f>
        <v>450</v>
      </c>
      <c r="AH730" s="56" t="str">
        <f>'[2]Изложницы без бурта'!F730</f>
        <v>72.11872 - 10</v>
      </c>
      <c r="AI730" s="56">
        <f>'[2]Изложницы без бурта'!G730</f>
        <v>0</v>
      </c>
      <c r="AJ730" s="56">
        <f>'[2]Изложницы без бурта'!H730</f>
        <v>0</v>
      </c>
      <c r="AK730" s="56">
        <f>'[2]Изложницы без бурта'!I730</f>
        <v>0</v>
      </c>
      <c r="AL730" s="56" t="s">
        <v>635</v>
      </c>
      <c r="AM730" s="56">
        <f>'[2]Изложницы без бурта'!K730</f>
        <v>0</v>
      </c>
    </row>
    <row r="731" spans="28:39" x14ac:dyDescent="0.25">
      <c r="AB731" s="258" t="str">
        <f t="shared" si="21"/>
        <v/>
      </c>
      <c r="AC731" s="259" t="str">
        <f>IF(COUNTIF(AD$78:AD731,AD731)=1,MAX(AC$78:AC730)+1,"")</f>
        <v/>
      </c>
      <c r="AD731" s="220">
        <f>'[2]Изложницы без бурта'!B731</f>
        <v>245</v>
      </c>
      <c r="AE731" s="220">
        <f>'[2]Изложницы без бурта'!C731</f>
        <v>455</v>
      </c>
      <c r="AF731" s="56">
        <f>'[2]Изложницы без бурта'!D731</f>
        <v>360</v>
      </c>
      <c r="AG731" s="56">
        <f>'[2]Изложницы без бурта'!E731</f>
        <v>400</v>
      </c>
      <c r="AH731" s="56" t="str">
        <f>'[2]Изложницы без бурта'!F731</f>
        <v>72.48007 - 02</v>
      </c>
      <c r="AI731" s="56">
        <f>'[2]Изложницы без бурта'!G731</f>
        <v>7260034</v>
      </c>
      <c r="AJ731" s="56">
        <f>'[2]Изложницы без бурта'!H731</f>
        <v>0</v>
      </c>
      <c r="AK731" s="56">
        <f>'[2]Изложницы без бурта'!I731</f>
        <v>0</v>
      </c>
      <c r="AL731" s="56" t="s">
        <v>635</v>
      </c>
      <c r="AM731" s="56">
        <f>'[2]Изложницы без бурта'!K731</f>
        <v>0</v>
      </c>
    </row>
    <row r="732" spans="28:39" x14ac:dyDescent="0.25">
      <c r="AB732" s="258" t="str">
        <f t="shared" si="21"/>
        <v/>
      </c>
      <c r="AC732" s="259" t="str">
        <f>IF(COUNTIF(AD$78:AD732,AD732)=1,MAX(AC$78:AC731)+1,"")</f>
        <v/>
      </c>
      <c r="AD732" s="220">
        <f>'[2]Изложницы без бурта'!B732</f>
        <v>245</v>
      </c>
      <c r="AE732" s="220">
        <f>'[2]Изложницы без бурта'!C732</f>
        <v>500</v>
      </c>
      <c r="AF732" s="56">
        <f>'[2]Изложницы без бурта'!D732</f>
        <v>360</v>
      </c>
      <c r="AG732" s="56">
        <f>'[2]Изложницы без бурта'!E732</f>
        <v>400</v>
      </c>
      <c r="AH732" s="56" t="str">
        <f>'[2]Изложницы без бурта'!F732</f>
        <v>72.23398 - 10</v>
      </c>
      <c r="AI732" s="56">
        <f>'[2]Изложницы без бурта'!G732</f>
        <v>0</v>
      </c>
      <c r="AJ732" s="56">
        <f>'[2]Изложницы без бурта'!H732</f>
        <v>0</v>
      </c>
      <c r="AK732" s="56">
        <f>'[2]Изложницы без бурта'!I732</f>
        <v>0</v>
      </c>
      <c r="AL732" s="56" t="s">
        <v>635</v>
      </c>
      <c r="AM732" s="56">
        <f>'[2]Изложницы без бурта'!K732</f>
        <v>0</v>
      </c>
    </row>
    <row r="733" spans="28:39" x14ac:dyDescent="0.25">
      <c r="AB733" s="258" t="str">
        <f t="shared" si="21"/>
        <v/>
      </c>
      <c r="AC733" s="259" t="str">
        <f>IF(COUNTIF(AD$78:AD733,AD733)=1,MAX(AC$78:AC732)+1,"")</f>
        <v/>
      </c>
      <c r="AD733" s="220">
        <f>'[2]Изложницы без бурта'!B733</f>
        <v>245</v>
      </c>
      <c r="AE733" s="220">
        <f>'[2]Изложницы без бурта'!C733</f>
        <v>640</v>
      </c>
      <c r="AF733" s="56">
        <f>'[2]Изложницы без бурта'!D733</f>
        <v>320</v>
      </c>
      <c r="AG733" s="56">
        <f>'[2]Изложницы без бурта'!E733</f>
        <v>320</v>
      </c>
      <c r="AH733" s="56" t="str">
        <f>'[2]Изложницы без бурта'!F733</f>
        <v>б/.н - н</v>
      </c>
      <c r="AI733" s="56">
        <f>'[2]Изложницы без бурта'!G733</f>
        <v>0</v>
      </c>
      <c r="AJ733" s="56" t="str">
        <f>'[2]Изложницы без бурта'!H733</f>
        <v>НЕТ ТОЛКАТЕЛЯ</v>
      </c>
      <c r="AK733" s="56" t="str">
        <f>'[2]Изложницы без бурта'!I733</f>
        <v>На нижнекамск. ц/б на пл. уч.№2 (з/крышка из проката, кокиль гильзован, Øгильзы 290 мм)</v>
      </c>
      <c r="AL733" s="56" t="s">
        <v>636</v>
      </c>
      <c r="AM733" s="56">
        <f>'[2]Изложницы без бурта'!K733</f>
        <v>0</v>
      </c>
    </row>
    <row r="734" spans="28:39" x14ac:dyDescent="0.25">
      <c r="AB734" s="258" t="str">
        <f t="shared" si="21"/>
        <v/>
      </c>
      <c r="AC734" s="259">
        <f>IF(COUNTIF(AD$78:AD734,AD734)=1,MAX(AC$78:AC733)+1,"")</f>
        <v>64</v>
      </c>
      <c r="AD734" s="220">
        <f>'[2]Изложницы без бурта'!B734</f>
        <v>247.5</v>
      </c>
      <c r="AE734" s="220">
        <f>'[2]Изложницы без бурта'!C734</f>
        <v>505</v>
      </c>
      <c r="AF734" s="56">
        <f>'[2]Изложницы без бурта'!D734</f>
        <v>360</v>
      </c>
      <c r="AG734" s="56">
        <f>'[2]Изложницы без бурта'!E734</f>
        <v>450</v>
      </c>
      <c r="AH734" s="56" t="str">
        <f>'[2]Изложницы без бурта'!F734</f>
        <v>72.23398 - 11</v>
      </c>
      <c r="AI734" s="56">
        <f>'[2]Изложницы без бурта'!G734</f>
        <v>7260035</v>
      </c>
      <c r="AJ734" s="56">
        <f>'[2]Изложницы без бурта'!H734</f>
        <v>0</v>
      </c>
      <c r="AK734" s="56">
        <f>'[2]Изложницы без бурта'!I734</f>
        <v>0</v>
      </c>
      <c r="AL734" s="56" t="s">
        <v>637</v>
      </c>
      <c r="AM734" s="56">
        <f>'[2]Изложницы без бурта'!K734</f>
        <v>0</v>
      </c>
    </row>
    <row r="735" spans="28:39" x14ac:dyDescent="0.25">
      <c r="AB735" s="258" t="str">
        <f t="shared" si="21"/>
        <v/>
      </c>
      <c r="AC735" s="259" t="str">
        <f>IF(COUNTIF(AD$78:AD735,AD735)=1,MAX(AC$78:AC734)+1,"")</f>
        <v/>
      </c>
      <c r="AD735" s="220">
        <f>'[2]Изложницы без бурта'!B735</f>
        <v>247.5</v>
      </c>
      <c r="AE735" s="220">
        <f>'[2]Изложницы без бурта'!C735</f>
        <v>260</v>
      </c>
      <c r="AF735" s="56">
        <f>'[2]Изложницы без бурта'!D735</f>
        <v>360</v>
      </c>
      <c r="AG735" s="56">
        <f>'[2]Изложницы без бурта'!E735</f>
        <v>450</v>
      </c>
      <c r="AH735" s="56" t="str">
        <f>'[2]Изложницы без бурта'!F735</f>
        <v>72.11872 - 11</v>
      </c>
      <c r="AI735" s="56">
        <f>'[2]Изложницы без бурта'!G735</f>
        <v>0</v>
      </c>
      <c r="AJ735" s="56">
        <f>'[2]Изложницы без бурта'!H735</f>
        <v>0</v>
      </c>
      <c r="AK735" s="56">
        <f>'[2]Изложницы без бурта'!I735</f>
        <v>0</v>
      </c>
      <c r="AL735" s="56" t="s">
        <v>637</v>
      </c>
      <c r="AM735" s="56">
        <f>'[2]Изложницы без бурта'!K735</f>
        <v>0</v>
      </c>
    </row>
    <row r="736" spans="28:39" x14ac:dyDescent="0.25">
      <c r="AB736" s="258" t="str">
        <f t="shared" si="21"/>
        <v/>
      </c>
      <c r="AC736" s="259" t="str">
        <f>IF(COUNTIF(AD$78:AD736,AD736)=1,MAX(AC$78:AC735)+1,"")</f>
        <v/>
      </c>
      <c r="AD736" s="220">
        <f>'[2]Изложницы без бурта'!B736</f>
        <v>247.5</v>
      </c>
      <c r="AE736" s="220">
        <f>'[2]Изложницы без бурта'!C736</f>
        <v>320</v>
      </c>
      <c r="AF736" s="56">
        <f>'[2]Изложницы без бурта'!D736</f>
        <v>375</v>
      </c>
      <c r="AG736" s="56">
        <f>'[2]Изложницы без бурта'!E736</f>
        <v>450</v>
      </c>
      <c r="AH736" s="56" t="str">
        <f>'[2]Изложницы без бурта'!F736</f>
        <v>72.11873 - 11</v>
      </c>
      <c r="AI736" s="56">
        <f>'[2]Изложницы без бурта'!G736</f>
        <v>0</v>
      </c>
      <c r="AJ736" s="56">
        <f>'[2]Изложницы без бурта'!H736</f>
        <v>0</v>
      </c>
      <c r="AK736" s="56">
        <f>'[2]Изложницы без бурта'!I736</f>
        <v>0</v>
      </c>
      <c r="AL736" s="56" t="s">
        <v>637</v>
      </c>
      <c r="AM736" s="56">
        <f>'[2]Изложницы без бурта'!K736</f>
        <v>0</v>
      </c>
    </row>
    <row r="737" spans="28:39" x14ac:dyDescent="0.25">
      <c r="AB737" s="258" t="str">
        <f t="shared" si="21"/>
        <v/>
      </c>
      <c r="AC737" s="259">
        <f>IF(COUNTIF(AD$78:AD737,AD737)=1,MAX(AC$78:AC736)+1,"")</f>
        <v>65</v>
      </c>
      <c r="AD737" s="220">
        <f>'[2]Изложницы без бурта'!B737</f>
        <v>250</v>
      </c>
      <c r="AE737" s="220">
        <f>'[2]Изложницы без бурта'!C737</f>
        <v>318</v>
      </c>
      <c r="AF737" s="56">
        <f>'[2]Изложницы без бурта'!D737</f>
        <v>360</v>
      </c>
      <c r="AG737" s="56">
        <f>'[2]Изложницы без бурта'!E737</f>
        <v>450</v>
      </c>
      <c r="AH737" s="56" t="str">
        <f>'[2]Изложницы без бурта'!F737</f>
        <v>72.11873 - 12</v>
      </c>
      <c r="AI737" s="56">
        <f>'[2]Изложницы без бурта'!G737</f>
        <v>0</v>
      </c>
      <c r="AJ737" s="56">
        <f>'[2]Изложницы без бурта'!H737</f>
        <v>0</v>
      </c>
      <c r="AK737" s="56">
        <f>'[2]Изложницы без бурта'!I737</f>
        <v>0</v>
      </c>
      <c r="AL737" s="56" t="s">
        <v>638</v>
      </c>
      <c r="AM737" s="56">
        <f>'[2]Изложницы без бурта'!K737</f>
        <v>0</v>
      </c>
    </row>
    <row r="738" spans="28:39" x14ac:dyDescent="0.25">
      <c r="AB738" s="258" t="str">
        <f t="shared" si="21"/>
        <v/>
      </c>
      <c r="AC738" s="259" t="str">
        <f>IF(COUNTIF(AD$78:AD738,AD738)=1,MAX(AC$78:AC737)+1,"")</f>
        <v/>
      </c>
      <c r="AD738" s="220">
        <f>'[2]Изложницы без бурта'!B738</f>
        <v>250</v>
      </c>
      <c r="AE738" s="220">
        <f>'[2]Изложницы без бурта'!C738</f>
        <v>257</v>
      </c>
      <c r="AF738" s="56">
        <f>'[2]Изложницы без бурта'!D738</f>
        <v>360</v>
      </c>
      <c r="AG738" s="56">
        <f>'[2]Изложницы без бурта'!E738</f>
        <v>450</v>
      </c>
      <c r="AH738" s="56" t="str">
        <f>'[2]Изложницы без бурта'!F738</f>
        <v>72.11872 - 12</v>
      </c>
      <c r="AI738" s="56">
        <f>'[2]Изложницы без бурта'!G738</f>
        <v>0</v>
      </c>
      <c r="AJ738" s="56">
        <f>'[2]Изложницы без бурта'!H738</f>
        <v>0</v>
      </c>
      <c r="AK738" s="56">
        <f>'[2]Изложницы без бурта'!I738</f>
        <v>0</v>
      </c>
      <c r="AL738" s="56" t="s">
        <v>638</v>
      </c>
      <c r="AM738" s="56">
        <f>'[2]Изложницы без бурта'!K738</f>
        <v>0</v>
      </c>
    </row>
    <row r="739" spans="28:39" x14ac:dyDescent="0.25">
      <c r="AB739" s="258" t="str">
        <f t="shared" si="21"/>
        <v/>
      </c>
      <c r="AC739" s="259" t="str">
        <f>IF(COUNTIF(AD$78:AD739,AD739)=1,MAX(AC$78:AC738)+1,"")</f>
        <v/>
      </c>
      <c r="AD739" s="220">
        <f>'[2]Изложницы без бурта'!B739</f>
        <v>250</v>
      </c>
      <c r="AE739" s="220">
        <f>'[2]Изложницы без бурта'!C739</f>
        <v>257</v>
      </c>
      <c r="AF739" s="56">
        <f>'[2]Изложницы без бурта'!D739</f>
        <v>375</v>
      </c>
      <c r="AG739" s="56">
        <f>'[2]Изложницы без бурта'!E739</f>
        <v>450</v>
      </c>
      <c r="AH739" s="56" t="str">
        <f>'[2]Изложницы без бурта'!F739</f>
        <v>72.11872 - 12</v>
      </c>
      <c r="AI739" s="56">
        <f>'[2]Изложницы без бурта'!G739</f>
        <v>0</v>
      </c>
      <c r="AJ739" s="56">
        <f>'[2]Изложницы без бурта'!H739</f>
        <v>0</v>
      </c>
      <c r="AK739" s="56">
        <f>'[2]Изложницы без бурта'!I739</f>
        <v>0</v>
      </c>
      <c r="AL739" s="56" t="s">
        <v>638</v>
      </c>
      <c r="AM739" s="56">
        <f>'[2]Изложницы без бурта'!K739</f>
        <v>0</v>
      </c>
    </row>
    <row r="740" spans="28:39" x14ac:dyDescent="0.25">
      <c r="AB740" s="258" t="str">
        <f t="shared" si="21"/>
        <v/>
      </c>
      <c r="AC740" s="259" t="str">
        <f>IF(COUNTIF(AD$78:AD740,AD740)=1,MAX(AC$78:AC739)+1,"")</f>
        <v/>
      </c>
      <c r="AD740" s="220">
        <f>'[2]Изложницы без бурта'!B740</f>
        <v>250</v>
      </c>
      <c r="AE740" s="220">
        <f>'[2]Изложницы без бурта'!C740</f>
        <v>375</v>
      </c>
      <c r="AF740" s="56">
        <f>'[2]Изложницы без бурта'!D740</f>
        <v>360</v>
      </c>
      <c r="AG740" s="56">
        <f>'[2]Изложницы без бурта'!E740</f>
        <v>450</v>
      </c>
      <c r="AH740" s="56" t="str">
        <f>'[2]Изложницы без бурта'!F740</f>
        <v>72.11874 - 12</v>
      </c>
      <c r="AI740" s="56">
        <f>'[2]Изложницы без бурта'!G740</f>
        <v>0</v>
      </c>
      <c r="AJ740" s="56">
        <f>'[2]Изложницы без бурта'!H740</f>
        <v>0</v>
      </c>
      <c r="AK740" s="56">
        <f>'[2]Изложницы без бурта'!I740</f>
        <v>0</v>
      </c>
      <c r="AL740" s="56" t="s">
        <v>638</v>
      </c>
      <c r="AM740" s="56">
        <f>'[2]Изложницы без бурта'!K740</f>
        <v>0</v>
      </c>
    </row>
    <row r="741" spans="28:39" x14ac:dyDescent="0.25">
      <c r="AB741" s="258" t="str">
        <f t="shared" si="21"/>
        <v/>
      </c>
      <c r="AC741" s="259" t="str">
        <f>IF(COUNTIF(AD$78:AD741,AD741)=1,MAX(AC$78:AC740)+1,"")</f>
        <v/>
      </c>
      <c r="AD741" s="220">
        <f>'[2]Изложницы без бурта'!B741</f>
        <v>250</v>
      </c>
      <c r="AE741" s="220">
        <f>'[2]Изложницы без бурта'!C741</f>
        <v>320</v>
      </c>
      <c r="AF741" s="56">
        <f>'[2]Изложницы без бурта'!D741</f>
        <v>360</v>
      </c>
      <c r="AG741" s="56">
        <f>'[2]Изложницы без бурта'!E741</f>
        <v>450</v>
      </c>
      <c r="AH741" s="56" t="str">
        <f>'[2]Изложницы без бурта'!F741</f>
        <v>72.11873 - 12</v>
      </c>
      <c r="AI741" s="56">
        <f>'[2]Изложницы без бурта'!G741</f>
        <v>0</v>
      </c>
      <c r="AJ741" s="56">
        <f>'[2]Изложницы без бурта'!H741</f>
        <v>0</v>
      </c>
      <c r="AK741" s="56">
        <f>'[2]Изложницы без бурта'!I741</f>
        <v>0</v>
      </c>
      <c r="AL741" s="56" t="s">
        <v>638</v>
      </c>
      <c r="AM741" s="56">
        <f>'[2]Изложницы без бурта'!K741</f>
        <v>0</v>
      </c>
    </row>
    <row r="742" spans="28:39" x14ac:dyDescent="0.25">
      <c r="AB742" s="258" t="str">
        <f t="shared" si="21"/>
        <v/>
      </c>
      <c r="AC742" s="259" t="str">
        <f>IF(COUNTIF(AD$78:AD742,AD742)=1,MAX(AC$78:AC741)+1,"")</f>
        <v/>
      </c>
      <c r="AD742" s="220">
        <f>'[2]Изложницы без бурта'!B742</f>
        <v>250</v>
      </c>
      <c r="AE742" s="220">
        <f>'[2]Изложницы без бурта'!C742</f>
        <v>497</v>
      </c>
      <c r="AF742" s="56">
        <f>'[2]Изложницы без бурта'!D742</f>
        <v>360</v>
      </c>
      <c r="AG742" s="56">
        <f>'[2]Изложницы без бурта'!E742</f>
        <v>450</v>
      </c>
      <c r="AH742" s="56" t="str">
        <f>'[2]Изложницы без бурта'!F742</f>
        <v>72.23398 - 12</v>
      </c>
      <c r="AI742" s="56">
        <f>'[2]Изложницы без бурта'!G742</f>
        <v>0</v>
      </c>
      <c r="AJ742" s="56">
        <f>'[2]Изложницы без бурта'!H742</f>
        <v>0</v>
      </c>
      <c r="AK742" s="56">
        <f>'[2]Изложницы без бурта'!I742</f>
        <v>0</v>
      </c>
      <c r="AL742" s="56" t="s">
        <v>638</v>
      </c>
      <c r="AM742" s="56">
        <f>'[2]Изложницы без бурта'!K742</f>
        <v>0</v>
      </c>
    </row>
    <row r="743" spans="28:39" x14ac:dyDescent="0.25">
      <c r="AB743" s="258" t="str">
        <f t="shared" si="21"/>
        <v/>
      </c>
      <c r="AC743" s="259" t="str">
        <f>IF(COUNTIF(AD$78:AD743,AD743)=1,MAX(AC$78:AC742)+1,"")</f>
        <v/>
      </c>
      <c r="AD743" s="220">
        <f>'[2]Изложницы без бурта'!B743</f>
        <v>250</v>
      </c>
      <c r="AE743" s="220">
        <f>'[2]Изложницы без бурта'!C743</f>
        <v>260</v>
      </c>
      <c r="AF743" s="56">
        <f>'[2]Изложницы без бурта'!D743</f>
        <v>360</v>
      </c>
      <c r="AG743" s="56">
        <f>'[2]Изложницы без бурта'!E743</f>
        <v>450</v>
      </c>
      <c r="AH743" s="56" t="str">
        <f>'[2]Изложницы без бурта'!F743</f>
        <v>72.11872 - 12</v>
      </c>
      <c r="AI743" s="56">
        <f>'[2]Изложницы без бурта'!G743</f>
        <v>0</v>
      </c>
      <c r="AJ743" s="56">
        <f>'[2]Изложницы без бурта'!H743</f>
        <v>0</v>
      </c>
      <c r="AK743" s="56">
        <f>'[2]Изложницы без бурта'!I743</f>
        <v>0</v>
      </c>
      <c r="AL743" s="56" t="s">
        <v>638</v>
      </c>
      <c r="AM743" s="56">
        <f>'[2]Изложницы без бурта'!K743</f>
        <v>0</v>
      </c>
    </row>
    <row r="744" spans="28:39" x14ac:dyDescent="0.25">
      <c r="AB744" s="258" t="str">
        <f t="shared" si="21"/>
        <v/>
      </c>
      <c r="AC744" s="259" t="str">
        <f>IF(COUNTIF(AD$78:AD744,AD744)=1,MAX(AC$78:AC743)+1,"")</f>
        <v/>
      </c>
      <c r="AD744" s="220">
        <f>'[2]Изложницы без бурта'!B744</f>
        <v>250</v>
      </c>
      <c r="AE744" s="220">
        <f>'[2]Изложницы без бурта'!C744</f>
        <v>1130</v>
      </c>
      <c r="AF744" s="56">
        <f>'[2]Изложницы без бурта'!D744</f>
        <v>336</v>
      </c>
      <c r="AG744" s="56">
        <f>'[2]Изложницы без бурта'!E744</f>
        <v>300</v>
      </c>
      <c r="AH744" s="56" t="str">
        <f>'[2]Изложницы без бурта'!F744</f>
        <v>34.20230202-001</v>
      </c>
      <c r="AI744" s="56">
        <f>'[2]Изложницы без бурта'!G744</f>
        <v>0</v>
      </c>
      <c r="AJ744" s="56" t="str">
        <f>'[2]Изложницы без бурта'!H744</f>
        <v>ЕСТЬ заливочная крышка ф150</v>
      </c>
      <c r="AK744" s="56">
        <f>'[2]Изложницы без бурта'!I744</f>
        <v>0</v>
      </c>
      <c r="AL744" s="56" t="s">
        <v>636</v>
      </c>
      <c r="AM744" s="56">
        <f>'[2]Изложницы без бурта'!K744</f>
        <v>0</v>
      </c>
    </row>
    <row r="745" spans="28:39" x14ac:dyDescent="0.25">
      <c r="AB745" s="258" t="str">
        <f t="shared" si="21"/>
        <v/>
      </c>
      <c r="AC745" s="259">
        <f>IF(COUNTIF(AD$78:AD745,AD745)=1,MAX(AC$78:AC744)+1,"")</f>
        <v>66</v>
      </c>
      <c r="AD745" s="220">
        <f>'[2]Изложницы без бурта'!B745</f>
        <v>252.5</v>
      </c>
      <c r="AE745" s="220">
        <f>'[2]Изложницы без бурта'!C745</f>
        <v>378</v>
      </c>
      <c r="AF745" s="56">
        <f>'[2]Изложницы без бурта'!D745</f>
        <v>360</v>
      </c>
      <c r="AG745" s="56">
        <f>'[2]Изложницы без бурта'!E745</f>
        <v>450</v>
      </c>
      <c r="AH745" s="56" t="str">
        <f>'[2]Изложницы без бурта'!F745</f>
        <v>72.11874 - 13</v>
      </c>
      <c r="AI745" s="56">
        <f>'[2]Изложницы без бурта'!G745</f>
        <v>0</v>
      </c>
      <c r="AJ745" s="56">
        <f>'[2]Изложницы без бурта'!H745</f>
        <v>0</v>
      </c>
      <c r="AK745" s="56">
        <f>'[2]Изложницы без бурта'!I745</f>
        <v>0</v>
      </c>
      <c r="AL745" s="56" t="s">
        <v>639</v>
      </c>
      <c r="AM745" s="56">
        <f>'[2]Изложницы без бурта'!K745</f>
        <v>0</v>
      </c>
    </row>
    <row r="746" spans="28:39" x14ac:dyDescent="0.25">
      <c r="AB746" s="258" t="str">
        <f t="shared" si="21"/>
        <v/>
      </c>
      <c r="AC746" s="259" t="str">
        <f>IF(COUNTIF(AD$78:AD746,AD746)=1,MAX(AC$78:AC745)+1,"")</f>
        <v/>
      </c>
      <c r="AD746" s="220">
        <f>'[2]Изложницы без бурта'!B746</f>
        <v>252.5</v>
      </c>
      <c r="AE746" s="220">
        <f>'[2]Изложницы без бурта'!C746</f>
        <v>260</v>
      </c>
      <c r="AF746" s="56">
        <f>'[2]Изложницы без бурта'!D746</f>
        <v>360</v>
      </c>
      <c r="AG746" s="56">
        <f>'[2]Изложницы без бурта'!E746</f>
        <v>450</v>
      </c>
      <c r="AH746" s="56" t="str">
        <f>'[2]Изложницы без бурта'!F746</f>
        <v>72.11872 - 13</v>
      </c>
      <c r="AI746" s="56">
        <f>'[2]Изложницы без бурта'!G746</f>
        <v>0</v>
      </c>
      <c r="AJ746" s="56">
        <f>'[2]Изложницы без бурта'!H746</f>
        <v>0</v>
      </c>
      <c r="AK746" s="56">
        <f>'[2]Изложницы без бурта'!I746</f>
        <v>0</v>
      </c>
      <c r="AL746" s="56" t="s">
        <v>639</v>
      </c>
      <c r="AM746" s="56">
        <f>'[2]Изложницы без бурта'!K746</f>
        <v>0</v>
      </c>
    </row>
    <row r="747" spans="28:39" x14ac:dyDescent="0.25">
      <c r="AB747" s="258" t="str">
        <f t="shared" si="21"/>
        <v/>
      </c>
      <c r="AC747" s="259" t="str">
        <f>IF(COUNTIF(AD$78:AD747,AD747)=1,MAX(AC$78:AC746)+1,"")</f>
        <v/>
      </c>
      <c r="AD747" s="220">
        <f>'[2]Изложницы без бурта'!B747</f>
        <v>252.5</v>
      </c>
      <c r="AE747" s="220">
        <f>'[2]Изложницы без бурта'!C747</f>
        <v>260</v>
      </c>
      <c r="AF747" s="56">
        <f>'[2]Изложницы без бурта'!D747</f>
        <v>360</v>
      </c>
      <c r="AG747" s="56">
        <f>'[2]Изложницы без бурта'!E747</f>
        <v>450</v>
      </c>
      <c r="AH747" s="56" t="str">
        <f>'[2]Изложницы без бурта'!F747</f>
        <v>72.11872 - 13</v>
      </c>
      <c r="AI747" s="56">
        <f>'[2]Изложницы без бурта'!G747</f>
        <v>0</v>
      </c>
      <c r="AJ747" s="56">
        <f>'[2]Изложницы без бурта'!H747</f>
        <v>0</v>
      </c>
      <c r="AK747" s="56">
        <f>'[2]Изложницы без бурта'!I747</f>
        <v>0</v>
      </c>
      <c r="AL747" s="56" t="s">
        <v>639</v>
      </c>
      <c r="AM747" s="56">
        <f>'[2]Изложницы без бурта'!K747</f>
        <v>0</v>
      </c>
    </row>
    <row r="748" spans="28:39" x14ac:dyDescent="0.25">
      <c r="AB748" s="258" t="str">
        <f t="shared" si="21"/>
        <v/>
      </c>
      <c r="AC748" s="259" t="str">
        <f>IF(COUNTIF(AD$78:AD748,AD748)=1,MAX(AC$78:AC747)+1,"")</f>
        <v/>
      </c>
      <c r="AD748" s="220">
        <f>'[2]Изложницы без бурта'!B748</f>
        <v>252.5</v>
      </c>
      <c r="AE748" s="220">
        <f>'[2]Изложницы без бурта'!C748</f>
        <v>260</v>
      </c>
      <c r="AF748" s="56">
        <f>'[2]Изложницы без бурта'!D748</f>
        <v>360</v>
      </c>
      <c r="AG748" s="56">
        <f>'[2]Изложницы без бурта'!E748</f>
        <v>450</v>
      </c>
      <c r="AH748" s="56" t="str">
        <f>'[2]Изложницы без бурта'!F748</f>
        <v>72.11872 - 13</v>
      </c>
      <c r="AI748" s="56">
        <f>'[2]Изложницы без бурта'!G748</f>
        <v>0</v>
      </c>
      <c r="AJ748" s="56">
        <f>'[2]Изложницы без бурта'!H748</f>
        <v>0</v>
      </c>
      <c r="AK748" s="56">
        <f>'[2]Изложницы без бурта'!I748</f>
        <v>0</v>
      </c>
      <c r="AL748" s="56" t="s">
        <v>639</v>
      </c>
      <c r="AM748" s="56">
        <f>'[2]Изложницы без бурта'!K748</f>
        <v>0</v>
      </c>
    </row>
    <row r="749" spans="28:39" x14ac:dyDescent="0.25">
      <c r="AB749" s="258" t="str">
        <f t="shared" si="21"/>
        <v/>
      </c>
      <c r="AC749" s="259" t="str">
        <f>IF(COUNTIF(AD$78:AD749,AD749)=1,MAX(AC$78:AC748)+1,"")</f>
        <v/>
      </c>
      <c r="AD749" s="220">
        <f>'[2]Изложницы без бурта'!B749</f>
        <v>252.5</v>
      </c>
      <c r="AE749" s="220">
        <f>'[2]Изложницы без бурта'!C749</f>
        <v>497</v>
      </c>
      <c r="AF749" s="56">
        <f>'[2]Изложницы без бурта'!D749</f>
        <v>375</v>
      </c>
      <c r="AG749" s="56">
        <f>'[2]Изложницы без бурта'!E749</f>
        <v>400</v>
      </c>
      <c r="AH749" s="56" t="str">
        <f>'[2]Изложницы без бурта'!F749</f>
        <v>72.23398 - 13</v>
      </c>
      <c r="AI749" s="56">
        <f>'[2]Изложницы без бурта'!G749</f>
        <v>7260036</v>
      </c>
      <c r="AJ749" s="56">
        <f>'[2]Изложницы без бурта'!H749</f>
        <v>0</v>
      </c>
      <c r="AK749" s="56">
        <f>'[2]Изложницы без бурта'!I749</f>
        <v>0</v>
      </c>
      <c r="AL749" s="56" t="s">
        <v>639</v>
      </c>
      <c r="AM749" s="56">
        <f>'[2]Изложницы без бурта'!K749</f>
        <v>0</v>
      </c>
    </row>
    <row r="750" spans="28:39" x14ac:dyDescent="0.25">
      <c r="AB750" s="258" t="str">
        <f t="shared" si="21"/>
        <v/>
      </c>
      <c r="AC750" s="259" t="str">
        <f>IF(COUNTIF(AD$78:AD750,AD750)=1,MAX(AC$78:AC749)+1,"")</f>
        <v/>
      </c>
      <c r="AD750" s="220">
        <f>'[2]Изложницы без бурта'!B750</f>
        <v>252.5</v>
      </c>
      <c r="AE750" s="220">
        <f>'[2]Изложницы без бурта'!C750</f>
        <v>495</v>
      </c>
      <c r="AF750" s="56">
        <f>'[2]Изложницы без бурта'!D750</f>
        <v>360</v>
      </c>
      <c r="AG750" s="56">
        <f>'[2]Изложницы без бурта'!E750</f>
        <v>400</v>
      </c>
      <c r="AH750" s="56" t="str">
        <f>'[2]Изложницы без бурта'!F750</f>
        <v>72.23398 - 13</v>
      </c>
      <c r="AI750" s="56">
        <f>'[2]Изложницы без бурта'!G750</f>
        <v>7260036</v>
      </c>
      <c r="AJ750" s="56">
        <f>'[2]Изложницы без бурта'!H750</f>
        <v>0</v>
      </c>
      <c r="AK750" s="56">
        <f>'[2]Изложницы без бурта'!I750</f>
        <v>0</v>
      </c>
      <c r="AL750" s="56" t="s">
        <v>639</v>
      </c>
      <c r="AM750" s="56">
        <f>'[2]Изложницы без бурта'!K750</f>
        <v>0</v>
      </c>
    </row>
    <row r="751" spans="28:39" x14ac:dyDescent="0.25">
      <c r="AB751" s="258" t="str">
        <f t="shared" si="21"/>
        <v/>
      </c>
      <c r="AC751" s="259" t="str">
        <f>IF(COUNTIF(AD$78:AD751,AD751)=1,MAX(AC$78:AC750)+1,"")</f>
        <v/>
      </c>
      <c r="AD751" s="220">
        <f>'[2]Изложницы без бурта'!B751</f>
        <v>252.5</v>
      </c>
      <c r="AE751" s="220">
        <f>'[2]Изложницы без бурта'!C751</f>
        <v>260</v>
      </c>
      <c r="AF751" s="56">
        <f>'[2]Изложницы без бурта'!D751</f>
        <v>375</v>
      </c>
      <c r="AG751" s="56">
        <f>'[2]Изложницы без бурта'!E751</f>
        <v>450</v>
      </c>
      <c r="AH751" s="56" t="str">
        <f>'[2]Изложницы без бурта'!F751</f>
        <v>72.11872 - 13</v>
      </c>
      <c r="AI751" s="56">
        <f>'[2]Изложницы без бурта'!G751</f>
        <v>0</v>
      </c>
      <c r="AJ751" s="56">
        <f>'[2]Изложницы без бурта'!H751</f>
        <v>0</v>
      </c>
      <c r="AK751" s="56">
        <f>'[2]Изложницы без бурта'!I751</f>
        <v>0</v>
      </c>
      <c r="AL751" s="56" t="s">
        <v>639</v>
      </c>
      <c r="AM751" s="56">
        <f>'[2]Изложницы без бурта'!K751</f>
        <v>0</v>
      </c>
    </row>
    <row r="752" spans="28:39" x14ac:dyDescent="0.25">
      <c r="AB752" s="258" t="str">
        <f t="shared" si="21"/>
        <v/>
      </c>
      <c r="AC752" s="259" t="str">
        <f>IF(COUNTIF(AD$78:AD752,AD752)=1,MAX(AC$78:AC751)+1,"")</f>
        <v/>
      </c>
      <c r="AD752" s="220">
        <f>'[2]Изложницы без бурта'!B752</f>
        <v>252.5</v>
      </c>
      <c r="AE752" s="220">
        <f>'[2]Изложницы без бурта'!C752</f>
        <v>260</v>
      </c>
      <c r="AF752" s="56">
        <f>'[2]Изложницы без бурта'!D752</f>
        <v>360</v>
      </c>
      <c r="AG752" s="56">
        <f>'[2]Изложницы без бурта'!E752</f>
        <v>450</v>
      </c>
      <c r="AH752" s="56" t="str">
        <f>'[2]Изложницы без бурта'!F752</f>
        <v>72.11872 - 13</v>
      </c>
      <c r="AI752" s="56">
        <f>'[2]Изложницы без бурта'!G752</f>
        <v>0</v>
      </c>
      <c r="AJ752" s="56">
        <f>'[2]Изложницы без бурта'!H752</f>
        <v>0</v>
      </c>
      <c r="AK752" s="56">
        <f>'[2]Изложницы без бурта'!I752</f>
        <v>0</v>
      </c>
      <c r="AL752" s="56" t="s">
        <v>639</v>
      </c>
      <c r="AM752" s="56">
        <f>'[2]Изложницы без бурта'!K752</f>
        <v>0</v>
      </c>
    </row>
    <row r="753" spans="28:39" x14ac:dyDescent="0.25">
      <c r="AB753" s="258" t="str">
        <f t="shared" si="21"/>
        <v/>
      </c>
      <c r="AC753" s="259">
        <f>IF(COUNTIF(AD$78:AD753,AD753)=1,MAX(AC$78:AC752)+1,"")</f>
        <v>67</v>
      </c>
      <c r="AD753" s="220">
        <f>'[2]Изложницы без бурта'!B753</f>
        <v>255</v>
      </c>
      <c r="AE753" s="220">
        <f>'[2]Изложницы без бурта'!C753</f>
        <v>257</v>
      </c>
      <c r="AF753" s="56">
        <f>'[2]Изложницы без бурта'!D753</f>
        <v>360</v>
      </c>
      <c r="AG753" s="56">
        <f>'[2]Изложницы без бурта'!E753</f>
        <v>450</v>
      </c>
      <c r="AH753" s="56" t="str">
        <f>'[2]Изложницы без бурта'!F753</f>
        <v>72.11872 - 14</v>
      </c>
      <c r="AI753" s="56">
        <f>'[2]Изложницы без бурта'!G753</f>
        <v>0</v>
      </c>
      <c r="AJ753" s="56">
        <f>'[2]Изложницы без бурта'!H753</f>
        <v>0</v>
      </c>
      <c r="AK753" s="56">
        <f>'[2]Изложницы без бурта'!I753</f>
        <v>0</v>
      </c>
      <c r="AL753" s="56" t="s">
        <v>640</v>
      </c>
      <c r="AM753" s="56">
        <f>'[2]Изложницы без бурта'!K753</f>
        <v>0</v>
      </c>
    </row>
    <row r="754" spans="28:39" x14ac:dyDescent="0.25">
      <c r="AB754" s="258" t="str">
        <f t="shared" si="21"/>
        <v/>
      </c>
      <c r="AC754" s="259" t="str">
        <f>IF(COUNTIF(AD$78:AD754,AD754)=1,MAX(AC$78:AC753)+1,"")</f>
        <v/>
      </c>
      <c r="AD754" s="220">
        <f>'[2]Изложницы без бурта'!B754</f>
        <v>255</v>
      </c>
      <c r="AE754" s="220">
        <f>'[2]Изложницы без бурта'!C754</f>
        <v>258</v>
      </c>
      <c r="AF754" s="56">
        <f>'[2]Изложницы без бурта'!D754</f>
        <v>360</v>
      </c>
      <c r="AG754" s="56">
        <f>'[2]Изложницы без бурта'!E754</f>
        <v>450</v>
      </c>
      <c r="AH754" s="56" t="str">
        <f>'[2]Изложницы без бурта'!F754</f>
        <v>72.11872 - 14</v>
      </c>
      <c r="AI754" s="56">
        <f>'[2]Изложницы без бурта'!G754</f>
        <v>0</v>
      </c>
      <c r="AJ754" s="56">
        <f>'[2]Изложницы без бурта'!H754</f>
        <v>0</v>
      </c>
      <c r="AK754" s="56">
        <f>'[2]Изложницы без бурта'!I754</f>
        <v>0</v>
      </c>
      <c r="AL754" s="56" t="s">
        <v>640</v>
      </c>
      <c r="AM754" s="56">
        <f>'[2]Изложницы без бурта'!K754</f>
        <v>0</v>
      </c>
    </row>
    <row r="755" spans="28:39" x14ac:dyDescent="0.25">
      <c r="AB755" s="258" t="str">
        <f t="shared" si="21"/>
        <v/>
      </c>
      <c r="AC755" s="259" t="str">
        <f>IF(COUNTIF(AD$78:AD755,AD755)=1,MAX(AC$78:AC754)+1,"")</f>
        <v/>
      </c>
      <c r="AD755" s="220">
        <f>'[2]Изложницы без бурта'!B755</f>
        <v>255</v>
      </c>
      <c r="AE755" s="220">
        <f>'[2]Изложницы без бурта'!C755</f>
        <v>260</v>
      </c>
      <c r="AF755" s="56">
        <f>'[2]Изложницы без бурта'!D755</f>
        <v>360</v>
      </c>
      <c r="AG755" s="56">
        <f>'[2]Изложницы без бурта'!E755</f>
        <v>450</v>
      </c>
      <c r="AH755" s="56" t="str">
        <f>'[2]Изложницы без бурта'!F755</f>
        <v>72.11872 - 14</v>
      </c>
      <c r="AI755" s="56">
        <f>'[2]Изложницы без бурта'!G755</f>
        <v>0</v>
      </c>
      <c r="AJ755" s="56">
        <f>'[2]Изложницы без бурта'!H755</f>
        <v>0</v>
      </c>
      <c r="AK755" s="56">
        <f>'[2]Изложницы без бурта'!I755</f>
        <v>0</v>
      </c>
      <c r="AL755" s="56" t="s">
        <v>640</v>
      </c>
      <c r="AM755" s="56">
        <f>'[2]Изложницы без бурта'!K755</f>
        <v>0</v>
      </c>
    </row>
    <row r="756" spans="28:39" x14ac:dyDescent="0.25">
      <c r="AB756" s="258" t="str">
        <f t="shared" si="21"/>
        <v/>
      </c>
      <c r="AC756" s="259" t="str">
        <f>IF(COUNTIF(AD$78:AD756,AD756)=1,MAX(AC$78:AC755)+1,"")</f>
        <v/>
      </c>
      <c r="AD756" s="220">
        <f>'[2]Изложницы без бурта'!B756</f>
        <v>255</v>
      </c>
      <c r="AE756" s="220">
        <f>'[2]Изложницы без бурта'!C756</f>
        <v>377</v>
      </c>
      <c r="AF756" s="56">
        <f>'[2]Изложницы без бурта'!D756</f>
        <v>360</v>
      </c>
      <c r="AG756" s="56">
        <f>'[2]Изложницы без бурта'!E756</f>
        <v>450</v>
      </c>
      <c r="AH756" s="56" t="str">
        <f>'[2]Изложницы без бурта'!F756</f>
        <v>72.11874 - 14</v>
      </c>
      <c r="AI756" s="56">
        <f>'[2]Изложницы без бурта'!G756</f>
        <v>7260037</v>
      </c>
      <c r="AJ756" s="56">
        <f>'[2]Изложницы без бурта'!H756</f>
        <v>0</v>
      </c>
      <c r="AK756" s="56">
        <f>'[2]Изложницы без бурта'!I756</f>
        <v>0</v>
      </c>
      <c r="AL756" s="56" t="s">
        <v>640</v>
      </c>
      <c r="AM756" s="56">
        <f>'[2]Изложницы без бурта'!K756</f>
        <v>0</v>
      </c>
    </row>
    <row r="757" spans="28:39" x14ac:dyDescent="0.25">
      <c r="AB757" s="258" t="str">
        <f t="shared" si="21"/>
        <v/>
      </c>
      <c r="AC757" s="259" t="str">
        <f>IF(COUNTIF(AD$78:AD757,AD757)=1,MAX(AC$78:AC756)+1,"")</f>
        <v/>
      </c>
      <c r="AD757" s="220">
        <f>'[2]Изложницы без бурта'!B757</f>
        <v>255</v>
      </c>
      <c r="AE757" s="220">
        <f>'[2]Изложницы без бурта'!C757</f>
        <v>320</v>
      </c>
      <c r="AF757" s="56">
        <f>'[2]Изложницы без бурта'!D757</f>
        <v>360</v>
      </c>
      <c r="AG757" s="56">
        <f>'[2]Изложницы без бурта'!E757</f>
        <v>450</v>
      </c>
      <c r="AH757" s="56" t="str">
        <f>'[2]Изложницы без бурта'!F757</f>
        <v>72.11873 - 14</v>
      </c>
      <c r="AI757" s="56">
        <f>'[2]Изложницы без бурта'!G757</f>
        <v>0</v>
      </c>
      <c r="AJ757" s="56">
        <f>'[2]Изложницы без бурта'!H757</f>
        <v>0</v>
      </c>
      <c r="AK757" s="56">
        <f>'[2]Изложницы без бурта'!I757</f>
        <v>0</v>
      </c>
      <c r="AL757" s="56" t="s">
        <v>640</v>
      </c>
      <c r="AM757" s="56">
        <f>'[2]Изложницы без бурта'!K757</f>
        <v>0</v>
      </c>
    </row>
    <row r="758" spans="28:39" x14ac:dyDescent="0.25">
      <c r="AB758" s="258" t="str">
        <f t="shared" si="21"/>
        <v/>
      </c>
      <c r="AC758" s="259" t="str">
        <f>IF(COUNTIF(AD$78:AD758,AD758)=1,MAX(AC$78:AC757)+1,"")</f>
        <v/>
      </c>
      <c r="AD758" s="220">
        <f>'[2]Изложницы без бурта'!B758</f>
        <v>255</v>
      </c>
      <c r="AE758" s="220">
        <f>'[2]Изложницы без бурта'!C758</f>
        <v>260</v>
      </c>
      <c r="AF758" s="56">
        <f>'[2]Изложницы без бурта'!D758</f>
        <v>360</v>
      </c>
      <c r="AG758" s="56">
        <f>'[2]Изложницы без бурта'!E758</f>
        <v>450</v>
      </c>
      <c r="AH758" s="56" t="str">
        <f>'[2]Изложницы без бурта'!F758</f>
        <v>72.11872 - 14</v>
      </c>
      <c r="AI758" s="56">
        <f>'[2]Изложницы без бурта'!G758</f>
        <v>0</v>
      </c>
      <c r="AJ758" s="56">
        <f>'[2]Изложницы без бурта'!H758</f>
        <v>0</v>
      </c>
      <c r="AK758" s="56">
        <f>'[2]Изложницы без бурта'!I758</f>
        <v>0</v>
      </c>
      <c r="AL758" s="56" t="s">
        <v>640</v>
      </c>
      <c r="AM758" s="56">
        <f>'[2]Изложницы без бурта'!K758</f>
        <v>0</v>
      </c>
    </row>
    <row r="759" spans="28:39" x14ac:dyDescent="0.25">
      <c r="AB759" s="258" t="str">
        <f t="shared" si="21"/>
        <v/>
      </c>
      <c r="AC759" s="259" t="str">
        <f>IF(COUNTIF(AD$78:AD759,AD759)=1,MAX(AC$78:AC758)+1,"")</f>
        <v/>
      </c>
      <c r="AD759" s="220">
        <f>'[2]Изложницы без бурта'!B759</f>
        <v>255</v>
      </c>
      <c r="AE759" s="220">
        <f>'[2]Изложницы без бурта'!C759</f>
        <v>260</v>
      </c>
      <c r="AF759" s="56">
        <f>'[2]Изложницы без бурта'!D759</f>
        <v>360</v>
      </c>
      <c r="AG759" s="56">
        <f>'[2]Изложницы без бурта'!E759</f>
        <v>450</v>
      </c>
      <c r="AH759" s="56" t="str">
        <f>'[2]Изложницы без бурта'!F759</f>
        <v>72.11872 - 14</v>
      </c>
      <c r="AI759" s="56">
        <f>'[2]Изложницы без бурта'!G759</f>
        <v>0</v>
      </c>
      <c r="AJ759" s="56">
        <f>'[2]Изложницы без бурта'!H759</f>
        <v>0</v>
      </c>
      <c r="AK759" s="56">
        <f>'[2]Изложницы без бурта'!I759</f>
        <v>0</v>
      </c>
      <c r="AL759" s="56" t="s">
        <v>640</v>
      </c>
      <c r="AM759" s="56">
        <f>'[2]Изложницы без бурта'!K759</f>
        <v>0</v>
      </c>
    </row>
    <row r="760" spans="28:39" x14ac:dyDescent="0.25">
      <c r="AB760" s="258" t="str">
        <f t="shared" si="21"/>
        <v/>
      </c>
      <c r="AC760" s="259">
        <f>IF(COUNTIF(AD$78:AD760,AD760)=1,MAX(AC$78:AC759)+1,"")</f>
        <v>68</v>
      </c>
      <c r="AD760" s="220">
        <f>'[2]Изложницы без бурта'!B760</f>
        <v>257.5</v>
      </c>
      <c r="AE760" s="220">
        <f>'[2]Изложницы без бурта'!C760</f>
        <v>380</v>
      </c>
      <c r="AF760" s="56">
        <f>'[2]Изложницы без бурта'!D760</f>
        <v>375</v>
      </c>
      <c r="AG760" s="56">
        <f>'[2]Изложницы без бурта'!E760</f>
        <v>450</v>
      </c>
      <c r="AH760" s="56" t="str">
        <f>'[2]Изложницы без бурта'!F760</f>
        <v>72.11874 - 15</v>
      </c>
      <c r="AI760" s="56">
        <f>'[2]Изложницы без бурта'!G760</f>
        <v>0</v>
      </c>
      <c r="AJ760" s="56">
        <f>'[2]Изложницы без бурта'!H760</f>
        <v>0</v>
      </c>
      <c r="AK760" s="56">
        <f>'[2]Изложницы без бурта'!I760</f>
        <v>0</v>
      </c>
      <c r="AL760" s="56" t="s">
        <v>641</v>
      </c>
      <c r="AM760" s="56">
        <f>'[2]Изложницы без бурта'!K760</f>
        <v>0</v>
      </c>
    </row>
    <row r="761" spans="28:39" x14ac:dyDescent="0.25">
      <c r="AB761" s="258" t="str">
        <f t="shared" ref="AB761:AB824" si="22">IF(MAX(AC761:AC1838)&lt;ROW(683:683),"",VLOOKUP(ROW(683:683),AC761:AD1838,2))</f>
        <v/>
      </c>
      <c r="AC761" s="259" t="str">
        <f>IF(COUNTIF(AD$78:AD761,AD761)=1,MAX(AC$78:AC760)+1,"")</f>
        <v/>
      </c>
      <c r="AD761" s="220">
        <f>'[2]Изложницы без бурта'!B761</f>
        <v>257.5</v>
      </c>
      <c r="AE761" s="220">
        <f>'[2]Изложницы без бурта'!C761</f>
        <v>260</v>
      </c>
      <c r="AF761" s="56">
        <f>'[2]Изложницы без бурта'!D761</f>
        <v>360</v>
      </c>
      <c r="AG761" s="56">
        <f>'[2]Изложницы без бурта'!E761</f>
        <v>450</v>
      </c>
      <c r="AH761" s="56" t="str">
        <f>'[2]Изложницы без бурта'!F761</f>
        <v>72.11872 - 15</v>
      </c>
      <c r="AI761" s="56">
        <f>'[2]Изложницы без бурта'!G761</f>
        <v>0</v>
      </c>
      <c r="AJ761" s="56">
        <f>'[2]Изложницы без бурта'!H761</f>
        <v>0</v>
      </c>
      <c r="AK761" s="56">
        <f>'[2]Изложницы без бурта'!I761</f>
        <v>0</v>
      </c>
      <c r="AL761" s="56" t="s">
        <v>641</v>
      </c>
      <c r="AM761" s="56">
        <f>'[2]Изложницы без бурта'!K761</f>
        <v>0</v>
      </c>
    </row>
    <row r="762" spans="28:39" x14ac:dyDescent="0.25">
      <c r="AB762" s="258" t="str">
        <f t="shared" si="22"/>
        <v/>
      </c>
      <c r="AC762" s="259" t="str">
        <f>IF(COUNTIF(AD$78:AD762,AD762)=1,MAX(AC$78:AC761)+1,"")</f>
        <v/>
      </c>
      <c r="AD762" s="220">
        <f>'[2]Изложницы без бурта'!B762</f>
        <v>257.5</v>
      </c>
      <c r="AE762" s="220">
        <f>'[2]Изложницы без бурта'!C762</f>
        <v>260</v>
      </c>
      <c r="AF762" s="56">
        <f>'[2]Изложницы без бурта'!D762</f>
        <v>360</v>
      </c>
      <c r="AG762" s="56">
        <f>'[2]Изложницы без бурта'!E762</f>
        <v>450</v>
      </c>
      <c r="AH762" s="56" t="str">
        <f>'[2]Изложницы без бурта'!F762</f>
        <v>72.11872 - 15</v>
      </c>
      <c r="AI762" s="56">
        <f>'[2]Изложницы без бурта'!G762</f>
        <v>0</v>
      </c>
      <c r="AJ762" s="56">
        <f>'[2]Изложницы без бурта'!H762</f>
        <v>0</v>
      </c>
      <c r="AK762" s="56">
        <f>'[2]Изложницы без бурта'!I762</f>
        <v>0</v>
      </c>
      <c r="AL762" s="56" t="s">
        <v>641</v>
      </c>
      <c r="AM762" s="56">
        <f>'[2]Изложницы без бурта'!K762</f>
        <v>0</v>
      </c>
    </row>
    <row r="763" spans="28:39" x14ac:dyDescent="0.25">
      <c r="AB763" s="258" t="str">
        <f t="shared" si="22"/>
        <v/>
      </c>
      <c r="AC763" s="259" t="str">
        <f>IF(COUNTIF(AD$78:AD763,AD763)=1,MAX(AC$78:AC762)+1,"")</f>
        <v/>
      </c>
      <c r="AD763" s="220">
        <f>'[2]Изложницы без бурта'!B763</f>
        <v>257.5</v>
      </c>
      <c r="AE763" s="220">
        <f>'[2]Изложницы без бурта'!C763</f>
        <v>500</v>
      </c>
      <c r="AF763" s="56">
        <f>'[2]Изложницы без бурта'!D763</f>
        <v>360</v>
      </c>
      <c r="AG763" s="56">
        <f>'[2]Изложницы без бурта'!E763</f>
        <v>400</v>
      </c>
      <c r="AH763" s="56" t="str">
        <f>'[2]Изложницы без бурта'!F763</f>
        <v>72.23398 - 15</v>
      </c>
      <c r="AI763" s="56">
        <f>'[2]Изложницы без бурта'!G763</f>
        <v>7260038</v>
      </c>
      <c r="AJ763" s="56">
        <f>'[2]Изложницы без бурта'!H763</f>
        <v>0</v>
      </c>
      <c r="AK763" s="56">
        <f>'[2]Изложницы без бурта'!I763</f>
        <v>0</v>
      </c>
      <c r="AL763" s="56" t="s">
        <v>641</v>
      </c>
      <c r="AM763" s="56">
        <f>'[2]Изложницы без бурта'!K763</f>
        <v>0</v>
      </c>
    </row>
    <row r="764" spans="28:39" x14ac:dyDescent="0.25">
      <c r="AB764" s="258" t="str">
        <f t="shared" si="22"/>
        <v/>
      </c>
      <c r="AC764" s="259">
        <f>IF(COUNTIF(AD$78:AD764,AD764)=1,MAX(AC$78:AC763)+1,"")</f>
        <v>69</v>
      </c>
      <c r="AD764" s="220">
        <f>'[2]Изложницы без бурта'!B764</f>
        <v>260</v>
      </c>
      <c r="AE764" s="220">
        <f>'[2]Изложницы без бурта'!C764</f>
        <v>500</v>
      </c>
      <c r="AF764" s="56">
        <f>'[2]Изложницы без бурта'!D764</f>
        <v>360</v>
      </c>
      <c r="AG764" s="56">
        <f>'[2]Изложницы без бурта'!E764</f>
        <v>400</v>
      </c>
      <c r="AH764" s="56" t="str">
        <f>'[2]Изложницы без бурта'!F764</f>
        <v>72.23398 - 16</v>
      </c>
      <c r="AI764" s="56">
        <f>'[2]Изложницы без бурта'!G764</f>
        <v>0</v>
      </c>
      <c r="AJ764" s="56">
        <f>'[2]Изложницы без бурта'!H764</f>
        <v>0</v>
      </c>
      <c r="AK764" s="56">
        <f>'[2]Изложницы без бурта'!I764</f>
        <v>0</v>
      </c>
      <c r="AL764" s="56" t="s">
        <v>642</v>
      </c>
      <c r="AM764" s="56">
        <f>'[2]Изложницы без бурта'!K764</f>
        <v>0</v>
      </c>
    </row>
    <row r="765" spans="28:39" x14ac:dyDescent="0.25">
      <c r="AB765" s="258" t="str">
        <f t="shared" si="22"/>
        <v/>
      </c>
      <c r="AC765" s="259" t="str">
        <f>IF(COUNTIF(AD$78:AD765,AD765)=1,MAX(AC$78:AC764)+1,"")</f>
        <v/>
      </c>
      <c r="AD765" s="220">
        <f>'[2]Изложницы без бурта'!B765</f>
        <v>260</v>
      </c>
      <c r="AE765" s="220">
        <f>'[2]Изложницы без бурта'!C765</f>
        <v>495</v>
      </c>
      <c r="AF765" s="56">
        <f>'[2]Изложницы без бурта'!D765</f>
        <v>375</v>
      </c>
      <c r="AG765" s="56">
        <f>'[2]Изложницы без бурта'!E765</f>
        <v>400</v>
      </c>
      <c r="AH765" s="56" t="str">
        <f>'[2]Изложницы без бурта'!F765</f>
        <v>72.23398 - 16</v>
      </c>
      <c r="AI765" s="56">
        <f>'[2]Изложницы без бурта'!G765</f>
        <v>0</v>
      </c>
      <c r="AJ765" s="56">
        <f>'[2]Изложницы без бурта'!H765</f>
        <v>0</v>
      </c>
      <c r="AK765" s="56">
        <f>'[2]Изложницы без бурта'!I765</f>
        <v>0</v>
      </c>
      <c r="AL765" s="56" t="s">
        <v>642</v>
      </c>
      <c r="AM765" s="56">
        <f>'[2]Изложницы без бурта'!K765</f>
        <v>0</v>
      </c>
    </row>
    <row r="766" spans="28:39" x14ac:dyDescent="0.25">
      <c r="AB766" s="258" t="str">
        <f t="shared" si="22"/>
        <v/>
      </c>
      <c r="AC766" s="259" t="str">
        <f>IF(COUNTIF(AD$78:AD766,AD766)=1,MAX(AC$78:AC765)+1,"")</f>
        <v/>
      </c>
      <c r="AD766" s="220">
        <f>'[2]Изложницы без бурта'!B766</f>
        <v>260</v>
      </c>
      <c r="AE766" s="220">
        <f>'[2]Изложницы без бурта'!C766</f>
        <v>377</v>
      </c>
      <c r="AF766" s="56">
        <f>'[2]Изложницы без бурта'!D766</f>
        <v>360</v>
      </c>
      <c r="AG766" s="56">
        <f>'[2]Изложницы без бурта'!E766</f>
        <v>450</v>
      </c>
      <c r="AH766" s="56" t="str">
        <f>'[2]Изложницы без бурта'!F766</f>
        <v>72.11874 - 16</v>
      </c>
      <c r="AI766" s="56">
        <f>'[2]Изложницы без бурта'!G766</f>
        <v>0</v>
      </c>
      <c r="AJ766" s="56">
        <f>'[2]Изложницы без бурта'!H766</f>
        <v>0</v>
      </c>
      <c r="AK766" s="56">
        <f>'[2]Изложницы без бурта'!I766</f>
        <v>0</v>
      </c>
      <c r="AL766" s="56" t="s">
        <v>642</v>
      </c>
      <c r="AM766" s="56">
        <f>'[2]Изложницы без бурта'!K766</f>
        <v>0</v>
      </c>
    </row>
    <row r="767" spans="28:39" x14ac:dyDescent="0.25">
      <c r="AB767" s="258" t="str">
        <f t="shared" si="22"/>
        <v/>
      </c>
      <c r="AC767" s="259" t="str">
        <f>IF(COUNTIF(AD$78:AD767,AD767)=1,MAX(AC$78:AC766)+1,"")</f>
        <v/>
      </c>
      <c r="AD767" s="220">
        <f>'[2]Изложницы без бурта'!B767</f>
        <v>260</v>
      </c>
      <c r="AE767" s="220">
        <f>'[2]Изложницы без бурта'!C767</f>
        <v>258</v>
      </c>
      <c r="AF767" s="56">
        <f>'[2]Изложницы без бурта'!D767</f>
        <v>375</v>
      </c>
      <c r="AG767" s="56">
        <f>'[2]Изложницы без бурта'!E767</f>
        <v>450</v>
      </c>
      <c r="AH767" s="56" t="str">
        <f>'[2]Изложницы без бурта'!F767</f>
        <v>72.11872 - 16</v>
      </c>
      <c r="AI767" s="56">
        <f>'[2]Изложницы без бурта'!G767</f>
        <v>0</v>
      </c>
      <c r="AJ767" s="56">
        <f>'[2]Изложницы без бурта'!H767</f>
        <v>0</v>
      </c>
      <c r="AK767" s="56">
        <f>'[2]Изложницы без бурта'!I767</f>
        <v>0</v>
      </c>
      <c r="AL767" s="56" t="s">
        <v>642</v>
      </c>
      <c r="AM767" s="56">
        <f>'[2]Изложницы без бурта'!K767</f>
        <v>0</v>
      </c>
    </row>
    <row r="768" spans="28:39" x14ac:dyDescent="0.25">
      <c r="AB768" s="258" t="str">
        <f t="shared" si="22"/>
        <v/>
      </c>
      <c r="AC768" s="259" t="str">
        <f>IF(COUNTIF(AD$78:AD768,AD768)=1,MAX(AC$78:AC767)+1,"")</f>
        <v/>
      </c>
      <c r="AD768" s="220">
        <f>'[2]Изложницы без бурта'!B768</f>
        <v>260</v>
      </c>
      <c r="AE768" s="220">
        <f>'[2]Изложницы без бурта'!C768</f>
        <v>260</v>
      </c>
      <c r="AF768" s="56">
        <f>'[2]Изложницы без бурта'!D768</f>
        <v>375</v>
      </c>
      <c r="AG768" s="56">
        <f>'[2]Изложницы без бурта'!E768</f>
        <v>450</v>
      </c>
      <c r="AH768" s="56" t="str">
        <f>'[2]Изложницы без бурта'!F768</f>
        <v>72.11872 - 16</v>
      </c>
      <c r="AI768" s="56">
        <f>'[2]Изложницы без бурта'!G768</f>
        <v>0</v>
      </c>
      <c r="AJ768" s="56">
        <f>'[2]Изложницы без бурта'!H768</f>
        <v>0</v>
      </c>
      <c r="AK768" s="56">
        <f>'[2]Изложницы без бурта'!I768</f>
        <v>0</v>
      </c>
      <c r="AL768" s="56" t="s">
        <v>642</v>
      </c>
      <c r="AM768" s="56">
        <f>'[2]Изложницы без бурта'!K768</f>
        <v>0</v>
      </c>
    </row>
    <row r="769" spans="28:39" x14ac:dyDescent="0.25">
      <c r="AB769" s="258" t="str">
        <f t="shared" si="22"/>
        <v/>
      </c>
      <c r="AC769" s="259" t="str">
        <f>IF(COUNTIF(AD$78:AD769,AD769)=1,MAX(AC$78:AC768)+1,"")</f>
        <v/>
      </c>
      <c r="AD769" s="220">
        <f>'[2]Изложницы без бурта'!B769</f>
        <v>260</v>
      </c>
      <c r="AE769" s="220">
        <f>'[2]Изложницы без бурта'!C769</f>
        <v>318</v>
      </c>
      <c r="AF769" s="56">
        <f>'[2]Изложницы без бурта'!D769</f>
        <v>360</v>
      </c>
      <c r="AG769" s="56">
        <f>'[2]Изложницы без бурта'!E769</f>
        <v>450</v>
      </c>
      <c r="AH769" s="56" t="str">
        <f>'[2]Изложницы без бурта'!F769</f>
        <v>72.11873 - 16</v>
      </c>
      <c r="AI769" s="56">
        <f>'[2]Изложницы без бурта'!G769</f>
        <v>0</v>
      </c>
      <c r="AJ769" s="56">
        <f>'[2]Изложницы без бурта'!H769</f>
        <v>0</v>
      </c>
      <c r="AK769" s="56">
        <f>'[2]Изложницы без бурта'!I769</f>
        <v>0</v>
      </c>
      <c r="AL769" s="56" t="s">
        <v>642</v>
      </c>
      <c r="AM769" s="56">
        <f>'[2]Изложницы без бурта'!K769</f>
        <v>0</v>
      </c>
    </row>
    <row r="770" spans="28:39" x14ac:dyDescent="0.25">
      <c r="AB770" s="258" t="str">
        <f t="shared" si="22"/>
        <v/>
      </c>
      <c r="AC770" s="259" t="str">
        <f>IF(COUNTIF(AD$78:AD770,AD770)=1,MAX(AC$78:AC769)+1,"")</f>
        <v/>
      </c>
      <c r="AD770" s="220">
        <f>'[2]Изложницы без бурта'!B770</f>
        <v>260</v>
      </c>
      <c r="AE770" s="220">
        <f>'[2]Изложницы без бурта'!C770</f>
        <v>495</v>
      </c>
      <c r="AF770" s="56">
        <f>'[2]Изложницы без бурта'!D770</f>
        <v>360</v>
      </c>
      <c r="AG770" s="56">
        <f>'[2]Изложницы без бурта'!E770</f>
        <v>400</v>
      </c>
      <c r="AH770" s="56" t="str">
        <f>'[2]Изложницы без бурта'!F770</f>
        <v>72.23398 - 16</v>
      </c>
      <c r="AI770" s="56">
        <f>'[2]Изложницы без бурта'!G770</f>
        <v>0</v>
      </c>
      <c r="AJ770" s="56">
        <f>'[2]Изложницы без бурта'!H770</f>
        <v>0</v>
      </c>
      <c r="AK770" s="56">
        <f>'[2]Изложницы без бурта'!I770</f>
        <v>0</v>
      </c>
      <c r="AL770" s="56" t="s">
        <v>642</v>
      </c>
      <c r="AM770" s="56">
        <f>'[2]Изложницы без бурта'!K770</f>
        <v>0</v>
      </c>
    </row>
    <row r="771" spans="28:39" x14ac:dyDescent="0.25">
      <c r="AB771" s="258" t="str">
        <f t="shared" si="22"/>
        <v/>
      </c>
      <c r="AC771" s="259" t="str">
        <f>IF(COUNTIF(AD$78:AD771,AD771)=1,MAX(AC$78:AC770)+1,"")</f>
        <v/>
      </c>
      <c r="AD771" s="220">
        <f>'[2]Изложницы без бурта'!B771</f>
        <v>260</v>
      </c>
      <c r="AE771" s="220">
        <f>'[2]Изложницы без бурта'!C771</f>
        <v>257</v>
      </c>
      <c r="AF771" s="56">
        <f>'[2]Изложницы без бурта'!D771</f>
        <v>360</v>
      </c>
      <c r="AG771" s="56">
        <f>'[2]Изложницы без бурта'!E771</f>
        <v>450</v>
      </c>
      <c r="AH771" s="56" t="str">
        <f>'[2]Изложницы без бурта'!F771</f>
        <v>72.11872 - 16</v>
      </c>
      <c r="AI771" s="56">
        <f>'[2]Изложницы без бурта'!G771</f>
        <v>0</v>
      </c>
      <c r="AJ771" s="56">
        <f>'[2]Изложницы без бурта'!H771</f>
        <v>0</v>
      </c>
      <c r="AK771" s="56">
        <f>'[2]Изложницы без бурта'!I771</f>
        <v>0</v>
      </c>
      <c r="AL771" s="56" t="s">
        <v>642</v>
      </c>
      <c r="AM771" s="56">
        <f>'[2]Изложницы без бурта'!K771</f>
        <v>0</v>
      </c>
    </row>
    <row r="772" spans="28:39" x14ac:dyDescent="0.25">
      <c r="AB772" s="258" t="str">
        <f t="shared" si="22"/>
        <v/>
      </c>
      <c r="AC772" s="259" t="str">
        <f>IF(COUNTIF(AD$78:AD772,AD772)=1,MAX(AC$78:AC771)+1,"")</f>
        <v/>
      </c>
      <c r="AD772" s="220">
        <f>'[2]Изложницы без бурта'!B772</f>
        <v>260</v>
      </c>
      <c r="AE772" s="220">
        <f>'[2]Изложницы без бурта'!C772</f>
        <v>320</v>
      </c>
      <c r="AF772" s="56">
        <f>'[2]Изложницы без бурта'!D772</f>
        <v>375</v>
      </c>
      <c r="AG772" s="56">
        <f>'[2]Изложницы без бурта'!E772</f>
        <v>450</v>
      </c>
      <c r="AH772" s="56" t="str">
        <f>'[2]Изложницы без бурта'!F772</f>
        <v>72.11873 - 16</v>
      </c>
      <c r="AI772" s="56">
        <f>'[2]Изложницы без бурта'!G772</f>
        <v>0</v>
      </c>
      <c r="AJ772" s="56">
        <f>'[2]Изложницы без бурта'!H772</f>
        <v>0</v>
      </c>
      <c r="AK772" s="56">
        <f>'[2]Изложницы без бурта'!I772</f>
        <v>0</v>
      </c>
      <c r="AL772" s="56" t="s">
        <v>642</v>
      </c>
      <c r="AM772" s="56">
        <f>'[2]Изложницы без бурта'!K772</f>
        <v>0</v>
      </c>
    </row>
    <row r="773" spans="28:39" x14ac:dyDescent="0.25">
      <c r="AB773" s="258" t="str">
        <f t="shared" si="22"/>
        <v/>
      </c>
      <c r="AC773" s="259" t="str">
        <f>IF(COUNTIF(AD$78:AD773,AD773)=1,MAX(AC$78:AC772)+1,"")</f>
        <v/>
      </c>
      <c r="AD773" s="220">
        <f>'[2]Изложницы без бурта'!B773</f>
        <v>260</v>
      </c>
      <c r="AE773" s="220">
        <f>'[2]Изложницы без бурта'!C773</f>
        <v>380</v>
      </c>
      <c r="AF773" s="56">
        <f>'[2]Изложницы без бурта'!D773</f>
        <v>360</v>
      </c>
      <c r="AG773" s="56">
        <f>'[2]Изложницы без бурта'!E773</f>
        <v>450</v>
      </c>
      <c r="AH773" s="56" t="str">
        <f>'[2]Изложницы без бурта'!F773</f>
        <v>72.11874 - 16</v>
      </c>
      <c r="AI773" s="56">
        <f>'[2]Изложницы без бурта'!G773</f>
        <v>0</v>
      </c>
      <c r="AJ773" s="56">
        <f>'[2]Изложницы без бурта'!H773</f>
        <v>0</v>
      </c>
      <c r="AK773" s="56">
        <f>'[2]Изложницы без бурта'!I773</f>
        <v>0</v>
      </c>
      <c r="AL773" s="56" t="s">
        <v>642</v>
      </c>
      <c r="AM773" s="56">
        <f>'[2]Изложницы без бурта'!K773</f>
        <v>0</v>
      </c>
    </row>
    <row r="774" spans="28:39" x14ac:dyDescent="0.25">
      <c r="AB774" s="258" t="str">
        <f t="shared" si="22"/>
        <v/>
      </c>
      <c r="AC774" s="259" t="str">
        <f>IF(COUNTIF(AD$78:AD774,AD774)=1,MAX(AC$78:AC773)+1,"")</f>
        <v/>
      </c>
      <c r="AD774" s="220">
        <f>'[2]Изложницы без бурта'!B774</f>
        <v>260</v>
      </c>
      <c r="AE774" s="220">
        <f>'[2]Изложницы без бурта'!C774</f>
        <v>260</v>
      </c>
      <c r="AF774" s="56">
        <f>'[2]Изложницы без бурта'!D774</f>
        <v>360</v>
      </c>
      <c r="AG774" s="56">
        <f>'[2]Изложницы без бурта'!E774</f>
        <v>450</v>
      </c>
      <c r="AH774" s="56" t="str">
        <f>'[2]Изложницы без бурта'!F774</f>
        <v>72.11872 - 16</v>
      </c>
      <c r="AI774" s="56">
        <f>'[2]Изложницы без бурта'!G774</f>
        <v>0</v>
      </c>
      <c r="AJ774" s="56">
        <f>'[2]Изложницы без бурта'!H774</f>
        <v>0</v>
      </c>
      <c r="AK774" s="56">
        <f>'[2]Изложницы без бурта'!I774</f>
        <v>0</v>
      </c>
      <c r="AL774" s="56" t="s">
        <v>642</v>
      </c>
      <c r="AM774" s="56">
        <f>'[2]Изложницы без бурта'!K774</f>
        <v>0</v>
      </c>
    </row>
    <row r="775" spans="28:39" x14ac:dyDescent="0.25">
      <c r="AB775" s="258" t="str">
        <f t="shared" si="22"/>
        <v/>
      </c>
      <c r="AC775" s="259">
        <f>IF(COUNTIF(AD$78:AD775,AD775)=1,MAX(AC$78:AC774)+1,"")</f>
        <v>70</v>
      </c>
      <c r="AD775" s="220">
        <f>'[2]Изложницы без бурта'!B775</f>
        <v>262.5</v>
      </c>
      <c r="AE775" s="220">
        <f>'[2]Изложницы без бурта'!C775</f>
        <v>377</v>
      </c>
      <c r="AF775" s="56">
        <f>'[2]Изложницы без бурта'!D775</f>
        <v>360</v>
      </c>
      <c r="AG775" s="56">
        <f>'[2]Изложницы без бурта'!E775</f>
        <v>450</v>
      </c>
      <c r="AH775" s="56" t="str">
        <f>'[2]Изложницы без бурта'!F775</f>
        <v>72.11874 - 17</v>
      </c>
      <c r="AI775" s="56">
        <f>'[2]Изложницы без бурта'!G775</f>
        <v>0</v>
      </c>
      <c r="AJ775" s="56">
        <f>'[2]Изложницы без бурта'!H775</f>
        <v>0</v>
      </c>
      <c r="AK775" s="56">
        <f>'[2]Изложницы без бурта'!I775</f>
        <v>0</v>
      </c>
      <c r="AL775" s="56" t="s">
        <v>643</v>
      </c>
      <c r="AM775" s="56">
        <f>'[2]Изложницы без бурта'!K775</f>
        <v>0</v>
      </c>
    </row>
    <row r="776" spans="28:39" x14ac:dyDescent="0.25">
      <c r="AB776" s="258" t="str">
        <f t="shared" si="22"/>
        <v/>
      </c>
      <c r="AC776" s="259" t="str">
        <f>IF(COUNTIF(AD$78:AD776,AD776)=1,MAX(AC$78:AC775)+1,"")</f>
        <v/>
      </c>
      <c r="AD776" s="220">
        <f>'[2]Изложницы без бурта'!B776</f>
        <v>262.5</v>
      </c>
      <c r="AE776" s="220">
        <f>'[2]Изложницы без бурта'!C776</f>
        <v>377</v>
      </c>
      <c r="AF776" s="56">
        <f>'[2]Изложницы без бурта'!D776</f>
        <v>360</v>
      </c>
      <c r="AG776" s="56">
        <f>'[2]Изложницы без бурта'!E776</f>
        <v>450</v>
      </c>
      <c r="AH776" s="56" t="str">
        <f>'[2]Изложницы без бурта'!F776</f>
        <v>72.11874 - 17</v>
      </c>
      <c r="AI776" s="56">
        <f>'[2]Изложницы без бурта'!G776</f>
        <v>0</v>
      </c>
      <c r="AJ776" s="56">
        <f>'[2]Изложницы без бурта'!H776</f>
        <v>0</v>
      </c>
      <c r="AK776" s="56">
        <f>'[2]Изложницы без бурта'!I776</f>
        <v>0</v>
      </c>
      <c r="AL776" s="56" t="s">
        <v>643</v>
      </c>
      <c r="AM776" s="56">
        <f>'[2]Изложницы без бурта'!K776</f>
        <v>0</v>
      </c>
    </row>
    <row r="777" spans="28:39" x14ac:dyDescent="0.25">
      <c r="AB777" s="258" t="str">
        <f t="shared" si="22"/>
        <v/>
      </c>
      <c r="AC777" s="259" t="str">
        <f>IF(COUNTIF(AD$78:AD777,AD777)=1,MAX(AC$78:AC776)+1,"")</f>
        <v/>
      </c>
      <c r="AD777" s="220">
        <f>'[2]Изложницы без бурта'!B777</f>
        <v>262.5</v>
      </c>
      <c r="AE777" s="220">
        <f>'[2]Изложницы без бурта'!C777</f>
        <v>260</v>
      </c>
      <c r="AF777" s="56">
        <f>'[2]Изложницы без бурта'!D777</f>
        <v>360</v>
      </c>
      <c r="AG777" s="56">
        <f>'[2]Изложницы без бурта'!E777</f>
        <v>450</v>
      </c>
      <c r="AH777" s="56" t="str">
        <f>'[2]Изложницы без бурта'!F777</f>
        <v>72.11872 - 17</v>
      </c>
      <c r="AI777" s="56">
        <f>'[2]Изложницы без бурта'!G777</f>
        <v>0</v>
      </c>
      <c r="AJ777" s="56">
        <f>'[2]Изложницы без бурта'!H777</f>
        <v>0</v>
      </c>
      <c r="AK777" s="56">
        <f>'[2]Изложницы без бурта'!I777</f>
        <v>0</v>
      </c>
      <c r="AL777" s="56" t="s">
        <v>643</v>
      </c>
      <c r="AM777" s="56">
        <f>'[2]Изложницы без бурта'!K777</f>
        <v>0</v>
      </c>
    </row>
    <row r="778" spans="28:39" x14ac:dyDescent="0.25">
      <c r="AB778" s="258" t="str">
        <f t="shared" si="22"/>
        <v/>
      </c>
      <c r="AC778" s="259" t="str">
        <f>IF(COUNTIF(AD$78:AD778,AD778)=1,MAX(AC$78:AC777)+1,"")</f>
        <v/>
      </c>
      <c r="AD778" s="220">
        <f>'[2]Изложницы без бурта'!B778</f>
        <v>262.5</v>
      </c>
      <c r="AE778" s="220">
        <f>'[2]Изложницы без бурта'!C778</f>
        <v>213</v>
      </c>
      <c r="AF778" s="56">
        <f>'[2]Изложницы без бурта'!D778</f>
        <v>375</v>
      </c>
      <c r="AG778" s="56">
        <f>'[2]Изложницы без бурта'!E778</f>
        <v>450</v>
      </c>
      <c r="AH778" s="56" t="str">
        <f>'[2]Изложницы без бурта'!F778</f>
        <v>10.246092 - 1</v>
      </c>
      <c r="AI778" s="56">
        <f>'[2]Изложницы без бурта'!G778</f>
        <v>7260039</v>
      </c>
      <c r="AJ778" s="56">
        <f>'[2]Изложницы без бурта'!H778</f>
        <v>0</v>
      </c>
      <c r="AK778" s="56">
        <f>'[2]Изложницы без бурта'!I778</f>
        <v>0</v>
      </c>
      <c r="AL778" s="56" t="s">
        <v>643</v>
      </c>
      <c r="AM778" s="56">
        <f>'[2]Изложницы без бурта'!K778</f>
        <v>0</v>
      </c>
    </row>
    <row r="779" spans="28:39" x14ac:dyDescent="0.25">
      <c r="AB779" s="258" t="str">
        <f t="shared" si="22"/>
        <v/>
      </c>
      <c r="AC779" s="259">
        <f>IF(COUNTIF(AD$78:AD779,AD779)=1,MAX(AC$78:AC778)+1,"")</f>
        <v>71</v>
      </c>
      <c r="AD779" s="220">
        <f>'[2]Изложницы без бурта'!B779</f>
        <v>265</v>
      </c>
      <c r="AE779" s="220">
        <f>'[2]Изложницы без бурта'!C779</f>
        <v>215</v>
      </c>
      <c r="AF779" s="56">
        <f>'[2]Изложницы без бурта'!D779</f>
        <v>375</v>
      </c>
      <c r="AG779" s="56">
        <f>'[2]Изложницы без бурта'!E779</f>
        <v>450</v>
      </c>
      <c r="AH779" s="56" t="str">
        <f>'[2]Изложницы без бурта'!F779</f>
        <v>10.246092 - 2</v>
      </c>
      <c r="AI779" s="56">
        <f>'[2]Изложницы без бурта'!G779</f>
        <v>0</v>
      </c>
      <c r="AJ779" s="56">
        <f>'[2]Изложницы без бурта'!H779</f>
        <v>0</v>
      </c>
      <c r="AK779" s="56">
        <f>'[2]Изложницы без бурта'!I779</f>
        <v>0</v>
      </c>
      <c r="AL779" s="56" t="s">
        <v>644</v>
      </c>
      <c r="AM779" s="56">
        <f>'[2]Изложницы без бурта'!K779</f>
        <v>0</v>
      </c>
    </row>
    <row r="780" spans="28:39" x14ac:dyDescent="0.25">
      <c r="AB780" s="258" t="str">
        <f t="shared" si="22"/>
        <v/>
      </c>
      <c r="AC780" s="259" t="str">
        <f>IF(COUNTIF(AD$78:AD780,AD780)=1,MAX(AC$78:AC779)+1,"")</f>
        <v/>
      </c>
      <c r="AD780" s="220">
        <f>'[2]Изложницы без бурта'!B780</f>
        <v>265</v>
      </c>
      <c r="AE780" s="220">
        <f>'[2]Изложницы без бурта'!C780</f>
        <v>215</v>
      </c>
      <c r="AF780" s="56">
        <f>'[2]Изложницы без бурта'!D780</f>
        <v>375</v>
      </c>
      <c r="AG780" s="56">
        <f>'[2]Изложницы без бурта'!E780</f>
        <v>450</v>
      </c>
      <c r="AH780" s="56" t="str">
        <f>'[2]Изложницы без бурта'!F780</f>
        <v>10.246092 - 2</v>
      </c>
      <c r="AI780" s="56">
        <f>'[2]Изложницы без бурта'!G780</f>
        <v>0</v>
      </c>
      <c r="AJ780" s="56">
        <f>'[2]Изложницы без бурта'!H780</f>
        <v>0</v>
      </c>
      <c r="AK780" s="56">
        <f>'[2]Изложницы без бурта'!I780</f>
        <v>0</v>
      </c>
      <c r="AL780" s="56" t="s">
        <v>644</v>
      </c>
      <c r="AM780" s="56">
        <f>'[2]Изложницы без бурта'!K780</f>
        <v>0</v>
      </c>
    </row>
    <row r="781" spans="28:39" x14ac:dyDescent="0.25">
      <c r="AB781" s="258" t="str">
        <f t="shared" si="22"/>
        <v/>
      </c>
      <c r="AC781" s="259" t="str">
        <f>IF(COUNTIF(AD$78:AD781,AD781)=1,MAX(AC$78:AC780)+1,"")</f>
        <v/>
      </c>
      <c r="AD781" s="220">
        <f>'[2]Изложницы без бурта'!B781</f>
        <v>265</v>
      </c>
      <c r="AE781" s="220">
        <f>'[2]Изложницы без бурта'!C781</f>
        <v>378</v>
      </c>
      <c r="AF781" s="56">
        <f>'[2]Изложницы без бурта'!D781</f>
        <v>360</v>
      </c>
      <c r="AG781" s="56">
        <f>'[2]Изложницы без бурта'!E781</f>
        <v>450</v>
      </c>
      <c r="AH781" s="56" t="str">
        <f>'[2]Изложницы без бурта'!F781</f>
        <v>72.11874 - 18</v>
      </c>
      <c r="AI781" s="56">
        <f>'[2]Изложницы без бурта'!G781</f>
        <v>0</v>
      </c>
      <c r="AJ781" s="56">
        <f>'[2]Изложницы без бурта'!H781</f>
        <v>0</v>
      </c>
      <c r="AK781" s="56">
        <f>'[2]Изложницы без бурта'!I781</f>
        <v>0</v>
      </c>
      <c r="AL781" s="56" t="s">
        <v>644</v>
      </c>
      <c r="AM781" s="56">
        <f>'[2]Изложницы без бурта'!K781</f>
        <v>0</v>
      </c>
    </row>
    <row r="782" spans="28:39" x14ac:dyDescent="0.25">
      <c r="AB782" s="258" t="str">
        <f t="shared" si="22"/>
        <v/>
      </c>
      <c r="AC782" s="259" t="str">
        <f>IF(COUNTIF(AD$78:AD782,AD782)=1,MAX(AC$78:AC781)+1,"")</f>
        <v/>
      </c>
      <c r="AD782" s="220">
        <f>'[2]Изложницы без бурта'!B782</f>
        <v>265</v>
      </c>
      <c r="AE782" s="220">
        <f>'[2]Изложницы без бурта'!C782</f>
        <v>540</v>
      </c>
      <c r="AF782" s="56">
        <f>'[2]Изложницы без бурта'!D782</f>
        <v>415</v>
      </c>
      <c r="AG782" s="56">
        <f>'[2]Изложницы без бурта'!E782</f>
        <v>400</v>
      </c>
      <c r="AH782" s="56" t="str">
        <f>'[2]Изложницы без бурта'!F782</f>
        <v>10.243375 - 1</v>
      </c>
      <c r="AI782" s="56">
        <f>'[2]Изложницы без бурта'!G782</f>
        <v>0</v>
      </c>
      <c r="AJ782" s="56">
        <f>'[2]Изложницы без бурта'!H782</f>
        <v>0</v>
      </c>
      <c r="AK782" s="56">
        <f>'[2]Изложницы без бурта'!I782</f>
        <v>0</v>
      </c>
      <c r="AL782" s="56" t="s">
        <v>644</v>
      </c>
      <c r="AM782" s="56">
        <f>'[2]Изложницы без бурта'!K782</f>
        <v>0</v>
      </c>
    </row>
    <row r="783" spans="28:39" x14ac:dyDescent="0.25">
      <c r="AB783" s="258" t="str">
        <f t="shared" si="22"/>
        <v/>
      </c>
      <c r="AC783" s="259">
        <f>IF(COUNTIF(AD$78:AD783,AD783)=1,MAX(AC$78:AC782)+1,"")</f>
        <v>72</v>
      </c>
      <c r="AD783" s="220">
        <f>'[2]Изложницы без бурта'!B783</f>
        <v>267.5</v>
      </c>
      <c r="AE783" s="220">
        <f>'[2]Изложницы без бурта'!C783</f>
        <v>318</v>
      </c>
      <c r="AF783" s="56">
        <f>'[2]Изложницы без бурта'!D783</f>
        <v>375</v>
      </c>
      <c r="AG783" s="56">
        <f>'[2]Изложницы без бурта'!E783</f>
        <v>450</v>
      </c>
      <c r="AH783" s="56" t="str">
        <f>'[2]Изложницы без бурта'!F783</f>
        <v>72.11873 - 19</v>
      </c>
      <c r="AI783" s="56">
        <f>'[2]Изложницы без бурта'!G783</f>
        <v>0</v>
      </c>
      <c r="AJ783" s="56">
        <f>'[2]Изложницы без бурта'!H783</f>
        <v>0</v>
      </c>
      <c r="AK783" s="56">
        <f>'[2]Изложницы без бурта'!I783</f>
        <v>0</v>
      </c>
      <c r="AL783" s="56" t="s">
        <v>645</v>
      </c>
      <c r="AM783" s="56">
        <f>'[2]Изложницы без бурта'!K783</f>
        <v>0</v>
      </c>
    </row>
    <row r="784" spans="28:39" x14ac:dyDescent="0.25">
      <c r="AB784" s="258" t="str">
        <f t="shared" si="22"/>
        <v/>
      </c>
      <c r="AC784" s="259" t="str">
        <f>IF(COUNTIF(AD$78:AD784,AD784)=1,MAX(AC$78:AC783)+1,"")</f>
        <v/>
      </c>
      <c r="AD784" s="220">
        <f>'[2]Изложницы без бурта'!B784</f>
        <v>267.5</v>
      </c>
      <c r="AE784" s="220">
        <f>'[2]Изложницы без бурта'!C784</f>
        <v>500</v>
      </c>
      <c r="AF784" s="56">
        <f>'[2]Изложницы без бурта'!D784</f>
        <v>360</v>
      </c>
      <c r="AG784" s="56">
        <f>'[2]Изложницы без бурта'!E784</f>
        <v>400</v>
      </c>
      <c r="AH784" s="56" t="str">
        <f>'[2]Изложницы без бурта'!F784</f>
        <v>72.23398 - 19</v>
      </c>
      <c r="AI784" s="56">
        <f>'[2]Изложницы без бурта'!G784</f>
        <v>7260040</v>
      </c>
      <c r="AJ784" s="56">
        <f>'[2]Изложницы без бурта'!H784</f>
        <v>0</v>
      </c>
      <c r="AK784" s="56">
        <f>'[2]Изложницы без бурта'!I784</f>
        <v>0</v>
      </c>
      <c r="AL784" s="56" t="s">
        <v>645</v>
      </c>
      <c r="AM784" s="56">
        <f>'[2]Изложницы без бурта'!K784</f>
        <v>0</v>
      </c>
    </row>
    <row r="785" spans="28:39" x14ac:dyDescent="0.25">
      <c r="AB785" s="258" t="str">
        <f t="shared" si="22"/>
        <v/>
      </c>
      <c r="AC785" s="259">
        <f>IF(COUNTIF(AD$78:AD785,AD785)=1,MAX(AC$78:AC784)+1,"")</f>
        <v>73</v>
      </c>
      <c r="AD785" s="220">
        <f>'[2]Изложницы без бурта'!B785</f>
        <v>270</v>
      </c>
      <c r="AE785" s="220">
        <f>'[2]Изложницы без бурта'!C785</f>
        <v>540</v>
      </c>
      <c r="AF785" s="56">
        <f>'[2]Изложницы без бурта'!D785</f>
        <v>415</v>
      </c>
      <c r="AG785" s="56">
        <f>'[2]Изложницы без бурта'!E785</f>
        <v>400</v>
      </c>
      <c r="AH785" s="56" t="str">
        <f>'[2]Изложницы без бурта'!F785</f>
        <v>10.243375 - 3</v>
      </c>
      <c r="AI785" s="56">
        <f>'[2]Изложницы без бурта'!G785</f>
        <v>7260041</v>
      </c>
      <c r="AJ785" s="56">
        <f>'[2]Изложницы без бурта'!H785</f>
        <v>0</v>
      </c>
      <c r="AK785" s="56">
        <f>'[2]Изложницы без бурта'!I785</f>
        <v>0</v>
      </c>
      <c r="AL785" s="56" t="s">
        <v>646</v>
      </c>
      <c r="AM785" s="56">
        <f>'[2]Изложницы без бурта'!K785</f>
        <v>0</v>
      </c>
    </row>
    <row r="786" spans="28:39" x14ac:dyDescent="0.25">
      <c r="AB786" s="258" t="str">
        <f t="shared" si="22"/>
        <v/>
      </c>
      <c r="AC786" s="259" t="str">
        <f>IF(COUNTIF(AD$78:AD786,AD786)=1,MAX(AC$78:AC785)+1,"")</f>
        <v/>
      </c>
      <c r="AD786" s="220">
        <f>'[2]Изложницы без бурта'!B786</f>
        <v>270</v>
      </c>
      <c r="AE786" s="220">
        <f>'[2]Изложницы без бурта'!C786</f>
        <v>315</v>
      </c>
      <c r="AF786" s="56">
        <f>'[2]Изложницы без бурта'!D786</f>
        <v>360</v>
      </c>
      <c r="AG786" s="56">
        <f>'[2]Изложницы без бурта'!E786</f>
        <v>450</v>
      </c>
      <c r="AH786" s="56" t="str">
        <f>'[2]Изложницы без бурта'!F786</f>
        <v>72.11873 - 20</v>
      </c>
      <c r="AI786" s="56">
        <f>'[2]Изложницы без бурта'!G786</f>
        <v>0</v>
      </c>
      <c r="AJ786" s="56">
        <f>'[2]Изложницы без бурта'!H786</f>
        <v>0</v>
      </c>
      <c r="AK786" s="56">
        <f>'[2]Изложницы без бурта'!I786</f>
        <v>0</v>
      </c>
      <c r="AL786" s="56" t="s">
        <v>646</v>
      </c>
      <c r="AM786" s="56">
        <f>'[2]Изложницы без бурта'!K786</f>
        <v>0</v>
      </c>
    </row>
    <row r="787" spans="28:39" x14ac:dyDescent="0.25">
      <c r="AB787" s="258" t="str">
        <f t="shared" si="22"/>
        <v/>
      </c>
      <c r="AC787" s="259" t="str">
        <f>IF(COUNTIF(AD$78:AD787,AD787)=1,MAX(AC$78:AC786)+1,"")</f>
        <v/>
      </c>
      <c r="AD787" s="220">
        <f>'[2]Изложницы без бурта'!B787</f>
        <v>270</v>
      </c>
      <c r="AE787" s="220">
        <f>'[2]Изложницы без бурта'!C787</f>
        <v>318</v>
      </c>
      <c r="AF787" s="56">
        <f>'[2]Изложницы без бурта'!D787</f>
        <v>360</v>
      </c>
      <c r="AG787" s="56">
        <f>'[2]Изложницы без бурта'!E787</f>
        <v>450</v>
      </c>
      <c r="AH787" s="56" t="str">
        <f>'[2]Изложницы без бурта'!F787</f>
        <v>72.11873 - 20</v>
      </c>
      <c r="AI787" s="56">
        <f>'[2]Изложницы без бурта'!G787</f>
        <v>0</v>
      </c>
      <c r="AJ787" s="56">
        <f>'[2]Изложницы без бурта'!H787</f>
        <v>0</v>
      </c>
      <c r="AK787" s="56">
        <f>'[2]Изложницы без бурта'!I787</f>
        <v>0</v>
      </c>
      <c r="AL787" s="56" t="s">
        <v>646</v>
      </c>
      <c r="AM787" s="56">
        <f>'[2]Изложницы без бурта'!K787</f>
        <v>0</v>
      </c>
    </row>
    <row r="788" spans="28:39" x14ac:dyDescent="0.25">
      <c r="AB788" s="258" t="str">
        <f t="shared" si="22"/>
        <v/>
      </c>
      <c r="AC788" s="259" t="str">
        <f>IF(COUNTIF(AD$78:AD788,AD788)=1,MAX(AC$78:AC787)+1,"")</f>
        <v/>
      </c>
      <c r="AD788" s="220">
        <f>'[2]Изложницы без бурта'!B788</f>
        <v>270</v>
      </c>
      <c r="AE788" s="220">
        <f>'[2]Изложницы без бурта'!C788</f>
        <v>260</v>
      </c>
      <c r="AF788" s="56">
        <f>'[2]Изложницы без бурта'!D788</f>
        <v>360</v>
      </c>
      <c r="AG788" s="56">
        <f>'[2]Изложницы без бурта'!E788</f>
        <v>450</v>
      </c>
      <c r="AH788" s="56" t="str">
        <f>'[2]Изложницы без бурта'!F788</f>
        <v>72.11872 - 20</v>
      </c>
      <c r="AI788" s="56">
        <f>'[2]Изложницы без бурта'!G788</f>
        <v>0</v>
      </c>
      <c r="AJ788" s="56">
        <f>'[2]Изложницы без бурта'!H788</f>
        <v>0</v>
      </c>
      <c r="AK788" s="56">
        <f>'[2]Изложницы без бурта'!I788</f>
        <v>0</v>
      </c>
      <c r="AL788" s="56" t="s">
        <v>646</v>
      </c>
      <c r="AM788" s="56">
        <f>'[2]Изложницы без бурта'!K788</f>
        <v>0</v>
      </c>
    </row>
    <row r="789" spans="28:39" x14ac:dyDescent="0.25">
      <c r="AB789" s="258" t="str">
        <f t="shared" si="22"/>
        <v/>
      </c>
      <c r="AC789" s="259">
        <f>IF(COUNTIF(AD$78:AD789,AD789)=1,MAX(AC$78:AC788)+1,"")</f>
        <v>74</v>
      </c>
      <c r="AD789" s="220">
        <f>'[2]Изложницы без бурта'!B789</f>
        <v>275</v>
      </c>
      <c r="AE789" s="220">
        <f>'[2]Изложницы без бурта'!C789</f>
        <v>320</v>
      </c>
      <c r="AF789" s="56">
        <f>'[2]Изложницы без бурта'!D789</f>
        <v>360</v>
      </c>
      <c r="AG789" s="56">
        <f>'[2]Изложницы без бурта'!E789</f>
        <v>450</v>
      </c>
      <c r="AH789" s="56" t="str">
        <f>'[2]Изложницы без бурта'!F789</f>
        <v>72.11873 - 22</v>
      </c>
      <c r="AI789" s="56">
        <f>'[2]Изложницы без бурта'!G789</f>
        <v>0</v>
      </c>
      <c r="AJ789" s="56">
        <f>'[2]Изложницы без бурта'!H789</f>
        <v>0</v>
      </c>
      <c r="AK789" s="56">
        <f>'[2]Изложницы без бурта'!I789</f>
        <v>0</v>
      </c>
      <c r="AL789" s="56" t="s">
        <v>647</v>
      </c>
      <c r="AM789" s="56">
        <f>'[2]Изложницы без бурта'!K789</f>
        <v>0</v>
      </c>
    </row>
    <row r="790" spans="28:39" x14ac:dyDescent="0.25">
      <c r="AB790" s="258" t="str">
        <f t="shared" si="22"/>
        <v/>
      </c>
      <c r="AC790" s="259" t="str">
        <f>IF(COUNTIF(AD$78:AD790,AD790)=1,MAX(AC$78:AC789)+1,"")</f>
        <v/>
      </c>
      <c r="AD790" s="220">
        <f>'[2]Изложницы без бурта'!B790</f>
        <v>275</v>
      </c>
      <c r="AE790" s="220">
        <f>'[2]Изложницы без бурта'!C790</f>
        <v>380</v>
      </c>
      <c r="AF790" s="56">
        <f>'[2]Изложницы без бурта'!D790</f>
        <v>360</v>
      </c>
      <c r="AG790" s="56">
        <f>'[2]Изложницы без бурта'!E790</f>
        <v>450</v>
      </c>
      <c r="AH790" s="56" t="str">
        <f>'[2]Изложницы без бурта'!F790</f>
        <v>72.11873 - 22</v>
      </c>
      <c r="AI790" s="56">
        <f>'[2]Изложницы без бурта'!G790</f>
        <v>0</v>
      </c>
      <c r="AJ790" s="56">
        <f>'[2]Изложницы без бурта'!H790</f>
        <v>0</v>
      </c>
      <c r="AK790" s="56">
        <f>'[2]Изложницы без бурта'!I790</f>
        <v>0</v>
      </c>
      <c r="AL790" s="56" t="s">
        <v>647</v>
      </c>
      <c r="AM790" s="56">
        <f>'[2]Изложницы без бурта'!K790</f>
        <v>0</v>
      </c>
    </row>
    <row r="791" spans="28:39" x14ac:dyDescent="0.25">
      <c r="AB791" s="258" t="str">
        <f t="shared" si="22"/>
        <v/>
      </c>
      <c r="AC791" s="259" t="str">
        <f>IF(COUNTIF(AD$78:AD791,AD791)=1,MAX(AC$78:AC790)+1,"")</f>
        <v/>
      </c>
      <c r="AD791" s="220">
        <f>'[2]Изложницы без бурта'!B791</f>
        <v>275</v>
      </c>
      <c r="AE791" s="220">
        <f>'[2]Изложницы без бурта'!C791</f>
        <v>258</v>
      </c>
      <c r="AF791" s="56">
        <f>'[2]Изложницы без бурта'!D791</f>
        <v>375</v>
      </c>
      <c r="AG791" s="56">
        <f>'[2]Изложницы без бурта'!E791</f>
        <v>450</v>
      </c>
      <c r="AH791" s="56" t="str">
        <f>'[2]Изложницы без бурта'!F791</f>
        <v>72.11872 - 22</v>
      </c>
      <c r="AI791" s="56">
        <f>'[2]Изложницы без бурта'!G791</f>
        <v>0</v>
      </c>
      <c r="AJ791" s="56">
        <f>'[2]Изложницы без бурта'!H791</f>
        <v>0</v>
      </c>
      <c r="AK791" s="56">
        <f>'[2]Изложницы без бурта'!I791</f>
        <v>0</v>
      </c>
      <c r="AL791" s="56" t="s">
        <v>647</v>
      </c>
      <c r="AM791" s="56">
        <f>'[2]Изложницы без бурта'!K791</f>
        <v>0</v>
      </c>
    </row>
    <row r="792" spans="28:39" x14ac:dyDescent="0.25">
      <c r="AB792" s="258" t="str">
        <f t="shared" si="22"/>
        <v/>
      </c>
      <c r="AC792" s="259" t="str">
        <f>IF(COUNTIF(AD$78:AD792,AD792)=1,MAX(AC$78:AC791)+1,"")</f>
        <v/>
      </c>
      <c r="AD792" s="220">
        <f>'[2]Изложницы без бурта'!B792</f>
        <v>275</v>
      </c>
      <c r="AE792" s="220">
        <f>'[2]Изложницы без бурта'!C792</f>
        <v>260</v>
      </c>
      <c r="AF792" s="56">
        <f>'[2]Изложницы без бурта'!D792</f>
        <v>375</v>
      </c>
      <c r="AG792" s="56">
        <f>'[2]Изложницы без бурта'!E792</f>
        <v>450</v>
      </c>
      <c r="AH792" s="56" t="str">
        <f>'[2]Изложницы без бурта'!F792</f>
        <v>72.11872 - 22</v>
      </c>
      <c r="AI792" s="56">
        <f>'[2]Изложницы без бурта'!G792</f>
        <v>0</v>
      </c>
      <c r="AJ792" s="56">
        <f>'[2]Изложницы без бурта'!H792</f>
        <v>0</v>
      </c>
      <c r="AK792" s="56">
        <f>'[2]Изложницы без бурта'!I792</f>
        <v>0</v>
      </c>
      <c r="AL792" s="56" t="s">
        <v>648</v>
      </c>
      <c r="AM792" s="56">
        <f>'[2]Изложницы без бурта'!K792</f>
        <v>0</v>
      </c>
    </row>
    <row r="793" spans="28:39" x14ac:dyDescent="0.25">
      <c r="AB793" s="258" t="str">
        <f t="shared" si="22"/>
        <v/>
      </c>
      <c r="AC793" s="259" t="str">
        <f>IF(COUNTIF(AD$78:AD793,AD793)=1,MAX(AC$78:AC792)+1,"")</f>
        <v/>
      </c>
      <c r="AD793" s="220">
        <f>'[2]Изложницы без бурта'!B793</f>
        <v>275</v>
      </c>
      <c r="AE793" s="220">
        <f>'[2]Изложницы без бурта'!C793</f>
        <v>257</v>
      </c>
      <c r="AF793" s="56">
        <f>'[2]Изложницы без бурта'!D793</f>
        <v>360</v>
      </c>
      <c r="AG793" s="56">
        <f>'[2]Изложницы без бурта'!E793</f>
        <v>450</v>
      </c>
      <c r="AH793" s="56" t="str">
        <f>'[2]Изложницы без бурта'!F793</f>
        <v>72.11872 - 22</v>
      </c>
      <c r="AI793" s="56">
        <f>'[2]Изложницы без бурта'!G793</f>
        <v>0</v>
      </c>
      <c r="AJ793" s="56">
        <f>'[2]Изложницы без бурта'!H793</f>
        <v>0</v>
      </c>
      <c r="AK793" s="56">
        <f>'[2]Изложницы без бурта'!I793</f>
        <v>0</v>
      </c>
      <c r="AL793" s="56" t="s">
        <v>648</v>
      </c>
      <c r="AM793" s="56">
        <f>'[2]Изложницы без бурта'!K793</f>
        <v>0</v>
      </c>
    </row>
    <row r="794" spans="28:39" x14ac:dyDescent="0.25">
      <c r="AB794" s="258" t="str">
        <f t="shared" si="22"/>
        <v/>
      </c>
      <c r="AC794" s="259" t="str">
        <f>IF(COUNTIF(AD$78:AD794,AD794)=1,MAX(AC$78:AC793)+1,"")</f>
        <v/>
      </c>
      <c r="AD794" s="220">
        <f>'[2]Изложницы без бурта'!B794</f>
        <v>275</v>
      </c>
      <c r="AE794" s="220">
        <f>'[2]Изложницы без бурта'!C794</f>
        <v>260</v>
      </c>
      <c r="AF794" s="56">
        <f>'[2]Изложницы без бурта'!D794</f>
        <v>375</v>
      </c>
      <c r="AG794" s="56">
        <f>'[2]Изложницы без бурта'!E794</f>
        <v>450</v>
      </c>
      <c r="AH794" s="56" t="str">
        <f>'[2]Изложницы без бурта'!F794</f>
        <v>72.11872 - 22</v>
      </c>
      <c r="AI794" s="56">
        <f>'[2]Изложницы без бурта'!G794</f>
        <v>0</v>
      </c>
      <c r="AJ794" s="56">
        <f>'[2]Изложницы без бурта'!H794</f>
        <v>0</v>
      </c>
      <c r="AK794" s="56">
        <f>'[2]Изложницы без бурта'!I794</f>
        <v>0</v>
      </c>
      <c r="AL794" s="56" t="s">
        <v>648</v>
      </c>
      <c r="AM794" s="56">
        <f>'[2]Изложницы без бурта'!K794</f>
        <v>0</v>
      </c>
    </row>
    <row r="795" spans="28:39" x14ac:dyDescent="0.25">
      <c r="AB795" s="258" t="str">
        <f t="shared" si="22"/>
        <v/>
      </c>
      <c r="AC795" s="259" t="str">
        <f>IF(COUNTIF(AD$78:AD795,AD795)=1,MAX(AC$78:AC794)+1,"")</f>
        <v/>
      </c>
      <c r="AD795" s="220">
        <f>'[2]Изложницы без бурта'!B795</f>
        <v>275</v>
      </c>
      <c r="AE795" s="220">
        <f>'[2]Изложницы без бурта'!C795</f>
        <v>213</v>
      </c>
      <c r="AF795" s="56">
        <f>'[2]Изложницы без бурта'!D795</f>
        <v>375</v>
      </c>
      <c r="AG795" s="56">
        <f>'[2]Изложницы без бурта'!E795</f>
        <v>450</v>
      </c>
      <c r="AH795" s="56" t="str">
        <f>'[2]Изложницы без бурта'!F795</f>
        <v>10.246092 - 6</v>
      </c>
      <c r="AI795" s="56">
        <f>'[2]Изложницы без бурта'!G795</f>
        <v>0</v>
      </c>
      <c r="AJ795" s="56">
        <f>'[2]Изложницы без бурта'!H795</f>
        <v>0</v>
      </c>
      <c r="AK795" s="56">
        <f>'[2]Изложницы без бурта'!I795</f>
        <v>0</v>
      </c>
      <c r="AL795" s="56" t="s">
        <v>648</v>
      </c>
      <c r="AM795" s="56">
        <f>'[2]Изложницы без бурта'!K795</f>
        <v>0</v>
      </c>
    </row>
    <row r="796" spans="28:39" x14ac:dyDescent="0.25">
      <c r="AB796" s="258" t="str">
        <f t="shared" si="22"/>
        <v/>
      </c>
      <c r="AC796" s="259" t="str">
        <f>IF(COUNTIF(AD$78:AD796,AD796)=1,MAX(AC$78:AC795)+1,"")</f>
        <v/>
      </c>
      <c r="AD796" s="220">
        <f>'[2]Изложницы без бурта'!B796</f>
        <v>275</v>
      </c>
      <c r="AE796" s="220">
        <f>'[2]Изложницы без бурта'!C796</f>
        <v>317</v>
      </c>
      <c r="AF796" s="56">
        <f>'[2]Изложницы без бурта'!D796</f>
        <v>360</v>
      </c>
      <c r="AG796" s="56">
        <f>'[2]Изложницы без бурта'!E796</f>
        <v>450</v>
      </c>
      <c r="AH796" s="56" t="str">
        <f>'[2]Изложницы без бурта'!F796</f>
        <v>72.11873 - 22</v>
      </c>
      <c r="AI796" s="56">
        <f>'[2]Изложницы без бурта'!G796</f>
        <v>0</v>
      </c>
      <c r="AJ796" s="56">
        <f>'[2]Изложницы без бурта'!H796</f>
        <v>0</v>
      </c>
      <c r="AK796" s="56">
        <f>'[2]Изложницы без бурта'!I796</f>
        <v>0</v>
      </c>
      <c r="AL796" s="56" t="s">
        <v>648</v>
      </c>
      <c r="AM796" s="56">
        <f>'[2]Изложницы без бурта'!K796</f>
        <v>0</v>
      </c>
    </row>
    <row r="797" spans="28:39" x14ac:dyDescent="0.25">
      <c r="AB797" s="258" t="str">
        <f t="shared" si="22"/>
        <v/>
      </c>
      <c r="AC797" s="259" t="str">
        <f>IF(COUNTIF(AD$78:AD797,AD797)=1,MAX(AC$78:AC796)+1,"")</f>
        <v/>
      </c>
      <c r="AD797" s="220">
        <f>'[2]Изложницы без бурта'!B797</f>
        <v>275</v>
      </c>
      <c r="AE797" s="220">
        <f>'[2]Изложницы без бурта'!C797</f>
        <v>495</v>
      </c>
      <c r="AF797" s="56">
        <f>'[2]Изложницы без бурта'!D797</f>
        <v>360</v>
      </c>
      <c r="AG797" s="56">
        <f>'[2]Изложницы без бурта'!E797</f>
        <v>400</v>
      </c>
      <c r="AH797" s="56" t="str">
        <f>'[2]Изложницы без бурта'!F797</f>
        <v>72.23398 - 22</v>
      </c>
      <c r="AI797" s="56">
        <f>'[2]Изложницы без бурта'!G797</f>
        <v>0</v>
      </c>
      <c r="AJ797" s="56">
        <f>'[2]Изложницы без бурта'!H797</f>
        <v>0</v>
      </c>
      <c r="AK797" s="56">
        <f>'[2]Изложницы без бурта'!I797</f>
        <v>0</v>
      </c>
      <c r="AL797" s="56" t="s">
        <v>648</v>
      </c>
      <c r="AM797" s="56">
        <f>'[2]Изложницы без бурта'!K797</f>
        <v>0</v>
      </c>
    </row>
    <row r="798" spans="28:39" x14ac:dyDescent="0.25">
      <c r="AB798" s="258" t="str">
        <f t="shared" si="22"/>
        <v/>
      </c>
      <c r="AC798" s="259" t="str">
        <f>IF(COUNTIF(AD$78:AD798,AD798)=1,MAX(AC$78:AC797)+1,"")</f>
        <v/>
      </c>
      <c r="AD798" s="220">
        <f>'[2]Изложницы без бурта'!B798</f>
        <v>275</v>
      </c>
      <c r="AE798" s="220">
        <f>'[2]Изложницы без бурта'!C798</f>
        <v>260</v>
      </c>
      <c r="AF798" s="56">
        <f>'[2]Изложницы без бурта'!D798</f>
        <v>360</v>
      </c>
      <c r="AG798" s="56">
        <f>'[2]Изложницы без бурта'!E798</f>
        <v>450</v>
      </c>
      <c r="AH798" s="56" t="str">
        <f>'[2]Изложницы без бурта'!F798</f>
        <v>72.11872 - 22</v>
      </c>
      <c r="AI798" s="56">
        <f>'[2]Изложницы без бурта'!G798</f>
        <v>0</v>
      </c>
      <c r="AJ798" s="56">
        <f>'[2]Изложницы без бурта'!H798</f>
        <v>0</v>
      </c>
      <c r="AK798" s="56">
        <f>'[2]Изложницы без бурта'!I798</f>
        <v>0</v>
      </c>
      <c r="AL798" s="56" t="s">
        <v>648</v>
      </c>
      <c r="AM798" s="56">
        <f>'[2]Изложницы без бурта'!K798</f>
        <v>0</v>
      </c>
    </row>
    <row r="799" spans="28:39" x14ac:dyDescent="0.25">
      <c r="AB799" s="258" t="str">
        <f t="shared" si="22"/>
        <v/>
      </c>
      <c r="AC799" s="259" t="str">
        <f>IF(COUNTIF(AD$78:AD799,AD799)=1,MAX(AC$78:AC798)+1,"")</f>
        <v/>
      </c>
      <c r="AD799" s="220">
        <f>'[2]Изложницы без бурта'!B799</f>
        <v>275</v>
      </c>
      <c r="AE799" s="220">
        <f>'[2]Изложницы без бурта'!C799</f>
        <v>260</v>
      </c>
      <c r="AF799" s="56">
        <f>'[2]Изложницы без бурта'!D799</f>
        <v>375</v>
      </c>
      <c r="AG799" s="56">
        <f>'[2]Изложницы без бурта'!E799</f>
        <v>450</v>
      </c>
      <c r="AH799" s="56" t="str">
        <f>'[2]Изложницы без бурта'!F799</f>
        <v>72.11872 - 22</v>
      </c>
      <c r="AI799" s="56">
        <f>'[2]Изложницы без бурта'!G799</f>
        <v>0</v>
      </c>
      <c r="AJ799" s="56">
        <f>'[2]Изложницы без бурта'!H799</f>
        <v>0</v>
      </c>
      <c r="AK799" s="56">
        <f>'[2]Изложницы без бурта'!I799</f>
        <v>0</v>
      </c>
      <c r="AL799" s="56" t="s">
        <v>648</v>
      </c>
      <c r="AM799" s="56">
        <f>'[2]Изложницы без бурта'!K799</f>
        <v>0</v>
      </c>
    </row>
    <row r="800" spans="28:39" x14ac:dyDescent="0.25">
      <c r="AB800" s="258" t="str">
        <f t="shared" si="22"/>
        <v/>
      </c>
      <c r="AC800" s="259" t="str">
        <f>IF(COUNTIF(AD$78:AD800,AD800)=1,MAX(AC$78:AC799)+1,"")</f>
        <v/>
      </c>
      <c r="AD800" s="220">
        <f>'[2]Изложницы без бурта'!B800</f>
        <v>275</v>
      </c>
      <c r="AE800" s="220">
        <f>'[2]Изложницы без бурта'!C800</f>
        <v>375</v>
      </c>
      <c r="AF800" s="56">
        <f>'[2]Изложницы без бурта'!D800</f>
        <v>360</v>
      </c>
      <c r="AG800" s="56">
        <f>'[2]Изложницы без бурта'!E800</f>
        <v>450</v>
      </c>
      <c r="AH800" s="56" t="str">
        <f>'[2]Изложницы без бурта'!F800</f>
        <v>72.11874 - 22</v>
      </c>
      <c r="AI800" s="56">
        <f>'[2]Изложницы без бурта'!G800</f>
        <v>0</v>
      </c>
      <c r="AJ800" s="56">
        <f>'[2]Изложницы без бурта'!H800</f>
        <v>0</v>
      </c>
      <c r="AK800" s="56">
        <f>'[2]Изложницы без бурта'!I800</f>
        <v>0</v>
      </c>
      <c r="AL800" s="56" t="s">
        <v>648</v>
      </c>
      <c r="AM800" s="56">
        <f>'[2]Изложницы без бурта'!K800</f>
        <v>0</v>
      </c>
    </row>
    <row r="801" spans="28:39" x14ac:dyDescent="0.25">
      <c r="AB801" s="258" t="str">
        <f t="shared" si="22"/>
        <v/>
      </c>
      <c r="AC801" s="259">
        <f>IF(COUNTIF(AD$78:AD801,AD801)=1,MAX(AC$78:AC800)+1,"")</f>
        <v>75</v>
      </c>
      <c r="AD801" s="220">
        <f>'[2]Изложницы без бурта'!B801</f>
        <v>277.5</v>
      </c>
      <c r="AE801" s="220">
        <f>'[2]Изложницы без бурта'!C801</f>
        <v>260</v>
      </c>
      <c r="AF801" s="56">
        <f>'[2]Изложницы без бурта'!D801</f>
        <v>375</v>
      </c>
      <c r="AG801" s="56">
        <f>'[2]Изложницы без бурта'!E801</f>
        <v>450</v>
      </c>
      <c r="AH801" s="56" t="str">
        <f>'[2]Изложницы без бурта'!F801</f>
        <v>72.11872 - 23</v>
      </c>
      <c r="AI801" s="56">
        <f>'[2]Изложницы без бурта'!G801</f>
        <v>0</v>
      </c>
      <c r="AJ801" s="56">
        <f>'[2]Изложницы без бурта'!H801</f>
        <v>0</v>
      </c>
      <c r="AK801" s="56">
        <f>'[2]Изложницы без бурта'!I801</f>
        <v>0</v>
      </c>
      <c r="AL801" s="56" t="s">
        <v>648</v>
      </c>
      <c r="AM801" s="56">
        <f>'[2]Изложницы без бурта'!K801</f>
        <v>0</v>
      </c>
    </row>
    <row r="802" spans="28:39" x14ac:dyDescent="0.25">
      <c r="AB802" s="258" t="str">
        <f t="shared" si="22"/>
        <v/>
      </c>
      <c r="AC802" s="259" t="str">
        <f>IF(COUNTIF(AD$78:AD802,AD802)=1,MAX(AC$78:AC801)+1,"")</f>
        <v/>
      </c>
      <c r="AD802" s="220">
        <f>'[2]Изложницы без бурта'!B802</f>
        <v>277.5</v>
      </c>
      <c r="AE802" s="220">
        <f>'[2]Изложницы без бурта'!C802</f>
        <v>260</v>
      </c>
      <c r="AF802" s="56">
        <f>'[2]Изложницы без бурта'!D802</f>
        <v>375</v>
      </c>
      <c r="AG802" s="56">
        <f>'[2]Изложницы без бурта'!E802</f>
        <v>450</v>
      </c>
      <c r="AH802" s="56" t="str">
        <f>'[2]Изложницы без бурта'!F802</f>
        <v>72.11872 - 23</v>
      </c>
      <c r="AI802" s="56">
        <f>'[2]Изложницы без бурта'!G802</f>
        <v>0</v>
      </c>
      <c r="AJ802" s="56">
        <f>'[2]Изложницы без бурта'!H802</f>
        <v>0</v>
      </c>
      <c r="AK802" s="56">
        <f>'[2]Изложницы без бурта'!I802</f>
        <v>0</v>
      </c>
      <c r="AL802" s="56" t="s">
        <v>648</v>
      </c>
      <c r="AM802" s="56">
        <f>'[2]Изложницы без бурта'!K802</f>
        <v>0</v>
      </c>
    </row>
    <row r="803" spans="28:39" x14ac:dyDescent="0.25">
      <c r="AB803" s="258" t="str">
        <f t="shared" si="22"/>
        <v/>
      </c>
      <c r="AC803" s="259" t="str">
        <f>IF(COUNTIF(AD$78:AD803,AD803)=1,MAX(AC$78:AC802)+1,"")</f>
        <v/>
      </c>
      <c r="AD803" s="220">
        <f>'[2]Изложницы без бурта'!B803</f>
        <v>277.5</v>
      </c>
      <c r="AE803" s="220">
        <f>'[2]Изложницы без бурта'!C803</f>
        <v>260</v>
      </c>
      <c r="AF803" s="56">
        <f>'[2]Изложницы без бурта'!D803</f>
        <v>360</v>
      </c>
      <c r="AG803" s="56">
        <f>'[2]Изложницы без бурта'!E803</f>
        <v>450</v>
      </c>
      <c r="AH803" s="56" t="str">
        <f>'[2]Изложницы без бурта'!F803</f>
        <v>72.11872 - 23</v>
      </c>
      <c r="AI803" s="56">
        <f>'[2]Изложницы без бурта'!G803</f>
        <v>0</v>
      </c>
      <c r="AJ803" s="56">
        <f>'[2]Изложницы без бурта'!H803</f>
        <v>0</v>
      </c>
      <c r="AK803" s="56">
        <f>'[2]Изложницы без бурта'!I803</f>
        <v>0</v>
      </c>
      <c r="AL803" s="56" t="s">
        <v>648</v>
      </c>
      <c r="AM803" s="56">
        <f>'[2]Изложницы без бурта'!K803</f>
        <v>0</v>
      </c>
    </row>
    <row r="804" spans="28:39" x14ac:dyDescent="0.25">
      <c r="AB804" s="258" t="str">
        <f t="shared" si="22"/>
        <v/>
      </c>
      <c r="AC804" s="259" t="str">
        <f>IF(COUNTIF(AD$78:AD804,AD804)=1,MAX(AC$78:AC803)+1,"")</f>
        <v/>
      </c>
      <c r="AD804" s="220">
        <f>'[2]Изложницы без бурта'!B804</f>
        <v>277.5</v>
      </c>
      <c r="AE804" s="220">
        <f>'[2]Изложницы без бурта'!C804</f>
        <v>320</v>
      </c>
      <c r="AF804" s="56">
        <f>'[2]Изложницы без бурта'!D804</f>
        <v>360</v>
      </c>
      <c r="AG804" s="56">
        <f>'[2]Изложницы без бурта'!E804</f>
        <v>450</v>
      </c>
      <c r="AH804" s="56" t="str">
        <f>'[2]Изложницы без бурта'!F804</f>
        <v>72.11873 - 23</v>
      </c>
      <c r="AI804" s="56">
        <f>'[2]Изложницы без бурта'!G804</f>
        <v>7260043</v>
      </c>
      <c r="AJ804" s="56">
        <f>'[2]Изложницы без бурта'!H804</f>
        <v>0</v>
      </c>
      <c r="AK804" s="56">
        <f>'[2]Изложницы без бурта'!I804</f>
        <v>0</v>
      </c>
      <c r="AL804" s="56" t="s">
        <v>649</v>
      </c>
      <c r="AM804" s="56">
        <f>'[2]Изложницы без бурта'!K804</f>
        <v>0</v>
      </c>
    </row>
    <row r="805" spans="28:39" x14ac:dyDescent="0.25">
      <c r="AB805" s="258" t="str">
        <f t="shared" si="22"/>
        <v/>
      </c>
      <c r="AC805" s="259">
        <f>IF(COUNTIF(AD$78:AD805,AD805)=1,MAX(AC$78:AC804)+1,"")</f>
        <v>76</v>
      </c>
      <c r="AD805" s="220">
        <f>'[2]Изложницы без бурта'!B805</f>
        <v>280</v>
      </c>
      <c r="AE805" s="220">
        <f>'[2]Изложницы без бурта'!C805</f>
        <v>375</v>
      </c>
      <c r="AF805" s="56">
        <f>'[2]Изложницы без бурта'!D805</f>
        <v>375</v>
      </c>
      <c r="AG805" s="56">
        <f>'[2]Изложницы без бурта'!E805</f>
        <v>450</v>
      </c>
      <c r="AH805" s="56" t="str">
        <f>'[2]Изложницы без бурта'!F805</f>
        <v>72.11874 - 24</v>
      </c>
      <c r="AI805" s="56">
        <f>'[2]Изложницы без бурта'!G805</f>
        <v>0</v>
      </c>
      <c r="AJ805" s="56">
        <f>'[2]Изложницы без бурта'!H805</f>
        <v>0</v>
      </c>
      <c r="AK805" s="56">
        <f>'[2]Изложницы без бурта'!I805</f>
        <v>0</v>
      </c>
      <c r="AL805" s="56" t="s">
        <v>649</v>
      </c>
      <c r="AM805" s="56">
        <f>'[2]Изложницы без бурта'!K805</f>
        <v>0</v>
      </c>
    </row>
    <row r="806" spans="28:39" x14ac:dyDescent="0.25">
      <c r="AB806" s="258" t="str">
        <f t="shared" si="22"/>
        <v/>
      </c>
      <c r="AC806" s="259" t="str">
        <f>IF(COUNTIF(AD$78:AD806,AD806)=1,MAX(AC$78:AC805)+1,"")</f>
        <v/>
      </c>
      <c r="AD806" s="220">
        <f>'[2]Изложницы без бурта'!B806</f>
        <v>280</v>
      </c>
      <c r="AE806" s="220">
        <f>'[2]Изложницы без бурта'!C806</f>
        <v>260</v>
      </c>
      <c r="AF806" s="56">
        <f>'[2]Изложницы без бурта'!D806</f>
        <v>375</v>
      </c>
      <c r="AG806" s="56">
        <f>'[2]Изложницы без бурта'!E806</f>
        <v>450</v>
      </c>
      <c r="AH806" s="56" t="str">
        <f>'[2]Изложницы без бурта'!F806</f>
        <v>72.11872 - 24</v>
      </c>
      <c r="AI806" s="56">
        <f>'[2]Изложницы без бурта'!G806</f>
        <v>0</v>
      </c>
      <c r="AJ806" s="56">
        <f>'[2]Изложницы без бурта'!H806</f>
        <v>0</v>
      </c>
      <c r="AK806" s="56">
        <f>'[2]Изложницы без бурта'!I806</f>
        <v>0</v>
      </c>
      <c r="AL806" s="56" t="s">
        <v>649</v>
      </c>
      <c r="AM806" s="56">
        <f>'[2]Изложницы без бурта'!K806</f>
        <v>0</v>
      </c>
    </row>
    <row r="807" spans="28:39" x14ac:dyDescent="0.25">
      <c r="AB807" s="258" t="str">
        <f t="shared" si="22"/>
        <v/>
      </c>
      <c r="AC807" s="259" t="str">
        <f>IF(COUNTIF(AD$78:AD807,AD807)=1,MAX(AC$78:AC806)+1,"")</f>
        <v/>
      </c>
      <c r="AD807" s="220">
        <f>'[2]Изложницы без бурта'!B807</f>
        <v>280</v>
      </c>
      <c r="AE807" s="220">
        <f>'[2]Изложницы без бурта'!C807</f>
        <v>260</v>
      </c>
      <c r="AF807" s="56">
        <f>'[2]Изложницы без бурта'!D807</f>
        <v>360</v>
      </c>
      <c r="AG807" s="56">
        <f>'[2]Изложницы без бурта'!E807</f>
        <v>450</v>
      </c>
      <c r="AH807" s="56" t="str">
        <f>'[2]Изложницы без бурта'!F807</f>
        <v>72.11872 - 24</v>
      </c>
      <c r="AI807" s="56">
        <f>'[2]Изложницы без бурта'!G807</f>
        <v>0</v>
      </c>
      <c r="AJ807" s="56">
        <f>'[2]Изложницы без бурта'!H807</f>
        <v>0</v>
      </c>
      <c r="AK807" s="56">
        <f>'[2]Изложницы без бурта'!I807</f>
        <v>0</v>
      </c>
      <c r="AL807" s="56" t="s">
        <v>649</v>
      </c>
      <c r="AM807" s="56">
        <f>'[2]Изложницы без бурта'!K807</f>
        <v>0</v>
      </c>
    </row>
    <row r="808" spans="28:39" x14ac:dyDescent="0.25">
      <c r="AB808" s="258" t="str">
        <f t="shared" si="22"/>
        <v/>
      </c>
      <c r="AC808" s="259" t="str">
        <f>IF(COUNTIF(AD$78:AD808,AD808)=1,MAX(AC$78:AC807)+1,"")</f>
        <v/>
      </c>
      <c r="AD808" s="220">
        <f>'[2]Изложницы без бурта'!B808</f>
        <v>280</v>
      </c>
      <c r="AE808" s="220">
        <f>'[2]Изложницы без бурта'!C808</f>
        <v>260</v>
      </c>
      <c r="AF808" s="56">
        <f>'[2]Изложницы без бурта'!D808</f>
        <v>360</v>
      </c>
      <c r="AG808" s="56">
        <f>'[2]Изложницы без бурта'!E808</f>
        <v>450</v>
      </c>
      <c r="AH808" s="56" t="str">
        <f>'[2]Изложницы без бурта'!F808</f>
        <v>72.11872 - 24</v>
      </c>
      <c r="AI808" s="56">
        <f>'[2]Изложницы без бурта'!G808</f>
        <v>0</v>
      </c>
      <c r="AJ808" s="56">
        <f>'[2]Изложницы без бурта'!H808</f>
        <v>0</v>
      </c>
      <c r="AK808" s="56">
        <f>'[2]Изложницы без бурта'!I808</f>
        <v>0</v>
      </c>
      <c r="AL808" s="56" t="s">
        <v>650</v>
      </c>
      <c r="AM808" s="56">
        <f>'[2]Изложницы без бурта'!K808</f>
        <v>0</v>
      </c>
    </row>
    <row r="809" spans="28:39" x14ac:dyDescent="0.25">
      <c r="AB809" s="258" t="str">
        <f t="shared" si="22"/>
        <v/>
      </c>
      <c r="AC809" s="259" t="str">
        <f>IF(COUNTIF(AD$78:AD809,AD809)=1,MAX(AC$78:AC808)+1,"")</f>
        <v/>
      </c>
      <c r="AD809" s="220">
        <f>'[2]Изложницы без бурта'!B809</f>
        <v>280</v>
      </c>
      <c r="AE809" s="220">
        <f>'[2]Изложницы без бурта'!C809</f>
        <v>318</v>
      </c>
      <c r="AF809" s="56">
        <f>'[2]Изложницы без бурта'!D809</f>
        <v>375</v>
      </c>
      <c r="AG809" s="56">
        <f>'[2]Изложницы без бурта'!E809</f>
        <v>450</v>
      </c>
      <c r="AH809" s="56" t="str">
        <f>'[2]Изложницы без бурта'!F809</f>
        <v>72.11873 - 24</v>
      </c>
      <c r="AI809" s="56">
        <f>'[2]Изложницы без бурта'!G809</f>
        <v>0</v>
      </c>
      <c r="AJ809" s="56">
        <f>'[2]Изложницы без бурта'!H809</f>
        <v>0</v>
      </c>
      <c r="AK809" s="56">
        <f>'[2]Изложницы без бурта'!I809</f>
        <v>0</v>
      </c>
      <c r="AL809" s="56" t="s">
        <v>650</v>
      </c>
      <c r="AM809" s="56">
        <f>'[2]Изложницы без бурта'!K809</f>
        <v>0</v>
      </c>
    </row>
    <row r="810" spans="28:39" x14ac:dyDescent="0.25">
      <c r="AB810" s="258" t="str">
        <f t="shared" si="22"/>
        <v/>
      </c>
      <c r="AC810" s="259" t="str">
        <f>IF(COUNTIF(AD$78:AD810,AD810)=1,MAX(AC$78:AC809)+1,"")</f>
        <v/>
      </c>
      <c r="AD810" s="220">
        <f>'[2]Изложницы без бурта'!B810</f>
        <v>280</v>
      </c>
      <c r="AE810" s="220">
        <f>'[2]Изложницы без бурта'!C810</f>
        <v>320</v>
      </c>
      <c r="AF810" s="56">
        <f>'[2]Изложницы без бурта'!D810</f>
        <v>360</v>
      </c>
      <c r="AG810" s="56">
        <f>'[2]Изложницы без бурта'!E810</f>
        <v>450</v>
      </c>
      <c r="AH810" s="56" t="str">
        <f>'[2]Изложницы без бурта'!F810</f>
        <v>72.11873 - 24</v>
      </c>
      <c r="AI810" s="56">
        <f>'[2]Изложницы без бурта'!G810</f>
        <v>0</v>
      </c>
      <c r="AJ810" s="56">
        <f>'[2]Изложницы без бурта'!H810</f>
        <v>0</v>
      </c>
      <c r="AK810" s="56">
        <f>'[2]Изложницы без бурта'!I810</f>
        <v>0</v>
      </c>
      <c r="AL810" s="56" t="s">
        <v>650</v>
      </c>
      <c r="AM810" s="56">
        <f>'[2]Изложницы без бурта'!K810</f>
        <v>0</v>
      </c>
    </row>
    <row r="811" spans="28:39" x14ac:dyDescent="0.25">
      <c r="AB811" s="258" t="str">
        <f t="shared" si="22"/>
        <v/>
      </c>
      <c r="AC811" s="259" t="str">
        <f>IF(COUNTIF(AD$78:AD811,AD811)=1,MAX(AC$78:AC810)+1,"")</f>
        <v/>
      </c>
      <c r="AD811" s="220">
        <f>'[2]Изложницы без бурта'!B811</f>
        <v>280</v>
      </c>
      <c r="AE811" s="220">
        <f>'[2]Изложницы без бурта'!C811</f>
        <v>377</v>
      </c>
      <c r="AF811" s="56">
        <f>'[2]Изложницы без бурта'!D811</f>
        <v>360</v>
      </c>
      <c r="AG811" s="56">
        <f>'[2]Изложницы без бурта'!E811</f>
        <v>450</v>
      </c>
      <c r="AH811" s="56" t="str">
        <f>'[2]Изложницы без бурта'!F811</f>
        <v>72.11874 - 24</v>
      </c>
      <c r="AI811" s="56">
        <f>'[2]Изложницы без бурта'!G811</f>
        <v>0</v>
      </c>
      <c r="AJ811" s="56">
        <f>'[2]Изложницы без бурта'!H811</f>
        <v>0</v>
      </c>
      <c r="AK811" s="56">
        <f>'[2]Изложницы без бурта'!I811</f>
        <v>0</v>
      </c>
      <c r="AL811" s="56" t="s">
        <v>650</v>
      </c>
      <c r="AM811" s="56">
        <f>'[2]Изложницы без бурта'!K811</f>
        <v>0</v>
      </c>
    </row>
    <row r="812" spans="28:39" x14ac:dyDescent="0.25">
      <c r="AB812" s="258" t="str">
        <f t="shared" si="22"/>
        <v/>
      </c>
      <c r="AC812" s="259" t="str">
        <f>IF(COUNTIF(AD$78:AD812,AD812)=1,MAX(AC$78:AC811)+1,"")</f>
        <v/>
      </c>
      <c r="AD812" s="220">
        <f>'[2]Изложницы без бурта'!B812</f>
        <v>280</v>
      </c>
      <c r="AE812" s="220">
        <f>'[2]Изложницы без бурта'!C812</f>
        <v>382</v>
      </c>
      <c r="AF812" s="56">
        <f>'[2]Изложницы без бурта'!D812</f>
        <v>360</v>
      </c>
      <c r="AG812" s="56">
        <f>'[2]Изложницы без бурта'!E812</f>
        <v>450</v>
      </c>
      <c r="AH812" s="56" t="str">
        <f>'[2]Изложницы без бурта'!F812</f>
        <v>72.11874 - 24</v>
      </c>
      <c r="AI812" s="56">
        <f>'[2]Изложницы без бурта'!G812</f>
        <v>0</v>
      </c>
      <c r="AJ812" s="56">
        <f>'[2]Изложницы без бурта'!H812</f>
        <v>0</v>
      </c>
      <c r="AK812" s="56">
        <f>'[2]Изложницы без бурта'!I812</f>
        <v>0</v>
      </c>
      <c r="AL812" s="56" t="s">
        <v>650</v>
      </c>
      <c r="AM812" s="56">
        <f>'[2]Изложницы без бурта'!K812</f>
        <v>0</v>
      </c>
    </row>
    <row r="813" spans="28:39" x14ac:dyDescent="0.25">
      <c r="AB813" s="258" t="str">
        <f t="shared" si="22"/>
        <v/>
      </c>
      <c r="AC813" s="259" t="str">
        <f>IF(COUNTIF(AD$78:AD813,AD813)=1,MAX(AC$78:AC812)+1,"")</f>
        <v/>
      </c>
      <c r="AD813" s="220">
        <f>'[2]Изложницы без бурта'!B813</f>
        <v>280</v>
      </c>
      <c r="AE813" s="220">
        <f>'[2]Изложницы без бурта'!C813</f>
        <v>257</v>
      </c>
      <c r="AF813" s="56">
        <f>'[2]Изложницы без бурта'!D813</f>
        <v>360</v>
      </c>
      <c r="AG813" s="56">
        <f>'[2]Изложницы без бурта'!E813</f>
        <v>450</v>
      </c>
      <c r="AH813" s="56" t="str">
        <f>'[2]Изложницы без бурта'!F813</f>
        <v>72.11872 - 24</v>
      </c>
      <c r="AI813" s="56">
        <f>'[2]Изложницы без бурта'!G813</f>
        <v>0</v>
      </c>
      <c r="AJ813" s="56">
        <f>'[2]Изложницы без бурта'!H813</f>
        <v>0</v>
      </c>
      <c r="AK813" s="56">
        <f>'[2]Изложницы без бурта'!I813</f>
        <v>0</v>
      </c>
      <c r="AL813" s="56" t="s">
        <v>650</v>
      </c>
      <c r="AM813" s="56">
        <f>'[2]Изложницы без бурта'!K813</f>
        <v>0</v>
      </c>
    </row>
    <row r="814" spans="28:39" x14ac:dyDescent="0.25">
      <c r="AB814" s="258" t="str">
        <f t="shared" si="22"/>
        <v/>
      </c>
      <c r="AC814" s="259" t="str">
        <f>IF(COUNTIF(AD$78:AD814,AD814)=1,MAX(AC$78:AC813)+1,"")</f>
        <v/>
      </c>
      <c r="AD814" s="220">
        <f>'[2]Изложницы без бурта'!B814</f>
        <v>280</v>
      </c>
      <c r="AE814" s="220">
        <f>'[2]Изложницы без бурта'!C814</f>
        <v>260</v>
      </c>
      <c r="AF814" s="56">
        <f>'[2]Изложницы без бурта'!D814</f>
        <v>375</v>
      </c>
      <c r="AG814" s="56">
        <f>'[2]Изложницы без бурта'!E814</f>
        <v>450</v>
      </c>
      <c r="AH814" s="56" t="str">
        <f>'[2]Изложницы без бурта'!F814</f>
        <v>72.11872 - 24</v>
      </c>
      <c r="AI814" s="56">
        <f>'[2]Изложницы без бурта'!G814</f>
        <v>0</v>
      </c>
      <c r="AJ814" s="56">
        <f>'[2]Изложницы без бурта'!H814</f>
        <v>0</v>
      </c>
      <c r="AK814" s="56">
        <f>'[2]Изложницы без бурта'!I814</f>
        <v>0</v>
      </c>
      <c r="AL814" s="56" t="s">
        <v>650</v>
      </c>
      <c r="AM814" s="56">
        <f>'[2]Изложницы без бурта'!K814</f>
        <v>0</v>
      </c>
    </row>
    <row r="815" spans="28:39" x14ac:dyDescent="0.25">
      <c r="AB815" s="258" t="str">
        <f t="shared" si="22"/>
        <v/>
      </c>
      <c r="AC815" s="259" t="str">
        <f>IF(COUNTIF(AD$78:AD815,AD815)=1,MAX(AC$78:AC814)+1,"")</f>
        <v/>
      </c>
      <c r="AD815" s="220">
        <f>'[2]Изложницы без бурта'!B815</f>
        <v>280</v>
      </c>
      <c r="AE815" s="220">
        <f>'[2]Изложницы без бурта'!C815</f>
        <v>260</v>
      </c>
      <c r="AF815" s="56">
        <f>'[2]Изложницы без бурта'!D815</f>
        <v>360</v>
      </c>
      <c r="AG815" s="56">
        <f>'[2]Изложницы без бурта'!E815</f>
        <v>450</v>
      </c>
      <c r="AH815" s="56" t="str">
        <f>'[2]Изложницы без бурта'!F815</f>
        <v>72.11872 - 24</v>
      </c>
      <c r="AI815" s="56">
        <f>'[2]Изложницы без бурта'!G815</f>
        <v>0</v>
      </c>
      <c r="AJ815" s="56">
        <f>'[2]Изложницы без бурта'!H815</f>
        <v>0</v>
      </c>
      <c r="AK815" s="56">
        <f>'[2]Изложницы без бурта'!I815</f>
        <v>0</v>
      </c>
      <c r="AL815" s="56" t="s">
        <v>650</v>
      </c>
      <c r="AM815" s="56">
        <f>'[2]Изложницы без бурта'!K815</f>
        <v>0</v>
      </c>
    </row>
    <row r="816" spans="28:39" x14ac:dyDescent="0.25">
      <c r="AB816" s="258" t="str">
        <f t="shared" si="22"/>
        <v/>
      </c>
      <c r="AC816" s="259">
        <f>IF(COUNTIF(AD$78:AD816,AD816)=1,MAX(AC$78:AC815)+1,"")</f>
        <v>77</v>
      </c>
      <c r="AD816" s="220">
        <f>'[2]Изложницы без бурта'!B816</f>
        <v>282.5</v>
      </c>
      <c r="AE816" s="220">
        <f>'[2]Изложницы без бурта'!C816</f>
        <v>260</v>
      </c>
      <c r="AF816" s="56">
        <f>'[2]Изложницы без бурта'!D816</f>
        <v>360</v>
      </c>
      <c r="AG816" s="56">
        <f>'[2]Изложницы без бурта'!E816</f>
        <v>450</v>
      </c>
      <c r="AH816" s="56" t="str">
        <f>'[2]Изложницы без бурта'!F816</f>
        <v>72.11872 - 25</v>
      </c>
      <c r="AI816" s="56">
        <f>'[2]Изложницы без бурта'!G816</f>
        <v>0</v>
      </c>
      <c r="AJ816" s="56">
        <f>'[2]Изложницы без бурта'!H816</f>
        <v>0</v>
      </c>
      <c r="AK816" s="56">
        <f>'[2]Изложницы без бурта'!I816</f>
        <v>0</v>
      </c>
      <c r="AL816" s="56" t="s">
        <v>650</v>
      </c>
      <c r="AM816" s="56">
        <f>'[2]Изложницы без бурта'!K816</f>
        <v>0</v>
      </c>
    </row>
    <row r="817" spans="28:39" x14ac:dyDescent="0.25">
      <c r="AB817" s="258" t="str">
        <f t="shared" si="22"/>
        <v/>
      </c>
      <c r="AC817" s="259" t="str">
        <f>IF(COUNTIF(AD$78:AD817,AD817)=1,MAX(AC$78:AC816)+1,"")</f>
        <v/>
      </c>
      <c r="AD817" s="220">
        <f>'[2]Изложницы без бурта'!B817</f>
        <v>282.5</v>
      </c>
      <c r="AE817" s="220">
        <f>'[2]Изложницы без бурта'!C817</f>
        <v>260</v>
      </c>
      <c r="AF817" s="56">
        <f>'[2]Изложницы без бурта'!D817</f>
        <v>375</v>
      </c>
      <c r="AG817" s="56">
        <f>'[2]Изложницы без бурта'!E817</f>
        <v>450</v>
      </c>
      <c r="AH817" s="56" t="str">
        <f>'[2]Изложницы без бурта'!F817</f>
        <v>72.11872 - 25</v>
      </c>
      <c r="AI817" s="56">
        <f>'[2]Изложницы без бурта'!G817</f>
        <v>0</v>
      </c>
      <c r="AJ817" s="56">
        <f>'[2]Изложницы без бурта'!H817</f>
        <v>0</v>
      </c>
      <c r="AK817" s="56">
        <f>'[2]Изложницы без бурта'!I817</f>
        <v>0</v>
      </c>
      <c r="AL817" s="56" t="s">
        <v>650</v>
      </c>
      <c r="AM817" s="56">
        <f>'[2]Изложницы без бурта'!K817</f>
        <v>0</v>
      </c>
    </row>
    <row r="818" spans="28:39" x14ac:dyDescent="0.25">
      <c r="AB818" s="258" t="str">
        <f t="shared" si="22"/>
        <v/>
      </c>
      <c r="AC818" s="259" t="str">
        <f>IF(COUNTIF(AD$78:AD818,AD818)=1,MAX(AC$78:AC817)+1,"")</f>
        <v/>
      </c>
      <c r="AD818" s="220">
        <f>'[2]Изложницы без бурта'!B818</f>
        <v>282.5</v>
      </c>
      <c r="AE818" s="220">
        <f>'[2]Изложницы без бурта'!C818</f>
        <v>380</v>
      </c>
      <c r="AF818" s="56">
        <f>'[2]Изложницы без бурта'!D818</f>
        <v>360</v>
      </c>
      <c r="AG818" s="56">
        <f>'[2]Изложницы без бурта'!E818</f>
        <v>450</v>
      </c>
      <c r="AH818" s="56" t="str">
        <f>'[2]Изложницы без бурта'!F818</f>
        <v>72.11874 - 25</v>
      </c>
      <c r="AI818" s="56">
        <f>'[2]Изложницы без бурта'!G818</f>
        <v>0</v>
      </c>
      <c r="AJ818" s="56">
        <f>'[2]Изложницы без бурта'!H818</f>
        <v>0</v>
      </c>
      <c r="AK818" s="56">
        <f>'[2]Изложницы без бурта'!I818</f>
        <v>0</v>
      </c>
      <c r="AL818" s="56" t="s">
        <v>650</v>
      </c>
      <c r="AM818" s="56">
        <f>'[2]Изложницы без бурта'!K818</f>
        <v>0</v>
      </c>
    </row>
    <row r="819" spans="28:39" x14ac:dyDescent="0.25">
      <c r="AB819" s="258" t="str">
        <f t="shared" si="22"/>
        <v/>
      </c>
      <c r="AC819" s="259" t="str">
        <f>IF(COUNTIF(AD$78:AD819,AD819)=1,MAX(AC$78:AC818)+1,"")</f>
        <v/>
      </c>
      <c r="AD819" s="220">
        <f>'[2]Изложницы без бурта'!B819</f>
        <v>282.5</v>
      </c>
      <c r="AE819" s="220">
        <f>'[2]Изложницы без бурта'!C819</f>
        <v>317</v>
      </c>
      <c r="AF819" s="56">
        <f>'[2]Изложницы без бурта'!D819</f>
        <v>360</v>
      </c>
      <c r="AG819" s="56">
        <f>'[2]Изложницы без бурта'!E819</f>
        <v>450</v>
      </c>
      <c r="AH819" s="56" t="str">
        <f>'[2]Изложницы без бурта'!F819</f>
        <v>72.11873 - 25</v>
      </c>
      <c r="AI819" s="56">
        <f>'[2]Изложницы без бурта'!G819</f>
        <v>0</v>
      </c>
      <c r="AJ819" s="56">
        <f>'[2]Изложницы без бурта'!H819</f>
        <v>0</v>
      </c>
      <c r="AK819" s="56">
        <f>'[2]Изложницы без бурта'!I819</f>
        <v>0</v>
      </c>
      <c r="AL819" s="56" t="s">
        <v>651</v>
      </c>
      <c r="AM819" s="56">
        <f>'[2]Изложницы без бурта'!K819</f>
        <v>0</v>
      </c>
    </row>
    <row r="820" spans="28:39" x14ac:dyDescent="0.25">
      <c r="AB820" s="258" t="str">
        <f t="shared" si="22"/>
        <v/>
      </c>
      <c r="AC820" s="259" t="str">
        <f>IF(COUNTIF(AD$78:AD820,AD820)=1,MAX(AC$78:AC819)+1,"")</f>
        <v/>
      </c>
      <c r="AD820" s="220">
        <f>'[2]Изложницы без бурта'!B820</f>
        <v>282.5</v>
      </c>
      <c r="AE820" s="220">
        <f>'[2]Изложницы без бурта'!C820</f>
        <v>258</v>
      </c>
      <c r="AF820" s="56">
        <f>'[2]Изложницы без бурта'!D820</f>
        <v>360</v>
      </c>
      <c r="AG820" s="56">
        <f>'[2]Изложницы без бурта'!E820</f>
        <v>450</v>
      </c>
      <c r="AH820" s="56" t="str">
        <f>'[2]Изложницы без бурта'!F820</f>
        <v>72.11872 - 25</v>
      </c>
      <c r="AI820" s="56">
        <f>'[2]Изложницы без бурта'!G820</f>
        <v>0</v>
      </c>
      <c r="AJ820" s="56">
        <f>'[2]Изложницы без бурта'!H820</f>
        <v>0</v>
      </c>
      <c r="AK820" s="56">
        <f>'[2]Изложницы без бурта'!I820</f>
        <v>0</v>
      </c>
      <c r="AL820" s="56" t="s">
        <v>651</v>
      </c>
      <c r="AM820" s="56">
        <f>'[2]Изложницы без бурта'!K820</f>
        <v>0</v>
      </c>
    </row>
    <row r="821" spans="28:39" x14ac:dyDescent="0.25">
      <c r="AB821" s="258" t="str">
        <f t="shared" si="22"/>
        <v/>
      </c>
      <c r="AC821" s="259" t="str">
        <f>IF(COUNTIF(AD$78:AD821,AD821)=1,MAX(AC$78:AC820)+1,"")</f>
        <v/>
      </c>
      <c r="AD821" s="220">
        <f>'[2]Изложницы без бурта'!B821</f>
        <v>282.5</v>
      </c>
      <c r="AE821" s="220">
        <f>'[2]Изложницы без бурта'!C821</f>
        <v>260</v>
      </c>
      <c r="AF821" s="56">
        <f>'[2]Изложницы без бурта'!D821</f>
        <v>360</v>
      </c>
      <c r="AG821" s="56">
        <f>'[2]Изложницы без бурта'!E821</f>
        <v>450</v>
      </c>
      <c r="AH821" s="56" t="str">
        <f>'[2]Изложницы без бурта'!F821</f>
        <v>72.11872 - 25</v>
      </c>
      <c r="AI821" s="56">
        <f>'[2]Изложницы без бурта'!G821</f>
        <v>0</v>
      </c>
      <c r="AJ821" s="56">
        <f>'[2]Изложницы без бурта'!H821</f>
        <v>0</v>
      </c>
      <c r="AK821" s="56">
        <f>'[2]Изложницы без бурта'!I821</f>
        <v>0</v>
      </c>
      <c r="AL821" s="56" t="s">
        <v>651</v>
      </c>
      <c r="AM821" s="56">
        <f>'[2]Изложницы без бурта'!K821</f>
        <v>0</v>
      </c>
    </row>
    <row r="822" spans="28:39" x14ac:dyDescent="0.25">
      <c r="AB822" s="258" t="str">
        <f t="shared" si="22"/>
        <v/>
      </c>
      <c r="AC822" s="259" t="str">
        <f>IF(COUNTIF(AD$78:AD822,AD822)=1,MAX(AC$78:AC821)+1,"")</f>
        <v/>
      </c>
      <c r="AD822" s="220">
        <f>'[2]Изложницы без бурта'!B822</f>
        <v>282.5</v>
      </c>
      <c r="AE822" s="220">
        <f>'[2]Изложницы без бурта'!C822</f>
        <v>260</v>
      </c>
      <c r="AF822" s="56">
        <f>'[2]Изложницы без бурта'!D822</f>
        <v>360</v>
      </c>
      <c r="AG822" s="56">
        <f>'[2]Изложницы без бурта'!E822</f>
        <v>450</v>
      </c>
      <c r="AH822" s="56" t="str">
        <f>'[2]Изложницы без бурта'!F822</f>
        <v>72.11872 - 25</v>
      </c>
      <c r="AI822" s="56">
        <f>'[2]Изложницы без бурта'!G822</f>
        <v>0</v>
      </c>
      <c r="AJ822" s="56">
        <f>'[2]Изложницы без бурта'!H822</f>
        <v>0</v>
      </c>
      <c r="AK822" s="56">
        <f>'[2]Изложницы без бурта'!I822</f>
        <v>0</v>
      </c>
      <c r="AL822" s="56" t="s">
        <v>651</v>
      </c>
      <c r="AM822" s="56">
        <f>'[2]Изложницы без бурта'!K822</f>
        <v>0</v>
      </c>
    </row>
    <row r="823" spans="28:39" x14ac:dyDescent="0.25">
      <c r="AB823" s="258" t="str">
        <f t="shared" si="22"/>
        <v/>
      </c>
      <c r="AC823" s="259" t="str">
        <f>IF(COUNTIF(AD$78:AD823,AD823)=1,MAX(AC$78:AC822)+1,"")</f>
        <v/>
      </c>
      <c r="AD823" s="220">
        <f>'[2]Изложницы без бурта'!B823</f>
        <v>282.5</v>
      </c>
      <c r="AE823" s="220">
        <f>'[2]Изложницы без бурта'!C823</f>
        <v>260</v>
      </c>
      <c r="AF823" s="56">
        <f>'[2]Изложницы без бурта'!D823</f>
        <v>375</v>
      </c>
      <c r="AG823" s="56">
        <f>'[2]Изложницы без бурта'!E823</f>
        <v>450</v>
      </c>
      <c r="AH823" s="56" t="str">
        <f>'[2]Изложницы без бурта'!F823</f>
        <v>72.11872 - 25</v>
      </c>
      <c r="AI823" s="56">
        <f>'[2]Изложницы без бурта'!G823</f>
        <v>0</v>
      </c>
      <c r="AJ823" s="56">
        <f>'[2]Изложницы без бурта'!H823</f>
        <v>0</v>
      </c>
      <c r="AK823" s="56">
        <f>'[2]Изложницы без бурта'!I823</f>
        <v>0</v>
      </c>
      <c r="AL823" s="56" t="s">
        <v>651</v>
      </c>
      <c r="AM823" s="56">
        <f>'[2]Изложницы без бурта'!K823</f>
        <v>0</v>
      </c>
    </row>
    <row r="824" spans="28:39" x14ac:dyDescent="0.25">
      <c r="AB824" s="258" t="str">
        <f t="shared" si="22"/>
        <v/>
      </c>
      <c r="AC824" s="259" t="str">
        <f>IF(COUNTIF(AD$78:AD824,AD824)=1,MAX(AC$78:AC823)+1,"")</f>
        <v/>
      </c>
      <c r="AD824" s="220">
        <f>'[2]Изложницы без бурта'!B824</f>
        <v>282.5</v>
      </c>
      <c r="AE824" s="220">
        <f>'[2]Изложницы без бурта'!C824</f>
        <v>377</v>
      </c>
      <c r="AF824" s="56">
        <f>'[2]Изложницы без бурта'!D824</f>
        <v>360</v>
      </c>
      <c r="AG824" s="56">
        <f>'[2]Изложницы без бурта'!E824</f>
        <v>450</v>
      </c>
      <c r="AH824" s="56" t="str">
        <f>'[2]Изложницы без бурта'!F824</f>
        <v>72.11874 - 25</v>
      </c>
      <c r="AI824" s="56">
        <f>'[2]Изложницы без бурта'!G824</f>
        <v>0</v>
      </c>
      <c r="AJ824" s="56">
        <f>'[2]Изложницы без бурта'!H824</f>
        <v>0</v>
      </c>
      <c r="AK824" s="56">
        <f>'[2]Изложницы без бурта'!I824</f>
        <v>0</v>
      </c>
      <c r="AL824" s="56" t="s">
        <v>651</v>
      </c>
      <c r="AM824" s="56">
        <f>'[2]Изложницы без бурта'!K824</f>
        <v>0</v>
      </c>
    </row>
    <row r="825" spans="28:39" x14ac:dyDescent="0.25">
      <c r="AB825" s="258" t="str">
        <f t="shared" ref="AB825:AB888" si="23">IF(MAX(AC825:AC1902)&lt;ROW(747:747),"",VLOOKUP(ROW(747:747),AC825:AD1902,2))</f>
        <v/>
      </c>
      <c r="AC825" s="259" t="str">
        <f>IF(COUNTIF(AD$78:AD825,AD825)=1,MAX(AC$78:AC824)+1,"")</f>
        <v/>
      </c>
      <c r="AD825" s="220">
        <f>'[2]Изложницы без бурта'!B825</f>
        <v>282.5</v>
      </c>
      <c r="AE825" s="220">
        <f>'[2]Изложницы без бурта'!C825</f>
        <v>320</v>
      </c>
      <c r="AF825" s="56">
        <f>'[2]Изложницы без бурта'!D825</f>
        <v>360</v>
      </c>
      <c r="AG825" s="56">
        <f>'[2]Изложницы без бурта'!E825</f>
        <v>450</v>
      </c>
      <c r="AH825" s="56" t="str">
        <f>'[2]Изложницы без бурта'!F825</f>
        <v>72.11873 - 25</v>
      </c>
      <c r="AI825" s="56">
        <f>'[2]Изложницы без бурта'!G825</f>
        <v>0</v>
      </c>
      <c r="AJ825" s="56">
        <f>'[2]Изложницы без бурта'!H825</f>
        <v>0</v>
      </c>
      <c r="AK825" s="56">
        <f>'[2]Изложницы без бурта'!I825</f>
        <v>0</v>
      </c>
      <c r="AL825" s="56" t="s">
        <v>651</v>
      </c>
      <c r="AM825" s="56">
        <f>'[2]Изложницы без бурта'!K825</f>
        <v>0</v>
      </c>
    </row>
    <row r="826" spans="28:39" x14ac:dyDescent="0.25">
      <c r="AB826" s="258" t="str">
        <f t="shared" si="23"/>
        <v/>
      </c>
      <c r="AC826" s="259" t="str">
        <f>IF(COUNTIF(AD$78:AD826,AD826)=1,MAX(AC$78:AC825)+1,"")</f>
        <v/>
      </c>
      <c r="AD826" s="220">
        <f>'[2]Изложницы без бурта'!B826</f>
        <v>282.5</v>
      </c>
      <c r="AE826" s="220">
        <f>'[2]Изложницы без бурта'!C826</f>
        <v>440</v>
      </c>
      <c r="AF826" s="56">
        <f>'[2]Изложницы без бурта'!D826</f>
        <v>375</v>
      </c>
      <c r="AG826" s="56">
        <f>'[2]Изложницы без бурта'!E826</f>
        <v>400</v>
      </c>
      <c r="AH826" s="56" t="str">
        <f>'[2]Изложницы без бурта'!F826</f>
        <v>10.241070 - 1</v>
      </c>
      <c r="AI826" s="56">
        <f>'[2]Изложницы без бурта'!G826</f>
        <v>0</v>
      </c>
      <c r="AJ826" s="56">
        <f>'[2]Изложницы без бурта'!H826</f>
        <v>0</v>
      </c>
      <c r="AK826" s="56">
        <f>'[2]Изложницы без бурта'!I826</f>
        <v>0</v>
      </c>
      <c r="AL826" s="56" t="s">
        <v>651</v>
      </c>
      <c r="AM826" s="56">
        <f>'[2]Изложницы без бурта'!K826</f>
        <v>0</v>
      </c>
    </row>
    <row r="827" spans="28:39" x14ac:dyDescent="0.25">
      <c r="AB827" s="258" t="str">
        <f t="shared" si="23"/>
        <v/>
      </c>
      <c r="AC827" s="259" t="str">
        <f>IF(COUNTIF(AD$78:AD827,AD827)=1,MAX(AC$78:AC826)+1,"")</f>
        <v/>
      </c>
      <c r="AD827" s="220">
        <f>'[2]Изложницы без бурта'!B827</f>
        <v>282.5</v>
      </c>
      <c r="AE827" s="220">
        <f>'[2]Изложницы без бурта'!C827</f>
        <v>377</v>
      </c>
      <c r="AF827" s="56">
        <f>'[2]Изложницы без бурта'!D827</f>
        <v>360</v>
      </c>
      <c r="AG827" s="56">
        <f>'[2]Изложницы без бурта'!E827</f>
        <v>450</v>
      </c>
      <c r="AH827" s="56" t="str">
        <f>'[2]Изложницы без бурта'!F827</f>
        <v>72.11874 - 25</v>
      </c>
      <c r="AI827" s="56">
        <f>'[2]Изложницы без бурта'!G827</f>
        <v>0</v>
      </c>
      <c r="AJ827" s="56">
        <f>'[2]Изложницы без бурта'!H827</f>
        <v>0</v>
      </c>
      <c r="AK827" s="56">
        <f>'[2]Изложницы без бурта'!I827</f>
        <v>0</v>
      </c>
      <c r="AL827" s="56" t="s">
        <v>651</v>
      </c>
      <c r="AM827" s="56">
        <f>'[2]Изложницы без бурта'!K827</f>
        <v>0</v>
      </c>
    </row>
    <row r="828" spans="28:39" x14ac:dyDescent="0.25">
      <c r="AB828" s="258" t="str">
        <f t="shared" si="23"/>
        <v/>
      </c>
      <c r="AC828" s="259" t="str">
        <f>IF(COUNTIF(AD$78:AD828,AD828)=1,MAX(AC$78:AC827)+1,"")</f>
        <v/>
      </c>
      <c r="AD828" s="220">
        <f>'[2]Изложницы без бурта'!B828</f>
        <v>282.5</v>
      </c>
      <c r="AE828" s="220">
        <f>'[2]Изложницы без бурта'!C828</f>
        <v>383</v>
      </c>
      <c r="AF828" s="56">
        <f>'[2]Изложницы без бурта'!D828</f>
        <v>375</v>
      </c>
      <c r="AG828" s="56">
        <f>'[2]Изложницы без бурта'!E828</f>
        <v>450</v>
      </c>
      <c r="AH828" s="56" t="str">
        <f>'[2]Изложницы без бурта'!F828</f>
        <v>72.11874 - 25</v>
      </c>
      <c r="AI828" s="56">
        <f>'[2]Изложницы без бурта'!G828</f>
        <v>0</v>
      </c>
      <c r="AJ828" s="56">
        <f>'[2]Изложницы без бурта'!H828</f>
        <v>0</v>
      </c>
      <c r="AK828" s="56">
        <f>'[2]Изложницы без бурта'!I828</f>
        <v>0</v>
      </c>
      <c r="AL828" s="56" t="s">
        <v>651</v>
      </c>
      <c r="AM828" s="56">
        <f>'[2]Изложницы без бурта'!K828</f>
        <v>0</v>
      </c>
    </row>
    <row r="829" spans="28:39" x14ac:dyDescent="0.25">
      <c r="AB829" s="258" t="str">
        <f t="shared" si="23"/>
        <v/>
      </c>
      <c r="AC829" s="259" t="str">
        <f>IF(COUNTIF(AD$78:AD829,AD829)=1,MAX(AC$78:AC828)+1,"")</f>
        <v/>
      </c>
      <c r="AD829" s="220">
        <f>'[2]Изложницы без бурта'!B829</f>
        <v>282.5</v>
      </c>
      <c r="AE829" s="220">
        <f>'[2]Изложницы без бурта'!C829</f>
        <v>420</v>
      </c>
      <c r="AF829" s="56">
        <f>'[2]Изложницы без бурта'!D829</f>
        <v>360</v>
      </c>
      <c r="AG829" s="56">
        <f>'[2]Изложницы без бурта'!E829</f>
        <v>400</v>
      </c>
      <c r="AH829" s="56" t="str">
        <f>'[2]Изложницы без бурта'!F829</f>
        <v>10.241070 - 1</v>
      </c>
      <c r="AI829" s="56">
        <f>'[2]Изложницы без бурта'!G829</f>
        <v>0</v>
      </c>
      <c r="AJ829" s="56">
        <f>'[2]Изложницы без бурта'!H829</f>
        <v>0</v>
      </c>
      <c r="AK829" s="56">
        <f>'[2]Изложницы без бурта'!I829</f>
        <v>0</v>
      </c>
      <c r="AL829" s="56" t="s">
        <v>651</v>
      </c>
      <c r="AM829" s="56">
        <f>'[2]Изложницы без бурта'!K829</f>
        <v>0</v>
      </c>
    </row>
    <row r="830" spans="28:39" x14ac:dyDescent="0.25">
      <c r="AB830" s="258" t="str">
        <f t="shared" si="23"/>
        <v/>
      </c>
      <c r="AC830" s="259" t="str">
        <f>IF(COUNTIF(AD$78:AD830,AD830)=1,MAX(AC$78:AC829)+1,"")</f>
        <v/>
      </c>
      <c r="AD830" s="220">
        <f>'[2]Изложницы без бурта'!B830</f>
        <v>282.5</v>
      </c>
      <c r="AE830" s="220">
        <f>'[2]Изложницы без бурта'!C830</f>
        <v>257</v>
      </c>
      <c r="AF830" s="56">
        <f>'[2]Изложницы без бурта'!D830</f>
        <v>360</v>
      </c>
      <c r="AG830" s="56">
        <f>'[2]Изложницы без бурта'!E830</f>
        <v>450</v>
      </c>
      <c r="AH830" s="56" t="str">
        <f>'[2]Изложницы без бурта'!F830</f>
        <v>72.11872 - 25</v>
      </c>
      <c r="AI830" s="56">
        <f>'[2]Изложницы без бурта'!G830</f>
        <v>0</v>
      </c>
      <c r="AJ830" s="56">
        <f>'[2]Изложницы без бурта'!H830</f>
        <v>0</v>
      </c>
      <c r="AK830" s="56">
        <f>'[2]Изложницы без бурта'!I830</f>
        <v>0</v>
      </c>
      <c r="AL830" s="56" t="s">
        <v>651</v>
      </c>
      <c r="AM830" s="56">
        <f>'[2]Изложницы без бурта'!K830</f>
        <v>0</v>
      </c>
    </row>
    <row r="831" spans="28:39" x14ac:dyDescent="0.25">
      <c r="AB831" s="258" t="str">
        <f t="shared" si="23"/>
        <v/>
      </c>
      <c r="AC831" s="259" t="str">
        <f>IF(COUNTIF(AD$78:AD831,AD831)=1,MAX(AC$78:AC830)+1,"")</f>
        <v/>
      </c>
      <c r="AD831" s="220">
        <f>'[2]Изложницы без бурта'!B831</f>
        <v>282.5</v>
      </c>
      <c r="AE831" s="220">
        <f>'[2]Изложницы без бурта'!C831</f>
        <v>260</v>
      </c>
      <c r="AF831" s="56">
        <f>'[2]Изложницы без бурта'!D831</f>
        <v>360</v>
      </c>
      <c r="AG831" s="56">
        <f>'[2]Изложницы без бурта'!E831</f>
        <v>450</v>
      </c>
      <c r="AH831" s="56" t="str">
        <f>'[2]Изложницы без бурта'!F831</f>
        <v>72.11872 - 25</v>
      </c>
      <c r="AI831" s="56">
        <f>'[2]Изложницы без бурта'!G831</f>
        <v>0</v>
      </c>
      <c r="AJ831" s="56">
        <f>'[2]Изложницы без бурта'!H831</f>
        <v>0</v>
      </c>
      <c r="AK831" s="56">
        <f>'[2]Изложницы без бурта'!I831</f>
        <v>0</v>
      </c>
      <c r="AL831" s="56" t="s">
        <v>651</v>
      </c>
      <c r="AM831" s="56">
        <f>'[2]Изложницы без бурта'!K831</f>
        <v>0</v>
      </c>
    </row>
    <row r="832" spans="28:39" x14ac:dyDescent="0.25">
      <c r="AB832" s="258" t="str">
        <f t="shared" si="23"/>
        <v/>
      </c>
      <c r="AC832" s="259">
        <f>IF(COUNTIF(AD$78:AD832,AD832)=1,MAX(AC$78:AC831)+1,"")</f>
        <v>78</v>
      </c>
      <c r="AD832" s="220">
        <f>'[2]Изложницы без бурта'!B832</f>
        <v>285</v>
      </c>
      <c r="AE832" s="220">
        <f>'[2]Изложницы без бурта'!C832</f>
        <v>440</v>
      </c>
      <c r="AF832" s="56">
        <f>'[2]Изложницы без бурта'!D832</f>
        <v>375</v>
      </c>
      <c r="AG832" s="56">
        <f>'[2]Изложницы без бурта'!E832</f>
        <v>400</v>
      </c>
      <c r="AH832" s="56" t="str">
        <f>'[2]Изложницы без бурта'!F832</f>
        <v>10.241070 - 2</v>
      </c>
      <c r="AI832" s="56">
        <f>'[2]Изложницы без бурта'!G832</f>
        <v>0</v>
      </c>
      <c r="AJ832" s="56">
        <f>'[2]Изложницы без бурта'!H832</f>
        <v>0</v>
      </c>
      <c r="AK832" s="56">
        <f>'[2]Изложницы без бурта'!I832</f>
        <v>0</v>
      </c>
      <c r="AL832" s="56" t="s">
        <v>651</v>
      </c>
      <c r="AM832" s="56">
        <f>'[2]Изложницы без бурта'!K832</f>
        <v>0</v>
      </c>
    </row>
    <row r="833" spans="28:39" x14ac:dyDescent="0.25">
      <c r="AB833" s="258" t="str">
        <f t="shared" si="23"/>
        <v/>
      </c>
      <c r="AC833" s="259" t="str">
        <f>IF(COUNTIF(AD$78:AD833,AD833)=1,MAX(AC$78:AC832)+1,"")</f>
        <v/>
      </c>
      <c r="AD833" s="220">
        <f>'[2]Изложницы без бурта'!B833</f>
        <v>285</v>
      </c>
      <c r="AE833" s="220">
        <f>'[2]Изложницы без бурта'!C833</f>
        <v>213</v>
      </c>
      <c r="AF833" s="56">
        <f>'[2]Изложницы без бурта'!D833</f>
        <v>360</v>
      </c>
      <c r="AG833" s="56">
        <f>'[2]Изложницы без бурта'!E833</f>
        <v>450</v>
      </c>
      <c r="AH833" s="56" t="str">
        <f>'[2]Изложницы без бурта'!F833</f>
        <v>10.246094 - 2</v>
      </c>
      <c r="AI833" s="56">
        <f>'[2]Изложницы без бурта'!G833</f>
        <v>0</v>
      </c>
      <c r="AJ833" s="56">
        <f>'[2]Изложницы без бурта'!H833</f>
        <v>0</v>
      </c>
      <c r="AK833" s="56">
        <f>'[2]Изложницы без бурта'!I833</f>
        <v>0</v>
      </c>
      <c r="AL833" s="56" t="s">
        <v>651</v>
      </c>
      <c r="AM833" s="56">
        <f>'[2]Изложницы без бурта'!K833</f>
        <v>0</v>
      </c>
    </row>
    <row r="834" spans="28:39" x14ac:dyDescent="0.25">
      <c r="AB834" s="258" t="str">
        <f t="shared" si="23"/>
        <v/>
      </c>
      <c r="AC834" s="259" t="str">
        <f>IF(COUNTIF(AD$78:AD834,AD834)=1,MAX(AC$78:AC833)+1,"")</f>
        <v/>
      </c>
      <c r="AD834" s="220">
        <f>'[2]Изложницы без бурта'!B834</f>
        <v>285</v>
      </c>
      <c r="AE834" s="220">
        <f>'[2]Изложницы без бурта'!C834</f>
        <v>415</v>
      </c>
      <c r="AF834" s="56">
        <f>'[2]Изложницы без бурта'!D834</f>
        <v>360</v>
      </c>
      <c r="AG834" s="56">
        <f>'[2]Изложницы без бурта'!E834</f>
        <v>400</v>
      </c>
      <c r="AH834" s="56" t="str">
        <f>'[2]Изложницы без бурта'!F834</f>
        <v>72.42346 - 03</v>
      </c>
      <c r="AI834" s="56">
        <f>'[2]Изложницы без бурта'!G834</f>
        <v>7260044</v>
      </c>
      <c r="AJ834" s="56">
        <f>'[2]Изложницы без бурта'!H834</f>
        <v>0</v>
      </c>
      <c r="AK834" s="56">
        <f>'[2]Изложницы без бурта'!I834</f>
        <v>0</v>
      </c>
      <c r="AL834" s="56" t="s">
        <v>651</v>
      </c>
      <c r="AM834" s="56">
        <f>'[2]Изложницы без бурта'!K834</f>
        <v>0</v>
      </c>
    </row>
    <row r="835" spans="28:39" x14ac:dyDescent="0.25">
      <c r="AB835" s="258" t="str">
        <f t="shared" si="23"/>
        <v/>
      </c>
      <c r="AC835" s="259" t="str">
        <f>IF(COUNTIF(AD$78:AD835,AD835)=1,MAX(AC$78:AC834)+1,"")</f>
        <v/>
      </c>
      <c r="AD835" s="220">
        <f>'[2]Изложницы без бурта'!B835</f>
        <v>285</v>
      </c>
      <c r="AE835" s="220">
        <f>'[2]Изложницы без бурта'!C835</f>
        <v>440</v>
      </c>
      <c r="AF835" s="56">
        <f>'[2]Изложницы без бурта'!D835</f>
        <v>375</v>
      </c>
      <c r="AG835" s="56">
        <f>'[2]Изложницы без бурта'!E835</f>
        <v>400</v>
      </c>
      <c r="AH835" s="56" t="str">
        <f>'[2]Изложницы без бурта'!F835</f>
        <v>10.241070 - 2</v>
      </c>
      <c r="AI835" s="56">
        <f>'[2]Изложницы без бурта'!G835</f>
        <v>0</v>
      </c>
      <c r="AJ835" s="56">
        <f>'[2]Изложницы без бурта'!H835</f>
        <v>0</v>
      </c>
      <c r="AK835" s="56">
        <f>'[2]Изложницы без бурта'!I835</f>
        <v>0</v>
      </c>
      <c r="AL835" s="56" t="s">
        <v>652</v>
      </c>
      <c r="AM835" s="56">
        <f>'[2]Изложницы без бурта'!K835</f>
        <v>0</v>
      </c>
    </row>
    <row r="836" spans="28:39" x14ac:dyDescent="0.25">
      <c r="AB836" s="258" t="str">
        <f t="shared" si="23"/>
        <v/>
      </c>
      <c r="AC836" s="259" t="str">
        <f>IF(COUNTIF(AD$78:AD836,AD836)=1,MAX(AC$78:AC835)+1,"")</f>
        <v/>
      </c>
      <c r="AD836" s="220">
        <f>'[2]Изложницы без бурта'!B836</f>
        <v>285</v>
      </c>
      <c r="AE836" s="220">
        <f>'[2]Изложницы без бурта'!C836</f>
        <v>260</v>
      </c>
      <c r="AF836" s="56">
        <f>'[2]Изложницы без бурта'!D836</f>
        <v>375</v>
      </c>
      <c r="AG836" s="56">
        <f>'[2]Изложницы без бурта'!E836</f>
        <v>450</v>
      </c>
      <c r="AH836" s="56" t="str">
        <f>'[2]Изложницы без бурта'!F836</f>
        <v>72.11872 - 26</v>
      </c>
      <c r="AI836" s="56">
        <f>'[2]Изложницы без бурта'!G836</f>
        <v>0</v>
      </c>
      <c r="AJ836" s="56">
        <f>'[2]Изложницы без бурта'!H836</f>
        <v>0</v>
      </c>
      <c r="AK836" s="56">
        <f>'[2]Изложницы без бурта'!I836</f>
        <v>0</v>
      </c>
      <c r="AL836" s="56" t="s">
        <v>652</v>
      </c>
      <c r="AM836" s="56">
        <f>'[2]Изложницы без бурта'!K836</f>
        <v>0</v>
      </c>
    </row>
    <row r="837" spans="28:39" x14ac:dyDescent="0.25">
      <c r="AB837" s="258" t="str">
        <f t="shared" si="23"/>
        <v/>
      </c>
      <c r="AC837" s="259" t="str">
        <f>IF(COUNTIF(AD$78:AD837,AD837)=1,MAX(AC$78:AC836)+1,"")</f>
        <v/>
      </c>
      <c r="AD837" s="220">
        <f>'[2]Изложницы без бурта'!B837</f>
        <v>285</v>
      </c>
      <c r="AE837" s="220">
        <f>'[2]Изложницы без бурта'!C837</f>
        <v>260</v>
      </c>
      <c r="AF837" s="56">
        <f>'[2]Изложницы без бурта'!D837</f>
        <v>375</v>
      </c>
      <c r="AG837" s="56">
        <f>'[2]Изложницы без бурта'!E837</f>
        <v>450</v>
      </c>
      <c r="AH837" s="56" t="str">
        <f>'[2]Изложницы без бурта'!F837</f>
        <v>72.11872 - 26</v>
      </c>
      <c r="AI837" s="56">
        <f>'[2]Изложницы без бурта'!G837</f>
        <v>0</v>
      </c>
      <c r="AJ837" s="56">
        <f>'[2]Изложницы без бурта'!H837</f>
        <v>0</v>
      </c>
      <c r="AK837" s="56">
        <f>'[2]Изложницы без бурта'!I837</f>
        <v>0</v>
      </c>
      <c r="AL837" s="56" t="s">
        <v>652</v>
      </c>
      <c r="AM837" s="56">
        <f>'[2]Изложницы без бурта'!K837</f>
        <v>0</v>
      </c>
    </row>
    <row r="838" spans="28:39" x14ac:dyDescent="0.25">
      <c r="AB838" s="258" t="str">
        <f t="shared" si="23"/>
        <v/>
      </c>
      <c r="AC838" s="259" t="str">
        <f>IF(COUNTIF(AD$78:AD838,AD838)=1,MAX(AC$78:AC837)+1,"")</f>
        <v/>
      </c>
      <c r="AD838" s="220">
        <f>'[2]Изложницы без бурта'!B838</f>
        <v>285</v>
      </c>
      <c r="AE838" s="220">
        <f>'[2]Изложницы без бурта'!C838</f>
        <v>260</v>
      </c>
      <c r="AF838" s="56">
        <f>'[2]Изложницы без бурта'!D838</f>
        <v>360</v>
      </c>
      <c r="AG838" s="56">
        <f>'[2]Изложницы без бурта'!E838</f>
        <v>450</v>
      </c>
      <c r="AH838" s="56" t="str">
        <f>'[2]Изложницы без бурта'!F838</f>
        <v>72.11872 - 26</v>
      </c>
      <c r="AI838" s="56">
        <f>'[2]Изложницы без бурта'!G838</f>
        <v>0</v>
      </c>
      <c r="AJ838" s="56">
        <f>'[2]Изложницы без бурта'!H838</f>
        <v>0</v>
      </c>
      <c r="AK838" s="56">
        <f>'[2]Изложницы без бурта'!I838</f>
        <v>0</v>
      </c>
      <c r="AL838" s="56" t="s">
        <v>652</v>
      </c>
      <c r="AM838" s="56">
        <f>'[2]Изложницы без бурта'!K838</f>
        <v>0</v>
      </c>
    </row>
    <row r="839" spans="28:39" x14ac:dyDescent="0.25">
      <c r="AB839" s="258" t="str">
        <f t="shared" si="23"/>
        <v/>
      </c>
      <c r="AC839" s="259" t="str">
        <f>IF(COUNTIF(AD$78:AD839,AD839)=1,MAX(AC$78:AC838)+1,"")</f>
        <v/>
      </c>
      <c r="AD839" s="220">
        <f>'[2]Изложницы без бурта'!B839</f>
        <v>285</v>
      </c>
      <c r="AE839" s="220">
        <f>'[2]Изложницы без бурта'!C839</f>
        <v>260</v>
      </c>
      <c r="AF839" s="56">
        <f>'[2]Изложницы без бурта'!D839</f>
        <v>375</v>
      </c>
      <c r="AG839" s="56">
        <f>'[2]Изложницы без бурта'!E839</f>
        <v>450</v>
      </c>
      <c r="AH839" s="56" t="str">
        <f>'[2]Изложницы без бурта'!F839</f>
        <v>72.11872 - 26</v>
      </c>
      <c r="AI839" s="56">
        <f>'[2]Изложницы без бурта'!G839</f>
        <v>0</v>
      </c>
      <c r="AJ839" s="56">
        <f>'[2]Изложницы без бурта'!H839</f>
        <v>0</v>
      </c>
      <c r="AK839" s="56">
        <f>'[2]Изложницы без бурта'!I839</f>
        <v>0</v>
      </c>
      <c r="AL839" s="56" t="s">
        <v>652</v>
      </c>
      <c r="AM839" s="56">
        <f>'[2]Изложницы без бурта'!K839</f>
        <v>0</v>
      </c>
    </row>
    <row r="840" spans="28:39" x14ac:dyDescent="0.25">
      <c r="AB840" s="258" t="str">
        <f t="shared" si="23"/>
        <v/>
      </c>
      <c r="AC840" s="259" t="str">
        <f>IF(COUNTIF(AD$78:AD840,AD840)=1,MAX(AC$78:AC839)+1,"")</f>
        <v/>
      </c>
      <c r="AD840" s="220">
        <f>'[2]Изложницы без бурта'!B840</f>
        <v>285</v>
      </c>
      <c r="AE840" s="220">
        <f>'[2]Изложницы без бурта'!C840</f>
        <v>320</v>
      </c>
      <c r="AF840" s="56">
        <f>'[2]Изложницы без бурта'!D840</f>
        <v>360</v>
      </c>
      <c r="AG840" s="56">
        <f>'[2]Изложницы без бурта'!E840</f>
        <v>450</v>
      </c>
      <c r="AH840" s="56" t="str">
        <f>'[2]Изложницы без бурта'!F840</f>
        <v>72.11873 - 26</v>
      </c>
      <c r="AI840" s="56">
        <f>'[2]Изложницы без бурта'!G840</f>
        <v>0</v>
      </c>
      <c r="AJ840" s="56">
        <f>'[2]Изложницы без бурта'!H840</f>
        <v>0</v>
      </c>
      <c r="AK840" s="56">
        <f>'[2]Изложницы без бурта'!I840</f>
        <v>0</v>
      </c>
      <c r="AL840" s="56" t="s">
        <v>652</v>
      </c>
      <c r="AM840" s="56">
        <f>'[2]Изложницы без бурта'!K840</f>
        <v>0</v>
      </c>
    </row>
    <row r="841" spans="28:39" x14ac:dyDescent="0.25">
      <c r="AB841" s="258" t="str">
        <f t="shared" si="23"/>
        <v/>
      </c>
      <c r="AC841" s="259" t="str">
        <f>IF(COUNTIF(AD$78:AD841,AD841)=1,MAX(AC$78:AC840)+1,"")</f>
        <v/>
      </c>
      <c r="AD841" s="220">
        <f>'[2]Изложницы без бурта'!B841</f>
        <v>285</v>
      </c>
      <c r="AE841" s="220">
        <f>'[2]Изложницы без бурта'!C841</f>
        <v>260</v>
      </c>
      <c r="AF841" s="56">
        <f>'[2]Изложницы без бурта'!D841</f>
        <v>375</v>
      </c>
      <c r="AG841" s="56">
        <f>'[2]Изложницы без бурта'!E841</f>
        <v>450</v>
      </c>
      <c r="AH841" s="56" t="str">
        <f>'[2]Изложницы без бурта'!F841</f>
        <v>72.11872 - 26</v>
      </c>
      <c r="AI841" s="56">
        <f>'[2]Изложницы без бурта'!G841</f>
        <v>0</v>
      </c>
      <c r="AJ841" s="56">
        <f>'[2]Изложницы без бурта'!H841</f>
        <v>0</v>
      </c>
      <c r="AK841" s="56">
        <f>'[2]Изложницы без бурта'!I841</f>
        <v>0</v>
      </c>
      <c r="AL841" s="56" t="s">
        <v>652</v>
      </c>
      <c r="AM841" s="56">
        <f>'[2]Изложницы без бурта'!K841</f>
        <v>0</v>
      </c>
    </row>
    <row r="842" spans="28:39" x14ac:dyDescent="0.25">
      <c r="AB842" s="258" t="str">
        <f t="shared" si="23"/>
        <v/>
      </c>
      <c r="AC842" s="259" t="str">
        <f>IF(COUNTIF(AD$78:AD842,AD842)=1,MAX(AC$78:AC841)+1,"")</f>
        <v/>
      </c>
      <c r="AD842" s="220">
        <f>'[2]Изложницы без бурта'!B842</f>
        <v>285</v>
      </c>
      <c r="AE842" s="220">
        <f>'[2]Изложницы без бурта'!C842</f>
        <v>210</v>
      </c>
      <c r="AF842" s="56">
        <f>'[2]Изложницы без бурта'!D842</f>
        <v>360</v>
      </c>
      <c r="AG842" s="56">
        <f>'[2]Изложницы без бурта'!E842</f>
        <v>450</v>
      </c>
      <c r="AH842" s="56" t="str">
        <f>'[2]Изложницы без бурта'!F842</f>
        <v>10.246094 - 2</v>
      </c>
      <c r="AI842" s="56">
        <f>'[2]Изложницы без бурта'!G842</f>
        <v>0</v>
      </c>
      <c r="AJ842" s="56">
        <f>'[2]Изложницы без бурта'!H842</f>
        <v>0</v>
      </c>
      <c r="AK842" s="56">
        <f>'[2]Изложницы без бурта'!I842</f>
        <v>0</v>
      </c>
      <c r="AL842" s="56" t="s">
        <v>652</v>
      </c>
      <c r="AM842" s="56">
        <f>'[2]Изложницы без бурта'!K842</f>
        <v>0</v>
      </c>
    </row>
    <row r="843" spans="28:39" x14ac:dyDescent="0.25">
      <c r="AB843" s="258" t="str">
        <f t="shared" si="23"/>
        <v/>
      </c>
      <c r="AC843" s="259" t="str">
        <f>IF(COUNTIF(AD$78:AD843,AD843)=1,MAX(AC$78:AC842)+1,"")</f>
        <v/>
      </c>
      <c r="AD843" s="220">
        <f>'[2]Изложницы без бурта'!B843</f>
        <v>285</v>
      </c>
      <c r="AE843" s="220">
        <f>'[2]Изложницы без бурта'!C843</f>
        <v>260</v>
      </c>
      <c r="AF843" s="56">
        <f>'[2]Изложницы без бурта'!D843</f>
        <v>360</v>
      </c>
      <c r="AG843" s="56">
        <f>'[2]Изложницы без бурта'!E843</f>
        <v>450</v>
      </c>
      <c r="AH843" s="56" t="str">
        <f>'[2]Изложницы без бурта'!F843</f>
        <v>72.11872 - 26</v>
      </c>
      <c r="AI843" s="56">
        <f>'[2]Изложницы без бурта'!G843</f>
        <v>0</v>
      </c>
      <c r="AJ843" s="56">
        <f>'[2]Изложницы без бурта'!H843</f>
        <v>0</v>
      </c>
      <c r="AK843" s="56">
        <f>'[2]Изложницы без бурта'!I843</f>
        <v>0</v>
      </c>
      <c r="AL843" s="56" t="s">
        <v>652</v>
      </c>
      <c r="AM843" s="56">
        <f>'[2]Изложницы без бурта'!K843</f>
        <v>0</v>
      </c>
    </row>
    <row r="844" spans="28:39" x14ac:dyDescent="0.25">
      <c r="AB844" s="258" t="str">
        <f t="shared" si="23"/>
        <v/>
      </c>
      <c r="AC844" s="259" t="str">
        <f>IF(COUNTIF(AD$78:AD844,AD844)=1,MAX(AC$78:AC843)+1,"")</f>
        <v/>
      </c>
      <c r="AD844" s="220">
        <f>'[2]Изложницы без бурта'!B844</f>
        <v>285</v>
      </c>
      <c r="AE844" s="220">
        <f>'[2]Изложницы без бурта'!C844</f>
        <v>257</v>
      </c>
      <c r="AF844" s="56">
        <f>'[2]Изложницы без бурта'!D844</f>
        <v>375</v>
      </c>
      <c r="AG844" s="56">
        <f>'[2]Изложницы без бурта'!E844</f>
        <v>450</v>
      </c>
      <c r="AH844" s="56" t="str">
        <f>'[2]Изложницы без бурта'!F844</f>
        <v>72.11872 - 26</v>
      </c>
      <c r="AI844" s="56">
        <f>'[2]Изложницы без бурта'!G844</f>
        <v>0</v>
      </c>
      <c r="AJ844" s="56">
        <f>'[2]Изложницы без бурта'!H844</f>
        <v>0</v>
      </c>
      <c r="AK844" s="56">
        <f>'[2]Изложницы без бурта'!I844</f>
        <v>0</v>
      </c>
      <c r="AL844" s="56" t="s">
        <v>652</v>
      </c>
      <c r="AM844" s="56">
        <f>'[2]Изложницы без бурта'!K844</f>
        <v>0</v>
      </c>
    </row>
    <row r="845" spans="28:39" x14ac:dyDescent="0.25">
      <c r="AB845" s="258" t="str">
        <f t="shared" si="23"/>
        <v/>
      </c>
      <c r="AC845" s="259" t="str">
        <f>IF(COUNTIF(AD$78:AD845,AD845)=1,MAX(AC$78:AC844)+1,"")</f>
        <v/>
      </c>
      <c r="AD845" s="220">
        <f>'[2]Изложницы без бурта'!B845</f>
        <v>285</v>
      </c>
      <c r="AE845" s="220">
        <f>'[2]Изложницы без бурта'!C845</f>
        <v>378</v>
      </c>
      <c r="AF845" s="56">
        <f>'[2]Изложницы без бурта'!D845</f>
        <v>360</v>
      </c>
      <c r="AG845" s="56">
        <f>'[2]Изложницы без бурта'!E845</f>
        <v>450</v>
      </c>
      <c r="AH845" s="56" t="str">
        <f>'[2]Изложницы без бурта'!F845</f>
        <v>72.11874 - 26</v>
      </c>
      <c r="AI845" s="56">
        <f>'[2]Изложницы без бурта'!G845</f>
        <v>0</v>
      </c>
      <c r="AJ845" s="56">
        <f>'[2]Изложницы без бурта'!H845</f>
        <v>0</v>
      </c>
      <c r="AK845" s="56">
        <f>'[2]Изложницы без бурта'!I845</f>
        <v>0</v>
      </c>
      <c r="AL845" s="56" t="s">
        <v>652</v>
      </c>
      <c r="AM845" s="56">
        <f>'[2]Изложницы без бурта'!K845</f>
        <v>0</v>
      </c>
    </row>
    <row r="846" spans="28:39" x14ac:dyDescent="0.25">
      <c r="AB846" s="258" t="str">
        <f t="shared" si="23"/>
        <v/>
      </c>
      <c r="AC846" s="259" t="str">
        <f>IF(COUNTIF(AD$78:AD846,AD846)=1,MAX(AC$78:AC845)+1,"")</f>
        <v/>
      </c>
      <c r="AD846" s="220">
        <f>'[2]Изложницы без бурта'!B846</f>
        <v>285</v>
      </c>
      <c r="AE846" s="220">
        <f>'[2]Изложницы без бурта'!C846</f>
        <v>379</v>
      </c>
      <c r="AF846" s="56">
        <f>'[2]Изложницы без бурта'!D846</f>
        <v>360</v>
      </c>
      <c r="AG846" s="56">
        <f>'[2]Изложницы без бурта'!E846</f>
        <v>450</v>
      </c>
      <c r="AH846" s="56" t="str">
        <f>'[2]Изложницы без бурта'!F846</f>
        <v>72.11874 - 26</v>
      </c>
      <c r="AI846" s="56">
        <f>'[2]Изложницы без бурта'!G846</f>
        <v>0</v>
      </c>
      <c r="AJ846" s="56">
        <f>'[2]Изложницы без бурта'!H846</f>
        <v>0</v>
      </c>
      <c r="AK846" s="56">
        <f>'[2]Изложницы без бурта'!I846</f>
        <v>0</v>
      </c>
      <c r="AL846" s="56" t="s">
        <v>652</v>
      </c>
      <c r="AM846" s="56">
        <f>'[2]Изложницы без бурта'!K846</f>
        <v>0</v>
      </c>
    </row>
    <row r="847" spans="28:39" x14ac:dyDescent="0.25">
      <c r="AB847" s="258" t="str">
        <f t="shared" si="23"/>
        <v/>
      </c>
      <c r="AC847" s="259" t="str">
        <f>IF(COUNTIF(AD$78:AD847,AD847)=1,MAX(AC$78:AC846)+1,"")</f>
        <v/>
      </c>
      <c r="AD847" s="220">
        <f>'[2]Изложницы без бурта'!B847</f>
        <v>285</v>
      </c>
      <c r="AE847" s="220">
        <f>'[2]Изложницы без бурта'!C847</f>
        <v>315</v>
      </c>
      <c r="AF847" s="56">
        <f>'[2]Изложницы без бурта'!D847</f>
        <v>375</v>
      </c>
      <c r="AG847" s="56">
        <f>'[2]Изложницы без бурта'!E847</f>
        <v>450</v>
      </c>
      <c r="AH847" s="56" t="str">
        <f>'[2]Изложницы без бурта'!F847</f>
        <v>72.11873 - 26</v>
      </c>
      <c r="AI847" s="56">
        <f>'[2]Изложницы без бурта'!G847</f>
        <v>0</v>
      </c>
      <c r="AJ847" s="56">
        <f>'[2]Изложницы без бурта'!H847</f>
        <v>0</v>
      </c>
      <c r="AK847" s="56">
        <f>'[2]Изложницы без бурта'!I847</f>
        <v>0</v>
      </c>
      <c r="AL847" s="56" t="s">
        <v>652</v>
      </c>
      <c r="AM847" s="56">
        <f>'[2]Изложницы без бурта'!K847</f>
        <v>0</v>
      </c>
    </row>
    <row r="848" spans="28:39" x14ac:dyDescent="0.25">
      <c r="AB848" s="258" t="str">
        <f t="shared" si="23"/>
        <v/>
      </c>
      <c r="AC848" s="259" t="str">
        <f>IF(COUNTIF(AD$78:AD848,AD848)=1,MAX(AC$78:AC847)+1,"")</f>
        <v/>
      </c>
      <c r="AD848" s="220">
        <f>'[2]Изложницы без бурта'!B848</f>
        <v>285</v>
      </c>
      <c r="AE848" s="220">
        <f>'[2]Изложницы без бурта'!C848</f>
        <v>375</v>
      </c>
      <c r="AF848" s="56">
        <f>'[2]Изложницы без бурта'!D848</f>
        <v>360</v>
      </c>
      <c r="AG848" s="56">
        <f>'[2]Изложницы без бурта'!E848</f>
        <v>450</v>
      </c>
      <c r="AH848" s="56" t="str">
        <f>'[2]Изложницы без бурта'!F848</f>
        <v>72.11874 - 26</v>
      </c>
      <c r="AI848" s="56">
        <f>'[2]Изложницы без бурта'!G848</f>
        <v>0</v>
      </c>
      <c r="AJ848" s="56">
        <f>'[2]Изложницы без бурта'!H848</f>
        <v>0</v>
      </c>
      <c r="AK848" s="56">
        <f>'[2]Изложницы без бурта'!I848</f>
        <v>0</v>
      </c>
      <c r="AL848" s="56" t="s">
        <v>652</v>
      </c>
      <c r="AM848" s="56">
        <f>'[2]Изложницы без бурта'!K848</f>
        <v>0</v>
      </c>
    </row>
    <row r="849" spans="28:39" x14ac:dyDescent="0.25">
      <c r="AB849" s="258" t="str">
        <f t="shared" si="23"/>
        <v/>
      </c>
      <c r="AC849" s="259" t="str">
        <f>IF(COUNTIF(AD$78:AD849,AD849)=1,MAX(AC$78:AC848)+1,"")</f>
        <v/>
      </c>
      <c r="AD849" s="220">
        <f>'[2]Изложницы без бурта'!B849</f>
        <v>285</v>
      </c>
      <c r="AE849" s="220">
        <f>'[2]Изложницы без бурта'!C849</f>
        <v>375</v>
      </c>
      <c r="AF849" s="56">
        <f>'[2]Изложницы без бурта'!D849</f>
        <v>375</v>
      </c>
      <c r="AG849" s="56">
        <f>'[2]Изложницы без бурта'!E849</f>
        <v>450</v>
      </c>
      <c r="AH849" s="56" t="str">
        <f>'[2]Изложницы без бурта'!F849</f>
        <v>72.11874 - 26</v>
      </c>
      <c r="AI849" s="56">
        <f>'[2]Изложницы без бурта'!G849</f>
        <v>0</v>
      </c>
      <c r="AJ849" s="56">
        <f>'[2]Изложницы без бурта'!H849</f>
        <v>0</v>
      </c>
      <c r="AK849" s="56">
        <f>'[2]Изложницы без бурта'!I849</f>
        <v>0</v>
      </c>
      <c r="AL849" s="56" t="s">
        <v>652</v>
      </c>
      <c r="AM849" s="56">
        <f>'[2]Изложницы без бурта'!K849</f>
        <v>0</v>
      </c>
    </row>
    <row r="850" spans="28:39" x14ac:dyDescent="0.25">
      <c r="AB850" s="258" t="str">
        <f t="shared" si="23"/>
        <v/>
      </c>
      <c r="AC850" s="259" t="str">
        <f>IF(COUNTIF(AD$78:AD850,AD850)=1,MAX(AC$78:AC849)+1,"")</f>
        <v/>
      </c>
      <c r="AD850" s="220">
        <f>'[2]Изложницы без бурта'!B850</f>
        <v>285</v>
      </c>
      <c r="AE850" s="220">
        <f>'[2]Изложницы без бурта'!C850</f>
        <v>317</v>
      </c>
      <c r="AF850" s="56">
        <f>'[2]Изложницы без бурта'!D850</f>
        <v>360</v>
      </c>
      <c r="AG850" s="56">
        <f>'[2]Изложницы без бурта'!E850</f>
        <v>450</v>
      </c>
      <c r="AH850" s="56" t="str">
        <f>'[2]Изложницы без бурта'!F850</f>
        <v>72.11873 - 26</v>
      </c>
      <c r="AI850" s="56">
        <f>'[2]Изложницы без бурта'!G850</f>
        <v>0</v>
      </c>
      <c r="AJ850" s="56">
        <f>'[2]Изложницы без бурта'!H850</f>
        <v>0</v>
      </c>
      <c r="AK850" s="56">
        <f>'[2]Изложницы без бурта'!I850</f>
        <v>0</v>
      </c>
      <c r="AL850" s="56" t="s">
        <v>652</v>
      </c>
      <c r="AM850" s="56">
        <f>'[2]Изложницы без бурта'!K850</f>
        <v>0</v>
      </c>
    </row>
    <row r="851" spans="28:39" x14ac:dyDescent="0.25">
      <c r="AB851" s="258" t="str">
        <f t="shared" si="23"/>
        <v/>
      </c>
      <c r="AC851" s="259" t="str">
        <f>IF(COUNTIF(AD$78:AD851,AD851)=1,MAX(AC$78:AC850)+1,"")</f>
        <v/>
      </c>
      <c r="AD851" s="220">
        <f>'[2]Изложницы без бурта'!B851</f>
        <v>285</v>
      </c>
      <c r="AE851" s="220">
        <f>'[2]Изложницы без бурта'!C851</f>
        <v>318</v>
      </c>
      <c r="AF851" s="56">
        <f>'[2]Изложницы без бурта'!D851</f>
        <v>360</v>
      </c>
      <c r="AG851" s="56">
        <f>'[2]Изложницы без бурта'!E851</f>
        <v>450</v>
      </c>
      <c r="AH851" s="56" t="str">
        <f>'[2]Изложницы без бурта'!F851</f>
        <v>72.11873 - 26</v>
      </c>
      <c r="AI851" s="56">
        <f>'[2]Изложницы без бурта'!G851</f>
        <v>0</v>
      </c>
      <c r="AJ851" s="56">
        <f>'[2]Изложницы без бурта'!H851</f>
        <v>0</v>
      </c>
      <c r="AK851" s="56">
        <f>'[2]Изложницы без бурта'!I851</f>
        <v>0</v>
      </c>
      <c r="AL851" s="56" t="s">
        <v>652</v>
      </c>
      <c r="AM851" s="56">
        <f>'[2]Изложницы без бурта'!K851</f>
        <v>0</v>
      </c>
    </row>
    <row r="852" spans="28:39" x14ac:dyDescent="0.25">
      <c r="AB852" s="258" t="str">
        <f t="shared" si="23"/>
        <v/>
      </c>
      <c r="AC852" s="259" t="str">
        <f>IF(COUNTIF(AD$78:AD852,AD852)=1,MAX(AC$78:AC851)+1,"")</f>
        <v/>
      </c>
      <c r="AD852" s="220">
        <f>'[2]Изложницы без бурта'!B852</f>
        <v>285</v>
      </c>
      <c r="AE852" s="220">
        <f>'[2]Изложницы без бурта'!C852</f>
        <v>437</v>
      </c>
      <c r="AF852" s="56">
        <f>'[2]Изложницы без бурта'!D852</f>
        <v>375</v>
      </c>
      <c r="AG852" s="56">
        <f>'[2]Изложницы без бурта'!E852</f>
        <v>400</v>
      </c>
      <c r="AH852" s="56" t="str">
        <f>'[2]Изложницы без бурта'!F852</f>
        <v>10.241070 - 2</v>
      </c>
      <c r="AI852" s="56">
        <f>'[2]Изложницы без бурта'!G852</f>
        <v>0</v>
      </c>
      <c r="AJ852" s="56">
        <f>'[2]Изложницы без бурта'!H852</f>
        <v>0</v>
      </c>
      <c r="AK852" s="56">
        <f>'[2]Изложницы без бурта'!I852</f>
        <v>0</v>
      </c>
      <c r="AL852" s="56" t="s">
        <v>652</v>
      </c>
      <c r="AM852" s="56">
        <f>'[2]Изложницы без бурта'!K852</f>
        <v>0</v>
      </c>
    </row>
    <row r="853" spans="28:39" x14ac:dyDescent="0.25">
      <c r="AB853" s="258" t="str">
        <f t="shared" si="23"/>
        <v/>
      </c>
      <c r="AC853" s="259" t="str">
        <f>IF(COUNTIF(AD$78:AD853,AD853)=1,MAX(AC$78:AC852)+1,"")</f>
        <v/>
      </c>
      <c r="AD853" s="220">
        <f>'[2]Изложницы без бурта'!B853</f>
        <v>285</v>
      </c>
      <c r="AE853" s="220">
        <f>'[2]Изложницы без бурта'!C853</f>
        <v>320</v>
      </c>
      <c r="AF853" s="56">
        <f>'[2]Изложницы без бурта'!D853</f>
        <v>360</v>
      </c>
      <c r="AG853" s="56">
        <f>'[2]Изложницы без бурта'!E853</f>
        <v>450</v>
      </c>
      <c r="AH853" s="56" t="str">
        <f>'[2]Изложницы без бурта'!F853</f>
        <v>72.11873 - 26</v>
      </c>
      <c r="AI853" s="56">
        <f>'[2]Изложницы без бурта'!G853</f>
        <v>0</v>
      </c>
      <c r="AJ853" s="56">
        <f>'[2]Изложницы без бурта'!H853</f>
        <v>0</v>
      </c>
      <c r="AK853" s="56">
        <f>'[2]Изложницы без бурта'!I853</f>
        <v>0</v>
      </c>
      <c r="AL853" s="56" t="s">
        <v>652</v>
      </c>
      <c r="AM853" s="56">
        <f>'[2]Изложницы без бурта'!K853</f>
        <v>0</v>
      </c>
    </row>
    <row r="854" spans="28:39" x14ac:dyDescent="0.25">
      <c r="AB854" s="258" t="str">
        <f t="shared" si="23"/>
        <v/>
      </c>
      <c r="AC854" s="259" t="str">
        <f>IF(COUNTIF(AD$78:AD854,AD854)=1,MAX(AC$78:AC853)+1,"")</f>
        <v/>
      </c>
      <c r="AD854" s="220">
        <f>'[2]Изложницы без бурта'!B854</f>
        <v>285</v>
      </c>
      <c r="AE854" s="220">
        <f>'[2]Изложницы без бурта'!C854</f>
        <v>260</v>
      </c>
      <c r="AF854" s="56">
        <f>'[2]Изложницы без бурта'!D854</f>
        <v>360</v>
      </c>
      <c r="AG854" s="56">
        <f>'[2]Изложницы без бурта'!E854</f>
        <v>450</v>
      </c>
      <c r="AH854" s="56" t="str">
        <f>'[2]Изложницы без бурта'!F854</f>
        <v>72.11872 - 26</v>
      </c>
      <c r="AI854" s="56">
        <f>'[2]Изложницы без бурта'!G854</f>
        <v>0</v>
      </c>
      <c r="AJ854" s="56">
        <f>'[2]Изложницы без бурта'!H854</f>
        <v>0</v>
      </c>
      <c r="AK854" s="56">
        <f>'[2]Изложницы без бурта'!I854</f>
        <v>0</v>
      </c>
      <c r="AL854" s="56" t="s">
        <v>652</v>
      </c>
      <c r="AM854" s="56">
        <f>'[2]Изложницы без бурта'!K854</f>
        <v>0</v>
      </c>
    </row>
    <row r="855" spans="28:39" x14ac:dyDescent="0.25">
      <c r="AB855" s="258" t="str">
        <f t="shared" si="23"/>
        <v/>
      </c>
      <c r="AC855" s="259" t="str">
        <f>IF(COUNTIF(AD$78:AD855,AD855)=1,MAX(AC$78:AC854)+1,"")</f>
        <v/>
      </c>
      <c r="AD855" s="220">
        <f>'[2]Изложницы без бурта'!B855</f>
        <v>285</v>
      </c>
      <c r="AE855" s="220">
        <f>'[2]Изложницы без бурта'!C855</f>
        <v>257</v>
      </c>
      <c r="AF855" s="56">
        <f>'[2]Изложницы без бурта'!D855</f>
        <v>360</v>
      </c>
      <c r="AG855" s="56">
        <f>'[2]Изложницы без бурта'!E855</f>
        <v>450</v>
      </c>
      <c r="AH855" s="56" t="str">
        <f>'[2]Изложницы без бурта'!F855</f>
        <v>72.11872 - 26</v>
      </c>
      <c r="AI855" s="56">
        <f>'[2]Изложницы без бурта'!G855</f>
        <v>0</v>
      </c>
      <c r="AJ855" s="56">
        <f>'[2]Изложницы без бурта'!H855</f>
        <v>0</v>
      </c>
      <c r="AK855" s="56">
        <f>'[2]Изложницы без бурта'!I855</f>
        <v>0</v>
      </c>
      <c r="AL855" s="56" t="s">
        <v>652</v>
      </c>
      <c r="AM855" s="56">
        <f>'[2]Изложницы без бурта'!K855</f>
        <v>0</v>
      </c>
    </row>
    <row r="856" spans="28:39" x14ac:dyDescent="0.25">
      <c r="AB856" s="258" t="str">
        <f t="shared" si="23"/>
        <v/>
      </c>
      <c r="AC856" s="259" t="str">
        <f>IF(COUNTIF(AD$78:AD856,AD856)=1,MAX(AC$78:AC855)+1,"")</f>
        <v/>
      </c>
      <c r="AD856" s="220">
        <f>'[2]Изложницы без бурта'!B856</f>
        <v>285</v>
      </c>
      <c r="AE856" s="220">
        <f>'[2]Изложницы без бурта'!C856</f>
        <v>440</v>
      </c>
      <c r="AF856" s="56">
        <f>'[2]Изложницы без бурта'!D856</f>
        <v>375</v>
      </c>
      <c r="AG856" s="56">
        <f>'[2]Изложницы без бурта'!E856</f>
        <v>400</v>
      </c>
      <c r="AH856" s="56" t="str">
        <f>'[2]Изложницы без бурта'!F856</f>
        <v>10.241070 - 2</v>
      </c>
      <c r="AI856" s="56">
        <f>'[2]Изложницы без бурта'!G856</f>
        <v>0</v>
      </c>
      <c r="AJ856" s="56">
        <f>'[2]Изложницы без бурта'!H856</f>
        <v>0</v>
      </c>
      <c r="AK856" s="56">
        <f>'[2]Изложницы без бурта'!I856</f>
        <v>0</v>
      </c>
      <c r="AL856" s="56" t="s">
        <v>652</v>
      </c>
      <c r="AM856" s="56">
        <f>'[2]Изложницы без бурта'!K856</f>
        <v>0</v>
      </c>
    </row>
    <row r="857" spans="28:39" x14ac:dyDescent="0.25">
      <c r="AB857" s="258" t="str">
        <f t="shared" si="23"/>
        <v/>
      </c>
      <c r="AC857" s="259" t="str">
        <f>IF(COUNTIF(AD$78:AD857,AD857)=1,MAX(AC$78:AC856)+1,"")</f>
        <v/>
      </c>
      <c r="AD857" s="220">
        <f>'[2]Изложницы без бурта'!B857</f>
        <v>285</v>
      </c>
      <c r="AE857" s="220">
        <f>'[2]Изложницы без бурта'!C857</f>
        <v>320</v>
      </c>
      <c r="AF857" s="56">
        <f>'[2]Изложницы без бурта'!D857</f>
        <v>360</v>
      </c>
      <c r="AG857" s="56">
        <f>'[2]Изложницы без бурта'!E857</f>
        <v>450</v>
      </c>
      <c r="AH857" s="56" t="str">
        <f>'[2]Изложницы без бурта'!F857</f>
        <v>72.11873 - 26</v>
      </c>
      <c r="AI857" s="56">
        <f>'[2]Изложницы без бурта'!G857</f>
        <v>0</v>
      </c>
      <c r="AJ857" s="56">
        <f>'[2]Изложницы без бурта'!H857</f>
        <v>0</v>
      </c>
      <c r="AK857" s="56">
        <f>'[2]Изложницы без бурта'!I857</f>
        <v>0</v>
      </c>
      <c r="AL857" s="56" t="s">
        <v>652</v>
      </c>
      <c r="AM857" s="56">
        <f>'[2]Изложницы без бурта'!K857</f>
        <v>0</v>
      </c>
    </row>
    <row r="858" spans="28:39" x14ac:dyDescent="0.25">
      <c r="AB858" s="258" t="str">
        <f t="shared" si="23"/>
        <v/>
      </c>
      <c r="AC858" s="259" t="str">
        <f>IF(COUNTIF(AD$78:AD858,AD858)=1,MAX(AC$78:AC857)+1,"")</f>
        <v/>
      </c>
      <c r="AD858" s="220">
        <f>'[2]Изложницы без бурта'!B858</f>
        <v>285</v>
      </c>
      <c r="AE858" s="220">
        <f>'[2]Изложницы без бурта'!C858</f>
        <v>260</v>
      </c>
      <c r="AF858" s="56">
        <f>'[2]Изложницы без бурта'!D858</f>
        <v>375</v>
      </c>
      <c r="AG858" s="56">
        <f>'[2]Изложницы без бурта'!E858</f>
        <v>450</v>
      </c>
      <c r="AH858" s="56" t="str">
        <f>'[2]Изложницы без бурта'!F858</f>
        <v>72.11872 - 26</v>
      </c>
      <c r="AI858" s="56">
        <f>'[2]Изложницы без бурта'!G858</f>
        <v>0</v>
      </c>
      <c r="AJ858" s="56">
        <f>'[2]Изложницы без бурта'!H858</f>
        <v>0</v>
      </c>
      <c r="AK858" s="56">
        <f>'[2]Изложницы без бурта'!I858</f>
        <v>0</v>
      </c>
      <c r="AL858" s="56" t="s">
        <v>652</v>
      </c>
      <c r="AM858" s="56">
        <f>'[2]Изложницы без бурта'!K858</f>
        <v>0</v>
      </c>
    </row>
    <row r="859" spans="28:39" x14ac:dyDescent="0.25">
      <c r="AB859" s="258" t="str">
        <f t="shared" si="23"/>
        <v/>
      </c>
      <c r="AC859" s="259" t="str">
        <f>IF(COUNTIF(AD$78:AD859,AD859)=1,MAX(AC$78:AC858)+1,"")</f>
        <v/>
      </c>
      <c r="AD859" s="220">
        <f>'[2]Изложницы без бурта'!B859</f>
        <v>285</v>
      </c>
      <c r="AE859" s="220">
        <f>'[2]Изложницы без бурта'!C859</f>
        <v>318</v>
      </c>
      <c r="AF859" s="56">
        <f>'[2]Изложницы без бурта'!D859</f>
        <v>360</v>
      </c>
      <c r="AG859" s="56">
        <f>'[2]Изложницы без бурта'!E859</f>
        <v>450</v>
      </c>
      <c r="AH859" s="56" t="str">
        <f>'[2]Изложницы без бурта'!F859</f>
        <v>72.11873 - 26</v>
      </c>
      <c r="AI859" s="56">
        <f>'[2]Изложницы без бурта'!G859</f>
        <v>0</v>
      </c>
      <c r="AJ859" s="56">
        <f>'[2]Изложницы без бурта'!H859</f>
        <v>0</v>
      </c>
      <c r="AK859" s="56">
        <f>'[2]Изложницы без бурта'!I859</f>
        <v>0</v>
      </c>
      <c r="AL859" s="56" t="s">
        <v>652</v>
      </c>
      <c r="AM859" s="56">
        <f>'[2]Изложницы без бурта'!K859</f>
        <v>0</v>
      </c>
    </row>
    <row r="860" spans="28:39" x14ac:dyDescent="0.25">
      <c r="AB860" s="258" t="str">
        <f t="shared" si="23"/>
        <v/>
      </c>
      <c r="AC860" s="259" t="str">
        <f>IF(COUNTIF(AD$78:AD860,AD860)=1,MAX(AC$78:AC859)+1,"")</f>
        <v/>
      </c>
      <c r="AD860" s="220">
        <f>'[2]Изложницы без бурта'!B860</f>
        <v>285</v>
      </c>
      <c r="AE860" s="220">
        <f>'[2]Изложницы без бурта'!C860</f>
        <v>260</v>
      </c>
      <c r="AF860" s="56">
        <f>'[2]Изложницы без бурта'!D860</f>
        <v>360</v>
      </c>
      <c r="AG860" s="56">
        <f>'[2]Изложницы без бурта'!E860</f>
        <v>450</v>
      </c>
      <c r="AH860" s="56" t="str">
        <f>'[2]Изложницы без бурта'!F860</f>
        <v>72.11872 - 26</v>
      </c>
      <c r="AI860" s="56">
        <f>'[2]Изложницы без бурта'!G860</f>
        <v>0</v>
      </c>
      <c r="AJ860" s="56">
        <f>'[2]Изложницы без бурта'!H860</f>
        <v>0</v>
      </c>
      <c r="AK860" s="56">
        <f>'[2]Изложницы без бурта'!I860</f>
        <v>0</v>
      </c>
      <c r="AL860" s="56" t="s">
        <v>652</v>
      </c>
      <c r="AM860" s="56">
        <f>'[2]Изложницы без бурта'!K860</f>
        <v>0</v>
      </c>
    </row>
    <row r="861" spans="28:39" x14ac:dyDescent="0.25">
      <c r="AB861" s="258" t="str">
        <f t="shared" si="23"/>
        <v/>
      </c>
      <c r="AC861" s="259">
        <f>IF(COUNTIF(AD$78:AD861,AD861)=1,MAX(AC$78:AC860)+1,"")</f>
        <v>79</v>
      </c>
      <c r="AD861" s="220">
        <f>'[2]Изложницы без бурта'!B861</f>
        <v>287.5</v>
      </c>
      <c r="AE861" s="220">
        <f>'[2]Изложницы без бурта'!C861</f>
        <v>495</v>
      </c>
      <c r="AF861" s="56">
        <f>'[2]Изложницы без бурта'!D861</f>
        <v>375</v>
      </c>
      <c r="AG861" s="56">
        <f>'[2]Изложницы без бурта'!E861</f>
        <v>400</v>
      </c>
      <c r="AH861" s="56" t="str">
        <f>'[2]Изложницы без бурта'!F861</f>
        <v>72.23398 - 27</v>
      </c>
      <c r="AI861" s="56">
        <f>'[2]Изложницы без бурта'!G861</f>
        <v>7260045</v>
      </c>
      <c r="AJ861" s="56">
        <f>'[2]Изложницы без бурта'!H861</f>
        <v>0</v>
      </c>
      <c r="AK861" s="56">
        <f>'[2]Изложницы без бурта'!I861</f>
        <v>0</v>
      </c>
      <c r="AL861" s="56" t="s">
        <v>652</v>
      </c>
      <c r="AM861" s="56">
        <f>'[2]Изложницы без бурта'!K861</f>
        <v>0</v>
      </c>
    </row>
    <row r="862" spans="28:39" x14ac:dyDescent="0.25">
      <c r="AB862" s="258" t="str">
        <f t="shared" si="23"/>
        <v/>
      </c>
      <c r="AC862" s="259" t="str">
        <f>IF(COUNTIF(AD$78:AD862,AD862)=1,MAX(AC$78:AC861)+1,"")</f>
        <v/>
      </c>
      <c r="AD862" s="220">
        <f>'[2]Изложницы без бурта'!B862</f>
        <v>287.5</v>
      </c>
      <c r="AE862" s="220">
        <f>'[2]Изложницы без бурта'!C862</f>
        <v>258</v>
      </c>
      <c r="AF862" s="56">
        <f>'[2]Изложницы без бурта'!D862</f>
        <v>360</v>
      </c>
      <c r="AG862" s="56">
        <f>'[2]Изложницы без бурта'!E862</f>
        <v>450</v>
      </c>
      <c r="AH862" s="56" t="str">
        <f>'[2]Изложницы без бурта'!F862</f>
        <v>72.11872 - 27</v>
      </c>
      <c r="AI862" s="56">
        <f>'[2]Изложницы без бурта'!G862</f>
        <v>0</v>
      </c>
      <c r="AJ862" s="56">
        <f>'[2]Изложницы без бурта'!H862</f>
        <v>0</v>
      </c>
      <c r="AK862" s="56">
        <f>'[2]Изложницы без бурта'!I862</f>
        <v>0</v>
      </c>
      <c r="AL862" s="56" t="s">
        <v>652</v>
      </c>
      <c r="AM862" s="56">
        <f>'[2]Изложницы без бурта'!K862</f>
        <v>0</v>
      </c>
    </row>
    <row r="863" spans="28:39" x14ac:dyDescent="0.25">
      <c r="AB863" s="258" t="str">
        <f t="shared" si="23"/>
        <v/>
      </c>
      <c r="AC863" s="259" t="str">
        <f>IF(COUNTIF(AD$78:AD863,AD863)=1,MAX(AC$78:AC862)+1,"")</f>
        <v/>
      </c>
      <c r="AD863" s="220">
        <f>'[2]Изложницы без бурта'!B863</f>
        <v>287.5</v>
      </c>
      <c r="AE863" s="220">
        <f>'[2]Изложницы без бурта'!C863</f>
        <v>415</v>
      </c>
      <c r="AF863" s="56">
        <f>'[2]Изложницы без бурта'!D863</f>
        <v>360</v>
      </c>
      <c r="AG863" s="56">
        <f>'[2]Изложницы без бурта'!E863</f>
        <v>400</v>
      </c>
      <c r="AH863" s="56" t="str">
        <f>'[2]Изложницы без бурта'!F863</f>
        <v>72.42346 - 04</v>
      </c>
      <c r="AI863" s="56">
        <f>'[2]Изложницы без бурта'!G863</f>
        <v>7260046</v>
      </c>
      <c r="AJ863" s="56">
        <f>'[2]Изложницы без бурта'!H863</f>
        <v>0</v>
      </c>
      <c r="AK863" s="56">
        <f>'[2]Изложницы без бурта'!I863</f>
        <v>0</v>
      </c>
      <c r="AL863" s="56" t="s">
        <v>652</v>
      </c>
      <c r="AM863" s="56">
        <f>'[2]Изложницы без бурта'!K863</f>
        <v>0</v>
      </c>
    </row>
    <row r="864" spans="28:39" x14ac:dyDescent="0.25">
      <c r="AB864" s="258" t="str">
        <f t="shared" si="23"/>
        <v/>
      </c>
      <c r="AC864" s="259" t="str">
        <f>IF(COUNTIF(AD$78:AD864,AD864)=1,MAX(AC$78:AC863)+1,"")</f>
        <v/>
      </c>
      <c r="AD864" s="220">
        <f>'[2]Изложницы без бурта'!B864</f>
        <v>287.5</v>
      </c>
      <c r="AE864" s="220">
        <f>'[2]Изложницы без бурта'!C864</f>
        <v>440</v>
      </c>
      <c r="AF864" s="56">
        <f>'[2]Изложницы без бурта'!D864</f>
        <v>375</v>
      </c>
      <c r="AG864" s="56">
        <f>'[2]Изложницы без бурта'!E864</f>
        <v>400</v>
      </c>
      <c r="AH864" s="56" t="str">
        <f>'[2]Изложницы без бурта'!F864</f>
        <v>10.241070 - 3</v>
      </c>
      <c r="AI864" s="56">
        <f>'[2]Изложницы без бурта'!G864</f>
        <v>0</v>
      </c>
      <c r="AJ864" s="56">
        <f>'[2]Изложницы без бурта'!H864</f>
        <v>0</v>
      </c>
      <c r="AK864" s="56">
        <f>'[2]Изложницы без бурта'!I864</f>
        <v>0</v>
      </c>
      <c r="AL864" s="56" t="s">
        <v>653</v>
      </c>
      <c r="AM864" s="56">
        <f>'[2]Изложницы без бурта'!K864</f>
        <v>0</v>
      </c>
    </row>
    <row r="865" spans="28:39" x14ac:dyDescent="0.25">
      <c r="AB865" s="258" t="str">
        <f t="shared" si="23"/>
        <v/>
      </c>
      <c r="AC865" s="259" t="str">
        <f>IF(COUNTIF(AD$78:AD865,AD865)=1,MAX(AC$78:AC864)+1,"")</f>
        <v/>
      </c>
      <c r="AD865" s="220">
        <f>'[2]Изложницы без бурта'!B865</f>
        <v>287.5</v>
      </c>
      <c r="AE865" s="220">
        <f>'[2]Изложницы без бурта'!C865</f>
        <v>260</v>
      </c>
      <c r="AF865" s="56">
        <f>'[2]Изложницы без бурта'!D865</f>
        <v>360</v>
      </c>
      <c r="AG865" s="56">
        <f>'[2]Изложницы без бурта'!E865</f>
        <v>450</v>
      </c>
      <c r="AH865" s="56" t="str">
        <f>'[2]Изложницы без бурта'!F865</f>
        <v>72.11872 - 27</v>
      </c>
      <c r="AI865" s="56">
        <f>'[2]Изложницы без бурта'!G865</f>
        <v>0</v>
      </c>
      <c r="AJ865" s="56">
        <f>'[2]Изложницы без бурта'!H865</f>
        <v>0</v>
      </c>
      <c r="AK865" s="56">
        <f>'[2]Изложницы без бурта'!I865</f>
        <v>0</v>
      </c>
      <c r="AL865" s="56" t="s">
        <v>653</v>
      </c>
      <c r="AM865" s="56">
        <f>'[2]Изложницы без бурта'!K865</f>
        <v>0</v>
      </c>
    </row>
    <row r="866" spans="28:39" x14ac:dyDescent="0.25">
      <c r="AB866" s="258" t="str">
        <f t="shared" si="23"/>
        <v/>
      </c>
      <c r="AC866" s="259" t="str">
        <f>IF(COUNTIF(AD$78:AD866,AD866)=1,MAX(AC$78:AC865)+1,"")</f>
        <v/>
      </c>
      <c r="AD866" s="220">
        <f>'[2]Изложницы без бурта'!B866</f>
        <v>287.5</v>
      </c>
      <c r="AE866" s="220">
        <f>'[2]Изложницы без бурта'!C866</f>
        <v>258</v>
      </c>
      <c r="AF866" s="56">
        <f>'[2]Изложницы без бурта'!D866</f>
        <v>360</v>
      </c>
      <c r="AG866" s="56">
        <f>'[2]Изложницы без бурта'!E866</f>
        <v>450</v>
      </c>
      <c r="AH866" s="56" t="str">
        <f>'[2]Изложницы без бурта'!F866</f>
        <v>72.11872 - 27</v>
      </c>
      <c r="AI866" s="56">
        <f>'[2]Изложницы без бурта'!G866</f>
        <v>0</v>
      </c>
      <c r="AJ866" s="56">
        <f>'[2]Изложницы без бурта'!H866</f>
        <v>0</v>
      </c>
      <c r="AK866" s="56">
        <f>'[2]Изложницы без бурта'!I866</f>
        <v>0</v>
      </c>
      <c r="AL866" s="56" t="s">
        <v>653</v>
      </c>
      <c r="AM866" s="56">
        <f>'[2]Изложницы без бурта'!K866</f>
        <v>0</v>
      </c>
    </row>
    <row r="867" spans="28:39" x14ac:dyDescent="0.25">
      <c r="AB867" s="258" t="str">
        <f t="shared" si="23"/>
        <v/>
      </c>
      <c r="AC867" s="259" t="str">
        <f>IF(COUNTIF(AD$78:AD867,AD867)=1,MAX(AC$78:AC866)+1,"")</f>
        <v/>
      </c>
      <c r="AD867" s="220">
        <f>'[2]Изложницы без бурта'!B867</f>
        <v>287.5</v>
      </c>
      <c r="AE867" s="220">
        <f>'[2]Изложницы без бурта'!C867</f>
        <v>440</v>
      </c>
      <c r="AF867" s="56">
        <f>'[2]Изложницы без бурта'!D867</f>
        <v>375</v>
      </c>
      <c r="AG867" s="56">
        <f>'[2]Изложницы без бурта'!E867</f>
        <v>400</v>
      </c>
      <c r="AH867" s="56" t="str">
        <f>'[2]Изложницы без бурта'!F867</f>
        <v>10.241070 - 3</v>
      </c>
      <c r="AI867" s="56">
        <f>'[2]Изложницы без бурта'!G867</f>
        <v>0</v>
      </c>
      <c r="AJ867" s="56">
        <f>'[2]Изложницы без бурта'!H867</f>
        <v>0</v>
      </c>
      <c r="AK867" s="56">
        <f>'[2]Изложницы без бурта'!I867</f>
        <v>0</v>
      </c>
      <c r="AL867" s="56" t="s">
        <v>653</v>
      </c>
      <c r="AM867" s="56">
        <f>'[2]Изложницы без бурта'!K867</f>
        <v>0</v>
      </c>
    </row>
    <row r="868" spans="28:39" x14ac:dyDescent="0.25">
      <c r="AB868" s="258" t="str">
        <f t="shared" si="23"/>
        <v/>
      </c>
      <c r="AC868" s="259" t="str">
        <f>IF(COUNTIF(AD$78:AD868,AD868)=1,MAX(AC$78:AC867)+1,"")</f>
        <v/>
      </c>
      <c r="AD868" s="220">
        <f>'[2]Изложницы без бурта'!B868</f>
        <v>287.5</v>
      </c>
      <c r="AE868" s="220">
        <f>'[2]Изложницы без бурта'!C868</f>
        <v>260</v>
      </c>
      <c r="AF868" s="56">
        <f>'[2]Изложницы без бурта'!D868</f>
        <v>360</v>
      </c>
      <c r="AG868" s="56">
        <f>'[2]Изложницы без бурта'!E868</f>
        <v>450</v>
      </c>
      <c r="AH868" s="56" t="str">
        <f>'[2]Изложницы без бурта'!F868</f>
        <v>72.11872 - 27</v>
      </c>
      <c r="AI868" s="56">
        <f>'[2]Изложницы без бурта'!G868</f>
        <v>0</v>
      </c>
      <c r="AJ868" s="56">
        <f>'[2]Изложницы без бурта'!H868</f>
        <v>0</v>
      </c>
      <c r="AK868" s="56">
        <f>'[2]Изложницы без бурта'!I868</f>
        <v>0</v>
      </c>
      <c r="AL868" s="56" t="s">
        <v>653</v>
      </c>
      <c r="AM868" s="56">
        <f>'[2]Изложницы без бурта'!K868</f>
        <v>0</v>
      </c>
    </row>
    <row r="869" spans="28:39" x14ac:dyDescent="0.25">
      <c r="AB869" s="258" t="str">
        <f t="shared" si="23"/>
        <v/>
      </c>
      <c r="AC869" s="259" t="str">
        <f>IF(COUNTIF(AD$78:AD869,AD869)=1,MAX(AC$78:AC868)+1,"")</f>
        <v/>
      </c>
      <c r="AD869" s="220">
        <f>'[2]Изложницы без бурта'!B869</f>
        <v>287.5</v>
      </c>
      <c r="AE869" s="220">
        <f>'[2]Изложницы без бурта'!C869</f>
        <v>260</v>
      </c>
      <c r="AF869" s="56">
        <f>'[2]Изложницы без бурта'!D869</f>
        <v>360</v>
      </c>
      <c r="AG869" s="56">
        <f>'[2]Изложницы без бурта'!E869</f>
        <v>450</v>
      </c>
      <c r="AH869" s="56" t="str">
        <f>'[2]Изложницы без бурта'!F869</f>
        <v>72.11872 - 27</v>
      </c>
      <c r="AI869" s="56">
        <f>'[2]Изложницы без бурта'!G869</f>
        <v>0</v>
      </c>
      <c r="AJ869" s="56">
        <f>'[2]Изложницы без бурта'!H869</f>
        <v>0</v>
      </c>
      <c r="AK869" s="56">
        <f>'[2]Изложницы без бурта'!I869</f>
        <v>0</v>
      </c>
      <c r="AL869" s="56" t="s">
        <v>653</v>
      </c>
      <c r="AM869" s="56">
        <f>'[2]Изложницы без бурта'!K869</f>
        <v>0</v>
      </c>
    </row>
    <row r="870" spans="28:39" x14ac:dyDescent="0.25">
      <c r="AB870" s="258" t="str">
        <f t="shared" si="23"/>
        <v/>
      </c>
      <c r="AC870" s="259" t="str">
        <f>IF(COUNTIF(AD$78:AD870,AD870)=1,MAX(AC$78:AC869)+1,"")</f>
        <v/>
      </c>
      <c r="AD870" s="220">
        <f>'[2]Изложницы без бурта'!B870</f>
        <v>287.5</v>
      </c>
      <c r="AE870" s="220">
        <f>'[2]Изложницы без бурта'!C870</f>
        <v>438</v>
      </c>
      <c r="AF870" s="56">
        <f>'[2]Изложницы без бурта'!D870</f>
        <v>375</v>
      </c>
      <c r="AG870" s="56">
        <f>'[2]Изложницы без бурта'!E870</f>
        <v>400</v>
      </c>
      <c r="AH870" s="56" t="str">
        <f>'[2]Изложницы без бурта'!F870</f>
        <v>10.241070 - 3</v>
      </c>
      <c r="AI870" s="56">
        <f>'[2]Изложницы без бурта'!G870</f>
        <v>0</v>
      </c>
      <c r="AJ870" s="56">
        <f>'[2]Изложницы без бурта'!H870</f>
        <v>0</v>
      </c>
      <c r="AK870" s="56">
        <f>'[2]Изложницы без бурта'!I870</f>
        <v>0</v>
      </c>
      <c r="AL870" s="56" t="s">
        <v>653</v>
      </c>
      <c r="AM870" s="56">
        <f>'[2]Изложницы без бурта'!K870</f>
        <v>0</v>
      </c>
    </row>
    <row r="871" spans="28:39" x14ac:dyDescent="0.25">
      <c r="AB871" s="258" t="str">
        <f t="shared" si="23"/>
        <v/>
      </c>
      <c r="AC871" s="259">
        <f>IF(COUNTIF(AD$78:AD871,AD871)=1,MAX(AC$78:AC870)+1,"")</f>
        <v>80</v>
      </c>
      <c r="AD871" s="220">
        <f>'[2]Изложницы без бурта'!B871</f>
        <v>290</v>
      </c>
      <c r="AE871" s="220">
        <f>'[2]Изложницы без бурта'!C871</f>
        <v>255</v>
      </c>
      <c r="AF871" s="56">
        <f>'[2]Изложницы без бурта'!D871</f>
        <v>360</v>
      </c>
      <c r="AG871" s="56">
        <f>'[2]Изложницы без бурта'!E871</f>
        <v>450</v>
      </c>
      <c r="AH871" s="56" t="str">
        <f>'[2]Изложницы без бурта'!F871</f>
        <v>72.11872 - 28</v>
      </c>
      <c r="AI871" s="56">
        <f>'[2]Изложницы без бурта'!G871</f>
        <v>0</v>
      </c>
      <c r="AJ871" s="56">
        <f>'[2]Изложницы без бурта'!H871</f>
        <v>0</v>
      </c>
      <c r="AK871" s="56">
        <f>'[2]Изложницы без бурта'!I871</f>
        <v>0</v>
      </c>
      <c r="AL871" s="56" t="s">
        <v>653</v>
      </c>
      <c r="AM871" s="56">
        <f>'[2]Изложницы без бурта'!K871</f>
        <v>0</v>
      </c>
    </row>
    <row r="872" spans="28:39" x14ac:dyDescent="0.25">
      <c r="AB872" s="258" t="str">
        <f t="shared" si="23"/>
        <v/>
      </c>
      <c r="AC872" s="259" t="str">
        <f>IF(COUNTIF(AD$78:AD872,AD872)=1,MAX(AC$78:AC871)+1,"")</f>
        <v/>
      </c>
      <c r="AD872" s="220">
        <f>'[2]Изложницы без бурта'!B872</f>
        <v>290</v>
      </c>
      <c r="AE872" s="220">
        <f>'[2]Изложницы без бурта'!C872</f>
        <v>260</v>
      </c>
      <c r="AF872" s="56">
        <f>'[2]Изложницы без бурта'!D872</f>
        <v>360</v>
      </c>
      <c r="AG872" s="56">
        <f>'[2]Изложницы без бурта'!E872</f>
        <v>450</v>
      </c>
      <c r="AH872" s="56" t="str">
        <f>'[2]Изложницы без бурта'!F872</f>
        <v>72.11872 - 28</v>
      </c>
      <c r="AI872" s="56">
        <f>'[2]Изложницы без бурта'!G872</f>
        <v>0</v>
      </c>
      <c r="AJ872" s="56">
        <f>'[2]Изложницы без бурта'!H872</f>
        <v>0</v>
      </c>
      <c r="AK872" s="56">
        <f>'[2]Изложницы без бурта'!I872</f>
        <v>0</v>
      </c>
      <c r="AL872" s="56" t="s">
        <v>653</v>
      </c>
      <c r="AM872" s="56">
        <f>'[2]Изложницы без бурта'!K872</f>
        <v>0</v>
      </c>
    </row>
    <row r="873" spans="28:39" x14ac:dyDescent="0.25">
      <c r="AB873" s="258" t="str">
        <f t="shared" si="23"/>
        <v/>
      </c>
      <c r="AC873" s="259" t="str">
        <f>IF(COUNTIF(AD$78:AD873,AD873)=1,MAX(AC$78:AC872)+1,"")</f>
        <v/>
      </c>
      <c r="AD873" s="220">
        <f>'[2]Изложницы без бурта'!B873</f>
        <v>290</v>
      </c>
      <c r="AE873" s="220">
        <f>'[2]Изложницы без бурта'!C873</f>
        <v>260</v>
      </c>
      <c r="AF873" s="56">
        <f>'[2]Изложницы без бурта'!D873</f>
        <v>360</v>
      </c>
      <c r="AG873" s="56">
        <f>'[2]Изложницы без бурта'!E873</f>
        <v>450</v>
      </c>
      <c r="AH873" s="56" t="str">
        <f>'[2]Изложницы без бурта'!F873</f>
        <v>72.11872 - 28</v>
      </c>
      <c r="AI873" s="56">
        <f>'[2]Изложницы без бурта'!G873</f>
        <v>0</v>
      </c>
      <c r="AJ873" s="56">
        <f>'[2]Изложницы без бурта'!H873</f>
        <v>0</v>
      </c>
      <c r="AK873" s="56">
        <f>'[2]Изложницы без бурта'!I873</f>
        <v>0</v>
      </c>
      <c r="AL873" s="56" t="s">
        <v>653</v>
      </c>
      <c r="AM873" s="56">
        <f>'[2]Изложницы без бурта'!K873</f>
        <v>0</v>
      </c>
    </row>
    <row r="874" spans="28:39" x14ac:dyDescent="0.25">
      <c r="AB874" s="258" t="str">
        <f t="shared" si="23"/>
        <v/>
      </c>
      <c r="AC874" s="259" t="str">
        <f>IF(COUNTIF(AD$78:AD874,AD874)=1,MAX(AC$78:AC873)+1,"")</f>
        <v/>
      </c>
      <c r="AD874" s="220">
        <f>'[2]Изложницы без бурта'!B874</f>
        <v>290</v>
      </c>
      <c r="AE874" s="220">
        <f>'[2]Изложницы без бурта'!C874</f>
        <v>260</v>
      </c>
      <c r="AF874" s="56">
        <f>'[2]Изложницы без бурта'!D874</f>
        <v>360</v>
      </c>
      <c r="AG874" s="56">
        <f>'[2]Изложницы без бурта'!E874</f>
        <v>450</v>
      </c>
      <c r="AH874" s="56" t="str">
        <f>'[2]Изложницы без бурта'!F874</f>
        <v>72.11872 - 28</v>
      </c>
      <c r="AI874" s="56">
        <f>'[2]Изложницы без бурта'!G874</f>
        <v>0</v>
      </c>
      <c r="AJ874" s="56">
        <f>'[2]Изложницы без бурта'!H874</f>
        <v>0</v>
      </c>
      <c r="AK874" s="56">
        <f>'[2]Изложницы без бурта'!I874</f>
        <v>0</v>
      </c>
      <c r="AL874" s="56" t="s">
        <v>654</v>
      </c>
      <c r="AM874" s="56">
        <f>'[2]Изложницы без бурта'!K874</f>
        <v>0</v>
      </c>
    </row>
    <row r="875" spans="28:39" x14ac:dyDescent="0.25">
      <c r="AB875" s="258" t="str">
        <f t="shared" si="23"/>
        <v/>
      </c>
      <c r="AC875" s="259" t="str">
        <f>IF(COUNTIF(AD$78:AD875,AD875)=1,MAX(AC$78:AC874)+1,"")</f>
        <v/>
      </c>
      <c r="AD875" s="220">
        <f>'[2]Изложницы без бурта'!B875</f>
        <v>290</v>
      </c>
      <c r="AE875" s="220">
        <f>'[2]Изложницы без бурта'!C875</f>
        <v>260</v>
      </c>
      <c r="AF875" s="56">
        <f>'[2]Изложницы без бурта'!D875</f>
        <v>375</v>
      </c>
      <c r="AG875" s="56">
        <f>'[2]Изложницы без бурта'!E875</f>
        <v>450</v>
      </c>
      <c r="AH875" s="56" t="str">
        <f>'[2]Изложницы без бурта'!F875</f>
        <v>72.11872 - 28</v>
      </c>
      <c r="AI875" s="56">
        <f>'[2]Изложницы без бурта'!G875</f>
        <v>0</v>
      </c>
      <c r="AJ875" s="56">
        <f>'[2]Изложницы без бурта'!H875</f>
        <v>0</v>
      </c>
      <c r="AK875" s="56">
        <f>'[2]Изложницы без бурта'!I875</f>
        <v>0</v>
      </c>
      <c r="AL875" s="56" t="s">
        <v>654</v>
      </c>
      <c r="AM875" s="56">
        <f>'[2]Изложницы без бурта'!K875</f>
        <v>0</v>
      </c>
    </row>
    <row r="876" spans="28:39" x14ac:dyDescent="0.25">
      <c r="AB876" s="258" t="str">
        <f t="shared" si="23"/>
        <v/>
      </c>
      <c r="AC876" s="259" t="str">
        <f>IF(COUNTIF(AD$78:AD876,AD876)=1,MAX(AC$78:AC875)+1,"")</f>
        <v/>
      </c>
      <c r="AD876" s="220">
        <f>'[2]Изложницы без бурта'!B876</f>
        <v>290</v>
      </c>
      <c r="AE876" s="220">
        <f>'[2]Изложницы без бурта'!C876</f>
        <v>317</v>
      </c>
      <c r="AF876" s="56">
        <f>'[2]Изложницы без бурта'!D876</f>
        <v>375</v>
      </c>
      <c r="AG876" s="56">
        <f>'[2]Изложницы без бурта'!E876</f>
        <v>450</v>
      </c>
      <c r="AH876" s="56" t="str">
        <f>'[2]Изложницы без бурта'!F876</f>
        <v>72.11873 - 28</v>
      </c>
      <c r="AI876" s="56">
        <f>'[2]Изложницы без бурта'!G876</f>
        <v>0</v>
      </c>
      <c r="AJ876" s="56">
        <f>'[2]Изложницы без бурта'!H876</f>
        <v>0</v>
      </c>
      <c r="AK876" s="56">
        <f>'[2]Изложницы без бурта'!I876</f>
        <v>0</v>
      </c>
      <c r="AL876" s="56" t="s">
        <v>654</v>
      </c>
      <c r="AM876" s="56">
        <f>'[2]Изложницы без бурта'!K876</f>
        <v>0</v>
      </c>
    </row>
    <row r="877" spans="28:39" x14ac:dyDescent="0.25">
      <c r="AB877" s="258" t="str">
        <f t="shared" si="23"/>
        <v/>
      </c>
      <c r="AC877" s="259" t="str">
        <f>IF(COUNTIF(AD$78:AD877,AD877)=1,MAX(AC$78:AC876)+1,"")</f>
        <v/>
      </c>
      <c r="AD877" s="220">
        <f>'[2]Изложницы без бурта'!B877</f>
        <v>290</v>
      </c>
      <c r="AE877" s="220">
        <f>'[2]Изложницы без бурта'!C877</f>
        <v>315</v>
      </c>
      <c r="AF877" s="56">
        <f>'[2]Изложницы без бурта'!D877</f>
        <v>375</v>
      </c>
      <c r="AG877" s="56">
        <f>'[2]Изложницы без бурта'!E877</f>
        <v>450</v>
      </c>
      <c r="AH877" s="56" t="str">
        <f>'[2]Изложницы без бурта'!F877</f>
        <v>72.11873 - 28</v>
      </c>
      <c r="AI877" s="56">
        <f>'[2]Изложницы без бурта'!G877</f>
        <v>0</v>
      </c>
      <c r="AJ877" s="56">
        <f>'[2]Изложницы без бурта'!H877</f>
        <v>0</v>
      </c>
      <c r="AK877" s="56">
        <f>'[2]Изложницы без бурта'!I877</f>
        <v>0</v>
      </c>
      <c r="AL877" s="56" t="s">
        <v>654</v>
      </c>
      <c r="AM877" s="56">
        <f>'[2]Изложницы без бурта'!K877</f>
        <v>0</v>
      </c>
    </row>
    <row r="878" spans="28:39" x14ac:dyDescent="0.25">
      <c r="AB878" s="258" t="str">
        <f t="shared" si="23"/>
        <v/>
      </c>
      <c r="AC878" s="259" t="str">
        <f>IF(COUNTIF(AD$78:AD878,AD878)=1,MAX(AC$78:AC877)+1,"")</f>
        <v/>
      </c>
      <c r="AD878" s="220">
        <f>'[2]Изложницы без бурта'!B878</f>
        <v>290</v>
      </c>
      <c r="AE878" s="220">
        <f>'[2]Изложницы без бурта'!C878</f>
        <v>412</v>
      </c>
      <c r="AF878" s="56">
        <f>'[2]Изложницы без бурта'!D878</f>
        <v>360</v>
      </c>
      <c r="AG878" s="56">
        <f>'[2]Изложницы без бурта'!E878</f>
        <v>400</v>
      </c>
      <c r="AH878" s="56" t="str">
        <f>'[2]Изложницы без бурта'!F878</f>
        <v>72.42346 - 05</v>
      </c>
      <c r="AI878" s="56">
        <f>'[2]Изложницы без бурта'!G878</f>
        <v>7260047</v>
      </c>
      <c r="AJ878" s="56">
        <f>'[2]Изложницы без бурта'!H878</f>
        <v>0</v>
      </c>
      <c r="AK878" s="56">
        <f>'[2]Изложницы без бурта'!I878</f>
        <v>0</v>
      </c>
      <c r="AL878" s="56" t="s">
        <v>654</v>
      </c>
      <c r="AM878" s="56">
        <f>'[2]Изложницы без бурта'!K878</f>
        <v>0</v>
      </c>
    </row>
    <row r="879" spans="28:39" x14ac:dyDescent="0.25">
      <c r="AB879" s="258" t="str">
        <f t="shared" si="23"/>
        <v/>
      </c>
      <c r="AC879" s="259" t="str">
        <f>IF(COUNTIF(AD$78:AD879,AD879)=1,MAX(AC$78:AC878)+1,"")</f>
        <v/>
      </c>
      <c r="AD879" s="220">
        <f>'[2]Изложницы без бурта'!B879</f>
        <v>290</v>
      </c>
      <c r="AE879" s="220">
        <f>'[2]Изложницы без бурта'!C879</f>
        <v>375</v>
      </c>
      <c r="AF879" s="56">
        <f>'[2]Изложницы без бурта'!D879</f>
        <v>360</v>
      </c>
      <c r="AG879" s="56">
        <f>'[2]Изложницы без бурта'!E879</f>
        <v>450</v>
      </c>
      <c r="AH879" s="56" t="str">
        <f>'[2]Изложницы без бурта'!F879</f>
        <v>72.11874 - 28</v>
      </c>
      <c r="AI879" s="56">
        <f>'[2]Изложницы без бурта'!G879</f>
        <v>0</v>
      </c>
      <c r="AJ879" s="56">
        <f>'[2]Изложницы без бурта'!H879</f>
        <v>0</v>
      </c>
      <c r="AK879" s="56">
        <f>'[2]Изложницы без бурта'!I879</f>
        <v>0</v>
      </c>
      <c r="AL879" s="56" t="s">
        <v>654</v>
      </c>
      <c r="AM879" s="56">
        <f>'[2]Изложницы без бурта'!K879</f>
        <v>0</v>
      </c>
    </row>
    <row r="880" spans="28:39" x14ac:dyDescent="0.25">
      <c r="AB880" s="258" t="str">
        <f t="shared" si="23"/>
        <v/>
      </c>
      <c r="AC880" s="259" t="str">
        <f>IF(COUNTIF(AD$78:AD880,AD880)=1,MAX(AC$78:AC879)+1,"")</f>
        <v/>
      </c>
      <c r="AD880" s="220">
        <f>'[2]Изложницы без бурта'!B880</f>
        <v>290</v>
      </c>
      <c r="AE880" s="220">
        <f>'[2]Изложницы без бурта'!C880</f>
        <v>380</v>
      </c>
      <c r="AF880" s="56">
        <f>'[2]Изложницы без бурта'!D880</f>
        <v>360</v>
      </c>
      <c r="AG880" s="56">
        <f>'[2]Изложницы без бурта'!E880</f>
        <v>450</v>
      </c>
      <c r="AH880" s="56" t="str">
        <f>'[2]Изложницы без бурта'!F880</f>
        <v>72.11874 - 28</v>
      </c>
      <c r="AI880" s="56">
        <f>'[2]Изложницы без бурта'!G880</f>
        <v>0</v>
      </c>
      <c r="AJ880" s="56">
        <f>'[2]Изложницы без бурта'!H880</f>
        <v>0</v>
      </c>
      <c r="AK880" s="56">
        <f>'[2]Изложницы без бурта'!I880</f>
        <v>0</v>
      </c>
      <c r="AL880" s="56" t="s">
        <v>654</v>
      </c>
      <c r="AM880" s="56">
        <f>'[2]Изложницы без бурта'!K880</f>
        <v>0</v>
      </c>
    </row>
    <row r="881" spans="28:39" x14ac:dyDescent="0.25">
      <c r="AB881" s="258" t="str">
        <f t="shared" si="23"/>
        <v/>
      </c>
      <c r="AC881" s="259">
        <f>IF(COUNTIF(AD$78:AD881,AD881)=1,MAX(AC$78:AC880)+1,"")</f>
        <v>81</v>
      </c>
      <c r="AD881" s="220">
        <f>'[2]Изложницы без бурта'!B881</f>
        <v>292.5</v>
      </c>
      <c r="AE881" s="220">
        <f>'[2]Изложницы без бурта'!C881</f>
        <v>440</v>
      </c>
      <c r="AF881" s="56">
        <f>'[2]Изложницы без бурта'!D881</f>
        <v>375</v>
      </c>
      <c r="AG881" s="56">
        <f>'[2]Изложницы без бурта'!E881</f>
        <v>400</v>
      </c>
      <c r="AH881" s="56" t="str">
        <f>'[2]Изложницы без бурта'!F881</f>
        <v>10.241070 - 5</v>
      </c>
      <c r="AI881" s="56">
        <f>'[2]Изложницы без бурта'!G881</f>
        <v>0</v>
      </c>
      <c r="AJ881" s="56">
        <f>'[2]Изложницы без бурта'!H881</f>
        <v>0</v>
      </c>
      <c r="AK881" s="56">
        <f>'[2]Изложницы без бурта'!I881</f>
        <v>0</v>
      </c>
      <c r="AL881" s="56" t="s">
        <v>654</v>
      </c>
      <c r="AM881" s="56">
        <f>'[2]Изложницы без бурта'!K881</f>
        <v>0</v>
      </c>
    </row>
    <row r="882" spans="28:39" x14ac:dyDescent="0.25">
      <c r="AB882" s="258" t="str">
        <f t="shared" si="23"/>
        <v/>
      </c>
      <c r="AC882" s="259" t="str">
        <f>IF(COUNTIF(AD$78:AD882,AD882)=1,MAX(AC$78:AC881)+1,"")</f>
        <v/>
      </c>
      <c r="AD882" s="220">
        <f>'[2]Изложницы без бурта'!B882</f>
        <v>292.5</v>
      </c>
      <c r="AE882" s="220">
        <f>'[2]Изложницы без бурта'!C882</f>
        <v>495</v>
      </c>
      <c r="AF882" s="56">
        <f>'[2]Изложницы без бурта'!D882</f>
        <v>375</v>
      </c>
      <c r="AG882" s="56">
        <f>'[2]Изложницы без бурта'!E882</f>
        <v>400</v>
      </c>
      <c r="AH882" s="56" t="str">
        <f>'[2]Изложницы без бурта'!F882</f>
        <v>72.23398 - 29</v>
      </c>
      <c r="AI882" s="56">
        <f>'[2]Изложницы без бурта'!G882</f>
        <v>0</v>
      </c>
      <c r="AJ882" s="56">
        <f>'[2]Изложницы без бурта'!H882</f>
        <v>0</v>
      </c>
      <c r="AK882" s="56">
        <f>'[2]Изложницы без бурта'!I882</f>
        <v>0</v>
      </c>
      <c r="AL882" s="56" t="s">
        <v>654</v>
      </c>
      <c r="AM882" s="56">
        <f>'[2]Изложницы без бурта'!K882</f>
        <v>0</v>
      </c>
    </row>
    <row r="883" spans="28:39" x14ac:dyDescent="0.25">
      <c r="AB883" s="258" t="str">
        <f t="shared" si="23"/>
        <v/>
      </c>
      <c r="AC883" s="259">
        <f>IF(COUNTIF(AD$78:AD883,AD883)=1,MAX(AC$78:AC882)+1,"")</f>
        <v>82</v>
      </c>
      <c r="AD883" s="220">
        <f>'[2]Изложницы без бурта'!B883</f>
        <v>295</v>
      </c>
      <c r="AE883" s="220">
        <f>'[2]Изложницы без бурта'!C883</f>
        <v>543</v>
      </c>
      <c r="AF883" s="56">
        <f>'[2]Изложницы без бурта'!D883</f>
        <v>375</v>
      </c>
      <c r="AG883" s="56">
        <f>'[2]Изложницы без бурта'!E883</f>
        <v>400</v>
      </c>
      <c r="AH883" s="56" t="str">
        <f>'[2]Изложницы без бурта'!F883</f>
        <v>10.243375 - 1</v>
      </c>
      <c r="AI883" s="56">
        <f>'[2]Изложницы без бурта'!G883</f>
        <v>7260048</v>
      </c>
      <c r="AJ883" s="56">
        <f>'[2]Изложницы без бурта'!H883</f>
        <v>0</v>
      </c>
      <c r="AK883" s="56">
        <f>'[2]Изложницы без бурта'!I883</f>
        <v>0</v>
      </c>
      <c r="AL883" s="56" t="s">
        <v>654</v>
      </c>
      <c r="AM883" s="56">
        <f>'[2]Изложницы без бурта'!K883</f>
        <v>0</v>
      </c>
    </row>
    <row r="884" spans="28:39" x14ac:dyDescent="0.25">
      <c r="AB884" s="258" t="str">
        <f t="shared" si="23"/>
        <v/>
      </c>
      <c r="AC884" s="259" t="str">
        <f>IF(COUNTIF(AD$78:AD884,AD884)=1,MAX(AC$78:AC883)+1,"")</f>
        <v/>
      </c>
      <c r="AD884" s="220">
        <f>'[2]Изложницы без бурта'!B884</f>
        <v>295</v>
      </c>
      <c r="AE884" s="220">
        <f>'[2]Изложницы без бурта'!C884</f>
        <v>260</v>
      </c>
      <c r="AF884" s="56">
        <f>'[2]Изложницы без бурта'!D884</f>
        <v>360</v>
      </c>
      <c r="AG884" s="56">
        <f>'[2]Изложницы без бурта'!E884</f>
        <v>450</v>
      </c>
      <c r="AH884" s="56" t="str">
        <f>'[2]Изложницы без бурта'!F884</f>
        <v>72.11872 - 30</v>
      </c>
      <c r="AI884" s="56">
        <f>'[2]Изложницы без бурта'!G884</f>
        <v>0</v>
      </c>
      <c r="AJ884" s="56">
        <f>'[2]Изложницы без бурта'!H884</f>
        <v>0</v>
      </c>
      <c r="AK884" s="56">
        <f>'[2]Изложницы без бурта'!I884</f>
        <v>0</v>
      </c>
      <c r="AL884" s="56" t="s">
        <v>655</v>
      </c>
      <c r="AM884" s="56">
        <f>'[2]Изложницы без бурта'!K884</f>
        <v>0</v>
      </c>
    </row>
    <row r="885" spans="28:39" x14ac:dyDescent="0.25">
      <c r="AB885" s="258" t="str">
        <f t="shared" si="23"/>
        <v/>
      </c>
      <c r="AC885" s="259" t="str">
        <f>IF(COUNTIF(AD$78:AD885,AD885)=1,MAX(AC$78:AC884)+1,"")</f>
        <v/>
      </c>
      <c r="AD885" s="220">
        <f>'[2]Изложницы без бурта'!B885</f>
        <v>295</v>
      </c>
      <c r="AE885" s="220">
        <f>'[2]Изложницы без бурта'!C885</f>
        <v>378</v>
      </c>
      <c r="AF885" s="56">
        <f>'[2]Изложницы без бурта'!D885</f>
        <v>360</v>
      </c>
      <c r="AG885" s="56">
        <f>'[2]Изложницы без бурта'!E885</f>
        <v>450</v>
      </c>
      <c r="AH885" s="56" t="str">
        <f>'[2]Изложницы без бурта'!F885</f>
        <v>72.11874 - 30</v>
      </c>
      <c r="AI885" s="56">
        <f>'[2]Изложницы без бурта'!G885</f>
        <v>0</v>
      </c>
      <c r="AJ885" s="56">
        <f>'[2]Изложницы без бурта'!H885</f>
        <v>0</v>
      </c>
      <c r="AK885" s="56">
        <f>'[2]Изложницы без бурта'!I885</f>
        <v>0</v>
      </c>
      <c r="AL885" s="56" t="s">
        <v>655</v>
      </c>
      <c r="AM885" s="56">
        <f>'[2]Изложницы без бурта'!K885</f>
        <v>0</v>
      </c>
    </row>
    <row r="886" spans="28:39" x14ac:dyDescent="0.25">
      <c r="AB886" s="258" t="str">
        <f t="shared" si="23"/>
        <v/>
      </c>
      <c r="AC886" s="259" t="str">
        <f>IF(COUNTIF(AD$78:AD886,AD886)=1,MAX(AC$78:AC885)+1,"")</f>
        <v/>
      </c>
      <c r="AD886" s="220">
        <f>'[2]Изложницы без бурта'!B886</f>
        <v>295</v>
      </c>
      <c r="AE886" s="220">
        <f>'[2]Изложницы без бурта'!C886</f>
        <v>260</v>
      </c>
      <c r="AF886" s="56">
        <f>'[2]Изложницы без бурта'!D886</f>
        <v>360</v>
      </c>
      <c r="AG886" s="56">
        <f>'[2]Изложницы без бурта'!E886</f>
        <v>450</v>
      </c>
      <c r="AH886" s="56" t="str">
        <f>'[2]Изложницы без бурта'!F886</f>
        <v>72.11872 - 30</v>
      </c>
      <c r="AI886" s="56">
        <f>'[2]Изложницы без бурта'!G886</f>
        <v>0</v>
      </c>
      <c r="AJ886" s="56">
        <f>'[2]Изложницы без бурта'!H886</f>
        <v>0</v>
      </c>
      <c r="AK886" s="56">
        <f>'[2]Изложницы без бурта'!I886</f>
        <v>0</v>
      </c>
      <c r="AL886" s="56" t="s">
        <v>656</v>
      </c>
      <c r="AM886" s="56">
        <f>'[2]Изложницы без бурта'!K886</f>
        <v>0</v>
      </c>
    </row>
    <row r="887" spans="28:39" x14ac:dyDescent="0.25">
      <c r="AB887" s="258" t="str">
        <f t="shared" si="23"/>
        <v/>
      </c>
      <c r="AC887" s="259" t="str">
        <f>IF(COUNTIF(AD$78:AD887,AD887)=1,MAX(AC$78:AC886)+1,"")</f>
        <v/>
      </c>
      <c r="AD887" s="220">
        <f>'[2]Изложницы без бурта'!B887</f>
        <v>295</v>
      </c>
      <c r="AE887" s="220">
        <f>'[2]Изложницы без бурта'!C887</f>
        <v>315</v>
      </c>
      <c r="AF887" s="56">
        <f>'[2]Изложницы без бурта'!D887</f>
        <v>360</v>
      </c>
      <c r="AG887" s="56">
        <f>'[2]Изложницы без бурта'!E887</f>
        <v>450</v>
      </c>
      <c r="AH887" s="56" t="str">
        <f>'[2]Изложницы без бурта'!F887</f>
        <v>72.11873 - 30</v>
      </c>
      <c r="AI887" s="56">
        <f>'[2]Изложницы без бурта'!G887</f>
        <v>0</v>
      </c>
      <c r="AJ887" s="56">
        <f>'[2]Изложницы без бурта'!H887</f>
        <v>0</v>
      </c>
      <c r="AK887" s="56">
        <f>'[2]Изложницы без бурта'!I887</f>
        <v>0</v>
      </c>
      <c r="AL887" s="56" t="s">
        <v>656</v>
      </c>
      <c r="AM887" s="56">
        <f>'[2]Изложницы без бурта'!K887</f>
        <v>0</v>
      </c>
    </row>
    <row r="888" spans="28:39" x14ac:dyDescent="0.25">
      <c r="AB888" s="258" t="str">
        <f t="shared" si="23"/>
        <v/>
      </c>
      <c r="AC888" s="259" t="str">
        <f>IF(COUNTIF(AD$78:AD888,AD888)=1,MAX(AC$78:AC887)+1,"")</f>
        <v/>
      </c>
      <c r="AD888" s="220">
        <f>'[2]Изложницы без бурта'!B888</f>
        <v>295</v>
      </c>
      <c r="AE888" s="220">
        <f>'[2]Изложницы без бурта'!C888</f>
        <v>317</v>
      </c>
      <c r="AF888" s="56">
        <f>'[2]Изложницы без бурта'!D888</f>
        <v>375</v>
      </c>
      <c r="AG888" s="56">
        <f>'[2]Изложницы без бурта'!E888</f>
        <v>450</v>
      </c>
      <c r="AH888" s="56" t="str">
        <f>'[2]Изложницы без бурта'!F888</f>
        <v>72.11873 - 30</v>
      </c>
      <c r="AI888" s="56">
        <f>'[2]Изложницы без бурта'!G888</f>
        <v>0</v>
      </c>
      <c r="AJ888" s="56">
        <f>'[2]Изложницы без бурта'!H888</f>
        <v>0</v>
      </c>
      <c r="AK888" s="56">
        <f>'[2]Изложницы без бурта'!I888</f>
        <v>0</v>
      </c>
      <c r="AL888" s="56" t="s">
        <v>656</v>
      </c>
      <c r="AM888" s="56">
        <f>'[2]Изложницы без бурта'!K888</f>
        <v>0</v>
      </c>
    </row>
    <row r="889" spans="28:39" x14ac:dyDescent="0.25">
      <c r="AB889" s="258" t="str">
        <f t="shared" ref="AB889:AB952" si="24">IF(MAX(AC889:AC1966)&lt;ROW(811:811),"",VLOOKUP(ROW(811:811),AC889:AD1966,2))</f>
        <v/>
      </c>
      <c r="AC889" s="259" t="str">
        <f>IF(COUNTIF(AD$78:AD889,AD889)=1,MAX(AC$78:AC888)+1,"")</f>
        <v/>
      </c>
      <c r="AD889" s="220">
        <f>'[2]Изложницы без бурта'!B889</f>
        <v>295</v>
      </c>
      <c r="AE889" s="220">
        <f>'[2]Изложницы без бурта'!C889</f>
        <v>320</v>
      </c>
      <c r="AF889" s="56">
        <f>'[2]Изложницы без бурта'!D889</f>
        <v>360</v>
      </c>
      <c r="AG889" s="56">
        <f>'[2]Изложницы без бурта'!E889</f>
        <v>450</v>
      </c>
      <c r="AH889" s="56" t="str">
        <f>'[2]Изложницы без бурта'!F889</f>
        <v>72.11873 - 30</v>
      </c>
      <c r="AI889" s="56">
        <f>'[2]Изложницы без бурта'!G889</f>
        <v>0</v>
      </c>
      <c r="AJ889" s="56">
        <f>'[2]Изложницы без бурта'!H889</f>
        <v>0</v>
      </c>
      <c r="AK889" s="56">
        <f>'[2]Изложницы без бурта'!I889</f>
        <v>0</v>
      </c>
      <c r="AL889" s="56" t="s">
        <v>656</v>
      </c>
      <c r="AM889" s="56">
        <f>'[2]Изложницы без бурта'!K889</f>
        <v>0</v>
      </c>
    </row>
    <row r="890" spans="28:39" x14ac:dyDescent="0.25">
      <c r="AB890" s="258" t="str">
        <f t="shared" si="24"/>
        <v/>
      </c>
      <c r="AC890" s="259" t="str">
        <f>IF(COUNTIF(AD$78:AD890,AD890)=1,MAX(AC$78:AC889)+1,"")</f>
        <v/>
      </c>
      <c r="AD890" s="220">
        <f>'[2]Изложницы без бурта'!B890</f>
        <v>295</v>
      </c>
      <c r="AE890" s="220">
        <f>'[2]Изложницы без бурта'!C890</f>
        <v>317</v>
      </c>
      <c r="AF890" s="56">
        <f>'[2]Изложницы без бурта'!D890</f>
        <v>360</v>
      </c>
      <c r="AG890" s="56">
        <f>'[2]Изложницы без бурта'!E890</f>
        <v>450</v>
      </c>
      <c r="AH890" s="56" t="str">
        <f>'[2]Изложницы без бурта'!F890</f>
        <v>72.11873 - 30</v>
      </c>
      <c r="AI890" s="56">
        <f>'[2]Изложницы без бурта'!G890</f>
        <v>0</v>
      </c>
      <c r="AJ890" s="56">
        <f>'[2]Изложницы без бурта'!H890</f>
        <v>0</v>
      </c>
      <c r="AK890" s="56">
        <f>'[2]Изложницы без бурта'!I890</f>
        <v>0</v>
      </c>
      <c r="AL890" s="56" t="s">
        <v>656</v>
      </c>
      <c r="AM890" s="56">
        <f>'[2]Изложницы без бурта'!K890</f>
        <v>0</v>
      </c>
    </row>
    <row r="891" spans="28:39" x14ac:dyDescent="0.25">
      <c r="AB891" s="258" t="str">
        <f t="shared" si="24"/>
        <v/>
      </c>
      <c r="AC891" s="259" t="str">
        <f>IF(COUNTIF(AD$78:AD891,AD891)=1,MAX(AC$78:AC890)+1,"")</f>
        <v/>
      </c>
      <c r="AD891" s="220">
        <f>'[2]Изложницы без бурта'!B891</f>
        <v>295</v>
      </c>
      <c r="AE891" s="220">
        <f>'[2]Изложницы без бурта'!C891</f>
        <v>258</v>
      </c>
      <c r="AF891" s="56">
        <f>'[2]Изложницы без бурта'!D891</f>
        <v>360</v>
      </c>
      <c r="AG891" s="56">
        <f>'[2]Изложницы без бурта'!E891</f>
        <v>450</v>
      </c>
      <c r="AH891" s="56" t="str">
        <f>'[2]Изложницы без бурта'!F891</f>
        <v>72.11872 - 30</v>
      </c>
      <c r="AI891" s="56">
        <f>'[2]Изложницы без бурта'!G891</f>
        <v>0</v>
      </c>
      <c r="AJ891" s="56">
        <f>'[2]Изложницы без бурта'!H891</f>
        <v>0</v>
      </c>
      <c r="AK891" s="56">
        <f>'[2]Изложницы без бурта'!I891</f>
        <v>0</v>
      </c>
      <c r="AL891" s="56" t="s">
        <v>656</v>
      </c>
      <c r="AM891" s="56">
        <f>'[2]Изложницы без бурта'!K891</f>
        <v>0</v>
      </c>
    </row>
    <row r="892" spans="28:39" x14ac:dyDescent="0.25">
      <c r="AB892" s="258" t="str">
        <f t="shared" si="24"/>
        <v/>
      </c>
      <c r="AC892" s="259">
        <f>IF(COUNTIF(AD$78:AD892,AD892)=1,MAX(AC$78:AC891)+1,"")</f>
        <v>83</v>
      </c>
      <c r="AD892" s="220">
        <f>'[2]Изложницы без бурта'!B892</f>
        <v>297.5</v>
      </c>
      <c r="AE892" s="220">
        <f>'[2]Изложницы без бурта'!C892</f>
        <v>260</v>
      </c>
      <c r="AF892" s="56">
        <f>'[2]Изложницы без бурта'!D892</f>
        <v>375</v>
      </c>
      <c r="AG892" s="56">
        <f>'[2]Изложницы без бурта'!E892</f>
        <v>450</v>
      </c>
      <c r="AH892" s="56" t="str">
        <f>'[2]Изложницы без бурта'!F892</f>
        <v>72.11872 - 31</v>
      </c>
      <c r="AI892" s="56">
        <f>'[2]Изложницы без бурта'!G892</f>
        <v>0</v>
      </c>
      <c r="AJ892" s="56">
        <f>'[2]Изложницы без бурта'!H892</f>
        <v>0</v>
      </c>
      <c r="AK892" s="56">
        <f>'[2]Изложницы без бурта'!I892</f>
        <v>0</v>
      </c>
      <c r="AL892" s="56" t="s">
        <v>656</v>
      </c>
      <c r="AM892" s="56">
        <f>'[2]Изложницы без бурта'!K892</f>
        <v>0</v>
      </c>
    </row>
    <row r="893" spans="28:39" x14ac:dyDescent="0.25">
      <c r="AB893" s="258" t="str">
        <f t="shared" si="24"/>
        <v/>
      </c>
      <c r="AC893" s="259" t="str">
        <f>IF(COUNTIF(AD$78:AD893,AD893)=1,MAX(AC$78:AC892)+1,"")</f>
        <v/>
      </c>
      <c r="AD893" s="220">
        <f>'[2]Изложницы без бурта'!B893</f>
        <v>297.5</v>
      </c>
      <c r="AE893" s="220">
        <f>'[2]Изложницы без бурта'!C893</f>
        <v>260</v>
      </c>
      <c r="AF893" s="56">
        <f>'[2]Изложницы без бурта'!D893</f>
        <v>375</v>
      </c>
      <c r="AG893" s="56">
        <f>'[2]Изложницы без бурта'!E893</f>
        <v>450</v>
      </c>
      <c r="AH893" s="56" t="str">
        <f>'[2]Изложницы без бурта'!F893</f>
        <v>72.11872 - 31</v>
      </c>
      <c r="AI893" s="56">
        <f>'[2]Изложницы без бурта'!G893</f>
        <v>0</v>
      </c>
      <c r="AJ893" s="56">
        <f>'[2]Изложницы без бурта'!H893</f>
        <v>0</v>
      </c>
      <c r="AK893" s="56">
        <f>'[2]Изложницы без бурта'!I893</f>
        <v>0</v>
      </c>
      <c r="AL893" s="56" t="s">
        <v>656</v>
      </c>
      <c r="AM893" s="56">
        <f>'[2]Изложницы без бурта'!K893</f>
        <v>0</v>
      </c>
    </row>
    <row r="894" spans="28:39" x14ac:dyDescent="0.25">
      <c r="AB894" s="258" t="str">
        <f t="shared" si="24"/>
        <v/>
      </c>
      <c r="AC894" s="259" t="str">
        <f>IF(COUNTIF(AD$78:AD894,AD894)=1,MAX(AC$78:AC893)+1,"")</f>
        <v/>
      </c>
      <c r="AD894" s="220">
        <f>'[2]Изложницы без бурта'!B894</f>
        <v>297.5</v>
      </c>
      <c r="AE894" s="220">
        <f>'[2]Изложницы без бурта'!C894</f>
        <v>253</v>
      </c>
      <c r="AF894" s="56">
        <f>'[2]Изложницы без бурта'!D894</f>
        <v>360</v>
      </c>
      <c r="AG894" s="56">
        <f>'[2]Изложницы без бурта'!E894</f>
        <v>450</v>
      </c>
      <c r="AH894" s="56" t="str">
        <f>'[2]Изложницы без бурта'!F894</f>
        <v>72.11872 - 31</v>
      </c>
      <c r="AI894" s="56">
        <f>'[2]Изложницы без бурта'!G894</f>
        <v>0</v>
      </c>
      <c r="AJ894" s="56">
        <f>'[2]Изложницы без бурта'!H894</f>
        <v>0</v>
      </c>
      <c r="AK894" s="56">
        <f>'[2]Изложницы без бурта'!I894</f>
        <v>0</v>
      </c>
      <c r="AL894" s="56" t="s">
        <v>656</v>
      </c>
      <c r="AM894" s="56">
        <f>'[2]Изложницы без бурта'!K894</f>
        <v>0</v>
      </c>
    </row>
    <row r="895" spans="28:39" x14ac:dyDescent="0.25">
      <c r="AB895" s="258" t="str">
        <f t="shared" si="24"/>
        <v/>
      </c>
      <c r="AC895" s="259" t="str">
        <f>IF(COUNTIF(AD$78:AD895,AD895)=1,MAX(AC$78:AC894)+1,"")</f>
        <v/>
      </c>
      <c r="AD895" s="220">
        <f>'[2]Изложницы без бурта'!B895</f>
        <v>297.5</v>
      </c>
      <c r="AE895" s="220">
        <f>'[2]Изложницы без бурта'!C895</f>
        <v>438</v>
      </c>
      <c r="AF895" s="56">
        <f>'[2]Изложницы без бурта'!D895</f>
        <v>375</v>
      </c>
      <c r="AG895" s="56">
        <f>'[2]Изложницы без бурта'!E895</f>
        <v>400</v>
      </c>
      <c r="AH895" s="56" t="str">
        <f>'[2]Изложницы без бурта'!F895</f>
        <v>10.241070 - 7</v>
      </c>
      <c r="AI895" s="56">
        <f>'[2]Изложницы без бурта'!G895</f>
        <v>0</v>
      </c>
      <c r="AJ895" s="56">
        <f>'[2]Изложницы без бурта'!H895</f>
        <v>0</v>
      </c>
      <c r="AK895" s="56">
        <f>'[2]Изложницы без бурта'!I895</f>
        <v>0</v>
      </c>
      <c r="AL895" s="56" t="s">
        <v>657</v>
      </c>
      <c r="AM895" s="56">
        <f>'[2]Изложницы без бурта'!K895</f>
        <v>0</v>
      </c>
    </row>
    <row r="896" spans="28:39" x14ac:dyDescent="0.25">
      <c r="AB896" s="258" t="str">
        <f t="shared" si="24"/>
        <v/>
      </c>
      <c r="AC896" s="259">
        <f>IF(COUNTIF(AD$78:AD896,AD896)=1,MAX(AC$78:AC895)+1,"")</f>
        <v>84</v>
      </c>
      <c r="AD896" s="220">
        <f>'[2]Изложницы без бурта'!B896</f>
        <v>300</v>
      </c>
      <c r="AE896" s="220">
        <f>'[2]Изложницы без бурта'!C896</f>
        <v>440</v>
      </c>
      <c r="AF896" s="56">
        <f>'[2]Изложницы без бурта'!D896</f>
        <v>375</v>
      </c>
      <c r="AG896" s="56">
        <f>'[2]Изложницы без бурта'!E896</f>
        <v>400</v>
      </c>
      <c r="AH896" s="56" t="str">
        <f>'[2]Изложницы без бурта'!F896</f>
        <v>10.241070 - 8</v>
      </c>
      <c r="AI896" s="56">
        <f>'[2]Изложницы без бурта'!G896</f>
        <v>7260049</v>
      </c>
      <c r="AJ896" s="56">
        <f>'[2]Изложницы без бурта'!H896</f>
        <v>0</v>
      </c>
      <c r="AK896" s="56">
        <f>'[2]Изложницы без бурта'!I896</f>
        <v>0</v>
      </c>
      <c r="AL896" s="56" t="s">
        <v>657</v>
      </c>
      <c r="AM896" s="56">
        <f>'[2]Изложницы без бурта'!K896</f>
        <v>0</v>
      </c>
    </row>
    <row r="897" spans="28:39" x14ac:dyDescent="0.25">
      <c r="AB897" s="258" t="str">
        <f t="shared" si="24"/>
        <v/>
      </c>
      <c r="AC897" s="259" t="str">
        <f>IF(COUNTIF(AD$78:AD897,AD897)=1,MAX(AC$78:AC896)+1,"")</f>
        <v/>
      </c>
      <c r="AD897" s="220">
        <f>'[2]Изложницы без бурта'!B897</f>
        <v>300</v>
      </c>
      <c r="AE897" s="220">
        <f>'[2]Изложницы без бурта'!C897</f>
        <v>470</v>
      </c>
      <c r="AF897" s="56">
        <f>'[2]Изложницы без бурта'!D897</f>
        <v>400</v>
      </c>
      <c r="AG897" s="56">
        <f>'[2]Изложницы без бурта'!E897</f>
        <v>400</v>
      </c>
      <c r="AH897" s="56" t="str">
        <f>'[2]Изложницы без бурта'!F897</f>
        <v>72.48005 - 1</v>
      </c>
      <c r="AI897" s="56">
        <f>'[2]Изложницы без бурта'!G897</f>
        <v>7260049</v>
      </c>
      <c r="AJ897" s="56">
        <f>'[2]Изложницы без бурта'!H897</f>
        <v>0</v>
      </c>
      <c r="AK897" s="56">
        <f>'[2]Изложницы без бурта'!I897</f>
        <v>0</v>
      </c>
      <c r="AL897" s="56" t="s">
        <v>657</v>
      </c>
      <c r="AM897" s="56">
        <f>'[2]Изложницы без бурта'!K897</f>
        <v>0</v>
      </c>
    </row>
    <row r="898" spans="28:39" x14ac:dyDescent="0.25">
      <c r="AB898" s="258" t="str">
        <f t="shared" si="24"/>
        <v/>
      </c>
      <c r="AC898" s="259" t="str">
        <f>IF(COUNTIF(AD$78:AD898,AD898)=1,MAX(AC$78:AC897)+1,"")</f>
        <v/>
      </c>
      <c r="AD898" s="220">
        <f>'[2]Изложницы без бурта'!B898</f>
        <v>300</v>
      </c>
      <c r="AE898" s="220">
        <f>'[2]Изложницы без бурта'!C898</f>
        <v>318</v>
      </c>
      <c r="AF898" s="56">
        <f>'[2]Изложницы без бурта'!D898</f>
        <v>375</v>
      </c>
      <c r="AG898" s="56">
        <f>'[2]Изложницы без бурта'!E898</f>
        <v>450</v>
      </c>
      <c r="AH898" s="56" t="str">
        <f>'[2]Изложницы без бурта'!F898</f>
        <v>72.11873 - 32</v>
      </c>
      <c r="AI898" s="56">
        <f>'[2]Изложницы без бурта'!G898</f>
        <v>0</v>
      </c>
      <c r="AJ898" s="56">
        <f>'[2]Изложницы без бурта'!H898</f>
        <v>0</v>
      </c>
      <c r="AK898" s="56">
        <f>'[2]Изложницы без бурта'!I898</f>
        <v>0</v>
      </c>
      <c r="AL898" s="56" t="s">
        <v>657</v>
      </c>
      <c r="AM898" s="56">
        <f>'[2]Изложницы без бурта'!K898</f>
        <v>0</v>
      </c>
    </row>
    <row r="899" spans="28:39" x14ac:dyDescent="0.25">
      <c r="AB899" s="258" t="str">
        <f t="shared" si="24"/>
        <v/>
      </c>
      <c r="AC899" s="259" t="str">
        <f>IF(COUNTIF(AD$78:AD899,AD899)=1,MAX(AC$78:AC898)+1,"")</f>
        <v/>
      </c>
      <c r="AD899" s="220">
        <f>'[2]Изложницы без бурта'!B899</f>
        <v>300</v>
      </c>
      <c r="AE899" s="220">
        <f>'[2]Изложницы без бурта'!C899</f>
        <v>320</v>
      </c>
      <c r="AF899" s="56">
        <f>'[2]Изложницы без бурта'!D899</f>
        <v>360</v>
      </c>
      <c r="AG899" s="56">
        <f>'[2]Изложницы без бурта'!E899</f>
        <v>450</v>
      </c>
      <c r="AH899" s="56" t="str">
        <f>'[2]Изложницы без бурта'!F899</f>
        <v>72.11873 - 32</v>
      </c>
      <c r="AI899" s="56">
        <f>'[2]Изложницы без бурта'!G899</f>
        <v>0</v>
      </c>
      <c r="AJ899" s="56">
        <f>'[2]Изложницы без бурта'!H899</f>
        <v>0</v>
      </c>
      <c r="AK899" s="56">
        <f>'[2]Изложницы без бурта'!I899</f>
        <v>0</v>
      </c>
      <c r="AL899" s="56" t="s">
        <v>658</v>
      </c>
      <c r="AM899" s="56">
        <f>'[2]Изложницы без бурта'!K899</f>
        <v>0</v>
      </c>
    </row>
    <row r="900" spans="28:39" x14ac:dyDescent="0.25">
      <c r="AB900" s="258" t="str">
        <f t="shared" si="24"/>
        <v/>
      </c>
      <c r="AC900" s="259" t="str">
        <f>IF(COUNTIF(AD$78:AD900,AD900)=1,MAX(AC$78:AC899)+1,"")</f>
        <v/>
      </c>
      <c r="AD900" s="220">
        <f>'[2]Изложницы без бурта'!B900</f>
        <v>300</v>
      </c>
      <c r="AE900" s="220">
        <f>'[2]Изложницы без бурта'!C900</f>
        <v>373</v>
      </c>
      <c r="AF900" s="56">
        <f>'[2]Изложницы без бурта'!D900</f>
        <v>360</v>
      </c>
      <c r="AG900" s="56">
        <f>'[2]Изложницы без бурта'!E900</f>
        <v>450</v>
      </c>
      <c r="AH900" s="56" t="str">
        <f>'[2]Изложницы без бурта'!F900</f>
        <v>72.11874 - 32</v>
      </c>
      <c r="AI900" s="56">
        <f>'[2]Изложницы без бурта'!G900</f>
        <v>0</v>
      </c>
      <c r="AJ900" s="56">
        <f>'[2]Изложницы без бурта'!H900</f>
        <v>0</v>
      </c>
      <c r="AK900" s="56">
        <f>'[2]Изложницы без бурта'!I900</f>
        <v>0</v>
      </c>
      <c r="AL900" s="56" t="s">
        <v>658</v>
      </c>
      <c r="AM900" s="56">
        <f>'[2]Изложницы без бурта'!K900</f>
        <v>0</v>
      </c>
    </row>
    <row r="901" spans="28:39" x14ac:dyDescent="0.25">
      <c r="AB901" s="258" t="str">
        <f t="shared" si="24"/>
        <v/>
      </c>
      <c r="AC901" s="259" t="str">
        <f>IF(COUNTIF(AD$78:AD901,AD901)=1,MAX(AC$78:AC900)+1,"")</f>
        <v/>
      </c>
      <c r="AD901" s="220">
        <f>'[2]Изложницы без бурта'!B901</f>
        <v>300</v>
      </c>
      <c r="AE901" s="220">
        <f>'[2]Изложницы без бурта'!C901</f>
        <v>378</v>
      </c>
      <c r="AF901" s="56">
        <f>'[2]Изложницы без бурта'!D901</f>
        <v>360</v>
      </c>
      <c r="AG901" s="56">
        <f>'[2]Изложницы без бурта'!E901</f>
        <v>450</v>
      </c>
      <c r="AH901" s="56" t="str">
        <f>'[2]Изложницы без бурта'!F901</f>
        <v>72.11874 - 32</v>
      </c>
      <c r="AI901" s="56">
        <f>'[2]Изложницы без бурта'!G901</f>
        <v>0</v>
      </c>
      <c r="AJ901" s="56">
        <f>'[2]Изложницы без бурта'!H901</f>
        <v>0</v>
      </c>
      <c r="AK901" s="56">
        <f>'[2]Изложницы без бурта'!I901</f>
        <v>0</v>
      </c>
      <c r="AL901" s="56" t="s">
        <v>658</v>
      </c>
      <c r="AM901" s="56">
        <f>'[2]Изложницы без бурта'!K901</f>
        <v>0</v>
      </c>
    </row>
    <row r="902" spans="28:39" x14ac:dyDescent="0.25">
      <c r="AB902" s="258" t="str">
        <f t="shared" si="24"/>
        <v/>
      </c>
      <c r="AC902" s="259" t="str">
        <f>IF(COUNTIF(AD$78:AD902,AD902)=1,MAX(AC$78:AC901)+1,"")</f>
        <v/>
      </c>
      <c r="AD902" s="220">
        <f>'[2]Изложницы без бурта'!B902</f>
        <v>300</v>
      </c>
      <c r="AE902" s="220">
        <f>'[2]Изложницы без бурта'!C902</f>
        <v>310</v>
      </c>
      <c r="AF902" s="56">
        <f>'[2]Изложницы без бурта'!D902</f>
        <v>360</v>
      </c>
      <c r="AG902" s="56">
        <f>'[2]Изложницы без бурта'!E902</f>
        <v>450</v>
      </c>
      <c r="AH902" s="56" t="str">
        <f>'[2]Изложницы без бурта'!F902</f>
        <v>72.11873 - 32</v>
      </c>
      <c r="AI902" s="56">
        <f>'[2]Изложницы без бурта'!G902</f>
        <v>0</v>
      </c>
      <c r="AJ902" s="56">
        <f>'[2]Изложницы без бурта'!H902</f>
        <v>0</v>
      </c>
      <c r="AK902" s="56">
        <f>'[2]Изложницы без бурта'!I902</f>
        <v>0</v>
      </c>
      <c r="AL902" s="56" t="s">
        <v>658</v>
      </c>
      <c r="AM902" s="56">
        <f>'[2]Изложницы без бурта'!K902</f>
        <v>0</v>
      </c>
    </row>
    <row r="903" spans="28:39" x14ac:dyDescent="0.25">
      <c r="AB903" s="258" t="str">
        <f t="shared" si="24"/>
        <v/>
      </c>
      <c r="AC903" s="259" t="str">
        <f>IF(COUNTIF(AD$78:AD903,AD903)=1,MAX(AC$78:AC902)+1,"")</f>
        <v/>
      </c>
      <c r="AD903" s="220">
        <f>'[2]Изложницы без бурта'!B903</f>
        <v>300</v>
      </c>
      <c r="AE903" s="220">
        <f>'[2]Изложницы без бурта'!C903</f>
        <v>435</v>
      </c>
      <c r="AF903" s="56">
        <f>'[2]Изложницы без бурта'!D903</f>
        <v>360</v>
      </c>
      <c r="AG903" s="56">
        <f>'[2]Изложницы без бурта'!E903</f>
        <v>400</v>
      </c>
      <c r="AH903" s="56" t="str">
        <f>'[2]Изложницы без бурта'!F903</f>
        <v>10.241070 - 8</v>
      </c>
      <c r="AI903" s="56">
        <f>'[2]Изложницы без бурта'!G903</f>
        <v>7260050</v>
      </c>
      <c r="AJ903" s="56">
        <f>'[2]Изложницы без бурта'!H903</f>
        <v>0</v>
      </c>
      <c r="AK903" s="56">
        <f>'[2]Изложницы без бурта'!I903</f>
        <v>0</v>
      </c>
      <c r="AL903" s="56" t="s">
        <v>658</v>
      </c>
      <c r="AM903" s="56">
        <f>'[2]Изложницы без бурта'!K903</f>
        <v>0</v>
      </c>
    </row>
    <row r="904" spans="28:39" x14ac:dyDescent="0.25">
      <c r="AB904" s="258" t="str">
        <f t="shared" si="24"/>
        <v/>
      </c>
      <c r="AC904" s="259" t="str">
        <f>IF(COUNTIF(AD$78:AD904,AD904)=1,MAX(AC$78:AC903)+1,"")</f>
        <v/>
      </c>
      <c r="AD904" s="220">
        <f>'[2]Изложницы без бурта'!B904</f>
        <v>300</v>
      </c>
      <c r="AE904" s="220">
        <f>'[2]Изложницы без бурта'!C904</f>
        <v>320</v>
      </c>
      <c r="AF904" s="56">
        <f>'[2]Изложницы без бурта'!D904</f>
        <v>360</v>
      </c>
      <c r="AG904" s="56">
        <f>'[2]Изложницы без бурта'!E904</f>
        <v>450</v>
      </c>
      <c r="AH904" s="56" t="str">
        <f>'[2]Изложницы без бурта'!F904</f>
        <v>72.11873 - 32</v>
      </c>
      <c r="AI904" s="56">
        <f>'[2]Изложницы без бурта'!G904</f>
        <v>0</v>
      </c>
      <c r="AJ904" s="56">
        <f>'[2]Изложницы без бурта'!H904</f>
        <v>0</v>
      </c>
      <c r="AK904" s="56">
        <f>'[2]Изложницы без бурта'!I904</f>
        <v>0</v>
      </c>
      <c r="AL904" s="56" t="s">
        <v>658</v>
      </c>
      <c r="AM904" s="56">
        <f>'[2]Изложницы без бурта'!K904</f>
        <v>0</v>
      </c>
    </row>
    <row r="905" spans="28:39" x14ac:dyDescent="0.25">
      <c r="AB905" s="258" t="str">
        <f t="shared" si="24"/>
        <v/>
      </c>
      <c r="AC905" s="259" t="str">
        <f>IF(COUNTIF(AD$78:AD905,AD905)=1,MAX(AC$78:AC904)+1,"")</f>
        <v/>
      </c>
      <c r="AD905" s="220">
        <f>'[2]Изложницы без бурта'!B905</f>
        <v>300</v>
      </c>
      <c r="AE905" s="220">
        <f>'[2]Изложницы без бурта'!C905</f>
        <v>320</v>
      </c>
      <c r="AF905" s="56">
        <f>'[2]Изложницы без бурта'!D905</f>
        <v>360</v>
      </c>
      <c r="AG905" s="56">
        <f>'[2]Изложницы без бурта'!E905</f>
        <v>450</v>
      </c>
      <c r="AH905" s="56" t="str">
        <f>'[2]Изложницы без бурта'!F905</f>
        <v>72.11873 - 32</v>
      </c>
      <c r="AI905" s="56">
        <f>'[2]Изложницы без бурта'!G905</f>
        <v>0</v>
      </c>
      <c r="AJ905" s="56">
        <f>'[2]Изложницы без бурта'!H905</f>
        <v>0</v>
      </c>
      <c r="AK905" s="56">
        <f>'[2]Изложницы без бурта'!I905</f>
        <v>0</v>
      </c>
      <c r="AL905" s="56" t="s">
        <v>658</v>
      </c>
      <c r="AM905" s="56">
        <f>'[2]Изложницы без бурта'!K905</f>
        <v>0</v>
      </c>
    </row>
    <row r="906" spans="28:39" x14ac:dyDescent="0.25">
      <c r="AB906" s="258" t="str">
        <f t="shared" si="24"/>
        <v/>
      </c>
      <c r="AC906" s="259" t="str">
        <f>IF(COUNTIF(AD$78:AD906,AD906)=1,MAX(AC$78:AC905)+1,"")</f>
        <v/>
      </c>
      <c r="AD906" s="220">
        <f>'[2]Изложницы без бурта'!B906</f>
        <v>300</v>
      </c>
      <c r="AE906" s="220">
        <f>'[2]Изложницы без бурта'!C906</f>
        <v>260</v>
      </c>
      <c r="AF906" s="56">
        <f>'[2]Изложницы без бурта'!D906</f>
        <v>360</v>
      </c>
      <c r="AG906" s="56">
        <f>'[2]Изложницы без бурта'!E906</f>
        <v>450</v>
      </c>
      <c r="AH906" s="56" t="str">
        <f>'[2]Изложницы без бурта'!F906</f>
        <v>72.11872 - 32</v>
      </c>
      <c r="AI906" s="56">
        <f>'[2]Изложницы без бурта'!G906</f>
        <v>0</v>
      </c>
      <c r="AJ906" s="56">
        <f>'[2]Изложницы без бурта'!H906</f>
        <v>0</v>
      </c>
      <c r="AK906" s="56">
        <f>'[2]Изложницы без бурта'!I906</f>
        <v>0</v>
      </c>
      <c r="AL906" s="56" t="s">
        <v>658</v>
      </c>
      <c r="AM906" s="56">
        <f>'[2]Изложницы без бурта'!K906</f>
        <v>0</v>
      </c>
    </row>
    <row r="907" spans="28:39" x14ac:dyDescent="0.25">
      <c r="AB907" s="258" t="str">
        <f t="shared" si="24"/>
        <v/>
      </c>
      <c r="AC907" s="259" t="str">
        <f>IF(COUNTIF(AD$78:AD907,AD907)=1,MAX(AC$78:AC906)+1,"")</f>
        <v/>
      </c>
      <c r="AD907" s="220">
        <f>'[2]Изложницы без бурта'!B907</f>
        <v>300</v>
      </c>
      <c r="AE907" s="220">
        <f>'[2]Изложницы без бурта'!C907</f>
        <v>260</v>
      </c>
      <c r="AF907" s="56">
        <f>'[2]Изложницы без бурта'!D907</f>
        <v>360</v>
      </c>
      <c r="AG907" s="56">
        <f>'[2]Изложницы без бурта'!E907</f>
        <v>450</v>
      </c>
      <c r="AH907" s="56" t="str">
        <f>'[2]Изложницы без бурта'!F907</f>
        <v>72.11872 - 32</v>
      </c>
      <c r="AI907" s="56">
        <f>'[2]Изложницы без бурта'!G907</f>
        <v>0</v>
      </c>
      <c r="AJ907" s="56">
        <f>'[2]Изложницы без бурта'!H907</f>
        <v>0</v>
      </c>
      <c r="AK907" s="56">
        <f>'[2]Изложницы без бурта'!I907</f>
        <v>0</v>
      </c>
      <c r="AL907" s="56" t="s">
        <v>658</v>
      </c>
      <c r="AM907" s="56">
        <f>'[2]Изложницы без бурта'!K907</f>
        <v>0</v>
      </c>
    </row>
    <row r="908" spans="28:39" x14ac:dyDescent="0.25">
      <c r="AB908" s="258" t="str">
        <f t="shared" si="24"/>
        <v/>
      </c>
      <c r="AC908" s="259" t="str">
        <f>IF(COUNTIF(AD$78:AD908,AD908)=1,MAX(AC$78:AC907)+1,"")</f>
        <v/>
      </c>
      <c r="AD908" s="220">
        <f>'[2]Изложницы без бурта'!B908</f>
        <v>300</v>
      </c>
      <c r="AE908" s="220">
        <f>'[2]Изложницы без бурта'!C908</f>
        <v>260</v>
      </c>
      <c r="AF908" s="56">
        <f>'[2]Изложницы без бурта'!D908</f>
        <v>375</v>
      </c>
      <c r="AG908" s="56">
        <f>'[2]Изложницы без бурта'!E908</f>
        <v>450</v>
      </c>
      <c r="AH908" s="56" t="str">
        <f>'[2]Изложницы без бурта'!F908</f>
        <v>72.11872 - 32</v>
      </c>
      <c r="AI908" s="56">
        <f>'[2]Изложницы без бурта'!G908</f>
        <v>0</v>
      </c>
      <c r="AJ908" s="56">
        <f>'[2]Изложницы без бурта'!H908</f>
        <v>0</v>
      </c>
      <c r="AK908" s="56">
        <f>'[2]Изложницы без бурта'!I908</f>
        <v>0</v>
      </c>
      <c r="AL908" s="56" t="s">
        <v>658</v>
      </c>
      <c r="AM908" s="56">
        <f>'[2]Изложницы без бурта'!K908</f>
        <v>0</v>
      </c>
    </row>
    <row r="909" spans="28:39" x14ac:dyDescent="0.25">
      <c r="AB909" s="258" t="str">
        <f t="shared" si="24"/>
        <v/>
      </c>
      <c r="AC909" s="259">
        <f>IF(COUNTIF(AD$78:AD909,AD909)=1,MAX(AC$78:AC908)+1,"")</f>
        <v>85</v>
      </c>
      <c r="AD909" s="220">
        <f>'[2]Изложницы без бурта'!B909</f>
        <v>302.5</v>
      </c>
      <c r="AE909" s="220">
        <f>'[2]Изложницы без бурта'!C909</f>
        <v>465</v>
      </c>
      <c r="AF909" s="56">
        <f>'[2]Изложницы без бурта'!D909</f>
        <v>400</v>
      </c>
      <c r="AG909" s="56">
        <f>'[2]Изложницы без бурта'!E909</f>
        <v>400</v>
      </c>
      <c r="AH909" s="56" t="str">
        <f>'[2]Изложницы без бурта'!F909</f>
        <v>72.48005 - 2</v>
      </c>
      <c r="AI909" s="56">
        <f>'[2]Изложницы без бурта'!G909</f>
        <v>0</v>
      </c>
      <c r="AJ909" s="56">
        <f>'[2]Изложницы без бурта'!H909</f>
        <v>0</v>
      </c>
      <c r="AK909" s="56">
        <f>'[2]Изложницы без бурта'!I909</f>
        <v>0</v>
      </c>
      <c r="AL909" s="56" t="s">
        <v>669</v>
      </c>
      <c r="AM909" s="56">
        <f>'[2]Изложницы без бурта'!K909</f>
        <v>0</v>
      </c>
    </row>
    <row r="910" spans="28:39" x14ac:dyDescent="0.25">
      <c r="AB910" s="258" t="str">
        <f t="shared" si="24"/>
        <v/>
      </c>
      <c r="AC910" s="259" t="str">
        <f>IF(COUNTIF(AD$78:AD910,AD910)=1,MAX(AC$78:AC909)+1,"")</f>
        <v/>
      </c>
      <c r="AD910" s="220">
        <f>'[2]Изложницы без бурта'!B910</f>
        <v>302.5</v>
      </c>
      <c r="AE910" s="220">
        <f>'[2]Изложницы без бурта'!C910</f>
        <v>470</v>
      </c>
      <c r="AF910" s="56">
        <f>'[2]Изложницы без бурта'!D910</f>
        <v>400</v>
      </c>
      <c r="AG910" s="56">
        <f>'[2]Изложницы без бурта'!E910</f>
        <v>400</v>
      </c>
      <c r="AH910" s="56" t="str">
        <f>'[2]Изложницы без бурта'!F910</f>
        <v>72.48005 - 2</v>
      </c>
      <c r="AI910" s="56">
        <f>'[2]Изложницы без бурта'!G910</f>
        <v>0</v>
      </c>
      <c r="AJ910" s="56">
        <f>'[2]Изложницы без бурта'!H910</f>
        <v>0</v>
      </c>
      <c r="AK910" s="56">
        <f>'[2]Изложницы без бурта'!I910</f>
        <v>0</v>
      </c>
      <c r="AL910" s="56" t="s">
        <v>669</v>
      </c>
      <c r="AM910" s="56">
        <f>'[2]Изложницы без бурта'!K910</f>
        <v>0</v>
      </c>
    </row>
    <row r="911" spans="28:39" x14ac:dyDescent="0.25">
      <c r="AB911" s="258" t="str">
        <f t="shared" si="24"/>
        <v/>
      </c>
      <c r="AC911" s="259" t="str">
        <f>IF(COUNTIF(AD$78:AD911,AD911)=1,MAX(AC$78:AC910)+1,"")</f>
        <v/>
      </c>
      <c r="AD911" s="220">
        <f>'[2]Изложницы без бурта'!B911</f>
        <v>302.5</v>
      </c>
      <c r="AE911" s="220">
        <f>'[2]Изложницы без бурта'!C911</f>
        <v>470</v>
      </c>
      <c r="AF911" s="56">
        <f>'[2]Изложницы без бурта'!D911</f>
        <v>400</v>
      </c>
      <c r="AG911" s="56">
        <f>'[2]Изложницы без бурта'!E911</f>
        <v>400</v>
      </c>
      <c r="AH911" s="56" t="str">
        <f>'[2]Изложницы без бурта'!F911</f>
        <v>72.48005 - 2</v>
      </c>
      <c r="AI911" s="56">
        <f>'[2]Изложницы без бурта'!G911</f>
        <v>0</v>
      </c>
      <c r="AJ911" s="56">
        <f>'[2]Изложницы без бурта'!H911</f>
        <v>0</v>
      </c>
      <c r="AK911" s="56">
        <f>'[2]Изложницы без бурта'!I911</f>
        <v>0</v>
      </c>
      <c r="AL911" s="56" t="s">
        <v>669</v>
      </c>
      <c r="AM911" s="56">
        <f>'[2]Изложницы без бурта'!K911</f>
        <v>0</v>
      </c>
    </row>
    <row r="912" spans="28:39" x14ac:dyDescent="0.25">
      <c r="AB912" s="258" t="str">
        <f t="shared" si="24"/>
        <v/>
      </c>
      <c r="AC912" s="259">
        <f>IF(COUNTIF(AD$78:AD912,AD912)=1,MAX(AC$78:AC911)+1,"")</f>
        <v>86</v>
      </c>
      <c r="AD912" s="220">
        <f>'[2]Изложницы без бурта'!B912</f>
        <v>305</v>
      </c>
      <c r="AE912" s="220">
        <f>'[2]Изложницы без бурта'!C912</f>
        <v>372</v>
      </c>
      <c r="AF912" s="56">
        <f>'[2]Изложницы без бурта'!D912</f>
        <v>375</v>
      </c>
      <c r="AG912" s="56">
        <f>'[2]Изложницы без бурта'!E912</f>
        <v>450</v>
      </c>
      <c r="AH912" s="56" t="str">
        <f>'[2]Изложницы без бурта'!F912</f>
        <v>24.271248 - 1</v>
      </c>
      <c r="AI912" s="56">
        <f>'[2]Изложницы без бурта'!G912</f>
        <v>7260051</v>
      </c>
      <c r="AJ912" s="56">
        <f>'[2]Изложницы без бурта'!H912</f>
        <v>0</v>
      </c>
      <c r="AK912" s="56">
        <f>'[2]Изложницы без бурта'!I912</f>
        <v>0</v>
      </c>
      <c r="AL912" s="56" t="s">
        <v>670</v>
      </c>
      <c r="AM912" s="56">
        <f>'[2]Изложницы без бурта'!K912</f>
        <v>0</v>
      </c>
    </row>
    <row r="913" spans="28:39" x14ac:dyDescent="0.25">
      <c r="AB913" s="258" t="str">
        <f t="shared" si="24"/>
        <v/>
      </c>
      <c r="AC913" s="259">
        <f>IF(COUNTIF(AD$78:AD913,AD913)=1,MAX(AC$78:AC912)+1,"")</f>
        <v>87</v>
      </c>
      <c r="AD913" s="220">
        <f>'[2]Изложницы без бурта'!B913</f>
        <v>307.5</v>
      </c>
      <c r="AE913" s="220">
        <f>'[2]Изложницы без бурта'!C913</f>
        <v>260</v>
      </c>
      <c r="AF913" s="56">
        <f>'[2]Изложницы без бурта'!D913</f>
        <v>415</v>
      </c>
      <c r="AG913" s="56">
        <f>'[2]Изложницы без бурта'!E913</f>
        <v>450</v>
      </c>
      <c r="AH913" s="56" t="str">
        <f>'[2]Изложницы без бурта'!F913</f>
        <v>10.252634 - 3</v>
      </c>
      <c r="AI913" s="56">
        <f>'[2]Изложницы без бурта'!G913</f>
        <v>0</v>
      </c>
      <c r="AJ913" s="56">
        <f>'[2]Изложницы без бурта'!H913</f>
        <v>0</v>
      </c>
      <c r="AK913" s="56">
        <f>'[2]Изложницы без бурта'!I913</f>
        <v>0</v>
      </c>
      <c r="AL913" s="56" t="s">
        <v>671</v>
      </c>
      <c r="AM913" s="56">
        <f>'[2]Изложницы без бурта'!K913</f>
        <v>0</v>
      </c>
    </row>
    <row r="914" spans="28:39" x14ac:dyDescent="0.25">
      <c r="AB914" s="258" t="str">
        <f t="shared" si="24"/>
        <v/>
      </c>
      <c r="AC914" s="259" t="str">
        <f>IF(COUNTIF(AD$78:AD914,AD914)=1,MAX(AC$78:AC913)+1,"")</f>
        <v/>
      </c>
      <c r="AD914" s="220">
        <f>'[2]Изложницы без бурта'!B914</f>
        <v>307.5</v>
      </c>
      <c r="AE914" s="220">
        <f>'[2]Изложницы без бурта'!C914</f>
        <v>467</v>
      </c>
      <c r="AF914" s="56">
        <f>'[2]Изложницы без бурта'!D914</f>
        <v>400</v>
      </c>
      <c r="AG914" s="56">
        <f>'[2]Изложницы без бурта'!E914</f>
        <v>400</v>
      </c>
      <c r="AH914" s="56" t="str">
        <f>'[2]Изложницы без бурта'!F914</f>
        <v>72.48005 - 3</v>
      </c>
      <c r="AI914" s="56">
        <f>'[2]Изложницы без бурта'!G914</f>
        <v>0</v>
      </c>
      <c r="AJ914" s="56">
        <f>'[2]Изложницы без бурта'!H914</f>
        <v>0</v>
      </c>
      <c r="AK914" s="56">
        <f>'[2]Изложницы без бурта'!I914</f>
        <v>0</v>
      </c>
      <c r="AL914" s="56" t="s">
        <v>671</v>
      </c>
      <c r="AM914" s="56">
        <f>'[2]Изложницы без бурта'!K914</f>
        <v>0</v>
      </c>
    </row>
    <row r="915" spans="28:39" x14ac:dyDescent="0.25">
      <c r="AB915" s="258" t="str">
        <f t="shared" si="24"/>
        <v/>
      </c>
      <c r="AC915" s="259" t="str">
        <f>IF(COUNTIF(AD$78:AD915,AD915)=1,MAX(AC$78:AC914)+1,"")</f>
        <v/>
      </c>
      <c r="AD915" s="220">
        <f>'[2]Изложницы без бурта'!B915</f>
        <v>307.5</v>
      </c>
      <c r="AE915" s="220">
        <f>'[2]Изложницы без бурта'!C915</f>
        <v>257</v>
      </c>
      <c r="AF915" s="56">
        <f>'[2]Изложницы без бурта'!D915</f>
        <v>360</v>
      </c>
      <c r="AG915" s="56">
        <f>'[2]Изложницы без бурта'!E915</f>
        <v>450</v>
      </c>
      <c r="AH915" s="56" t="str">
        <f>'[2]Изложницы без бурта'!F915</f>
        <v>72.11872 - 35</v>
      </c>
      <c r="AI915" s="56">
        <f>'[2]Изложницы без бурта'!G915</f>
        <v>0</v>
      </c>
      <c r="AJ915" s="56">
        <f>'[2]Изложницы без бурта'!H915</f>
        <v>0</v>
      </c>
      <c r="AK915" s="56">
        <f>'[2]Изложницы без бурта'!I915</f>
        <v>0</v>
      </c>
      <c r="AL915" s="56" t="s">
        <v>671</v>
      </c>
      <c r="AM915" s="56">
        <f>'[2]Изложницы без бурта'!K915</f>
        <v>0</v>
      </c>
    </row>
    <row r="916" spans="28:39" x14ac:dyDescent="0.25">
      <c r="AB916" s="258" t="str">
        <f t="shared" si="24"/>
        <v/>
      </c>
      <c r="AC916" s="259" t="str">
        <f>IF(COUNTIF(AD$78:AD916,AD916)=1,MAX(AC$78:AC915)+1,"")</f>
        <v/>
      </c>
      <c r="AD916" s="220">
        <f>'[2]Изложницы без бурта'!B916</f>
        <v>307.5</v>
      </c>
      <c r="AE916" s="220">
        <f>'[2]Изложницы без бурта'!C916</f>
        <v>260</v>
      </c>
      <c r="AF916" s="56">
        <f>'[2]Изложницы без бурта'!D916</f>
        <v>415</v>
      </c>
      <c r="AG916" s="56">
        <f>'[2]Изложницы без бурта'!E916</f>
        <v>450</v>
      </c>
      <c r="AH916" s="56" t="str">
        <f>'[2]Изложницы без бурта'!F916</f>
        <v>10.252634 - 3</v>
      </c>
      <c r="AI916" s="56">
        <f>'[2]Изложницы без бурта'!G916</f>
        <v>0</v>
      </c>
      <c r="AJ916" s="56">
        <f>'[2]Изложницы без бурта'!H916</f>
        <v>0</v>
      </c>
      <c r="AK916" s="56">
        <f>'[2]Изложницы без бурта'!I916</f>
        <v>0</v>
      </c>
      <c r="AL916" s="56" t="s">
        <v>671</v>
      </c>
      <c r="AM916" s="56">
        <f>'[2]Изложницы без бурта'!K916</f>
        <v>0</v>
      </c>
    </row>
    <row r="917" spans="28:39" x14ac:dyDescent="0.25">
      <c r="AB917" s="258" t="str">
        <f t="shared" si="24"/>
        <v/>
      </c>
      <c r="AC917" s="259" t="str">
        <f>IF(COUNTIF(AD$78:AD917,AD917)=1,MAX(AC$78:AC916)+1,"")</f>
        <v/>
      </c>
      <c r="AD917" s="220">
        <f>'[2]Изложницы без бурта'!B917</f>
        <v>307.5</v>
      </c>
      <c r="AE917" s="220">
        <f>'[2]Изложницы без бурта'!C917</f>
        <v>318</v>
      </c>
      <c r="AF917" s="56">
        <f>'[2]Изложницы без бурта'!D917</f>
        <v>375</v>
      </c>
      <c r="AG917" s="56">
        <f>'[2]Изложницы без бурта'!E917</f>
        <v>450</v>
      </c>
      <c r="AH917" s="56" t="str">
        <f>'[2]Изложницы без бурта'!F917</f>
        <v>10.246210 - 3</v>
      </c>
      <c r="AI917" s="56">
        <f>'[2]Изложницы без бурта'!G917</f>
        <v>7260052</v>
      </c>
      <c r="AJ917" s="56">
        <f>'[2]Изложницы без бурта'!H917</f>
        <v>0</v>
      </c>
      <c r="AK917" s="56">
        <f>'[2]Изложницы без бурта'!I917</f>
        <v>0</v>
      </c>
      <c r="AL917" s="56" t="s">
        <v>671</v>
      </c>
      <c r="AM917" s="56">
        <f>'[2]Изложницы без бурта'!K917</f>
        <v>0</v>
      </c>
    </row>
    <row r="918" spans="28:39" x14ac:dyDescent="0.25">
      <c r="AB918" s="258" t="str">
        <f t="shared" si="24"/>
        <v/>
      </c>
      <c r="AC918" s="259" t="str">
        <f>IF(COUNTIF(AD$78:AD918,AD918)=1,MAX(AC$78:AC917)+1,"")</f>
        <v/>
      </c>
      <c r="AD918" s="220">
        <f>'[2]Изложницы без бурта'!B918</f>
        <v>307.5</v>
      </c>
      <c r="AE918" s="220">
        <f>'[2]Изложницы без бурта'!C918</f>
        <v>260</v>
      </c>
      <c r="AF918" s="56">
        <f>'[2]Изложницы без бурта'!D918</f>
        <v>360</v>
      </c>
      <c r="AG918" s="56">
        <f>'[2]Изложницы без бурта'!E918</f>
        <v>450</v>
      </c>
      <c r="AH918" s="56" t="str">
        <f>'[2]Изложницы без бурта'!F918</f>
        <v>72.11872 - 35</v>
      </c>
      <c r="AI918" s="56">
        <f>'[2]Изложницы без бурта'!G918</f>
        <v>0</v>
      </c>
      <c r="AJ918" s="56">
        <f>'[2]Изложницы без бурта'!H918</f>
        <v>0</v>
      </c>
      <c r="AK918" s="56">
        <f>'[2]Изложницы без бурта'!I918</f>
        <v>0</v>
      </c>
      <c r="AL918" s="56" t="s">
        <v>671</v>
      </c>
      <c r="AM918" s="56">
        <f>'[2]Изложницы без бурта'!K918</f>
        <v>0</v>
      </c>
    </row>
    <row r="919" spans="28:39" x14ac:dyDescent="0.25">
      <c r="AB919" s="258" t="str">
        <f t="shared" si="24"/>
        <v/>
      </c>
      <c r="AC919" s="259">
        <f>IF(COUNTIF(AD$78:AD919,AD919)=1,MAX(AC$78:AC918)+1,"")</f>
        <v>88</v>
      </c>
      <c r="AD919" s="220">
        <f>'[2]Изложницы без бурта'!B919</f>
        <v>310</v>
      </c>
      <c r="AE919" s="220">
        <f>'[2]Изложницы без бурта'!C919</f>
        <v>255</v>
      </c>
      <c r="AF919" s="56">
        <f>'[2]Изложницы без бурта'!D919</f>
        <v>375</v>
      </c>
      <c r="AG919" s="56">
        <f>'[2]Изложницы без бурта'!E919</f>
        <v>450</v>
      </c>
      <c r="AH919" s="56" t="str">
        <f>'[2]Изложницы без бурта'!F919</f>
        <v>72.11872 - 36</v>
      </c>
      <c r="AI919" s="56">
        <f>'[2]Изложницы без бурта'!G919</f>
        <v>0</v>
      </c>
      <c r="AJ919" s="56">
        <f>'[2]Изложницы без бурта'!H919</f>
        <v>0</v>
      </c>
      <c r="AK919" s="56">
        <f>'[2]Изложницы без бурта'!I919</f>
        <v>0</v>
      </c>
      <c r="AL919" s="56" t="s">
        <v>672</v>
      </c>
      <c r="AM919" s="56">
        <f>'[2]Изложницы без бурта'!K919</f>
        <v>0</v>
      </c>
    </row>
    <row r="920" spans="28:39" x14ac:dyDescent="0.25">
      <c r="AB920" s="258" t="str">
        <f t="shared" si="24"/>
        <v/>
      </c>
      <c r="AC920" s="259" t="str">
        <f>IF(COUNTIF(AD$78:AD920,AD920)=1,MAX(AC$78:AC919)+1,"")</f>
        <v/>
      </c>
      <c r="AD920" s="220">
        <f>'[2]Изложницы без бурта'!B920</f>
        <v>310</v>
      </c>
      <c r="AE920" s="220">
        <f>'[2]Изложницы без бурта'!C920</f>
        <v>255</v>
      </c>
      <c r="AF920" s="56">
        <f>'[2]Изложницы без бурта'!D920</f>
        <v>360</v>
      </c>
      <c r="AG920" s="56">
        <f>'[2]Изложницы без бурта'!E920</f>
        <v>450</v>
      </c>
      <c r="AH920" s="56" t="str">
        <f>'[2]Изложницы без бурта'!F920</f>
        <v>72.11872 - 36</v>
      </c>
      <c r="AI920" s="56">
        <f>'[2]Изложницы без бурта'!G920</f>
        <v>0</v>
      </c>
      <c r="AJ920" s="56">
        <f>'[2]Изложницы без бурта'!H920</f>
        <v>0</v>
      </c>
      <c r="AK920" s="56">
        <f>'[2]Изложницы без бурта'!I920</f>
        <v>0</v>
      </c>
      <c r="AL920" s="56" t="s">
        <v>672</v>
      </c>
      <c r="AM920" s="56">
        <f>'[2]Изложницы без бурта'!K920</f>
        <v>0</v>
      </c>
    </row>
    <row r="921" spans="28:39" x14ac:dyDescent="0.25">
      <c r="AB921" s="258" t="str">
        <f t="shared" si="24"/>
        <v/>
      </c>
      <c r="AC921" s="259" t="str">
        <f>IF(COUNTIF(AD$78:AD921,AD921)=1,MAX(AC$78:AC920)+1,"")</f>
        <v/>
      </c>
      <c r="AD921" s="220">
        <f>'[2]Изложницы без бурта'!B921</f>
        <v>310</v>
      </c>
      <c r="AE921" s="220">
        <f>'[2]Изложницы без бурта'!C921</f>
        <v>255</v>
      </c>
      <c r="AF921" s="56">
        <f>'[2]Изложницы без бурта'!D921</f>
        <v>375</v>
      </c>
      <c r="AG921" s="56">
        <f>'[2]Изложницы без бурта'!E921</f>
        <v>450</v>
      </c>
      <c r="AH921" s="56" t="str">
        <f>'[2]Изложницы без бурта'!F921</f>
        <v>72.11872 - 36</v>
      </c>
      <c r="AI921" s="56">
        <f>'[2]Изложницы без бурта'!G921</f>
        <v>0</v>
      </c>
      <c r="AJ921" s="56">
        <f>'[2]Изложницы без бурта'!H921</f>
        <v>0</v>
      </c>
      <c r="AK921" s="56">
        <f>'[2]Изложницы без бурта'!I921</f>
        <v>0</v>
      </c>
      <c r="AL921" s="56" t="s">
        <v>672</v>
      </c>
      <c r="AM921" s="56">
        <f>'[2]Изложницы без бурта'!K921</f>
        <v>0</v>
      </c>
    </row>
    <row r="922" spans="28:39" x14ac:dyDescent="0.25">
      <c r="AB922" s="258" t="str">
        <f t="shared" si="24"/>
        <v/>
      </c>
      <c r="AC922" s="259" t="str">
        <f>IF(COUNTIF(AD$78:AD922,AD922)=1,MAX(AC$78:AC921)+1,"")</f>
        <v/>
      </c>
      <c r="AD922" s="220">
        <f>'[2]Изложницы без бурта'!B922</f>
        <v>310</v>
      </c>
      <c r="AE922" s="220">
        <f>'[2]Изложницы без бурта'!C922</f>
        <v>318</v>
      </c>
      <c r="AF922" s="56">
        <f>'[2]Изложницы без бурта'!D922</f>
        <v>360</v>
      </c>
      <c r="AG922" s="56">
        <f>'[2]Изложницы без бурта'!E922</f>
        <v>450</v>
      </c>
      <c r="AH922" s="56" t="str">
        <f>'[2]Изложницы без бурта'!F922</f>
        <v>10.246210 - 4</v>
      </c>
      <c r="AI922" s="56">
        <f>'[2]Изложницы без бурта'!G922</f>
        <v>0</v>
      </c>
      <c r="AJ922" s="56">
        <f>'[2]Изложницы без бурта'!H922</f>
        <v>0</v>
      </c>
      <c r="AK922" s="56">
        <f>'[2]Изложницы без бурта'!I922</f>
        <v>0</v>
      </c>
      <c r="AL922" s="56" t="s">
        <v>672</v>
      </c>
      <c r="AM922" s="56">
        <f>'[2]Изложницы без бурта'!K922</f>
        <v>0</v>
      </c>
    </row>
    <row r="923" spans="28:39" x14ac:dyDescent="0.25">
      <c r="AB923" s="258" t="str">
        <f t="shared" si="24"/>
        <v/>
      </c>
      <c r="AC923" s="259" t="str">
        <f>IF(COUNTIF(AD$78:AD923,AD923)=1,MAX(AC$78:AC922)+1,"")</f>
        <v/>
      </c>
      <c r="AD923" s="220">
        <f>'[2]Изложницы без бурта'!B923</f>
        <v>310</v>
      </c>
      <c r="AE923" s="220">
        <f>'[2]Изложницы без бурта'!C923</f>
        <v>367</v>
      </c>
      <c r="AF923" s="56">
        <f>'[2]Изложницы без бурта'!D923</f>
        <v>375</v>
      </c>
      <c r="AG923" s="56">
        <f>'[2]Изложницы без бурта'!E923</f>
        <v>450</v>
      </c>
      <c r="AH923" s="56" t="str">
        <f>'[2]Изложницы без бурта'!F923</f>
        <v>24.271248 - 3</v>
      </c>
      <c r="AI923" s="56">
        <f>'[2]Изложницы без бурта'!G923</f>
        <v>0</v>
      </c>
      <c r="AJ923" s="56">
        <f>'[2]Изложницы без бурта'!H923</f>
        <v>0</v>
      </c>
      <c r="AK923" s="56">
        <f>'[2]Изложницы без бурта'!I923</f>
        <v>0</v>
      </c>
      <c r="AL923" s="56" t="s">
        <v>672</v>
      </c>
      <c r="AM923" s="56">
        <f>'[2]Изложницы без бурта'!K923</f>
        <v>0</v>
      </c>
    </row>
    <row r="924" spans="28:39" x14ac:dyDescent="0.25">
      <c r="AB924" s="258" t="str">
        <f t="shared" si="24"/>
        <v/>
      </c>
      <c r="AC924" s="259" t="str">
        <f>IF(COUNTIF(AD$78:AD924,AD924)=1,MAX(AC$78:AC923)+1,"")</f>
        <v/>
      </c>
      <c r="AD924" s="220">
        <f>'[2]Изложницы без бурта'!B924</f>
        <v>310</v>
      </c>
      <c r="AE924" s="220">
        <f>'[2]Изложницы без бурта'!C924</f>
        <v>375</v>
      </c>
      <c r="AF924" s="56">
        <f>'[2]Изложницы без бурта'!D924</f>
        <v>360</v>
      </c>
      <c r="AG924" s="56">
        <f>'[2]Изложницы без бурта'!E924</f>
        <v>450</v>
      </c>
      <c r="AH924" s="56" t="str">
        <f>'[2]Изложницы без бурта'!F924</f>
        <v>24.271248 - 3</v>
      </c>
      <c r="AI924" s="56">
        <f>'[2]Изложницы без бурта'!G924</f>
        <v>0</v>
      </c>
      <c r="AJ924" s="56">
        <f>'[2]Изложницы без бурта'!H924</f>
        <v>0</v>
      </c>
      <c r="AK924" s="56">
        <f>'[2]Изложницы без бурта'!I924</f>
        <v>0</v>
      </c>
      <c r="AL924" s="56" t="s">
        <v>672</v>
      </c>
      <c r="AM924" s="56">
        <f>'[2]Изложницы без бурта'!K924</f>
        <v>0</v>
      </c>
    </row>
    <row r="925" spans="28:39" x14ac:dyDescent="0.25">
      <c r="AB925" s="258" t="str">
        <f t="shared" si="24"/>
        <v/>
      </c>
      <c r="AC925" s="259" t="str">
        <f>IF(COUNTIF(AD$78:AD925,AD925)=1,MAX(AC$78:AC924)+1,"")</f>
        <v/>
      </c>
      <c r="AD925" s="220">
        <f>'[2]Изложницы без бурта'!B925</f>
        <v>310</v>
      </c>
      <c r="AE925" s="220">
        <f>'[2]Изложницы без бурта'!C925</f>
        <v>320</v>
      </c>
      <c r="AF925" s="56">
        <f>'[2]Изложницы без бурта'!D925</f>
        <v>375</v>
      </c>
      <c r="AG925" s="56">
        <f>'[2]Изложницы без бурта'!E925</f>
        <v>450</v>
      </c>
      <c r="AH925" s="56" t="str">
        <f>'[2]Изложницы без бурта'!F925</f>
        <v>10.246210 - 4</v>
      </c>
      <c r="AI925" s="56">
        <f>'[2]Изложницы без бурта'!G925</f>
        <v>0</v>
      </c>
      <c r="AJ925" s="56">
        <f>'[2]Изложницы без бурта'!H925</f>
        <v>0</v>
      </c>
      <c r="AK925" s="56">
        <f>'[2]Изложницы без бурта'!I925</f>
        <v>0</v>
      </c>
      <c r="AL925" s="56" t="s">
        <v>672</v>
      </c>
      <c r="AM925" s="56">
        <f>'[2]Изложницы без бурта'!K925</f>
        <v>0</v>
      </c>
    </row>
    <row r="926" spans="28:39" x14ac:dyDescent="0.25">
      <c r="AB926" s="258" t="str">
        <f t="shared" si="24"/>
        <v/>
      </c>
      <c r="AC926" s="259" t="str">
        <f>IF(COUNTIF(AD$78:AD926,AD926)=1,MAX(AC$78:AC925)+1,"")</f>
        <v/>
      </c>
      <c r="AD926" s="220">
        <f>'[2]Изложницы без бурта'!B926</f>
        <v>310</v>
      </c>
      <c r="AE926" s="220">
        <f>'[2]Изложницы без бурта'!C926</f>
        <v>317</v>
      </c>
      <c r="AF926" s="56">
        <f>'[2]Изложницы без бурта'!D926</f>
        <v>415</v>
      </c>
      <c r="AG926" s="56">
        <f>'[2]Изложницы без бурта'!E926</f>
        <v>450</v>
      </c>
      <c r="AH926" s="56" t="str">
        <f>'[2]Изложницы без бурта'!F926</f>
        <v>10.246210 - 4</v>
      </c>
      <c r="AI926" s="56">
        <f>'[2]Изложницы без бурта'!G926</f>
        <v>0</v>
      </c>
      <c r="AJ926" s="56">
        <f>'[2]Изложницы без бурта'!H926</f>
        <v>0</v>
      </c>
      <c r="AK926" s="56">
        <f>'[2]Изложницы без бурта'!I926</f>
        <v>0</v>
      </c>
      <c r="AL926" s="56" t="s">
        <v>672</v>
      </c>
      <c r="AM926" s="56">
        <f>'[2]Изложницы без бурта'!K926</f>
        <v>0</v>
      </c>
    </row>
    <row r="927" spans="28:39" x14ac:dyDescent="0.25">
      <c r="AB927" s="258" t="str">
        <f t="shared" si="24"/>
        <v/>
      </c>
      <c r="AC927" s="259" t="str">
        <f>IF(COUNTIF(AD$78:AD927,AD927)=1,MAX(AC$78:AC926)+1,"")</f>
        <v/>
      </c>
      <c r="AD927" s="220">
        <f>'[2]Изложницы без бурта'!B927</f>
        <v>310</v>
      </c>
      <c r="AE927" s="220">
        <f>'[2]Изложницы без бурта'!C927</f>
        <v>260</v>
      </c>
      <c r="AF927" s="56">
        <f>'[2]Изложницы без бурта'!D927</f>
        <v>360</v>
      </c>
      <c r="AG927" s="56">
        <f>'[2]Изложницы без бурта'!E927</f>
        <v>450</v>
      </c>
      <c r="AH927" s="56" t="str">
        <f>'[2]Изложницы без бурта'!F927</f>
        <v>72.11872 - 36</v>
      </c>
      <c r="AI927" s="56">
        <f>'[2]Изложницы без бурта'!G927</f>
        <v>0</v>
      </c>
      <c r="AJ927" s="56">
        <f>'[2]Изложницы без бурта'!H927</f>
        <v>0</v>
      </c>
      <c r="AK927" s="56">
        <f>'[2]Изложницы без бурта'!I927</f>
        <v>0</v>
      </c>
      <c r="AL927" s="56" t="s">
        <v>672</v>
      </c>
      <c r="AM927" s="56">
        <f>'[2]Изложницы без бурта'!K927</f>
        <v>0</v>
      </c>
    </row>
    <row r="928" spans="28:39" x14ac:dyDescent="0.25">
      <c r="AB928" s="258" t="str">
        <f t="shared" si="24"/>
        <v/>
      </c>
      <c r="AC928" s="259">
        <f>IF(COUNTIF(AD$78:AD928,AD928)=1,MAX(AC$78:AC927)+1,"")</f>
        <v>89</v>
      </c>
      <c r="AD928" s="220">
        <f>'[2]Изложницы без бурта'!B928</f>
        <v>312.5</v>
      </c>
      <c r="AE928" s="220">
        <f>'[2]Изложницы без бурта'!C928</f>
        <v>470</v>
      </c>
      <c r="AF928" s="56">
        <f>'[2]Изложницы без бурта'!D928</f>
        <v>400</v>
      </c>
      <c r="AG928" s="56">
        <f>'[2]Изложницы без бурта'!E928</f>
        <v>400</v>
      </c>
      <c r="AH928" s="56" t="str">
        <f>'[2]Изложницы без бурта'!F928</f>
        <v>72.48005 - 5</v>
      </c>
      <c r="AI928" s="56">
        <f>'[2]Изложницы без бурта'!G928</f>
        <v>0</v>
      </c>
      <c r="AJ928" s="56">
        <f>'[2]Изложницы без бурта'!H928</f>
        <v>0</v>
      </c>
      <c r="AK928" s="56">
        <f>'[2]Изложницы без бурта'!I928</f>
        <v>0</v>
      </c>
      <c r="AL928" s="56" t="s">
        <v>673</v>
      </c>
      <c r="AM928" s="56">
        <f>'[2]Изложницы без бурта'!K928</f>
        <v>0</v>
      </c>
    </row>
    <row r="929" spans="28:39" x14ac:dyDescent="0.25">
      <c r="AB929" s="258" t="str">
        <f t="shared" si="24"/>
        <v/>
      </c>
      <c r="AC929" s="259" t="str">
        <f>IF(COUNTIF(AD$78:AD929,AD929)=1,MAX(AC$78:AC928)+1,"")</f>
        <v/>
      </c>
      <c r="AD929" s="220">
        <f>'[2]Изложницы без бурта'!B929</f>
        <v>312.5</v>
      </c>
      <c r="AE929" s="220">
        <f>'[2]Изложницы без бурта'!C929</f>
        <v>470</v>
      </c>
      <c r="AF929" s="56">
        <f>'[2]Изложницы без бурта'!D929</f>
        <v>400</v>
      </c>
      <c r="AG929" s="56">
        <f>'[2]Изложницы без бурта'!E929</f>
        <v>400</v>
      </c>
      <c r="AH929" s="56" t="str">
        <f>'[2]Изложницы без бурта'!F929</f>
        <v>72.48005 - 5</v>
      </c>
      <c r="AI929" s="56">
        <f>'[2]Изложницы без бурта'!G929</f>
        <v>0</v>
      </c>
      <c r="AJ929" s="56">
        <f>'[2]Изложницы без бурта'!H929</f>
        <v>0</v>
      </c>
      <c r="AK929" s="56">
        <f>'[2]Изложницы без бурта'!I929</f>
        <v>0</v>
      </c>
      <c r="AL929" s="56" t="s">
        <v>673</v>
      </c>
      <c r="AM929" s="56">
        <f>'[2]Изложницы без бурта'!K929</f>
        <v>0</v>
      </c>
    </row>
    <row r="930" spans="28:39" x14ac:dyDescent="0.25">
      <c r="AB930" s="258" t="str">
        <f t="shared" si="24"/>
        <v/>
      </c>
      <c r="AC930" s="259" t="str">
        <f>IF(COUNTIF(AD$78:AD930,AD930)=1,MAX(AC$78:AC929)+1,"")</f>
        <v/>
      </c>
      <c r="AD930" s="220">
        <f>'[2]Изложницы без бурта'!B930</f>
        <v>312.5</v>
      </c>
      <c r="AE930" s="220">
        <f>'[2]Изложницы без бурта'!C930</f>
        <v>470</v>
      </c>
      <c r="AF930" s="56">
        <f>'[2]Изложницы без бурта'!D930</f>
        <v>400</v>
      </c>
      <c r="AG930" s="56">
        <f>'[2]Изложницы без бурта'!E930</f>
        <v>400</v>
      </c>
      <c r="AH930" s="56" t="str">
        <f>'[2]Изложницы без бурта'!F930</f>
        <v>72.48005 - 5</v>
      </c>
      <c r="AI930" s="56">
        <f>'[2]Изложницы без бурта'!G930</f>
        <v>0</v>
      </c>
      <c r="AJ930" s="56">
        <f>'[2]Изложницы без бурта'!H930</f>
        <v>0</v>
      </c>
      <c r="AK930" s="56">
        <f>'[2]Изложницы без бурта'!I930</f>
        <v>0</v>
      </c>
      <c r="AL930" s="56" t="s">
        <v>673</v>
      </c>
      <c r="AM930" s="56">
        <f>'[2]Изложницы без бурта'!K930</f>
        <v>0</v>
      </c>
    </row>
    <row r="931" spans="28:39" x14ac:dyDescent="0.25">
      <c r="AB931" s="258" t="str">
        <f t="shared" si="24"/>
        <v/>
      </c>
      <c r="AC931" s="259" t="str">
        <f>IF(COUNTIF(AD$78:AD931,AD931)=1,MAX(AC$78:AC930)+1,"")</f>
        <v/>
      </c>
      <c r="AD931" s="220">
        <f>'[2]Изложницы без бурта'!B931</f>
        <v>312.5</v>
      </c>
      <c r="AE931" s="220">
        <f>'[2]Изложницы без бурта'!C931</f>
        <v>365</v>
      </c>
      <c r="AF931" s="56">
        <f>'[2]Изложницы без бурта'!D931</f>
        <v>375</v>
      </c>
      <c r="AG931" s="56">
        <f>'[2]Изложницы без бурта'!E931</f>
        <v>450</v>
      </c>
      <c r="AH931" s="56" t="str">
        <f>'[2]Изложницы без бурта'!F931</f>
        <v>72.18376 - 1</v>
      </c>
      <c r="AI931" s="56">
        <f>'[2]Изложницы без бурта'!G931</f>
        <v>7260053</v>
      </c>
      <c r="AJ931" s="56">
        <f>'[2]Изложницы без бурта'!H931</f>
        <v>0</v>
      </c>
      <c r="AK931" s="56">
        <f>'[2]Изложницы без бурта'!I931</f>
        <v>0</v>
      </c>
      <c r="AL931" s="56" t="s">
        <v>673</v>
      </c>
      <c r="AM931" s="56">
        <f>'[2]Изложницы без бурта'!K931</f>
        <v>0</v>
      </c>
    </row>
    <row r="932" spans="28:39" x14ac:dyDescent="0.25">
      <c r="AB932" s="258" t="str">
        <f t="shared" si="24"/>
        <v/>
      </c>
      <c r="AC932" s="259" t="str">
        <f>IF(COUNTIF(AD$78:AD932,AD932)=1,MAX(AC$78:AC931)+1,"")</f>
        <v/>
      </c>
      <c r="AD932" s="220">
        <f>'[2]Изложницы без бурта'!B932</f>
        <v>312.5</v>
      </c>
      <c r="AE932" s="220">
        <f>'[2]Изложницы без бурта'!C932</f>
        <v>470</v>
      </c>
      <c r="AF932" s="56">
        <f>'[2]Изложницы без бурта'!D932</f>
        <v>400</v>
      </c>
      <c r="AG932" s="56">
        <f>'[2]Изложницы без бурта'!E932</f>
        <v>400</v>
      </c>
      <c r="AH932" s="56" t="str">
        <f>'[2]Изложницы без бурта'!F932</f>
        <v>72.48005 - 5</v>
      </c>
      <c r="AI932" s="56">
        <f>'[2]Изложницы без бурта'!G932</f>
        <v>0</v>
      </c>
      <c r="AJ932" s="56">
        <f>'[2]Изложницы без бурта'!H932</f>
        <v>0</v>
      </c>
      <c r="AK932" s="56">
        <f>'[2]Изложницы без бурта'!I932</f>
        <v>0</v>
      </c>
      <c r="AL932" s="56" t="s">
        <v>673</v>
      </c>
      <c r="AM932" s="56">
        <f>'[2]Изложницы без бурта'!K932</f>
        <v>0</v>
      </c>
    </row>
    <row r="933" spans="28:39" x14ac:dyDescent="0.25">
      <c r="AB933" s="258" t="str">
        <f t="shared" si="24"/>
        <v/>
      </c>
      <c r="AC933" s="259" t="str">
        <f>IF(COUNTIF(AD$78:AD933,AD933)=1,MAX(AC$78:AC932)+1,"")</f>
        <v/>
      </c>
      <c r="AD933" s="220">
        <f>'[2]Изложницы без бурта'!B933</f>
        <v>312.5</v>
      </c>
      <c r="AE933" s="220">
        <f>'[2]Изложницы без бурта'!C933</f>
        <v>470</v>
      </c>
      <c r="AF933" s="56">
        <f>'[2]Изложницы без бурта'!D933</f>
        <v>400</v>
      </c>
      <c r="AG933" s="56">
        <f>'[2]Изложницы без бурта'!E933</f>
        <v>400</v>
      </c>
      <c r="AH933" s="56" t="str">
        <f>'[2]Изложницы без бурта'!F933</f>
        <v>72.48005 - 5</v>
      </c>
      <c r="AI933" s="56">
        <f>'[2]Изложницы без бурта'!G933</f>
        <v>0</v>
      </c>
      <c r="AJ933" s="56">
        <f>'[2]Изложницы без бурта'!H933</f>
        <v>0</v>
      </c>
      <c r="AK933" s="56">
        <f>'[2]Изложницы без бурта'!I933</f>
        <v>0</v>
      </c>
      <c r="AL933" s="56" t="s">
        <v>673</v>
      </c>
      <c r="AM933" s="56">
        <f>'[2]Изложницы без бурта'!K933</f>
        <v>0</v>
      </c>
    </row>
    <row r="934" spans="28:39" x14ac:dyDescent="0.25">
      <c r="AB934" s="258" t="str">
        <f t="shared" si="24"/>
        <v/>
      </c>
      <c r="AC934" s="259" t="str">
        <f>IF(COUNTIF(AD$78:AD934,AD934)=1,MAX(AC$78:AC933)+1,"")</f>
        <v/>
      </c>
      <c r="AD934" s="220">
        <f>'[2]Изложницы без бурта'!B934</f>
        <v>312.5</v>
      </c>
      <c r="AE934" s="220">
        <f>'[2]Изложницы без бурта'!C934</f>
        <v>260</v>
      </c>
      <c r="AF934" s="56">
        <f>'[2]Изложницы без бурта'!D934</f>
        <v>360</v>
      </c>
      <c r="AG934" s="56">
        <f>'[2]Изложницы без бурта'!E934</f>
        <v>450</v>
      </c>
      <c r="AH934" s="56" t="str">
        <f>'[2]Изложницы без бурта'!F934</f>
        <v>72.11872 - 37</v>
      </c>
      <c r="AI934" s="56">
        <f>'[2]Изложницы без бурта'!G934</f>
        <v>0</v>
      </c>
      <c r="AJ934" s="56">
        <f>'[2]Изложницы без бурта'!H934</f>
        <v>0</v>
      </c>
      <c r="AK934" s="56">
        <f>'[2]Изложницы без бурта'!I934</f>
        <v>0</v>
      </c>
      <c r="AL934" s="56" t="s">
        <v>673</v>
      </c>
      <c r="AM934" s="56">
        <f>'[2]Изложницы без бурта'!K934</f>
        <v>0</v>
      </c>
    </row>
    <row r="935" spans="28:39" x14ac:dyDescent="0.25">
      <c r="AB935" s="258" t="str">
        <f t="shared" si="24"/>
        <v/>
      </c>
      <c r="AC935" s="259" t="str">
        <f>IF(COUNTIF(AD$78:AD935,AD935)=1,MAX(AC$78:AC934)+1,"")</f>
        <v/>
      </c>
      <c r="AD935" s="220">
        <f>'[2]Изложницы без бурта'!B935</f>
        <v>312.5</v>
      </c>
      <c r="AE935" s="220">
        <f>'[2]Изложницы без бурта'!C935</f>
        <v>260</v>
      </c>
      <c r="AF935" s="56">
        <f>'[2]Изложницы без бурта'!D935</f>
        <v>360</v>
      </c>
      <c r="AG935" s="56">
        <f>'[2]Изложницы без бурта'!E935</f>
        <v>450</v>
      </c>
      <c r="AH935" s="56" t="str">
        <f>'[2]Изложницы без бурта'!F935</f>
        <v>72.11872 - 37</v>
      </c>
      <c r="AI935" s="56">
        <f>'[2]Изложницы без бурта'!G935</f>
        <v>0</v>
      </c>
      <c r="AJ935" s="56">
        <f>'[2]Изложницы без бурта'!H935</f>
        <v>0</v>
      </c>
      <c r="AK935" s="56">
        <f>'[2]Изложницы без бурта'!I935</f>
        <v>0</v>
      </c>
      <c r="AL935" s="56" t="s">
        <v>673</v>
      </c>
      <c r="AM935" s="56">
        <f>'[2]Изложницы без бурта'!K935</f>
        <v>0</v>
      </c>
    </row>
    <row r="936" spans="28:39" x14ac:dyDescent="0.25">
      <c r="AB936" s="258" t="str">
        <f t="shared" si="24"/>
        <v/>
      </c>
      <c r="AC936" s="259" t="str">
        <f>IF(COUNTIF(AD$78:AD936,AD936)=1,MAX(AC$78:AC935)+1,"")</f>
        <v/>
      </c>
      <c r="AD936" s="220">
        <f>'[2]Изложницы без бурта'!B936</f>
        <v>312.5</v>
      </c>
      <c r="AE936" s="220">
        <f>'[2]Изложницы без бурта'!C936</f>
        <v>467</v>
      </c>
      <c r="AF936" s="56">
        <f>'[2]Изложницы без бурта'!D936</f>
        <v>400</v>
      </c>
      <c r="AG936" s="56">
        <f>'[2]Изложницы без бурта'!E936</f>
        <v>400</v>
      </c>
      <c r="AH936" s="56" t="str">
        <f>'[2]Изложницы без бурта'!F936</f>
        <v>72.48005 - 5</v>
      </c>
      <c r="AI936" s="56">
        <f>'[2]Изложницы без бурта'!G936</f>
        <v>0</v>
      </c>
      <c r="AJ936" s="56">
        <f>'[2]Изложницы без бурта'!H936</f>
        <v>0</v>
      </c>
      <c r="AK936" s="56">
        <f>'[2]Изложницы без бурта'!I936</f>
        <v>0</v>
      </c>
      <c r="AL936" s="56" t="s">
        <v>673</v>
      </c>
      <c r="AM936" s="56">
        <f>'[2]Изложницы без бурта'!K936</f>
        <v>0</v>
      </c>
    </row>
    <row r="937" spans="28:39" x14ac:dyDescent="0.25">
      <c r="AB937" s="258" t="str">
        <f t="shared" si="24"/>
        <v/>
      </c>
      <c r="AC937" s="259" t="str">
        <f>IF(COUNTIF(AD$78:AD937,AD937)=1,MAX(AC$78:AC936)+1,"")</f>
        <v/>
      </c>
      <c r="AD937" s="220">
        <f>'[2]Изложницы без бурта'!B937</f>
        <v>312.5</v>
      </c>
      <c r="AE937" s="220">
        <f>'[2]Изложницы без бурта'!C937</f>
        <v>467</v>
      </c>
      <c r="AF937" s="56">
        <f>'[2]Изложницы без бурта'!D937</f>
        <v>400</v>
      </c>
      <c r="AG937" s="56">
        <f>'[2]Изложницы без бурта'!E937</f>
        <v>400</v>
      </c>
      <c r="AH937" s="56" t="str">
        <f>'[2]Изложницы без бурта'!F937</f>
        <v>72.48005 - 5</v>
      </c>
      <c r="AI937" s="56">
        <f>'[2]Изложницы без бурта'!G937</f>
        <v>0</v>
      </c>
      <c r="AJ937" s="56">
        <f>'[2]Изложницы без бурта'!H937</f>
        <v>0</v>
      </c>
      <c r="AK937" s="56">
        <f>'[2]Изложницы без бурта'!I937</f>
        <v>0</v>
      </c>
      <c r="AL937" s="56" t="s">
        <v>673</v>
      </c>
      <c r="AM937" s="56">
        <f>'[2]Изложницы без бурта'!K937</f>
        <v>0</v>
      </c>
    </row>
    <row r="938" spans="28:39" x14ac:dyDescent="0.25">
      <c r="AB938" s="258" t="str">
        <f t="shared" si="24"/>
        <v/>
      </c>
      <c r="AC938" s="259">
        <f>IF(COUNTIF(AD$78:AD938,AD938)=1,MAX(AC$78:AC937)+1,"")</f>
        <v>90</v>
      </c>
      <c r="AD938" s="220">
        <f>'[2]Изложницы без бурта'!B938</f>
        <v>315</v>
      </c>
      <c r="AE938" s="220">
        <f>'[2]Изложницы без бурта'!C938</f>
        <v>530</v>
      </c>
      <c r="AF938" s="56">
        <f>'[2]Изложницы без бурта'!D938</f>
        <v>415</v>
      </c>
      <c r="AG938" s="56">
        <f>'[2]Изложницы без бурта'!E938</f>
        <v>400</v>
      </c>
      <c r="AH938" s="56" t="str">
        <f>'[2]Изложницы без бурта'!F938</f>
        <v>10.249496 - 1</v>
      </c>
      <c r="AI938" s="56">
        <f>'[2]Изложницы без бурта'!G938</f>
        <v>7260054</v>
      </c>
      <c r="AJ938" s="56" t="str">
        <f>'[2]Изложницы без бурта'!H938</f>
        <v>можно толкатель дл.30 для БрА9Ж3Л</v>
      </c>
      <c r="AK938" s="56">
        <f>'[2]Изложницы без бурта'!I938</f>
        <v>0</v>
      </c>
      <c r="AL938" s="56" t="s">
        <v>674</v>
      </c>
      <c r="AM938" s="56">
        <f>'[2]Изложницы без бурта'!K938</f>
        <v>0</v>
      </c>
    </row>
    <row r="939" spans="28:39" x14ac:dyDescent="0.25">
      <c r="AB939" s="258" t="str">
        <f t="shared" si="24"/>
        <v/>
      </c>
      <c r="AC939" s="259" t="str">
        <f>IF(COUNTIF(AD$78:AD939,AD939)=1,MAX(AC$78:AC938)+1,"")</f>
        <v/>
      </c>
      <c r="AD939" s="220">
        <f>'[2]Изложницы без бурта'!B939</f>
        <v>315</v>
      </c>
      <c r="AE939" s="220">
        <f>'[2]Изложницы без бурта'!C939</f>
        <v>260</v>
      </c>
      <c r="AF939" s="56">
        <f>'[2]Изложницы без бурта'!D939</f>
        <v>360</v>
      </c>
      <c r="AG939" s="56">
        <f>'[2]Изложницы без бурта'!E939</f>
        <v>450</v>
      </c>
      <c r="AH939" s="56" t="str">
        <f>'[2]Изложницы без бурта'!F939</f>
        <v>72.11872 - 38</v>
      </c>
      <c r="AI939" s="56">
        <f>'[2]Изложницы без бурта'!G939</f>
        <v>0</v>
      </c>
      <c r="AJ939" s="56">
        <f>'[2]Изложницы без бурта'!H939</f>
        <v>0</v>
      </c>
      <c r="AK939" s="56">
        <f>'[2]Изложницы без бурта'!I939</f>
        <v>0</v>
      </c>
      <c r="AL939" s="56" t="s">
        <v>674</v>
      </c>
      <c r="AM939" s="56">
        <f>'[2]Изложницы без бурта'!K939</f>
        <v>0</v>
      </c>
    </row>
    <row r="940" spans="28:39" x14ac:dyDescent="0.25">
      <c r="AB940" s="258" t="str">
        <f t="shared" si="24"/>
        <v/>
      </c>
      <c r="AC940" s="259" t="str">
        <f>IF(COUNTIF(AD$78:AD940,AD940)=1,MAX(AC$78:AC939)+1,"")</f>
        <v/>
      </c>
      <c r="AD940" s="220">
        <f>'[2]Изложницы без бурта'!B940</f>
        <v>315</v>
      </c>
      <c r="AE940" s="220">
        <f>'[2]Изложницы без бурта'!C940</f>
        <v>260</v>
      </c>
      <c r="AF940" s="56">
        <f>'[2]Изложницы без бурта'!D940</f>
        <v>375</v>
      </c>
      <c r="AG940" s="56">
        <f>'[2]Изложницы без бурта'!E940</f>
        <v>450</v>
      </c>
      <c r="AH940" s="56" t="str">
        <f>'[2]Изложницы без бурта'!F940</f>
        <v>72.11872 - 38</v>
      </c>
      <c r="AI940" s="56">
        <f>'[2]Изложницы без бурта'!G940</f>
        <v>0</v>
      </c>
      <c r="AJ940" s="56">
        <f>'[2]Изложницы без бурта'!H940</f>
        <v>0</v>
      </c>
      <c r="AK940" s="56">
        <f>'[2]Изложницы без бурта'!I940</f>
        <v>0</v>
      </c>
      <c r="AL940" s="56" t="s">
        <v>674</v>
      </c>
      <c r="AM940" s="56">
        <f>'[2]Изложницы без бурта'!K940</f>
        <v>0</v>
      </c>
    </row>
    <row r="941" spans="28:39" x14ac:dyDescent="0.25">
      <c r="AB941" s="258" t="str">
        <f t="shared" si="24"/>
        <v/>
      </c>
      <c r="AC941" s="259" t="str">
        <f>IF(COUNTIF(AD$78:AD941,AD941)=1,MAX(AC$78:AC940)+1,"")</f>
        <v/>
      </c>
      <c r="AD941" s="220">
        <f>'[2]Изложницы без бурта'!B941</f>
        <v>315</v>
      </c>
      <c r="AE941" s="220">
        <f>'[2]Изложницы без бурта'!C941</f>
        <v>397</v>
      </c>
      <c r="AF941" s="56">
        <f>'[2]Изложницы без бурта'!D941</f>
        <v>415</v>
      </c>
      <c r="AG941" s="56">
        <f>'[2]Изложницы без бурта'!E941</f>
        <v>400</v>
      </c>
      <c r="AH941" s="56" t="str">
        <f>'[2]Изложницы без бурта'!F941</f>
        <v>72.18376 - 6</v>
      </c>
      <c r="AI941" s="56">
        <f>'[2]Изложницы без бурта'!G941</f>
        <v>0</v>
      </c>
      <c r="AJ941" s="56">
        <f>'[2]Изложницы без бурта'!H941</f>
        <v>0</v>
      </c>
      <c r="AK941" s="56">
        <f>'[2]Изложницы без бурта'!I941</f>
        <v>0</v>
      </c>
      <c r="AL941" s="56" t="s">
        <v>674</v>
      </c>
      <c r="AM941" s="56">
        <f>'[2]Изложницы без бурта'!K941</f>
        <v>0</v>
      </c>
    </row>
    <row r="942" spans="28:39" x14ac:dyDescent="0.25">
      <c r="AB942" s="258" t="str">
        <f t="shared" si="24"/>
        <v/>
      </c>
      <c r="AC942" s="259" t="str">
        <f>IF(COUNTIF(AD$78:AD942,AD942)=1,MAX(AC$78:AC941)+1,"")</f>
        <v/>
      </c>
      <c r="AD942" s="220">
        <f>'[2]Изложницы без бурта'!B942</f>
        <v>315</v>
      </c>
      <c r="AE942" s="220">
        <f>'[2]Изложницы без бурта'!C942</f>
        <v>470</v>
      </c>
      <c r="AF942" s="56">
        <f>'[2]Изложницы без бурта'!D942</f>
        <v>400</v>
      </c>
      <c r="AG942" s="56">
        <f>'[2]Изложницы без бурта'!E942</f>
        <v>400</v>
      </c>
      <c r="AH942" s="56" t="str">
        <f>'[2]Изложницы без бурта'!F942</f>
        <v>72.48005 - 6</v>
      </c>
      <c r="AI942" s="56">
        <f>'[2]Изложницы без бурта'!G942</f>
        <v>7260055</v>
      </c>
      <c r="AJ942" s="56">
        <f>'[2]Изложницы без бурта'!H942</f>
        <v>0</v>
      </c>
      <c r="AK942" s="56">
        <f>'[2]Изложницы без бурта'!I942</f>
        <v>0</v>
      </c>
      <c r="AL942" s="56" t="s">
        <v>674</v>
      </c>
      <c r="AM942" s="56">
        <f>'[2]Изложницы без бурта'!K942</f>
        <v>0</v>
      </c>
    </row>
    <row r="943" spans="28:39" x14ac:dyDescent="0.25">
      <c r="AB943" s="258" t="str">
        <f t="shared" si="24"/>
        <v/>
      </c>
      <c r="AC943" s="259" t="str">
        <f>IF(COUNTIF(AD$78:AD943,AD943)=1,MAX(AC$78:AC942)+1,"")</f>
        <v/>
      </c>
      <c r="AD943" s="220">
        <f>'[2]Изложницы без бурта'!B943</f>
        <v>315</v>
      </c>
      <c r="AE943" s="220">
        <f>'[2]Изложницы без бурта'!C943</f>
        <v>257</v>
      </c>
      <c r="AF943" s="56">
        <f>'[2]Изложницы без бурта'!D943</f>
        <v>375</v>
      </c>
      <c r="AG943" s="56">
        <f>'[2]Изложницы без бурта'!E943</f>
        <v>450</v>
      </c>
      <c r="AH943" s="56" t="str">
        <f>'[2]Изложницы без бурта'!F943</f>
        <v>72.11872 - 38</v>
      </c>
      <c r="AI943" s="56">
        <f>'[2]Изложницы без бурта'!G943</f>
        <v>0</v>
      </c>
      <c r="AJ943" s="56">
        <f>'[2]Изложницы без бурта'!H943</f>
        <v>0</v>
      </c>
      <c r="AK943" s="56">
        <f>'[2]Изложницы без бурта'!I943</f>
        <v>0</v>
      </c>
      <c r="AL943" s="56" t="s">
        <v>674</v>
      </c>
      <c r="AM943" s="56">
        <f>'[2]Изложницы без бурта'!K943</f>
        <v>0</v>
      </c>
    </row>
    <row r="944" spans="28:39" x14ac:dyDescent="0.25">
      <c r="AB944" s="258" t="str">
        <f t="shared" si="24"/>
        <v/>
      </c>
      <c r="AC944" s="259" t="str">
        <f>IF(COUNTIF(AD$78:AD944,AD944)=1,MAX(AC$78:AC943)+1,"")</f>
        <v/>
      </c>
      <c r="AD944" s="220">
        <f>'[2]Изложницы без бурта'!B944</f>
        <v>315</v>
      </c>
      <c r="AE944" s="220">
        <f>'[2]Изложницы без бурта'!C944</f>
        <v>530</v>
      </c>
      <c r="AF944" s="56">
        <f>'[2]Изложницы без бурта'!D944</f>
        <v>415</v>
      </c>
      <c r="AG944" s="56">
        <f>'[2]Изложницы без бурта'!E944</f>
        <v>400</v>
      </c>
      <c r="AH944" s="56" t="str">
        <f>'[2]Изложницы без бурта'!F944</f>
        <v>10.249496 - 1</v>
      </c>
      <c r="AI944" s="56">
        <f>'[2]Изложницы без бурта'!G944</f>
        <v>0</v>
      </c>
      <c r="AJ944" s="56">
        <f>'[2]Изложницы без бурта'!H944</f>
        <v>0</v>
      </c>
      <c r="AK944" s="56">
        <f>'[2]Изложницы без бурта'!I944</f>
        <v>0</v>
      </c>
      <c r="AL944" s="56" t="s">
        <v>674</v>
      </c>
      <c r="AM944" s="56">
        <f>'[2]Изложницы без бурта'!K944</f>
        <v>0</v>
      </c>
    </row>
    <row r="945" spans="28:39" x14ac:dyDescent="0.25">
      <c r="AB945" s="258" t="str">
        <f t="shared" si="24"/>
        <v/>
      </c>
      <c r="AC945" s="259" t="str">
        <f>IF(COUNTIF(AD$78:AD945,AD945)=1,MAX(AC$78:AC944)+1,"")</f>
        <v/>
      </c>
      <c r="AD945" s="220">
        <f>'[2]Изложницы без бурта'!B945</f>
        <v>315</v>
      </c>
      <c r="AE945" s="220">
        <f>'[2]Изложницы без бурта'!C945</f>
        <v>255</v>
      </c>
      <c r="AF945" s="56">
        <f>'[2]Изложницы без бурта'!D945</f>
        <v>360</v>
      </c>
      <c r="AG945" s="56">
        <f>'[2]Изложницы без бурта'!E945</f>
        <v>450</v>
      </c>
      <c r="AH945" s="56" t="str">
        <f>'[2]Изложницы без бурта'!F945</f>
        <v>72.11872 - 38</v>
      </c>
      <c r="AI945" s="56">
        <f>'[2]Изложницы без бурта'!G945</f>
        <v>0</v>
      </c>
      <c r="AJ945" s="56">
        <f>'[2]Изложницы без бурта'!H945</f>
        <v>0</v>
      </c>
      <c r="AK945" s="56">
        <f>'[2]Изложницы без бурта'!I945</f>
        <v>0</v>
      </c>
      <c r="AL945" s="56" t="s">
        <v>674</v>
      </c>
      <c r="AM945" s="56">
        <f>'[2]Изложницы без бурта'!K945</f>
        <v>0</v>
      </c>
    </row>
    <row r="946" spans="28:39" x14ac:dyDescent="0.25">
      <c r="AB946" s="258" t="str">
        <f t="shared" si="24"/>
        <v/>
      </c>
      <c r="AC946" s="259">
        <f>IF(COUNTIF(AD$78:AD946,AD946)=1,MAX(AC$78:AC945)+1,"")</f>
        <v>91</v>
      </c>
      <c r="AD946" s="220">
        <f>'[2]Изложницы без бурта'!B946</f>
        <v>317.5</v>
      </c>
      <c r="AE946" s="220">
        <f>'[2]Изложницы без бурта'!C946</f>
        <v>363</v>
      </c>
      <c r="AF946" s="56">
        <f>'[2]Изложницы без бурта'!D946</f>
        <v>375</v>
      </c>
      <c r="AG946" s="56">
        <f>'[2]Изложницы без бурта'!E946</f>
        <v>450</v>
      </c>
      <c r="AH946" s="56" t="str">
        <f>'[2]Изложницы без бурта'!F946</f>
        <v>72.18376 - 2</v>
      </c>
      <c r="AI946" s="56">
        <f>'[2]Изложницы без бурта'!G946</f>
        <v>7260056</v>
      </c>
      <c r="AJ946" s="56">
        <f>'[2]Изложницы без бурта'!H946</f>
        <v>0</v>
      </c>
      <c r="AK946" s="56">
        <f>'[2]Изложницы без бурта'!I946</f>
        <v>0</v>
      </c>
      <c r="AL946" s="56" t="s">
        <v>675</v>
      </c>
      <c r="AM946" s="56">
        <f>'[2]Изложницы без бурта'!K946</f>
        <v>0</v>
      </c>
    </row>
    <row r="947" spans="28:39" x14ac:dyDescent="0.25">
      <c r="AB947" s="258" t="str">
        <f t="shared" si="24"/>
        <v/>
      </c>
      <c r="AC947" s="259" t="str">
        <f>IF(COUNTIF(AD$78:AD947,AD947)=1,MAX(AC$78:AC946)+1,"")</f>
        <v/>
      </c>
      <c r="AD947" s="220">
        <f>'[2]Изложницы без бурта'!B947</f>
        <v>317.5</v>
      </c>
      <c r="AE947" s="220">
        <f>'[2]Изложницы без бурта'!C947</f>
        <v>257</v>
      </c>
      <c r="AF947" s="56">
        <f>'[2]Изложницы без бурта'!D947</f>
        <v>360</v>
      </c>
      <c r="AG947" s="56">
        <f>'[2]Изложницы без бурта'!E947</f>
        <v>450</v>
      </c>
      <c r="AH947" s="56" t="str">
        <f>'[2]Изложницы без бурта'!F947</f>
        <v>72.11872 - 39</v>
      </c>
      <c r="AI947" s="56">
        <f>'[2]Изложницы без бурта'!G947</f>
        <v>0</v>
      </c>
      <c r="AJ947" s="56">
        <f>'[2]Изложницы без бурта'!H947</f>
        <v>0</v>
      </c>
      <c r="AK947" s="56">
        <f>'[2]Изложницы без бурта'!I947</f>
        <v>0</v>
      </c>
      <c r="AL947" s="56" t="s">
        <v>675</v>
      </c>
      <c r="AM947" s="56">
        <f>'[2]Изложницы без бурта'!K947</f>
        <v>0</v>
      </c>
    </row>
    <row r="948" spans="28:39" x14ac:dyDescent="0.25">
      <c r="AB948" s="258" t="str">
        <f t="shared" si="24"/>
        <v/>
      </c>
      <c r="AC948" s="259" t="str">
        <f>IF(COUNTIF(AD$78:AD948,AD948)=1,MAX(AC$78:AC947)+1,"")</f>
        <v/>
      </c>
      <c r="AD948" s="220">
        <f>'[2]Изложницы без бурта'!B948</f>
        <v>317.5</v>
      </c>
      <c r="AE948" s="220">
        <f>'[2]Изложницы без бурта'!C948</f>
        <v>257</v>
      </c>
      <c r="AF948" s="56">
        <f>'[2]Изложницы без бурта'!D948</f>
        <v>360</v>
      </c>
      <c r="AG948" s="56">
        <f>'[2]Изложницы без бурта'!E948</f>
        <v>450</v>
      </c>
      <c r="AH948" s="56" t="str">
        <f>'[2]Изложницы без бурта'!F948</f>
        <v>72.11872 - 39</v>
      </c>
      <c r="AI948" s="56">
        <f>'[2]Изложницы без бурта'!G948</f>
        <v>0</v>
      </c>
      <c r="AJ948" s="56">
        <f>'[2]Изложницы без бурта'!H948</f>
        <v>0</v>
      </c>
      <c r="AK948" s="56">
        <f>'[2]Изложницы без бурта'!I948</f>
        <v>0</v>
      </c>
      <c r="AL948" s="56" t="s">
        <v>675</v>
      </c>
      <c r="AM948" s="56">
        <f>'[2]Изложницы без бурта'!K948</f>
        <v>0</v>
      </c>
    </row>
    <row r="949" spans="28:39" x14ac:dyDescent="0.25">
      <c r="AB949" s="258" t="str">
        <f t="shared" si="24"/>
        <v/>
      </c>
      <c r="AC949" s="259">
        <f>IF(COUNTIF(AD$78:AD949,AD949)=1,MAX(AC$78:AC948)+1,"")</f>
        <v>92</v>
      </c>
      <c r="AD949" s="220">
        <f>'[2]Изложницы без бурта'!B949</f>
        <v>320</v>
      </c>
      <c r="AE949" s="220">
        <f>'[2]Изложницы без бурта'!C949</f>
        <v>525</v>
      </c>
      <c r="AF949" s="56">
        <f>'[2]Изложницы без бурта'!D949</f>
        <v>415</v>
      </c>
      <c r="AG949" s="56">
        <f>'[2]Изложницы без бурта'!E949</f>
        <v>400</v>
      </c>
      <c r="AH949" s="56" t="str">
        <f>'[2]Изложницы без бурта'!F949</f>
        <v>10.249496 - 3</v>
      </c>
      <c r="AI949" s="56">
        <f>'[2]Изложницы без бурта'!G949</f>
        <v>7260057</v>
      </c>
      <c r="AJ949" s="56" t="str">
        <f>'[2]Изложницы без бурта'!H949</f>
        <v>Переточили Ø320 -&gt; Ø330</v>
      </c>
      <c r="AK949" s="56">
        <f>'[2]Изложницы без бурта'!I949</f>
        <v>0</v>
      </c>
      <c r="AL949" s="56" t="s">
        <v>676</v>
      </c>
      <c r="AM949" s="56">
        <f>'[2]Изложницы без бурта'!K949</f>
        <v>0</v>
      </c>
    </row>
    <row r="950" spans="28:39" x14ac:dyDescent="0.25">
      <c r="AB950" s="258" t="str">
        <f t="shared" si="24"/>
        <v/>
      </c>
      <c r="AC950" s="259" t="str">
        <f>IF(COUNTIF(AD$78:AD950,AD950)=1,MAX(AC$78:AC949)+1,"")</f>
        <v/>
      </c>
      <c r="AD950" s="220">
        <f>'[2]Изложницы без бурта'!B950</f>
        <v>320</v>
      </c>
      <c r="AE950" s="220">
        <f>'[2]Изложницы без бурта'!C950</f>
        <v>255</v>
      </c>
      <c r="AF950" s="56">
        <f>'[2]Изложницы без бурта'!D950</f>
        <v>375</v>
      </c>
      <c r="AG950" s="56">
        <f>'[2]Изложницы без бурта'!E950</f>
        <v>450</v>
      </c>
      <c r="AH950" s="56" t="str">
        <f>'[2]Изложницы без бурта'!F950</f>
        <v>72.11872 - 40</v>
      </c>
      <c r="AI950" s="56">
        <f>'[2]Изложницы без бурта'!G950</f>
        <v>0</v>
      </c>
      <c r="AJ950" s="56">
        <f>'[2]Изложницы без бурта'!H950</f>
        <v>0</v>
      </c>
      <c r="AK950" s="56">
        <f>'[2]Изложницы без бурта'!I950</f>
        <v>0</v>
      </c>
      <c r="AL950" s="56" t="s">
        <v>676</v>
      </c>
      <c r="AM950" s="56">
        <f>'[2]Изложницы без бурта'!K950</f>
        <v>0</v>
      </c>
    </row>
    <row r="951" spans="28:39" x14ac:dyDescent="0.25">
      <c r="AB951" s="258" t="str">
        <f t="shared" si="24"/>
        <v/>
      </c>
      <c r="AC951" s="259" t="str">
        <f>IF(COUNTIF(AD$78:AD951,AD951)=1,MAX(AC$78:AC950)+1,"")</f>
        <v/>
      </c>
      <c r="AD951" s="220">
        <f>'[2]Изложницы без бурта'!B951</f>
        <v>320</v>
      </c>
      <c r="AE951" s="220">
        <f>'[2]Изложницы без бурта'!C951</f>
        <v>260</v>
      </c>
      <c r="AF951" s="56">
        <f>'[2]Изложницы без бурта'!D951</f>
        <v>360</v>
      </c>
      <c r="AG951" s="56">
        <f>'[2]Изложницы без бурта'!E951</f>
        <v>450</v>
      </c>
      <c r="AH951" s="56" t="str">
        <f>'[2]Изложницы без бурта'!F951</f>
        <v>72.11872 - 40</v>
      </c>
      <c r="AI951" s="56">
        <f>'[2]Изложницы без бурта'!G951</f>
        <v>0</v>
      </c>
      <c r="AJ951" s="56">
        <f>'[2]Изложницы без бурта'!H951</f>
        <v>0</v>
      </c>
      <c r="AK951" s="56">
        <f>'[2]Изложницы без бурта'!I951</f>
        <v>0</v>
      </c>
      <c r="AL951" s="56" t="s">
        <v>676</v>
      </c>
      <c r="AM951" s="56">
        <f>'[2]Изложницы без бурта'!K951</f>
        <v>0</v>
      </c>
    </row>
    <row r="952" spans="28:39" x14ac:dyDescent="0.25">
      <c r="AB952" s="258" t="str">
        <f t="shared" si="24"/>
        <v/>
      </c>
      <c r="AC952" s="259" t="str">
        <f>IF(COUNTIF(AD$78:AD952,AD952)=1,MAX(AC$78:AC951)+1,"")</f>
        <v/>
      </c>
      <c r="AD952" s="220">
        <f>'[2]Изложницы без бурта'!B952</f>
        <v>320</v>
      </c>
      <c r="AE952" s="220">
        <f>'[2]Изложницы без бурта'!C952</f>
        <v>257</v>
      </c>
      <c r="AF952" s="56">
        <f>'[2]Изложницы без бурта'!D952</f>
        <v>360</v>
      </c>
      <c r="AG952" s="56">
        <f>'[2]Изложницы без бурта'!E952</f>
        <v>450</v>
      </c>
      <c r="AH952" s="56" t="str">
        <f>'[2]Изложницы без бурта'!F952</f>
        <v>72.11872 - 40</v>
      </c>
      <c r="AI952" s="56">
        <f>'[2]Изложницы без бурта'!G952</f>
        <v>0</v>
      </c>
      <c r="AJ952" s="56">
        <f>'[2]Изложницы без бурта'!H952</f>
        <v>0</v>
      </c>
      <c r="AK952" s="56">
        <f>'[2]Изложницы без бурта'!I952</f>
        <v>0</v>
      </c>
      <c r="AL952" s="56" t="s">
        <v>676</v>
      </c>
      <c r="AM952" s="56">
        <f>'[2]Изложницы без бурта'!K952</f>
        <v>0</v>
      </c>
    </row>
    <row r="953" spans="28:39" x14ac:dyDescent="0.25">
      <c r="AB953" s="258" t="str">
        <f t="shared" ref="AB953:AB1016" si="25">IF(MAX(AC953:AC2030)&lt;ROW(875:875),"",VLOOKUP(ROW(875:875),AC953:AD2030,2))</f>
        <v/>
      </c>
      <c r="AC953" s="259" t="str">
        <f>IF(COUNTIF(AD$78:AD953,AD953)=1,MAX(AC$78:AC952)+1,"")</f>
        <v/>
      </c>
      <c r="AD953" s="220">
        <f>'[2]Изложницы без бурта'!B953</f>
        <v>320</v>
      </c>
      <c r="AE953" s="220">
        <f>'[2]Изложницы без бурта'!C953</f>
        <v>260</v>
      </c>
      <c r="AF953" s="56">
        <f>'[2]Изложницы без бурта'!D953</f>
        <v>360</v>
      </c>
      <c r="AG953" s="56">
        <f>'[2]Изложницы без бурта'!E953</f>
        <v>450</v>
      </c>
      <c r="AH953" s="56" t="str">
        <f>'[2]Изложницы без бурта'!F953</f>
        <v>72.11872 - 40</v>
      </c>
      <c r="AI953" s="56">
        <f>'[2]Изложницы без бурта'!G953</f>
        <v>0</v>
      </c>
      <c r="AJ953" s="56">
        <f>'[2]Изложницы без бурта'!H953</f>
        <v>0</v>
      </c>
      <c r="AK953" s="56">
        <f>'[2]Изложницы без бурта'!I953</f>
        <v>0</v>
      </c>
      <c r="AL953" s="56" t="s">
        <v>676</v>
      </c>
      <c r="AM953" s="56">
        <f>'[2]Изложницы без бурта'!K953</f>
        <v>0</v>
      </c>
    </row>
    <row r="954" spans="28:39" x14ac:dyDescent="0.25">
      <c r="AB954" s="258" t="str">
        <f t="shared" si="25"/>
        <v/>
      </c>
      <c r="AC954" s="259" t="str">
        <f>IF(COUNTIF(AD$78:AD954,AD954)=1,MAX(AC$78:AC953)+1,"")</f>
        <v/>
      </c>
      <c r="AD954" s="220">
        <f>'[2]Изложницы без бурта'!B954</f>
        <v>320</v>
      </c>
      <c r="AE954" s="220">
        <f>'[2]Изложницы без бурта'!C954</f>
        <v>467</v>
      </c>
      <c r="AF954" s="56">
        <f>'[2]Изложницы без бурта'!D954</f>
        <v>400</v>
      </c>
      <c r="AG954" s="56">
        <f>'[2]Изложницы без бурта'!E954</f>
        <v>400</v>
      </c>
      <c r="AH954" s="56" t="str">
        <f>'[2]Изложницы без бурта'!F954</f>
        <v>72.48005 - 8</v>
      </c>
      <c r="AI954" s="56">
        <f>'[2]Изложницы без бурта'!G954</f>
        <v>0</v>
      </c>
      <c r="AJ954" s="56">
        <f>'[2]Изложницы без бурта'!H954</f>
        <v>0</v>
      </c>
      <c r="AK954" s="56">
        <f>'[2]Изложницы без бурта'!I954</f>
        <v>0</v>
      </c>
      <c r="AL954" s="56" t="s">
        <v>676</v>
      </c>
      <c r="AM954" s="56">
        <f>'[2]Изложницы без бурта'!K954</f>
        <v>0</v>
      </c>
    </row>
    <row r="955" spans="28:39" x14ac:dyDescent="0.25">
      <c r="AB955" s="258" t="str">
        <f t="shared" si="25"/>
        <v/>
      </c>
      <c r="AC955" s="259" t="str">
        <f>IF(COUNTIF(AD$78:AD955,AD955)=1,MAX(AC$78:AC954)+1,"")</f>
        <v/>
      </c>
      <c r="AD955" s="220">
        <f>'[2]Изложницы без бурта'!B955</f>
        <v>320</v>
      </c>
      <c r="AE955" s="220">
        <f>'[2]Изложницы без бурта'!C955</f>
        <v>265</v>
      </c>
      <c r="AF955" s="56">
        <f>'[2]Изложницы без бурта'!D955</f>
        <v>415</v>
      </c>
      <c r="AG955" s="56">
        <f>'[2]Изложницы без бурта'!E955</f>
        <v>450</v>
      </c>
      <c r="AH955" s="56" t="str">
        <f>'[2]Изложницы без бурта'!F955</f>
        <v>72.11872 - 40</v>
      </c>
      <c r="AI955" s="56">
        <f>'[2]Изложницы без бурта'!G955</f>
        <v>0</v>
      </c>
      <c r="AJ955" s="56">
        <f>'[2]Изложницы без бурта'!H955</f>
        <v>0</v>
      </c>
      <c r="AK955" s="56">
        <f>'[2]Изложницы без бурта'!I955</f>
        <v>0</v>
      </c>
      <c r="AL955" s="56" t="s">
        <v>676</v>
      </c>
      <c r="AM955" s="56">
        <f>'[2]Изложницы без бурта'!K955</f>
        <v>0</v>
      </c>
    </row>
    <row r="956" spans="28:39" x14ac:dyDescent="0.25">
      <c r="AB956" s="258" t="str">
        <f t="shared" si="25"/>
        <v/>
      </c>
      <c r="AC956" s="259" t="str">
        <f>IF(COUNTIF(AD$78:AD956,AD956)=1,MAX(AC$78:AC955)+1,"")</f>
        <v/>
      </c>
      <c r="AD956" s="220">
        <f>'[2]Изложницы без бурта'!B956</f>
        <v>320</v>
      </c>
      <c r="AE956" s="220">
        <f>'[2]Изложницы без бурта'!C956</f>
        <v>257</v>
      </c>
      <c r="AF956" s="56">
        <f>'[2]Изложницы без бурта'!D956</f>
        <v>360</v>
      </c>
      <c r="AG956" s="56">
        <f>'[2]Изложницы без бурта'!E956</f>
        <v>450</v>
      </c>
      <c r="AH956" s="56" t="str">
        <f>'[2]Изложницы без бурта'!F956</f>
        <v>72.11872 - 40</v>
      </c>
      <c r="AI956" s="56">
        <f>'[2]Изложницы без бурта'!G956</f>
        <v>0</v>
      </c>
      <c r="AJ956" s="56">
        <f>'[2]Изложницы без бурта'!H956</f>
        <v>0</v>
      </c>
      <c r="AK956" s="56">
        <f>'[2]Изложницы без бурта'!I956</f>
        <v>0</v>
      </c>
      <c r="AL956" s="56" t="s">
        <v>676</v>
      </c>
      <c r="AM956" s="56">
        <f>'[2]Изложницы без бурта'!K956</f>
        <v>0</v>
      </c>
    </row>
    <row r="957" spans="28:39" x14ac:dyDescent="0.25">
      <c r="AB957" s="258" t="str">
        <f t="shared" si="25"/>
        <v/>
      </c>
      <c r="AC957" s="259">
        <f>IF(COUNTIF(AD$78:AD957,AD957)=1,MAX(AC$78:AC956)+1,"")</f>
        <v>93</v>
      </c>
      <c r="AD957" s="220">
        <f>'[2]Изложницы без бурта'!B957</f>
        <v>322.5</v>
      </c>
      <c r="AE957" s="220">
        <f>'[2]Изложницы без бурта'!C957</f>
        <v>265</v>
      </c>
      <c r="AF957" s="56">
        <f>'[2]Изложницы без бурта'!D957</f>
        <v>415</v>
      </c>
      <c r="AG957" s="56">
        <f>'[2]Изложницы без бурта'!E957</f>
        <v>450</v>
      </c>
      <c r="AH957" s="56" t="str">
        <f>'[2]Изложницы без бурта'!F957</f>
        <v>72.11872 - 41</v>
      </c>
      <c r="AI957" s="56">
        <f>'[2]Изложницы без бурта'!G957</f>
        <v>0</v>
      </c>
      <c r="AJ957" s="56">
        <f>'[2]Изложницы без бурта'!H957</f>
        <v>0</v>
      </c>
      <c r="AK957" s="56">
        <f>'[2]Изложницы без бурта'!I957</f>
        <v>0</v>
      </c>
      <c r="AL957" s="56" t="s">
        <v>677</v>
      </c>
      <c r="AM957" s="56">
        <f>'[2]Изложницы без бурта'!K957</f>
        <v>0</v>
      </c>
    </row>
    <row r="958" spans="28:39" x14ac:dyDescent="0.25">
      <c r="AB958" s="258" t="str">
        <f t="shared" si="25"/>
        <v/>
      </c>
      <c r="AC958" s="259" t="str">
        <f>IF(COUNTIF(AD$78:AD958,AD958)=1,MAX(AC$78:AC957)+1,"")</f>
        <v/>
      </c>
      <c r="AD958" s="220">
        <f>'[2]Изложницы без бурта'!B958</f>
        <v>322.5</v>
      </c>
      <c r="AE958" s="220">
        <f>'[2]Изложницы без бурта'!C958</f>
        <v>257</v>
      </c>
      <c r="AF958" s="56">
        <f>'[2]Изложницы без бурта'!D958</f>
        <v>360</v>
      </c>
      <c r="AG958" s="56">
        <f>'[2]Изложницы без бурта'!E958</f>
        <v>450</v>
      </c>
      <c r="AH958" s="56" t="str">
        <f>'[2]Изложницы без бурта'!F958</f>
        <v>72.11872 - 41</v>
      </c>
      <c r="AI958" s="56">
        <f>'[2]Изложницы без бурта'!G958</f>
        <v>0</v>
      </c>
      <c r="AJ958" s="56">
        <f>'[2]Изложницы без бурта'!H958</f>
        <v>0</v>
      </c>
      <c r="AK958" s="56">
        <f>'[2]Изложницы без бурта'!I958</f>
        <v>0</v>
      </c>
      <c r="AL958" s="56" t="s">
        <v>677</v>
      </c>
      <c r="AM958" s="56">
        <f>'[2]Изложницы без бурта'!K958</f>
        <v>0</v>
      </c>
    </row>
    <row r="959" spans="28:39" x14ac:dyDescent="0.25">
      <c r="AB959" s="258" t="str">
        <f t="shared" si="25"/>
        <v/>
      </c>
      <c r="AC959" s="259" t="str">
        <f>IF(COUNTIF(AD$78:AD959,AD959)=1,MAX(AC$78:AC958)+1,"")</f>
        <v/>
      </c>
      <c r="AD959" s="220">
        <f>'[2]Изложницы без бурта'!B959</f>
        <v>322.5</v>
      </c>
      <c r="AE959" s="220">
        <f>'[2]Изложницы без бурта'!C959</f>
        <v>375</v>
      </c>
      <c r="AF959" s="56">
        <f>'[2]Изложницы без бурта'!D959</f>
        <v>360</v>
      </c>
      <c r="AG959" s="56">
        <f>'[2]Изложницы без бурта'!E959</f>
        <v>450</v>
      </c>
      <c r="AH959" s="56" t="str">
        <f>'[2]Изложницы без бурта'!F959</f>
        <v>72.18376 - 1</v>
      </c>
      <c r="AI959" s="56">
        <f>'[2]Изложницы без бурта'!G959</f>
        <v>7260058</v>
      </c>
      <c r="AJ959" s="56">
        <f>'[2]Изложницы без бурта'!H959</f>
        <v>0</v>
      </c>
      <c r="AK959" s="56">
        <f>'[2]Изложницы без бурта'!I959</f>
        <v>0</v>
      </c>
      <c r="AL959" s="56" t="s">
        <v>677</v>
      </c>
      <c r="AM959" s="56">
        <f>'[2]Изложницы без бурта'!K959</f>
        <v>0</v>
      </c>
    </row>
    <row r="960" spans="28:39" x14ac:dyDescent="0.25">
      <c r="AB960" s="258" t="str">
        <f t="shared" si="25"/>
        <v/>
      </c>
      <c r="AC960" s="259" t="str">
        <f>IF(COUNTIF(AD$78:AD960,AD960)=1,MAX(AC$78:AC959)+1,"")</f>
        <v/>
      </c>
      <c r="AD960" s="220">
        <f>'[2]Изложницы без бурта'!B960</f>
        <v>322.5</v>
      </c>
      <c r="AE960" s="220">
        <f>'[2]Изложницы без бурта'!C960</f>
        <v>378</v>
      </c>
      <c r="AF960" s="56">
        <f>'[2]Изложницы без бурта'!D960</f>
        <v>360</v>
      </c>
      <c r="AG960" s="56">
        <f>'[2]Изложницы без бурта'!E960</f>
        <v>450</v>
      </c>
      <c r="AH960" s="56" t="str">
        <f>'[2]Изложницы без бурта'!F960</f>
        <v>72.18376 - 1</v>
      </c>
      <c r="AI960" s="56">
        <f>'[2]Изложницы без бурта'!G960</f>
        <v>7260058</v>
      </c>
      <c r="AJ960" s="56">
        <f>'[2]Изложницы без бурта'!H960</f>
        <v>0</v>
      </c>
      <c r="AK960" s="56">
        <f>'[2]Изложницы без бурта'!I960</f>
        <v>0</v>
      </c>
      <c r="AL960" s="56" t="s">
        <v>677</v>
      </c>
      <c r="AM960" s="56">
        <f>'[2]Изложницы без бурта'!K960</f>
        <v>0</v>
      </c>
    </row>
    <row r="961" spans="28:39" x14ac:dyDescent="0.25">
      <c r="AB961" s="258" t="str">
        <f t="shared" si="25"/>
        <v/>
      </c>
      <c r="AC961" s="259" t="str">
        <f>IF(COUNTIF(AD$78:AD961,AD961)=1,MAX(AC$78:AC960)+1,"")</f>
        <v/>
      </c>
      <c r="AD961" s="220">
        <f>'[2]Изложницы без бурта'!B961</f>
        <v>322.5</v>
      </c>
      <c r="AE961" s="220">
        <f>'[2]Изложницы без бурта'!C961</f>
        <v>260</v>
      </c>
      <c r="AF961" s="56">
        <f>'[2]Изложницы без бурта'!D961</f>
        <v>415</v>
      </c>
      <c r="AG961" s="56">
        <f>'[2]Изложницы без бурта'!E961</f>
        <v>450</v>
      </c>
      <c r="AH961" s="56" t="str">
        <f>'[2]Изложницы без бурта'!F961</f>
        <v>72.11872 - 41</v>
      </c>
      <c r="AI961" s="56">
        <f>'[2]Изложницы без бурта'!G961</f>
        <v>0</v>
      </c>
      <c r="AJ961" s="56">
        <f>'[2]Изложницы без бурта'!H961</f>
        <v>0</v>
      </c>
      <c r="AK961" s="56">
        <f>'[2]Изложницы без бурта'!I961</f>
        <v>0</v>
      </c>
      <c r="AL961" s="56" t="s">
        <v>677</v>
      </c>
      <c r="AM961" s="56">
        <f>'[2]Изложницы без бурта'!K961</f>
        <v>0</v>
      </c>
    </row>
    <row r="962" spans="28:39" x14ac:dyDescent="0.25">
      <c r="AB962" s="258" t="str">
        <f t="shared" si="25"/>
        <v/>
      </c>
      <c r="AC962" s="259">
        <f>IF(COUNTIF(AD$78:AD962,AD962)=1,MAX(AC$78:AC961)+1,"")</f>
        <v>94</v>
      </c>
      <c r="AD962" s="220">
        <f>'[2]Изложницы без бурта'!B962</f>
        <v>325</v>
      </c>
      <c r="AE962" s="220">
        <f>'[2]Изложницы без бурта'!C962</f>
        <v>235</v>
      </c>
      <c r="AF962" s="56">
        <f>'[2]Изложницы без бурта'!D962</f>
        <v>415</v>
      </c>
      <c r="AG962" s="56">
        <f>'[2]Изложницы без бурта'!E962</f>
        <v>450</v>
      </c>
      <c r="AH962" s="56" t="str">
        <f>'[2]Изложницы без бурта'!F962</f>
        <v>72.48674 - 1</v>
      </c>
      <c r="AI962" s="56">
        <f>'[2]Изложницы без бурта'!G962</f>
        <v>0</v>
      </c>
      <c r="AJ962" s="56">
        <f>'[2]Изложницы без бурта'!H962</f>
        <v>0</v>
      </c>
      <c r="AK962" s="56">
        <f>'[2]Изложницы без бурта'!I962</f>
        <v>0</v>
      </c>
      <c r="AL962" s="56" t="s">
        <v>678</v>
      </c>
      <c r="AM962" s="56">
        <f>'[2]Изложницы без бурта'!K962</f>
        <v>0</v>
      </c>
    </row>
    <row r="963" spans="28:39" x14ac:dyDescent="0.25">
      <c r="AB963" s="258" t="str">
        <f t="shared" si="25"/>
        <v/>
      </c>
      <c r="AC963" s="259" t="str">
        <f>IF(COUNTIF(AD$78:AD963,AD963)=1,MAX(AC$78:AC962)+1,"")</f>
        <v/>
      </c>
      <c r="AD963" s="220">
        <f>'[2]Изложницы без бурта'!B963</f>
        <v>325</v>
      </c>
      <c r="AE963" s="220">
        <f>'[2]Изложницы без бурта'!C963</f>
        <v>400</v>
      </c>
      <c r="AF963" s="56">
        <f>'[2]Изложницы без бурта'!D963</f>
        <v>415</v>
      </c>
      <c r="AG963" s="56">
        <f>'[2]Изложницы без бурта'!E963</f>
        <v>400</v>
      </c>
      <c r="AH963" s="56" t="str">
        <f>'[2]Изложницы без бурта'!F963</f>
        <v>72.18376 - 10</v>
      </c>
      <c r="AI963" s="56">
        <f>'[2]Изложницы без бурта'!G963</f>
        <v>0</v>
      </c>
      <c r="AJ963" s="56">
        <f>'[2]Изложницы без бурта'!H963</f>
        <v>0</v>
      </c>
      <c r="AK963" s="56">
        <f>'[2]Изложницы без бурта'!I963</f>
        <v>0</v>
      </c>
      <c r="AL963" s="56" t="s">
        <v>678</v>
      </c>
      <c r="AM963" s="56">
        <f>'[2]Изложницы без бурта'!K963</f>
        <v>0</v>
      </c>
    </row>
    <row r="964" spans="28:39" x14ac:dyDescent="0.25">
      <c r="AB964" s="258" t="str">
        <f t="shared" si="25"/>
        <v/>
      </c>
      <c r="AC964" s="259" t="str">
        <f>IF(COUNTIF(AD$78:AD964,AD964)=1,MAX(AC$78:AC963)+1,"")</f>
        <v/>
      </c>
      <c r="AD964" s="220">
        <f>'[2]Изложницы без бурта'!B964</f>
        <v>325</v>
      </c>
      <c r="AE964" s="220">
        <f>'[2]Изложницы без бурта'!C964</f>
        <v>260</v>
      </c>
      <c r="AF964" s="56">
        <f>'[2]Изложницы без бурта'!D964</f>
        <v>360</v>
      </c>
      <c r="AG964" s="56">
        <f>'[2]Изложницы без бурта'!E964</f>
        <v>450</v>
      </c>
      <c r="AH964" s="56" t="str">
        <f>'[2]Изложницы без бурта'!F964</f>
        <v>72.11872 - 42</v>
      </c>
      <c r="AI964" s="56">
        <f>'[2]Изложницы без бурта'!G964</f>
        <v>0</v>
      </c>
      <c r="AJ964" s="56">
        <f>'[2]Изложницы без бурта'!H964</f>
        <v>0</v>
      </c>
      <c r="AK964" s="56">
        <f>'[2]Изложницы без бурта'!I964</f>
        <v>0</v>
      </c>
      <c r="AL964" s="56" t="s">
        <v>678</v>
      </c>
      <c r="AM964" s="56">
        <f>'[2]Изложницы без бурта'!K964</f>
        <v>0</v>
      </c>
    </row>
    <row r="965" spans="28:39" x14ac:dyDescent="0.25">
      <c r="AB965" s="258" t="str">
        <f t="shared" si="25"/>
        <v/>
      </c>
      <c r="AC965" s="259" t="str">
        <f>IF(COUNTIF(AD$78:AD965,AD965)=1,MAX(AC$78:AC964)+1,"")</f>
        <v/>
      </c>
      <c r="AD965" s="220">
        <f>'[2]Изложницы без бурта'!B965</f>
        <v>325</v>
      </c>
      <c r="AE965" s="220">
        <f>'[2]Изложницы без бурта'!C965</f>
        <v>360</v>
      </c>
      <c r="AF965" s="56">
        <f>'[2]Изложницы без бурта'!D965</f>
        <v>360</v>
      </c>
      <c r="AG965" s="56">
        <f>'[2]Изложницы без бурта'!E965</f>
        <v>450</v>
      </c>
      <c r="AH965" s="56" t="str">
        <f>'[2]Изложницы без бурта'!F965</f>
        <v>72.18376 - 10</v>
      </c>
      <c r="AI965" s="56">
        <f>'[2]Изложницы без бурта'!G965</f>
        <v>0</v>
      </c>
      <c r="AJ965" s="56">
        <f>'[2]Изложницы без бурта'!H965</f>
        <v>0</v>
      </c>
      <c r="AK965" s="56">
        <f>'[2]Изложницы без бурта'!I965</f>
        <v>0</v>
      </c>
      <c r="AL965" s="56" t="s">
        <v>678</v>
      </c>
      <c r="AM965" s="56">
        <f>'[2]Изложницы без бурта'!K965</f>
        <v>0</v>
      </c>
    </row>
    <row r="966" spans="28:39" x14ac:dyDescent="0.25">
      <c r="AB966" s="258" t="str">
        <f t="shared" si="25"/>
        <v/>
      </c>
      <c r="AC966" s="259">
        <f>IF(COUNTIF(AD$78:AD966,AD966)=1,MAX(AC$78:AC965)+1,"")</f>
        <v>95</v>
      </c>
      <c r="AD966" s="220">
        <f>'[2]Изложницы без бурта'!B966</f>
        <v>327.5</v>
      </c>
      <c r="AE966" s="220">
        <f>'[2]Изложницы без бурта'!C966</f>
        <v>375</v>
      </c>
      <c r="AF966" s="56">
        <f>'[2]Изложницы без бурта'!D966</f>
        <v>360</v>
      </c>
      <c r="AG966" s="56">
        <f>'[2]Изложницы без бурта'!E966</f>
        <v>450</v>
      </c>
      <c r="AH966" s="56" t="str">
        <f>'[2]Изложницы без бурта'!F966</f>
        <v>72.18376 - 3</v>
      </c>
      <c r="AI966" s="56">
        <f>'[2]Изложницы без бурта'!G966</f>
        <v>7260059</v>
      </c>
      <c r="AJ966" s="56">
        <f>'[2]Изложницы без бурта'!H966</f>
        <v>0</v>
      </c>
      <c r="AK966" s="56">
        <f>'[2]Изложницы без бурта'!I966</f>
        <v>0</v>
      </c>
      <c r="AL966" s="56" t="s">
        <v>679</v>
      </c>
      <c r="AM966" s="56">
        <f>'[2]Изложницы без бурта'!K966</f>
        <v>0</v>
      </c>
    </row>
    <row r="967" spans="28:39" x14ac:dyDescent="0.25">
      <c r="AB967" s="258" t="str">
        <f t="shared" si="25"/>
        <v/>
      </c>
      <c r="AC967" s="259">
        <f>IF(COUNTIF(AD$78:AD967,AD967)=1,MAX(AC$78:AC966)+1,"")</f>
        <v>96</v>
      </c>
      <c r="AD967" s="220">
        <f>'[2]Изложницы без бурта'!B967</f>
        <v>330</v>
      </c>
      <c r="AE967" s="220">
        <f>'[2]Изложницы без бурта'!C967</f>
        <v>385</v>
      </c>
      <c r="AF967" s="56">
        <f>'[2]Изложницы без бурта'!D967</f>
        <v>375</v>
      </c>
      <c r="AG967" s="56">
        <f>'[2]Изложницы без бурта'!E967</f>
        <v>450</v>
      </c>
      <c r="AH967" s="56" t="str">
        <f>'[2]Изложницы без бурта'!F967</f>
        <v>72.18376 - 4</v>
      </c>
      <c r="AI967" s="56">
        <f>'[2]Изложницы без бурта'!G967</f>
        <v>7260060</v>
      </c>
      <c r="AJ967" s="56">
        <f>'[2]Изложницы без бурта'!H967</f>
        <v>0</v>
      </c>
      <c r="AK967" s="56">
        <f>'[2]Изложницы без бурта'!I967</f>
        <v>0</v>
      </c>
      <c r="AL967" s="56" t="s">
        <v>680</v>
      </c>
      <c r="AM967" s="56">
        <f>'[2]Изложницы без бурта'!K967</f>
        <v>0</v>
      </c>
    </row>
    <row r="968" spans="28:39" x14ac:dyDescent="0.25">
      <c r="AB968" s="258" t="str">
        <f t="shared" si="25"/>
        <v/>
      </c>
      <c r="AC968" s="259" t="str">
        <f>IF(COUNTIF(AD$78:AD968,AD968)=1,MAX(AC$78:AC967)+1,"")</f>
        <v/>
      </c>
      <c r="AD968" s="220">
        <f>'[2]Изложницы без бурта'!B968</f>
        <v>330</v>
      </c>
      <c r="AE968" s="220">
        <f>'[2]Изложницы без бурта'!C968</f>
        <v>400</v>
      </c>
      <c r="AF968" s="56">
        <f>'[2]Изложницы без бурта'!D968</f>
        <v>415</v>
      </c>
      <c r="AG968" s="56">
        <f>'[2]Изложницы без бурта'!E968</f>
        <v>400</v>
      </c>
      <c r="AH968" s="56" t="str">
        <f>'[2]Изложницы без бурта'!F968</f>
        <v>72.18376 - 14</v>
      </c>
      <c r="AI968" s="56">
        <f>'[2]Изложницы без бурта'!G968</f>
        <v>0</v>
      </c>
      <c r="AJ968" s="56">
        <f>'[2]Изложницы без бурта'!H968</f>
        <v>0</v>
      </c>
      <c r="AK968" s="56">
        <f>'[2]Изложницы без бурта'!I968</f>
        <v>0</v>
      </c>
      <c r="AL968" s="56" t="s">
        <v>680</v>
      </c>
      <c r="AM968" s="56">
        <f>'[2]Изложницы без бурта'!K968</f>
        <v>0</v>
      </c>
    </row>
    <row r="969" spans="28:39" x14ac:dyDescent="0.25">
      <c r="AB969" s="258" t="str">
        <f t="shared" si="25"/>
        <v/>
      </c>
      <c r="AC969" s="259" t="str">
        <f>IF(COUNTIF(AD$78:AD969,AD969)=1,MAX(AC$78:AC968)+1,"")</f>
        <v/>
      </c>
      <c r="AD969" s="220">
        <f>'[2]Изложницы без бурта'!B969</f>
        <v>330</v>
      </c>
      <c r="AE969" s="220">
        <f>'[2]Изложницы без бурта'!C969</f>
        <v>495</v>
      </c>
      <c r="AF969" s="56">
        <f>'[2]Изложницы без бурта'!D969</f>
        <v>450</v>
      </c>
      <c r="AG969" s="56">
        <f>'[2]Изложницы без бурта'!E969</f>
        <v>400</v>
      </c>
      <c r="AH969" s="56" t="str">
        <f>'[2]Изложницы без бурта'!F969</f>
        <v>10.264624 - 4</v>
      </c>
      <c r="AI969" s="56">
        <f>'[2]Изложницы без бурта'!G969</f>
        <v>7260061</v>
      </c>
      <c r="AJ969" s="56">
        <f>'[2]Изложницы без бурта'!H969</f>
        <v>0</v>
      </c>
      <c r="AK969" s="56">
        <f>'[2]Изложницы без бурта'!I969</f>
        <v>0</v>
      </c>
      <c r="AL969" s="56" t="s">
        <v>680</v>
      </c>
      <c r="AM969" s="56">
        <f>'[2]Изложницы без бурта'!K969</f>
        <v>0</v>
      </c>
    </row>
    <row r="970" spans="28:39" x14ac:dyDescent="0.25">
      <c r="AB970" s="258" t="str">
        <f t="shared" si="25"/>
        <v/>
      </c>
      <c r="AC970" s="259" t="str">
        <f>IF(COUNTIF(AD$78:AD970,AD970)=1,MAX(AC$78:AC969)+1,"")</f>
        <v/>
      </c>
      <c r="AD970" s="220">
        <f>'[2]Изложницы без бурта'!B970</f>
        <v>330</v>
      </c>
      <c r="AE970" s="220">
        <f>'[2]Изложницы без бурта'!C970</f>
        <v>525</v>
      </c>
      <c r="AF970" s="56">
        <f>'[2]Изложницы без бурта'!D970</f>
        <v>415</v>
      </c>
      <c r="AG970" s="56">
        <f>'[2]Изложницы без бурта'!E970</f>
        <v>400</v>
      </c>
      <c r="AH970" s="56" t="str">
        <f>'[2]Изложницы без бурта'!F970</f>
        <v>10.249496 - 3</v>
      </c>
      <c r="AI970" s="56">
        <f>'[2]Изложницы без бурта'!G970</f>
        <v>0</v>
      </c>
      <c r="AJ970" s="56" t="str">
        <f>'[2]Изложницы без бурта'!H970</f>
        <v xml:space="preserve">Переточен с  Ø320 </v>
      </c>
      <c r="AK970" s="56">
        <f>'[2]Изложницы без бурта'!I970</f>
        <v>0</v>
      </c>
      <c r="AL970" s="56" t="s">
        <v>680</v>
      </c>
      <c r="AM970" s="56">
        <f>'[2]Изложницы без бурта'!K970</f>
        <v>0</v>
      </c>
    </row>
    <row r="971" spans="28:39" x14ac:dyDescent="0.25">
      <c r="AB971" s="258" t="str">
        <f t="shared" si="25"/>
        <v/>
      </c>
      <c r="AC971" s="259">
        <f>IF(COUNTIF(AD$78:AD971,AD971)=1,MAX(AC$78:AC970)+1,"")</f>
        <v>97</v>
      </c>
      <c r="AD971" s="220">
        <f>'[2]Изложницы без бурта'!B971</f>
        <v>332.5</v>
      </c>
      <c r="AE971" s="220">
        <f>'[2]Изложницы без бурта'!C971</f>
        <v>395</v>
      </c>
      <c r="AF971" s="56">
        <f>'[2]Изложницы без бурта'!D971</f>
        <v>415</v>
      </c>
      <c r="AG971" s="56">
        <f>'[2]Изложницы без бурта'!E971</f>
        <v>400</v>
      </c>
      <c r="AH971" s="56" t="str">
        <f>'[2]Изложницы без бурта'!F971</f>
        <v>72.18376 - 15</v>
      </c>
      <c r="AI971" s="56">
        <f>'[2]Изложницы без бурта'!G971</f>
        <v>7260062</v>
      </c>
      <c r="AJ971" s="56">
        <f>'[2]Изложницы без бурта'!H971</f>
        <v>0</v>
      </c>
      <c r="AK971" s="56">
        <f>'[2]Изложницы без бурта'!I971</f>
        <v>0</v>
      </c>
      <c r="AL971" s="56" t="s">
        <v>681</v>
      </c>
      <c r="AM971" s="56">
        <f>'[2]Изложницы без бурта'!K971</f>
        <v>0</v>
      </c>
    </row>
    <row r="972" spans="28:39" x14ac:dyDescent="0.25">
      <c r="AB972" s="258" t="str">
        <f t="shared" si="25"/>
        <v/>
      </c>
      <c r="AC972" s="259" t="str">
        <f>IF(COUNTIF(AD$78:AD972,AD972)=1,MAX(AC$78:AC971)+1,"")</f>
        <v/>
      </c>
      <c r="AD972" s="220">
        <f>'[2]Изложницы без бурта'!B972</f>
        <v>332.5</v>
      </c>
      <c r="AE972" s="220">
        <f>'[2]Изложницы без бурта'!C972</f>
        <v>215</v>
      </c>
      <c r="AF972" s="56">
        <f>'[2]Изложницы без бурта'!D972</f>
        <v>415</v>
      </c>
      <c r="AG972" s="56">
        <f>'[2]Изложницы без бурта'!E972</f>
        <v>450</v>
      </c>
      <c r="AH972" s="56" t="str">
        <f>'[2]Изложницы без бурта'!F972</f>
        <v>10.246214 - 5</v>
      </c>
      <c r="AI972" s="56">
        <f>'[2]Изложницы без бурта'!G972</f>
        <v>7260063</v>
      </c>
      <c r="AJ972" s="56">
        <f>'[2]Изложницы без бурта'!H972</f>
        <v>0</v>
      </c>
      <c r="AK972" s="56">
        <f>'[2]Изложницы без бурта'!I972</f>
        <v>0</v>
      </c>
      <c r="AL972" s="56" t="s">
        <v>681</v>
      </c>
      <c r="AM972" s="56">
        <f>'[2]Изложницы без бурта'!K972</f>
        <v>0</v>
      </c>
    </row>
    <row r="973" spans="28:39" x14ac:dyDescent="0.25">
      <c r="AB973" s="258" t="str">
        <f t="shared" si="25"/>
        <v/>
      </c>
      <c r="AC973" s="259" t="str">
        <f>IF(COUNTIF(AD$78:AD973,AD973)=1,MAX(AC$78:AC972)+1,"")</f>
        <v/>
      </c>
      <c r="AD973" s="220">
        <f>'[2]Изложницы без бурта'!B973</f>
        <v>332.5</v>
      </c>
      <c r="AE973" s="220">
        <f>'[2]Изложницы без бурта'!C973</f>
        <v>395</v>
      </c>
      <c r="AF973" s="56">
        <f>'[2]Изложницы без бурта'!D973</f>
        <v>415</v>
      </c>
      <c r="AG973" s="56">
        <f>'[2]Изложницы без бурта'!E973</f>
        <v>400</v>
      </c>
      <c r="AH973" s="56" t="str">
        <f>'[2]Изложницы без бурта'!F973</f>
        <v>72.18376 - 15</v>
      </c>
      <c r="AI973" s="56">
        <f>'[2]Изложницы без бурта'!G973</f>
        <v>7260062</v>
      </c>
      <c r="AJ973" s="56">
        <f>'[2]Изложницы без бурта'!H973</f>
        <v>0</v>
      </c>
      <c r="AK973" s="56">
        <f>'[2]Изложницы без бурта'!I973</f>
        <v>0</v>
      </c>
      <c r="AL973" s="56" t="s">
        <v>681</v>
      </c>
      <c r="AM973" s="56">
        <f>'[2]Изложницы без бурта'!K973</f>
        <v>0</v>
      </c>
    </row>
    <row r="974" spans="28:39" x14ac:dyDescent="0.25">
      <c r="AB974" s="258" t="str">
        <f t="shared" si="25"/>
        <v/>
      </c>
      <c r="AC974" s="259">
        <f>IF(COUNTIF(AD$78:AD974,AD974)=1,MAX(AC$78:AC973)+1,"")</f>
        <v>98</v>
      </c>
      <c r="AD974" s="220">
        <f>'[2]Изложницы без бурта'!B974</f>
        <v>335</v>
      </c>
      <c r="AE974" s="220">
        <f>'[2]Изложницы без бурта'!C974</f>
        <v>210</v>
      </c>
      <c r="AF974" s="56">
        <f>'[2]Изложницы без бурта'!D974</f>
        <v>415</v>
      </c>
      <c r="AG974" s="56">
        <f>'[2]Изложницы без бурта'!E974</f>
        <v>450</v>
      </c>
      <c r="AH974" s="56" t="str">
        <f>'[2]Изложницы без бурта'!F974</f>
        <v>10.246214 - 6</v>
      </c>
      <c r="AI974" s="56">
        <f>'[2]Изложницы без бурта'!G974</f>
        <v>0</v>
      </c>
      <c r="AJ974" s="56">
        <f>'[2]Изложницы без бурта'!H974</f>
        <v>0</v>
      </c>
      <c r="AK974" s="56">
        <f>'[2]Изложницы без бурта'!I974</f>
        <v>0</v>
      </c>
      <c r="AL974" s="56" t="s">
        <v>682</v>
      </c>
      <c r="AM974" s="56">
        <f>'[2]Изложницы без бурта'!K974</f>
        <v>0</v>
      </c>
    </row>
    <row r="975" spans="28:39" x14ac:dyDescent="0.25">
      <c r="AB975" s="258" t="str">
        <f t="shared" si="25"/>
        <v/>
      </c>
      <c r="AC975" s="259" t="str">
        <f>IF(COUNTIF(AD$78:AD975,AD975)=1,MAX(AC$78:AC974)+1,"")</f>
        <v/>
      </c>
      <c r="AD975" s="220">
        <f>'[2]Изложницы без бурта'!B975</f>
        <v>335</v>
      </c>
      <c r="AE975" s="220">
        <f>'[2]Изложницы без бурта'!C975</f>
        <v>210</v>
      </c>
      <c r="AF975" s="56">
        <f>'[2]Изложницы без бурта'!D975</f>
        <v>415</v>
      </c>
      <c r="AG975" s="56">
        <f>'[2]Изложницы без бурта'!E975</f>
        <v>450</v>
      </c>
      <c r="AH975" s="56" t="str">
        <f>'[2]Изложницы без бурта'!F975</f>
        <v>10.246214 - 6</v>
      </c>
      <c r="AI975" s="56">
        <f>'[2]Изложницы без бурта'!G975</f>
        <v>0</v>
      </c>
      <c r="AJ975" s="56">
        <f>'[2]Изложницы без бурта'!H975</f>
        <v>0</v>
      </c>
      <c r="AK975" s="56">
        <f>'[2]Изложницы без бурта'!I975</f>
        <v>0</v>
      </c>
      <c r="AL975" s="56" t="s">
        <v>682</v>
      </c>
      <c r="AM975" s="56">
        <f>'[2]Изложницы без бурта'!K975</f>
        <v>0</v>
      </c>
    </row>
    <row r="976" spans="28:39" x14ac:dyDescent="0.25">
      <c r="AB976" s="258" t="str">
        <f t="shared" si="25"/>
        <v/>
      </c>
      <c r="AC976" s="259" t="str">
        <f>IF(COUNTIF(AD$78:AD976,AD976)=1,MAX(AC$78:AC975)+1,"")</f>
        <v/>
      </c>
      <c r="AD976" s="220">
        <f>'[2]Изложницы без бурта'!B976</f>
        <v>335</v>
      </c>
      <c r="AE976" s="220">
        <f>'[2]Изложницы без бурта'!C976</f>
        <v>210</v>
      </c>
      <c r="AF976" s="56">
        <f>'[2]Изложницы без бурта'!D976</f>
        <v>415</v>
      </c>
      <c r="AG976" s="56">
        <f>'[2]Изложницы без бурта'!E976</f>
        <v>450</v>
      </c>
      <c r="AH976" s="56" t="str">
        <f>'[2]Изложницы без бурта'!F976</f>
        <v>10.246214 - 6</v>
      </c>
      <c r="AI976" s="56">
        <f>'[2]Изложницы без бурта'!G976</f>
        <v>0</v>
      </c>
      <c r="AJ976" s="56">
        <f>'[2]Изложницы без бурта'!H976</f>
        <v>0</v>
      </c>
      <c r="AK976" s="56">
        <f>'[2]Изложницы без бурта'!I976</f>
        <v>0</v>
      </c>
      <c r="AL976" s="56" t="s">
        <v>682</v>
      </c>
      <c r="AM976" s="56">
        <f>'[2]Изложницы без бурта'!K976</f>
        <v>0</v>
      </c>
    </row>
    <row r="977" spans="28:39" x14ac:dyDescent="0.25">
      <c r="AB977" s="258" t="str">
        <f t="shared" si="25"/>
        <v/>
      </c>
      <c r="AC977" s="259" t="str">
        <f>IF(COUNTIF(AD$78:AD977,AD977)=1,MAX(AC$78:AC976)+1,"")</f>
        <v/>
      </c>
      <c r="AD977" s="220">
        <f>'[2]Изложницы без бурта'!B977</f>
        <v>335</v>
      </c>
      <c r="AE977" s="220">
        <f>'[2]Изложницы без бурта'!C977</f>
        <v>212</v>
      </c>
      <c r="AF977" s="56">
        <f>'[2]Изложницы без бурта'!D977</f>
        <v>415</v>
      </c>
      <c r="AG977" s="56">
        <f>'[2]Изложницы без бурта'!E977</f>
        <v>450</v>
      </c>
      <c r="AH977" s="56" t="str">
        <f>'[2]Изложницы без бурта'!F977</f>
        <v>10.246214 - 6</v>
      </c>
      <c r="AI977" s="56">
        <f>'[2]Изложницы без бурта'!G977</f>
        <v>0</v>
      </c>
      <c r="AJ977" s="56">
        <f>'[2]Изложницы без бурта'!H977</f>
        <v>0</v>
      </c>
      <c r="AK977" s="56">
        <f>'[2]Изложницы без бурта'!I977</f>
        <v>0</v>
      </c>
      <c r="AL977" s="56" t="s">
        <v>682</v>
      </c>
      <c r="AM977" s="56">
        <f>'[2]Изложницы без бурта'!K977</f>
        <v>0</v>
      </c>
    </row>
    <row r="978" spans="28:39" x14ac:dyDescent="0.25">
      <c r="AB978" s="258" t="str">
        <f t="shared" si="25"/>
        <v/>
      </c>
      <c r="AC978" s="259" t="str">
        <f>IF(COUNTIF(AD$78:AD978,AD978)=1,MAX(AC$78:AC977)+1,"")</f>
        <v/>
      </c>
      <c r="AD978" s="220">
        <f>'[2]Изложницы без бурта'!B978</f>
        <v>335</v>
      </c>
      <c r="AE978" s="220">
        <f>'[2]Изложницы без бурта'!C978</f>
        <v>210</v>
      </c>
      <c r="AF978" s="56">
        <f>'[2]Изложницы без бурта'!D978</f>
        <v>360</v>
      </c>
      <c r="AG978" s="56">
        <f>'[2]Изложницы без бурта'!E978</f>
        <v>450</v>
      </c>
      <c r="AH978" s="56" t="str">
        <f>'[2]Изложницы без бурта'!F978</f>
        <v>10.246214 - 6</v>
      </c>
      <c r="AI978" s="56">
        <f>'[2]Изложницы без бурта'!G978</f>
        <v>0</v>
      </c>
      <c r="AJ978" s="56">
        <f>'[2]Изложницы без бурта'!H978</f>
        <v>0</v>
      </c>
      <c r="AK978" s="56">
        <f>'[2]Изложницы без бурта'!I978</f>
        <v>0</v>
      </c>
      <c r="AL978" s="56" t="s">
        <v>682</v>
      </c>
      <c r="AM978" s="56">
        <f>'[2]Изложницы без бурта'!K978</f>
        <v>0</v>
      </c>
    </row>
    <row r="979" spans="28:39" x14ac:dyDescent="0.25">
      <c r="AB979" s="258" t="str">
        <f t="shared" si="25"/>
        <v/>
      </c>
      <c r="AC979" s="259" t="str">
        <f>IF(COUNTIF(AD$78:AD979,AD979)=1,MAX(AC$78:AC978)+1,"")</f>
        <v/>
      </c>
      <c r="AD979" s="220">
        <f>'[2]Изложницы без бурта'!B979</f>
        <v>335</v>
      </c>
      <c r="AE979" s="220">
        <f>'[2]Изложницы без бурта'!C979</f>
        <v>258</v>
      </c>
      <c r="AF979" s="56">
        <f>'[2]Изложницы без бурта'!D979</f>
        <v>360</v>
      </c>
      <c r="AG979" s="56">
        <f>'[2]Изложницы без бурта'!E979</f>
        <v>450</v>
      </c>
      <c r="AH979" s="56" t="str">
        <f>'[2]Изложницы без бурта'!F979</f>
        <v>72.11872 - 46</v>
      </c>
      <c r="AI979" s="56">
        <f>'[2]Изложницы без бурта'!G979</f>
        <v>7260064</v>
      </c>
      <c r="AJ979" s="56">
        <f>'[2]Изложницы без бурта'!H979</f>
        <v>0</v>
      </c>
      <c r="AK979" s="56">
        <f>'[2]Изложницы без бурта'!I979</f>
        <v>0</v>
      </c>
      <c r="AL979" s="56" t="s">
        <v>682</v>
      </c>
      <c r="AM979" s="56">
        <f>'[2]Изложницы без бурта'!K979</f>
        <v>0</v>
      </c>
    </row>
    <row r="980" spans="28:39" x14ac:dyDescent="0.25">
      <c r="AB980" s="258" t="str">
        <f t="shared" si="25"/>
        <v/>
      </c>
      <c r="AC980" s="259" t="str">
        <f>IF(COUNTIF(AD$78:AD980,AD980)=1,MAX(AC$78:AC979)+1,"")</f>
        <v/>
      </c>
      <c r="AD980" s="220">
        <f>'[2]Изложницы без бурта'!B980</f>
        <v>335</v>
      </c>
      <c r="AE980" s="220">
        <f>'[2]Изложницы без бурта'!C980</f>
        <v>255</v>
      </c>
      <c r="AF980" s="56">
        <f>'[2]Изложницы без бурта'!D980</f>
        <v>360</v>
      </c>
      <c r="AG980" s="56">
        <f>'[2]Изложницы без бурта'!E980</f>
        <v>450</v>
      </c>
      <c r="AH980" s="56" t="str">
        <f>'[2]Изложницы без бурта'!F980</f>
        <v>72.11872 - 46</v>
      </c>
      <c r="AI980" s="56">
        <f>'[2]Изложницы без бурта'!G980</f>
        <v>7260064</v>
      </c>
      <c r="AJ980" s="56">
        <f>'[2]Изложницы без бурта'!H980</f>
        <v>0</v>
      </c>
      <c r="AK980" s="56">
        <f>'[2]Изложницы без бурта'!I980</f>
        <v>0</v>
      </c>
      <c r="AL980" s="56" t="s">
        <v>682</v>
      </c>
      <c r="AM980" s="56">
        <f>'[2]Изложницы без бурта'!K980</f>
        <v>0</v>
      </c>
    </row>
    <row r="981" spans="28:39" x14ac:dyDescent="0.25">
      <c r="AB981" s="258" t="str">
        <f t="shared" si="25"/>
        <v/>
      </c>
      <c r="AC981" s="259">
        <f>IF(COUNTIF(AD$78:AD981,AD981)=1,MAX(AC$78:AC980)+1,"")</f>
        <v>99</v>
      </c>
      <c r="AD981" s="220">
        <f>'[2]Изложницы без бурта'!B981</f>
        <v>337.5</v>
      </c>
      <c r="AE981" s="220">
        <f>'[2]Изложницы без бурта'!C981</f>
        <v>260</v>
      </c>
      <c r="AF981" s="56">
        <f>'[2]Изложницы без бурта'!D981</f>
        <v>375</v>
      </c>
      <c r="AG981" s="56">
        <f>'[2]Изложницы без бурта'!E981</f>
        <v>450</v>
      </c>
      <c r="AH981" s="56" t="str">
        <f>'[2]Изложницы без бурта'!F981</f>
        <v>72.11872 - 47</v>
      </c>
      <c r="AI981" s="56">
        <f>'[2]Изложницы без бурта'!G981</f>
        <v>7260065</v>
      </c>
      <c r="AJ981" s="56">
        <f>'[2]Изложницы без бурта'!H981</f>
        <v>0</v>
      </c>
      <c r="AK981" s="56">
        <f>'[2]Изложницы без бурта'!I981</f>
        <v>0</v>
      </c>
      <c r="AL981" s="56" t="s">
        <v>683</v>
      </c>
      <c r="AM981" s="56">
        <f>'[2]Изложницы без бурта'!K981</f>
        <v>0</v>
      </c>
    </row>
    <row r="982" spans="28:39" x14ac:dyDescent="0.25">
      <c r="AB982" s="258" t="str">
        <f t="shared" si="25"/>
        <v/>
      </c>
      <c r="AC982" s="259" t="str">
        <f>IF(COUNTIF(AD$78:AD982,AD982)=1,MAX(AC$78:AC981)+1,"")</f>
        <v/>
      </c>
      <c r="AD982" s="220">
        <f>'[2]Изложницы без бурта'!B982</f>
        <v>337.5</v>
      </c>
      <c r="AE982" s="220">
        <f>'[2]Изложницы без бурта'!C982</f>
        <v>260</v>
      </c>
      <c r="AF982" s="56">
        <f>'[2]Изложницы без бурта'!D982</f>
        <v>360</v>
      </c>
      <c r="AG982" s="56">
        <f>'[2]Изложницы без бурта'!E982</f>
        <v>450</v>
      </c>
      <c r="AH982" s="56" t="str">
        <f>'[2]Изложницы без бурта'!F982</f>
        <v>72.11872 - 47</v>
      </c>
      <c r="AI982" s="56">
        <f>'[2]Изложницы без бурта'!G982</f>
        <v>7260065</v>
      </c>
      <c r="AJ982" s="56">
        <f>'[2]Изложницы без бурта'!H982</f>
        <v>0</v>
      </c>
      <c r="AK982" s="56">
        <f>'[2]Изложницы без бурта'!I982</f>
        <v>0</v>
      </c>
      <c r="AL982" s="56" t="s">
        <v>683</v>
      </c>
      <c r="AM982" s="56">
        <f>'[2]Изложницы без бурта'!K982</f>
        <v>0</v>
      </c>
    </row>
    <row r="983" spans="28:39" x14ac:dyDescent="0.25">
      <c r="AB983" s="258" t="str">
        <f t="shared" si="25"/>
        <v/>
      </c>
      <c r="AC983" s="259">
        <f>IF(COUNTIF(AD$78:AD983,AD983)=1,MAX(AC$78:AC982)+1,"")</f>
        <v>100</v>
      </c>
      <c r="AD983" s="220">
        <f>'[2]Изложницы без бурта'!B983</f>
        <v>340</v>
      </c>
      <c r="AE983" s="220">
        <f>'[2]Изложницы без бурта'!C983</f>
        <v>315</v>
      </c>
      <c r="AF983" s="56">
        <f>'[2]Изложницы без бурта'!D983</f>
        <v>415</v>
      </c>
      <c r="AG983" s="56">
        <f>'[2]Изложницы без бурта'!E983</f>
        <v>450</v>
      </c>
      <c r="AH983" s="56" t="str">
        <f>'[2]Изложницы без бурта'!F983</f>
        <v>10.252631 - 1</v>
      </c>
      <c r="AI983" s="56">
        <f>'[2]Изложницы без бурта'!G983</f>
        <v>7260066</v>
      </c>
      <c r="AJ983" s="56">
        <f>'[2]Изложницы без бурта'!H983</f>
        <v>0</v>
      </c>
      <c r="AK983" s="56">
        <f>'[2]Изложницы без бурта'!I983</f>
        <v>0</v>
      </c>
      <c r="AL983" s="56" t="s">
        <v>684</v>
      </c>
      <c r="AM983" s="56">
        <f>'[2]Изложницы без бурта'!K983</f>
        <v>0</v>
      </c>
    </row>
    <row r="984" spans="28:39" x14ac:dyDescent="0.25">
      <c r="AB984" s="258" t="str">
        <f t="shared" si="25"/>
        <v/>
      </c>
      <c r="AC984" s="259" t="str">
        <f>IF(COUNTIF(AD$78:AD984,AD984)=1,MAX(AC$78:AC983)+1,"")</f>
        <v/>
      </c>
      <c r="AD984" s="220">
        <f>'[2]Изложницы без бурта'!B984</f>
        <v>340</v>
      </c>
      <c r="AE984" s="220">
        <f>'[2]Изложницы без бурта'!C984</f>
        <v>380</v>
      </c>
      <c r="AF984" s="56">
        <f>'[2]Изложницы без бурта'!D984</f>
        <v>415</v>
      </c>
      <c r="AG984" s="56">
        <f>'[2]Изложницы без бурта'!E984</f>
        <v>450</v>
      </c>
      <c r="AH984" s="56" t="str">
        <f>'[2]Изложницы без бурта'!F984</f>
        <v>72.11876 - 16</v>
      </c>
      <c r="AI984" s="56">
        <f>'[2]Изложницы без бурта'!G984</f>
        <v>0</v>
      </c>
      <c r="AJ984" s="56">
        <f>'[2]Изложницы без бурта'!H984</f>
        <v>0</v>
      </c>
      <c r="AK984" s="56">
        <f>'[2]Изложницы без бурта'!I984</f>
        <v>0</v>
      </c>
      <c r="AL984" s="56" t="s">
        <v>684</v>
      </c>
      <c r="AM984" s="56">
        <f>'[2]Изложницы без бурта'!K984</f>
        <v>0</v>
      </c>
    </row>
    <row r="985" spans="28:39" x14ac:dyDescent="0.25">
      <c r="AB985" s="258" t="str">
        <f t="shared" si="25"/>
        <v/>
      </c>
      <c r="AC985" s="259">
        <f>IF(COUNTIF(AD$78:AD985,AD985)=1,MAX(AC$78:AC984)+1,"")</f>
        <v>101</v>
      </c>
      <c r="AD985" s="220">
        <f>'[2]Изложницы без бурта'!B985</f>
        <v>347.5</v>
      </c>
      <c r="AE985" s="220">
        <f>'[2]Изложницы без бурта'!C985</f>
        <v>263</v>
      </c>
      <c r="AF985" s="56">
        <f>'[2]Изложницы без бурта'!D985</f>
        <v>415</v>
      </c>
      <c r="AG985" s="56">
        <f>'[2]Изложницы без бурта'!E985</f>
        <v>450</v>
      </c>
      <c r="AH985" s="56" t="str">
        <f>'[2]Изложницы без бурта'!F985</f>
        <v>72.11872 - 51</v>
      </c>
      <c r="AI985" s="56">
        <f>'[2]Изложницы без бурта'!G985</f>
        <v>7260067</v>
      </c>
      <c r="AJ985" s="56">
        <f>'[2]Изложницы без бурта'!H985</f>
        <v>0</v>
      </c>
      <c r="AK985" s="56">
        <f>'[2]Изложницы без бурта'!I985</f>
        <v>0</v>
      </c>
      <c r="AL985" s="56" t="s">
        <v>685</v>
      </c>
      <c r="AM985" s="56">
        <f>'[2]Изложницы без бурта'!K985</f>
        <v>0</v>
      </c>
    </row>
    <row r="986" spans="28:39" x14ac:dyDescent="0.25">
      <c r="AB986" s="258" t="str">
        <f t="shared" si="25"/>
        <v/>
      </c>
      <c r="AC986" s="259" t="str">
        <f>IF(COUNTIF(AD$78:AD986,AD986)=1,MAX(AC$78:AC985)+1,"")</f>
        <v/>
      </c>
      <c r="AD986" s="220">
        <f>'[2]Изложницы без бурта'!B986</f>
        <v>347.5</v>
      </c>
      <c r="AE986" s="220">
        <f>'[2]Изложницы без бурта'!C986</f>
        <v>495</v>
      </c>
      <c r="AF986" s="56">
        <f>'[2]Изложницы без бурта'!D986</f>
        <v>450</v>
      </c>
      <c r="AG986" s="56">
        <f>'[2]Изложницы без бурта'!E986</f>
        <v>400</v>
      </c>
      <c r="AH986" s="56" t="str">
        <f>'[2]Изложницы без бурта'!F986</f>
        <v>10.264624 - 11</v>
      </c>
      <c r="AI986" s="56">
        <f>'[2]Изложницы без бурта'!G986</f>
        <v>0</v>
      </c>
      <c r="AJ986" s="56">
        <f>'[2]Изложницы без бурта'!H986</f>
        <v>0</v>
      </c>
      <c r="AK986" s="56">
        <f>'[2]Изложницы без бурта'!I986</f>
        <v>0</v>
      </c>
      <c r="AL986" s="56" t="s">
        <v>685</v>
      </c>
      <c r="AM986" s="56">
        <f>'[2]Изложницы без бурта'!K986</f>
        <v>0</v>
      </c>
    </row>
    <row r="987" spans="28:39" x14ac:dyDescent="0.25">
      <c r="AB987" s="258" t="str">
        <f t="shared" si="25"/>
        <v/>
      </c>
      <c r="AC987" s="259" t="str">
        <f>IF(COUNTIF(AD$78:AD987,AD987)=1,MAX(AC$78:AC986)+1,"")</f>
        <v/>
      </c>
      <c r="AD987" s="220">
        <f>'[2]Изложницы без бурта'!B987</f>
        <v>347.5</v>
      </c>
      <c r="AE987" s="220">
        <f>'[2]Изложницы без бурта'!C987</f>
        <v>495</v>
      </c>
      <c r="AF987" s="56">
        <f>'[2]Изложницы без бурта'!D987</f>
        <v>450</v>
      </c>
      <c r="AG987" s="56">
        <f>'[2]Изложницы без бурта'!E987</f>
        <v>400</v>
      </c>
      <c r="AH987" s="56" t="str">
        <f>'[2]Изложницы без бурта'!F987</f>
        <v>10.264624 - 11</v>
      </c>
      <c r="AI987" s="56">
        <f>'[2]Изложницы без бурта'!G987</f>
        <v>0</v>
      </c>
      <c r="AJ987" s="56">
        <f>'[2]Изложницы без бурта'!H987</f>
        <v>0</v>
      </c>
      <c r="AK987" s="56">
        <f>'[2]Изложницы без бурта'!I987</f>
        <v>0</v>
      </c>
      <c r="AL987" s="56" t="s">
        <v>685</v>
      </c>
      <c r="AM987" s="56">
        <f>'[2]Изложницы без бурта'!K987</f>
        <v>0</v>
      </c>
    </row>
    <row r="988" spans="28:39" x14ac:dyDescent="0.25">
      <c r="AB988" s="258" t="str">
        <f t="shared" si="25"/>
        <v/>
      </c>
      <c r="AC988" s="259">
        <f>IF(COUNTIF(AD$78:AD988,AD988)=1,MAX(AC$78:AC987)+1,"")</f>
        <v>102</v>
      </c>
      <c r="AD988" s="220">
        <f>'[2]Изложницы без бурта'!B988</f>
        <v>350</v>
      </c>
      <c r="AE988" s="220">
        <f>'[2]Изложницы без бурта'!C988</f>
        <v>397</v>
      </c>
      <c r="AF988" s="56">
        <f>'[2]Изложницы без бурта'!D988</f>
        <v>415</v>
      </c>
      <c r="AG988" s="56">
        <f>'[2]Изложницы без бурта'!E988</f>
        <v>400</v>
      </c>
      <c r="AH988" s="56" t="str">
        <f>'[2]Изложницы без бурта'!F988</f>
        <v>72.11876 - 20</v>
      </c>
      <c r="AI988" s="56">
        <f>'[2]Изложницы без бурта'!G988</f>
        <v>0</v>
      </c>
      <c r="AJ988" s="56">
        <f>'[2]Изложницы без бурта'!H988</f>
        <v>0</v>
      </c>
      <c r="AK988" s="56">
        <f>'[2]Изложницы без бурта'!I988</f>
        <v>0</v>
      </c>
      <c r="AL988" s="56" t="s">
        <v>686</v>
      </c>
      <c r="AM988" s="56">
        <f>'[2]Изложницы без бурта'!K988</f>
        <v>0</v>
      </c>
    </row>
    <row r="989" spans="28:39" x14ac:dyDescent="0.25">
      <c r="AB989" s="258" t="str">
        <f t="shared" si="25"/>
        <v/>
      </c>
      <c r="AC989" s="259" t="str">
        <f>IF(COUNTIF(AD$78:AD989,AD989)=1,MAX(AC$78:AC988)+1,"")</f>
        <v/>
      </c>
      <c r="AD989" s="220">
        <f>'[2]Изложницы без бурта'!B989</f>
        <v>350</v>
      </c>
      <c r="AE989" s="220">
        <f>'[2]Изложницы без бурта'!C989</f>
        <v>398</v>
      </c>
      <c r="AF989" s="56">
        <f>'[2]Изложницы без бурта'!D989</f>
        <v>415</v>
      </c>
      <c r="AG989" s="56">
        <f>'[2]Изложницы без бурта'!E989</f>
        <v>400</v>
      </c>
      <c r="AH989" s="56" t="str">
        <f>'[2]Изложницы без бурта'!F989</f>
        <v>72.11876 - 20</v>
      </c>
      <c r="AI989" s="56">
        <f>'[2]Изложницы без бурта'!G989</f>
        <v>0</v>
      </c>
      <c r="AJ989" s="56">
        <f>'[2]Изложницы без бурта'!H989</f>
        <v>0</v>
      </c>
      <c r="AK989" s="56">
        <f>'[2]Изложницы без бурта'!I989</f>
        <v>0</v>
      </c>
      <c r="AL989" s="56" t="s">
        <v>686</v>
      </c>
      <c r="AM989" s="56">
        <f>'[2]Изложницы без бурта'!K989</f>
        <v>0</v>
      </c>
    </row>
    <row r="990" spans="28:39" x14ac:dyDescent="0.25">
      <c r="AB990" s="258" t="str">
        <f t="shared" si="25"/>
        <v/>
      </c>
      <c r="AC990" s="259" t="str">
        <f>IF(COUNTIF(AD$78:AD990,AD990)=1,MAX(AC$78:AC989)+1,"")</f>
        <v/>
      </c>
      <c r="AD990" s="220">
        <f>'[2]Изложницы без бурта'!B990</f>
        <v>350</v>
      </c>
      <c r="AE990" s="220">
        <f>'[2]Изложницы без бурта'!C990</f>
        <v>257</v>
      </c>
      <c r="AF990" s="56">
        <f>'[2]Изложницы без бурта'!D990</f>
        <v>415</v>
      </c>
      <c r="AG990" s="56">
        <f>'[2]Изложницы без бурта'!E990</f>
        <v>450</v>
      </c>
      <c r="AH990" s="56" t="str">
        <f>'[2]Изложницы без бурта'!F990</f>
        <v>72.11875 - 20</v>
      </c>
      <c r="AI990" s="56">
        <f>'[2]Изложницы без бурта'!G990</f>
        <v>0</v>
      </c>
      <c r="AJ990" s="56">
        <f>'[2]Изложницы без бурта'!H990</f>
        <v>0</v>
      </c>
      <c r="AK990" s="56">
        <f>'[2]Изложницы без бурта'!I990</f>
        <v>0</v>
      </c>
      <c r="AL990" s="56" t="s">
        <v>686</v>
      </c>
      <c r="AM990" s="56">
        <f>'[2]Изложницы без бурта'!K990</f>
        <v>0</v>
      </c>
    </row>
    <row r="991" spans="28:39" x14ac:dyDescent="0.25">
      <c r="AB991" s="258" t="str">
        <f t="shared" si="25"/>
        <v/>
      </c>
      <c r="AC991" s="259" t="str">
        <f>IF(COUNTIF(AD$78:AD991,AD991)=1,MAX(AC$78:AC990)+1,"")</f>
        <v/>
      </c>
      <c r="AD991" s="220">
        <f>'[2]Изложницы без бурта'!B991</f>
        <v>350</v>
      </c>
      <c r="AE991" s="220">
        <f>'[2]Изложницы без бурта'!C991</f>
        <v>257</v>
      </c>
      <c r="AF991" s="56">
        <f>'[2]Изложницы без бурта'!D991</f>
        <v>400</v>
      </c>
      <c r="AG991" s="56">
        <f>'[2]Изложницы без бурта'!E991</f>
        <v>450</v>
      </c>
      <c r="AH991" s="56" t="str">
        <f>'[2]Изложницы без бурта'!F991</f>
        <v>72.11875 - 20</v>
      </c>
      <c r="AI991" s="56">
        <f>'[2]Изложницы без бурта'!G991</f>
        <v>0</v>
      </c>
      <c r="AJ991" s="56">
        <f>'[2]Изложницы без бурта'!H991</f>
        <v>0</v>
      </c>
      <c r="AK991" s="56">
        <f>'[2]Изложницы без бурта'!I991</f>
        <v>0</v>
      </c>
      <c r="AL991" s="56" t="s">
        <v>686</v>
      </c>
      <c r="AM991" s="56">
        <f>'[2]Изложницы без бурта'!K991</f>
        <v>0</v>
      </c>
    </row>
    <row r="992" spans="28:39" x14ac:dyDescent="0.25">
      <c r="AB992" s="258" t="str">
        <f t="shared" si="25"/>
        <v/>
      </c>
      <c r="AC992" s="259" t="str">
        <f>IF(COUNTIF(AD$78:AD992,AD992)=1,MAX(AC$78:AC991)+1,"")</f>
        <v/>
      </c>
      <c r="AD992" s="220">
        <f>'[2]Изложницы без бурта'!B992</f>
        <v>350</v>
      </c>
      <c r="AE992" s="220">
        <f>'[2]Изложницы без бурта'!C992</f>
        <v>397</v>
      </c>
      <c r="AF992" s="56">
        <f>'[2]Изложницы без бурта'!D992</f>
        <v>415</v>
      </c>
      <c r="AG992" s="56">
        <f>'[2]Изложницы без бурта'!E992</f>
        <v>400</v>
      </c>
      <c r="AH992" s="56" t="str">
        <f>'[2]Изложницы без бурта'!F992</f>
        <v>72.11876 - 20</v>
      </c>
      <c r="AI992" s="56">
        <f>'[2]Изложницы без бурта'!G992</f>
        <v>0</v>
      </c>
      <c r="AJ992" s="56">
        <f>'[2]Изложницы без бурта'!H992</f>
        <v>0</v>
      </c>
      <c r="AK992" s="56">
        <f>'[2]Изложницы без бурта'!I992</f>
        <v>0</v>
      </c>
      <c r="AL992" s="56" t="s">
        <v>686</v>
      </c>
      <c r="AM992" s="56">
        <f>'[2]Изложницы без бурта'!K992</f>
        <v>0</v>
      </c>
    </row>
    <row r="993" spans="28:39" x14ac:dyDescent="0.25">
      <c r="AB993" s="258" t="str">
        <f t="shared" si="25"/>
        <v/>
      </c>
      <c r="AC993" s="259">
        <f>IF(COUNTIF(AD$78:AD993,AD993)=1,MAX(AC$78:AC992)+1,"")</f>
        <v>103</v>
      </c>
      <c r="AD993" s="220">
        <f>'[2]Изложницы без бурта'!B993</f>
        <v>355</v>
      </c>
      <c r="AE993" s="220">
        <f>'[2]Изложницы без бурта'!C993</f>
        <v>495</v>
      </c>
      <c r="AF993" s="56">
        <f>'[2]Изложницы без бурта'!D993</f>
        <v>450</v>
      </c>
      <c r="AG993" s="56">
        <f>'[2]Изложницы без бурта'!E993</f>
        <v>400</v>
      </c>
      <c r="AH993" s="56" t="str">
        <f>'[2]Изложницы без бурта'!F993</f>
        <v>10.254624 - 14</v>
      </c>
      <c r="AI993" s="56">
        <f>'[2]Изложницы без бурта'!G993</f>
        <v>7260068</v>
      </c>
      <c r="AJ993" s="56">
        <f>'[2]Изложницы без бурта'!H993</f>
        <v>0</v>
      </c>
      <c r="AK993" s="56">
        <f>'[2]Изложницы без бурта'!I993</f>
        <v>0</v>
      </c>
      <c r="AL993" s="56" t="s">
        <v>687</v>
      </c>
      <c r="AM993" s="56">
        <f>'[2]Изложницы без бурта'!K993</f>
        <v>0</v>
      </c>
    </row>
    <row r="994" spans="28:39" x14ac:dyDescent="0.25">
      <c r="AB994" s="258" t="str">
        <f t="shared" si="25"/>
        <v/>
      </c>
      <c r="AC994" s="259" t="str">
        <f>IF(COUNTIF(AD$78:AD994,AD994)=1,MAX(AC$78:AC993)+1,"")</f>
        <v/>
      </c>
      <c r="AD994" s="220">
        <f>'[2]Изложницы без бурта'!B994</f>
        <v>355</v>
      </c>
      <c r="AE994" s="220">
        <f>'[2]Изложницы без бурта'!C994</f>
        <v>495</v>
      </c>
      <c r="AF994" s="56">
        <f>'[2]Изложницы без бурта'!D994</f>
        <v>450</v>
      </c>
      <c r="AG994" s="56">
        <f>'[2]Изложницы без бурта'!E994</f>
        <v>400</v>
      </c>
      <c r="AH994" s="56" t="str">
        <f>'[2]Изложницы без бурта'!F994</f>
        <v>10.254624 - 14</v>
      </c>
      <c r="AI994" s="56">
        <f>'[2]Изложницы без бурта'!G994</f>
        <v>7260068</v>
      </c>
      <c r="AJ994" s="56">
        <f>'[2]Изложницы без бурта'!H994</f>
        <v>0</v>
      </c>
      <c r="AK994" s="56">
        <f>'[2]Изложницы без бурта'!I994</f>
        <v>0</v>
      </c>
      <c r="AL994" s="56" t="s">
        <v>687</v>
      </c>
      <c r="AM994" s="56">
        <f>'[2]Изложницы без бурта'!K994</f>
        <v>0</v>
      </c>
    </row>
    <row r="995" spans="28:39" x14ac:dyDescent="0.25">
      <c r="AB995" s="258" t="str">
        <f t="shared" si="25"/>
        <v/>
      </c>
      <c r="AC995" s="259" t="str">
        <f>IF(COUNTIF(AD$78:AD995,AD995)=1,MAX(AC$78:AC994)+1,"")</f>
        <v/>
      </c>
      <c r="AD995" s="220">
        <f>'[2]Изложницы без бурта'!B995</f>
        <v>355</v>
      </c>
      <c r="AE995" s="220">
        <f>'[2]Изложницы без бурта'!C995</f>
        <v>240</v>
      </c>
      <c r="AF995" s="56">
        <f>'[2]Изложницы без бурта'!D995</f>
        <v>415</v>
      </c>
      <c r="AG995" s="56">
        <f>'[2]Изложницы без бурта'!E995</f>
        <v>450</v>
      </c>
      <c r="AH995" s="56" t="str">
        <f>'[2]Изложницы без бурта'!F995</f>
        <v>72.48674 - 1</v>
      </c>
      <c r="AI995" s="56">
        <f>'[2]Изложницы без бурта'!G995</f>
        <v>7260069</v>
      </c>
      <c r="AJ995" s="56">
        <f>'[2]Изложницы без бурта'!H995</f>
        <v>0</v>
      </c>
      <c r="AK995" s="56">
        <f>'[2]Изложницы без бурта'!I995</f>
        <v>0</v>
      </c>
      <c r="AL995" s="56" t="s">
        <v>687</v>
      </c>
      <c r="AM995" s="56">
        <f>'[2]Изложницы без бурта'!K995</f>
        <v>0</v>
      </c>
    </row>
    <row r="996" spans="28:39" x14ac:dyDescent="0.25">
      <c r="AB996" s="258" t="str">
        <f t="shared" si="25"/>
        <v/>
      </c>
      <c r="AC996" s="259" t="str">
        <f>IF(COUNTIF(AD$78:AD996,AD996)=1,MAX(AC$78:AC995)+1,"")</f>
        <v/>
      </c>
      <c r="AD996" s="220">
        <f>'[2]Изложницы без бурта'!B996</f>
        <v>355</v>
      </c>
      <c r="AE996" s="220">
        <f>'[2]Изложницы без бурта'!C996</f>
        <v>387</v>
      </c>
      <c r="AF996" s="56">
        <f>'[2]Изложницы без бурта'!D996</f>
        <v>375</v>
      </c>
      <c r="AG996" s="56">
        <f>'[2]Изложницы без бурта'!E996</f>
        <v>450</v>
      </c>
      <c r="AH996" s="56" t="str">
        <f>'[2]Изложницы без бурта'!F996</f>
        <v>72.11876 - 22</v>
      </c>
      <c r="AI996" s="56">
        <f>'[2]Изложницы без бурта'!G996</f>
        <v>7260070</v>
      </c>
      <c r="AJ996" s="56">
        <f>'[2]Изложницы без бурта'!H996</f>
        <v>0</v>
      </c>
      <c r="AK996" s="56">
        <f>'[2]Изложницы без бурта'!I996</f>
        <v>0</v>
      </c>
      <c r="AL996" s="56" t="s">
        <v>687</v>
      </c>
      <c r="AM996" s="56">
        <f>'[2]Изложницы без бурта'!K996</f>
        <v>0</v>
      </c>
    </row>
    <row r="997" spans="28:39" x14ac:dyDescent="0.25">
      <c r="AB997" s="258" t="str">
        <f t="shared" si="25"/>
        <v/>
      </c>
      <c r="AC997" s="259">
        <f>IF(COUNTIF(AD$78:AD997,AD997)=1,MAX(AC$78:AC996)+1,"")</f>
        <v>104</v>
      </c>
      <c r="AD997" s="220">
        <f>'[2]Изложницы без бурта'!B997</f>
        <v>360</v>
      </c>
      <c r="AE997" s="220">
        <f>'[2]Изложницы без бурта'!C997</f>
        <v>500</v>
      </c>
      <c r="AF997" s="56">
        <f>'[2]Изложницы без бурта'!D997</f>
        <v>470</v>
      </c>
      <c r="AG997" s="56">
        <f>'[2]Изложницы без бурта'!E997</f>
        <v>400</v>
      </c>
      <c r="AH997" s="56" t="str">
        <f>'[2]Изложницы без бурта'!F997</f>
        <v>10.254624 - 16</v>
      </c>
      <c r="AI997" s="56">
        <f>'[2]Изложницы без бурта'!G997</f>
        <v>7260071</v>
      </c>
      <c r="AJ997" s="56">
        <f>'[2]Изложницы без бурта'!H997</f>
        <v>0</v>
      </c>
      <c r="AK997" s="56">
        <f>'[2]Изложницы без бурта'!I997</f>
        <v>0</v>
      </c>
      <c r="AL997" s="56" t="s">
        <v>688</v>
      </c>
      <c r="AM997" s="56">
        <f>'[2]Изложницы без бурта'!K997</f>
        <v>0</v>
      </c>
    </row>
    <row r="998" spans="28:39" x14ac:dyDescent="0.25">
      <c r="AB998" s="258" t="str">
        <f t="shared" si="25"/>
        <v/>
      </c>
      <c r="AC998" s="259">
        <f>IF(COUNTIF(AD$78:AD998,AD998)=1,MAX(AC$78:AC997)+1,"")</f>
        <v>105</v>
      </c>
      <c r="AD998" s="220">
        <f>'[2]Изложницы без бурта'!B998</f>
        <v>365</v>
      </c>
      <c r="AE998" s="220">
        <f>'[2]Изложницы без бурта'!C998</f>
        <v>495</v>
      </c>
      <c r="AF998" s="56">
        <f>'[2]Изложницы без бурта'!D998</f>
        <v>470</v>
      </c>
      <c r="AG998" s="56">
        <f>'[2]Изложницы без бурта'!E998</f>
        <v>400</v>
      </c>
      <c r="AH998" s="56" t="str">
        <f>'[2]Изложницы без бурта'!F998</f>
        <v>10.254624 - 18</v>
      </c>
      <c r="AI998" s="56">
        <f>'[2]Изложницы без бурта'!G998</f>
        <v>0</v>
      </c>
      <c r="AJ998" s="56">
        <f>'[2]Изложницы без бурта'!H998</f>
        <v>0</v>
      </c>
      <c r="AK998" s="56">
        <f>'[2]Изложницы без бурта'!I998</f>
        <v>0</v>
      </c>
      <c r="AL998" s="56" t="s">
        <v>689</v>
      </c>
      <c r="AM998" s="56">
        <f>'[2]Изложницы без бурта'!K998</f>
        <v>0</v>
      </c>
    </row>
    <row r="999" spans="28:39" x14ac:dyDescent="0.25">
      <c r="AB999" s="258" t="str">
        <f t="shared" si="25"/>
        <v/>
      </c>
      <c r="AC999" s="259" t="str">
        <f>IF(COUNTIF(AD$78:AD999,AD999)=1,MAX(AC$78:AC998)+1,"")</f>
        <v/>
      </c>
      <c r="AD999" s="220">
        <f>'[2]Изложницы без бурта'!B999</f>
        <v>365</v>
      </c>
      <c r="AE999" s="220">
        <f>'[2]Изложницы без бурта'!C999</f>
        <v>317</v>
      </c>
      <c r="AF999" s="56">
        <f>'[2]Изложницы без бурта'!D999</f>
        <v>415</v>
      </c>
      <c r="AG999" s="56">
        <f>'[2]Изложницы без бурта'!E999</f>
        <v>450</v>
      </c>
      <c r="AH999" s="56" t="str">
        <f>'[2]Изложницы без бурта'!F999</f>
        <v>10.252631 - 2</v>
      </c>
      <c r="AI999" s="56">
        <f>'[2]Изложницы без бурта'!G999</f>
        <v>0</v>
      </c>
      <c r="AJ999" s="56">
        <f>'[2]Изложницы без бурта'!H999</f>
        <v>0</v>
      </c>
      <c r="AK999" s="56">
        <f>'[2]Изложницы без бурта'!I999</f>
        <v>0</v>
      </c>
      <c r="AL999" s="56" t="s">
        <v>689</v>
      </c>
      <c r="AM999" s="56">
        <f>'[2]Изложницы без бурта'!K999</f>
        <v>0</v>
      </c>
    </row>
    <row r="1000" spans="28:39" x14ac:dyDescent="0.25">
      <c r="AB1000" s="258" t="str">
        <f t="shared" si="25"/>
        <v/>
      </c>
      <c r="AC1000" s="259" t="str">
        <f>IF(COUNTIF(AD$78:AD1000,AD1000)=1,MAX(AC$78:AC999)+1,"")</f>
        <v/>
      </c>
      <c r="AD1000" s="220">
        <f>'[2]Изложницы без бурта'!B1000</f>
        <v>365</v>
      </c>
      <c r="AE1000" s="220">
        <f>'[2]Изложницы без бурта'!C1000</f>
        <v>315</v>
      </c>
      <c r="AF1000" s="56">
        <f>'[2]Изложницы без бурта'!D1000</f>
        <v>415</v>
      </c>
      <c r="AG1000" s="56">
        <f>'[2]Изложницы без бурта'!E1000</f>
        <v>450</v>
      </c>
      <c r="AH1000" s="56" t="str">
        <f>'[2]Изложницы без бурта'!F1000</f>
        <v>10.252631 - 2</v>
      </c>
      <c r="AI1000" s="56">
        <f>'[2]Изложницы без бурта'!G1000</f>
        <v>0</v>
      </c>
      <c r="AJ1000" s="56">
        <f>'[2]Изложницы без бурта'!H1000</f>
        <v>0</v>
      </c>
      <c r="AK1000" s="56">
        <f>'[2]Изложницы без бурта'!I1000</f>
        <v>0</v>
      </c>
      <c r="AL1000" s="56" t="s">
        <v>689</v>
      </c>
      <c r="AM1000" s="56">
        <f>'[2]Изложницы без бурта'!K1000</f>
        <v>0</v>
      </c>
    </row>
    <row r="1001" spans="28:39" x14ac:dyDescent="0.25">
      <c r="AB1001" s="258" t="str">
        <f t="shared" si="25"/>
        <v/>
      </c>
      <c r="AC1001" s="259" t="str">
        <f>IF(COUNTIF(AD$78:AD1001,AD1001)=1,MAX(AC$78:AC1000)+1,"")</f>
        <v/>
      </c>
      <c r="AD1001" s="220">
        <f>'[2]Изложницы без бурта'!B1001</f>
        <v>365</v>
      </c>
      <c r="AE1001" s="220">
        <f>'[2]Изложницы без бурта'!C1001</f>
        <v>500</v>
      </c>
      <c r="AF1001" s="56">
        <f>'[2]Изложницы без бурта'!D1001</f>
        <v>470</v>
      </c>
      <c r="AG1001" s="56">
        <f>'[2]Изложницы без бурта'!E1001</f>
        <v>400</v>
      </c>
      <c r="AH1001" s="56" t="str">
        <f>'[2]Изложницы без бурта'!F1001</f>
        <v>10.254624 - 18</v>
      </c>
      <c r="AI1001" s="56">
        <f>'[2]Изложницы без бурта'!G1001</f>
        <v>0</v>
      </c>
      <c r="AJ1001" s="56">
        <f>'[2]Изложницы без бурта'!H1001</f>
        <v>0</v>
      </c>
      <c r="AK1001" s="56">
        <f>'[2]Изложницы без бурта'!I1001</f>
        <v>0</v>
      </c>
      <c r="AL1001" s="56" t="s">
        <v>689</v>
      </c>
      <c r="AM1001" s="56">
        <f>'[2]Изложницы без бурта'!K1001</f>
        <v>0</v>
      </c>
    </row>
    <row r="1002" spans="28:39" x14ac:dyDescent="0.25">
      <c r="AB1002" s="258" t="str">
        <f t="shared" si="25"/>
        <v/>
      </c>
      <c r="AC1002" s="259">
        <f>IF(COUNTIF(AD$78:AD1002,AD1002)=1,MAX(AC$78:AC1001)+1,"")</f>
        <v>106</v>
      </c>
      <c r="AD1002" s="220">
        <f>'[2]Изложницы без бурта'!B1002</f>
        <v>367.5</v>
      </c>
      <c r="AE1002" s="220">
        <f>'[2]Изложницы без бурта'!C1002</f>
        <v>654</v>
      </c>
      <c r="AF1002" s="56">
        <f>'[2]Изложницы без бурта'!D1002</f>
        <v>400</v>
      </c>
      <c r="AG1002" s="56">
        <f>'[2]Изложницы без бурта'!E1002</f>
        <v>400</v>
      </c>
      <c r="AH1002" s="56" t="str">
        <f>'[2]Изложницы без бурта'!F1002</f>
        <v>72.47722 - 01</v>
      </c>
      <c r="AI1002" s="56">
        <f>'[2]Изложницы без бурта'!G1002</f>
        <v>7260072</v>
      </c>
      <c r="AJ1002" s="56" t="str">
        <f>'[2]Изложницы без бурта'!H1002</f>
        <v>1/30</v>
      </c>
      <c r="AK1002" s="56" t="str">
        <f>'[2]Изложницы без бурта'!I1002</f>
        <v>Без дна - можно стационарно</v>
      </c>
      <c r="AL1002" s="56" t="s">
        <v>690</v>
      </c>
      <c r="AM1002" s="56">
        <f>'[2]Изложницы без бурта'!K1002</f>
        <v>0</v>
      </c>
    </row>
    <row r="1003" spans="28:39" x14ac:dyDescent="0.25">
      <c r="AB1003" s="258" t="str">
        <f t="shared" si="25"/>
        <v/>
      </c>
      <c r="AC1003" s="259">
        <f>IF(COUNTIF(AD$78:AD1003,AD1003)=1,MAX(AC$78:AC1002)+1,"")</f>
        <v>107</v>
      </c>
      <c r="AD1003" s="220">
        <f>'[2]Изложницы без бурта'!B1003</f>
        <v>370</v>
      </c>
      <c r="AE1003" s="220">
        <f>'[2]Изложницы без бурта'!C1003</f>
        <v>255</v>
      </c>
      <c r="AF1003" s="56">
        <f>'[2]Изложницы без бурта'!D1003</f>
        <v>400</v>
      </c>
      <c r="AG1003" s="56">
        <f>'[2]Изложницы без бурта'!E1003</f>
        <v>450</v>
      </c>
      <c r="AH1003" s="56" t="str">
        <f>'[2]Изложницы без бурта'!F1003</f>
        <v>72.11872 - 60</v>
      </c>
      <c r="AI1003" s="56">
        <f>'[2]Изложницы без бурта'!G1003</f>
        <v>7260073</v>
      </c>
      <c r="AJ1003" s="56">
        <f>'[2]Изложницы без бурта'!H1003</f>
        <v>0</v>
      </c>
      <c r="AK1003" s="56">
        <f>'[2]Изложницы без бурта'!I1003</f>
        <v>0</v>
      </c>
      <c r="AL1003" s="56" t="s">
        <v>691</v>
      </c>
      <c r="AM1003" s="56">
        <f>'[2]Изложницы без бурта'!K1003</f>
        <v>0</v>
      </c>
    </row>
    <row r="1004" spans="28:39" x14ac:dyDescent="0.25">
      <c r="AB1004" s="258" t="str">
        <f t="shared" si="25"/>
        <v/>
      </c>
      <c r="AC1004" s="259">
        <f>IF(COUNTIF(AD$78:AD1004,AD1004)=1,MAX(AC$78:AC1003)+1,"")</f>
        <v>108</v>
      </c>
      <c r="AD1004" s="220">
        <f>'[2]Изложницы без бурта'!B1004</f>
        <v>372.5</v>
      </c>
      <c r="AE1004" s="220">
        <f>'[2]Изложницы без бурта'!C1004</f>
        <v>498</v>
      </c>
      <c r="AF1004" s="56">
        <f>'[2]Изложницы без бурта'!D1004</f>
        <v>470</v>
      </c>
      <c r="AG1004" s="56">
        <f>'[2]Изложницы без бурта'!E1004</f>
        <v>400</v>
      </c>
      <c r="AH1004" s="56" t="str">
        <f>'[2]Изложницы без бурта'!F1004</f>
        <v>10.254624 - 21</v>
      </c>
      <c r="AI1004" s="56">
        <f>'[2]Изложницы без бурта'!G1004</f>
        <v>7260074</v>
      </c>
      <c r="AJ1004" s="56">
        <f>'[2]Изложницы без бурта'!H1004</f>
        <v>0</v>
      </c>
      <c r="AK1004" s="56">
        <f>'[2]Изложницы без бурта'!I1004</f>
        <v>0</v>
      </c>
      <c r="AL1004" s="56" t="s">
        <v>692</v>
      </c>
      <c r="AM1004" s="56">
        <f>'[2]Изложницы без бурта'!K1004</f>
        <v>0</v>
      </c>
    </row>
    <row r="1005" spans="28:39" x14ac:dyDescent="0.25">
      <c r="AB1005" s="258" t="str">
        <f t="shared" si="25"/>
        <v/>
      </c>
      <c r="AC1005" s="259" t="str">
        <f>IF(COUNTIF(AD$78:AD1005,AD1005)=1,MAX(AC$78:AC1004)+1,"")</f>
        <v/>
      </c>
      <c r="AD1005" s="220">
        <f>'[2]Изложницы без бурта'!B1005</f>
        <v>372.5</v>
      </c>
      <c r="AE1005" s="220">
        <f>'[2]Изложницы без бурта'!C1005</f>
        <v>495</v>
      </c>
      <c r="AF1005" s="56">
        <f>'[2]Изложницы без бурта'!D1005</f>
        <v>470</v>
      </c>
      <c r="AG1005" s="56">
        <f>'[2]Изложницы без бурта'!E1005</f>
        <v>400</v>
      </c>
      <c r="AH1005" s="56" t="str">
        <f>'[2]Изложницы без бурта'!F1005</f>
        <v>10.254624 - 21</v>
      </c>
      <c r="AI1005" s="56">
        <f>'[2]Изложницы без бурта'!G1005</f>
        <v>7260074</v>
      </c>
      <c r="AJ1005" s="56">
        <f>'[2]Изложницы без бурта'!H1005</f>
        <v>0</v>
      </c>
      <c r="AK1005" s="56">
        <f>'[2]Изложницы без бурта'!I1005</f>
        <v>0</v>
      </c>
      <c r="AL1005" s="56" t="s">
        <v>692</v>
      </c>
      <c r="AM1005" s="56">
        <f>'[2]Изложницы без бурта'!K1005</f>
        <v>0</v>
      </c>
    </row>
    <row r="1006" spans="28:39" x14ac:dyDescent="0.25">
      <c r="AB1006" s="258" t="str">
        <f t="shared" si="25"/>
        <v/>
      </c>
      <c r="AC1006" s="259" t="str">
        <f>IF(COUNTIF(AD$78:AD1006,AD1006)=1,MAX(AC$78:AC1005)+1,"")</f>
        <v/>
      </c>
      <c r="AD1006" s="220">
        <f>'[2]Изложницы без бурта'!B1006</f>
        <v>372.5</v>
      </c>
      <c r="AE1006" s="220">
        <f>'[2]Изложницы без бурта'!C1006</f>
        <v>397</v>
      </c>
      <c r="AF1006" s="56">
        <f>'[2]Изложницы без бурта'!D1006</f>
        <v>470</v>
      </c>
      <c r="AG1006" s="56">
        <f>'[2]Изложницы без бурта'!E1006</f>
        <v>400</v>
      </c>
      <c r="AH1006" s="56" t="str">
        <f>'[2]Изложницы без бурта'!F1006</f>
        <v>10.242291 - 1</v>
      </c>
      <c r="AI1006" s="56">
        <f>'[2]Изложницы без бурта'!G1006</f>
        <v>0</v>
      </c>
      <c r="AJ1006" s="56">
        <f>'[2]Изложницы без бурта'!H1006</f>
        <v>0</v>
      </c>
      <c r="AK1006" s="56">
        <f>'[2]Изложницы без бурта'!I1006</f>
        <v>0</v>
      </c>
      <c r="AL1006" s="56" t="s">
        <v>692</v>
      </c>
      <c r="AM1006" s="56">
        <f>'[2]Изложницы без бурта'!K1006</f>
        <v>0</v>
      </c>
    </row>
    <row r="1007" spans="28:39" x14ac:dyDescent="0.25">
      <c r="AB1007" s="258" t="str">
        <f t="shared" si="25"/>
        <v/>
      </c>
      <c r="AC1007" s="259">
        <f>IF(COUNTIF(AD$78:AD1007,AD1007)=1,MAX(AC$78:AC1006)+1,"")</f>
        <v>109</v>
      </c>
      <c r="AD1007" s="220">
        <f>'[2]Изложницы без бурта'!B1007</f>
        <v>377.5</v>
      </c>
      <c r="AE1007" s="220">
        <f>'[2]Изложницы без бурта'!C1007</f>
        <v>655</v>
      </c>
      <c r="AF1007" s="56">
        <f>'[2]Изложницы без бурта'!D1007</f>
        <v>470</v>
      </c>
      <c r="AG1007" s="56">
        <f>'[2]Изложницы без бурта'!E1007</f>
        <v>400</v>
      </c>
      <c r="AH1007" s="56" t="str">
        <f>'[2]Изложницы без бурта'!F1007</f>
        <v>72.47722 - 01</v>
      </c>
      <c r="AI1007" s="56">
        <f>'[2]Изложницы без бурта'!G1007</f>
        <v>7260075</v>
      </c>
      <c r="AJ1007" s="56">
        <f>'[2]Изложницы без бурта'!H1007</f>
        <v>0</v>
      </c>
      <c r="AK1007" s="56" t="str">
        <f>'[2]Изложницы без бурта'!I1007</f>
        <v>Для Оловянистых бронз - стационарно - не брать (большая масса, слиток может привариться к днищу)</v>
      </c>
      <c r="AL1007" s="56" t="s">
        <v>693</v>
      </c>
      <c r="AM1007" s="56">
        <f>'[2]Изложницы без бурта'!K1007</f>
        <v>0</v>
      </c>
    </row>
    <row r="1008" spans="28:39" x14ac:dyDescent="0.25">
      <c r="AB1008" s="258" t="str">
        <f t="shared" si="25"/>
        <v/>
      </c>
      <c r="AC1008" s="259" t="str">
        <f>IF(COUNTIF(AD$78:AD1008,AD1008)=1,MAX(AC$78:AC1007)+1,"")</f>
        <v/>
      </c>
      <c r="AD1008" s="220">
        <f>'[2]Изложницы без бурта'!B1008</f>
        <v>377.5</v>
      </c>
      <c r="AE1008" s="220">
        <f>'[2]Изложницы без бурта'!C1008</f>
        <v>230</v>
      </c>
      <c r="AF1008" s="56">
        <f>'[2]Изложницы без бурта'!D1008</f>
        <v>415</v>
      </c>
      <c r="AG1008" s="56">
        <f>'[2]Изложницы без бурта'!E1008</f>
        <v>400</v>
      </c>
      <c r="AH1008" s="56" t="str">
        <f>'[2]Изложницы без бурта'!F1008</f>
        <v>72.48674 - 2</v>
      </c>
      <c r="AI1008" s="56">
        <f>'[2]Изложницы без бурта'!G1008</f>
        <v>7260076</v>
      </c>
      <c r="AJ1008" s="56">
        <f>'[2]Изложницы без бурта'!H1008</f>
        <v>0</v>
      </c>
      <c r="AK1008" s="56">
        <f>'[2]Изложницы без бурта'!I1008</f>
        <v>0</v>
      </c>
      <c r="AL1008" s="56" t="s">
        <v>693</v>
      </c>
      <c r="AM1008" s="56">
        <f>'[2]Изложницы без бурта'!K1008</f>
        <v>0</v>
      </c>
    </row>
    <row r="1009" spans="28:39" x14ac:dyDescent="0.25">
      <c r="AB1009" s="258" t="str">
        <f t="shared" si="25"/>
        <v/>
      </c>
      <c r="AC1009" s="259" t="str">
        <f>IF(COUNTIF(AD$78:AD1009,AD1009)=1,MAX(AC$78:AC1008)+1,"")</f>
        <v/>
      </c>
      <c r="AD1009" s="220">
        <f>'[2]Изложницы без бурта'!B1009</f>
        <v>377.5</v>
      </c>
      <c r="AE1009" s="220">
        <f>'[2]Изложницы без бурта'!C1009</f>
        <v>455</v>
      </c>
      <c r="AF1009" s="56">
        <f>'[2]Изложницы без бурта'!D1009</f>
        <v>470</v>
      </c>
      <c r="AG1009" s="56">
        <f>'[2]Изложницы без бурта'!E1009</f>
        <v>400</v>
      </c>
      <c r="AH1009" s="56" t="str">
        <f>'[2]Изложницы без бурта'!F1009</f>
        <v>72.48007 - 1</v>
      </c>
      <c r="AI1009" s="56">
        <f>'[2]Изложницы без бурта'!G1009</f>
        <v>0</v>
      </c>
      <c r="AJ1009" s="56">
        <f>'[2]Изложницы без бурта'!H1009</f>
        <v>0</v>
      </c>
      <c r="AK1009" s="56">
        <f>'[2]Изложницы без бурта'!I1009</f>
        <v>0</v>
      </c>
      <c r="AL1009" s="56" t="s">
        <v>693</v>
      </c>
      <c r="AM1009" s="56">
        <f>'[2]Изложницы без бурта'!K1009</f>
        <v>0</v>
      </c>
    </row>
    <row r="1010" spans="28:39" x14ac:dyDescent="0.25">
      <c r="AB1010" s="258" t="str">
        <f t="shared" si="25"/>
        <v/>
      </c>
      <c r="AC1010" s="259" t="str">
        <f>IF(COUNTIF(AD$78:AD1010,AD1010)=1,MAX(AC$78:AC1009)+1,"")</f>
        <v/>
      </c>
      <c r="AD1010" s="220">
        <f>'[2]Изложницы без бурта'!B1010</f>
        <v>377.5</v>
      </c>
      <c r="AE1010" s="220">
        <f>'[2]Изложницы без бурта'!C1010</f>
        <v>457</v>
      </c>
      <c r="AF1010" s="56">
        <f>'[2]Изложницы без бурта'!D1010</f>
        <v>500</v>
      </c>
      <c r="AG1010" s="56">
        <f>'[2]Изложницы без бурта'!E1010</f>
        <v>400</v>
      </c>
      <c r="AH1010" s="56" t="str">
        <f>'[2]Изложницы без бурта'!F1010</f>
        <v>72.48007 - 1</v>
      </c>
      <c r="AI1010" s="56">
        <f>'[2]Изложницы без бурта'!G1010</f>
        <v>0</v>
      </c>
      <c r="AJ1010" s="56">
        <f>'[2]Изложницы без бурта'!H1010</f>
        <v>0</v>
      </c>
      <c r="AK1010" s="56">
        <f>'[2]Изложницы без бурта'!I1010</f>
        <v>0</v>
      </c>
      <c r="AL1010" s="56" t="s">
        <v>693</v>
      </c>
      <c r="AM1010" s="56">
        <f>'[2]Изложницы без бурта'!K1010</f>
        <v>0</v>
      </c>
    </row>
    <row r="1011" spans="28:39" x14ac:dyDescent="0.25">
      <c r="AB1011" s="258" t="str">
        <f t="shared" si="25"/>
        <v/>
      </c>
      <c r="AC1011" s="259" t="str">
        <f>IF(COUNTIF(AD$78:AD1011,AD1011)=1,MAX(AC$78:AC1010)+1,"")</f>
        <v/>
      </c>
      <c r="AD1011" s="220">
        <f>'[2]Изложницы без бурта'!B1011</f>
        <v>377.5</v>
      </c>
      <c r="AE1011" s="220">
        <f>'[2]Изложницы без бурта'!C1011</f>
        <v>457</v>
      </c>
      <c r="AF1011" s="56">
        <f>'[2]Изложницы без бурта'!D1011</f>
        <v>500</v>
      </c>
      <c r="AG1011" s="56">
        <f>'[2]Изложницы без бурта'!E1011</f>
        <v>400</v>
      </c>
      <c r="AH1011" s="56" t="str">
        <f>'[2]Изложницы без бурта'!F1011</f>
        <v>72.48007 - 1</v>
      </c>
      <c r="AI1011" s="56">
        <f>'[2]Изложницы без бурта'!G1011</f>
        <v>0</v>
      </c>
      <c r="AJ1011" s="56">
        <f>'[2]Изложницы без бурта'!H1011</f>
        <v>0</v>
      </c>
      <c r="AK1011" s="56">
        <f>'[2]Изложницы без бурта'!I1011</f>
        <v>0</v>
      </c>
      <c r="AL1011" s="56" t="s">
        <v>693</v>
      </c>
      <c r="AM1011" s="56">
        <f>'[2]Изложницы без бурта'!K1011</f>
        <v>0</v>
      </c>
    </row>
    <row r="1012" spans="28:39" x14ac:dyDescent="0.25">
      <c r="AB1012" s="258" t="str">
        <f t="shared" si="25"/>
        <v/>
      </c>
      <c r="AC1012" s="259" t="str">
        <f>IF(COUNTIF(AD$78:AD1012,AD1012)=1,MAX(AC$78:AC1011)+1,"")</f>
        <v/>
      </c>
      <c r="AD1012" s="220">
        <f>'[2]Изложницы без бурта'!B1012</f>
        <v>377.5</v>
      </c>
      <c r="AE1012" s="220">
        <f>'[2]Изложницы без бурта'!C1012</f>
        <v>460</v>
      </c>
      <c r="AF1012" s="56">
        <f>'[2]Изложницы без бурта'!D1012</f>
        <v>500</v>
      </c>
      <c r="AG1012" s="56">
        <f>'[2]Изложницы без бурта'!E1012</f>
        <v>400</v>
      </c>
      <c r="AH1012" s="56" t="str">
        <f>'[2]Изложницы без бурта'!F1012</f>
        <v>72.48007 - 1</v>
      </c>
      <c r="AI1012" s="56">
        <f>'[2]Изложницы без бурта'!G1012</f>
        <v>0</v>
      </c>
      <c r="AJ1012" s="56">
        <f>'[2]Изложницы без бурта'!H1012</f>
        <v>0</v>
      </c>
      <c r="AK1012" s="56">
        <f>'[2]Изложницы без бурта'!I1012</f>
        <v>0</v>
      </c>
      <c r="AL1012" s="56" t="s">
        <v>693</v>
      </c>
      <c r="AM1012" s="56">
        <f>'[2]Изложницы без бурта'!K1012</f>
        <v>0</v>
      </c>
    </row>
    <row r="1013" spans="28:39" x14ac:dyDescent="0.25">
      <c r="AB1013" s="258" t="str">
        <f t="shared" si="25"/>
        <v/>
      </c>
      <c r="AC1013" s="259">
        <f>IF(COUNTIF(AD$78:AD1013,AD1013)=1,MAX(AC$78:AC1012)+1,"")</f>
        <v>110</v>
      </c>
      <c r="AD1013" s="220">
        <f>'[2]Изложницы без бурта'!B1013</f>
        <v>380</v>
      </c>
      <c r="AE1013" s="220">
        <f>'[2]Изложницы без бурта'!C1013</f>
        <v>420</v>
      </c>
      <c r="AF1013" s="56">
        <f>'[2]Изложницы без бурта'!D1013</f>
        <v>520</v>
      </c>
      <c r="AG1013" s="56">
        <f>'[2]Изложницы без бурта'!E1013</f>
        <v>400</v>
      </c>
      <c r="AH1013" s="56" t="str">
        <f>'[2]Изложницы без бурта'!F1013</f>
        <v>72.42346 - 6</v>
      </c>
      <c r="AI1013" s="56">
        <f>'[2]Изложницы без бурта'!G1013</f>
        <v>0</v>
      </c>
      <c r="AJ1013" s="56">
        <f>'[2]Изложницы без бурта'!H1013</f>
        <v>0</v>
      </c>
      <c r="AK1013" s="56">
        <f>'[2]Изложницы без бурта'!I1013</f>
        <v>0</v>
      </c>
      <c r="AL1013" s="56" t="s">
        <v>694</v>
      </c>
      <c r="AM1013" s="56">
        <f>'[2]Изложницы без бурта'!K1013</f>
        <v>0</v>
      </c>
    </row>
    <row r="1014" spans="28:39" x14ac:dyDescent="0.25">
      <c r="AB1014" s="258" t="str">
        <f t="shared" si="25"/>
        <v/>
      </c>
      <c r="AC1014" s="259" t="str">
        <f>IF(COUNTIF(AD$78:AD1014,AD1014)=1,MAX(AC$78:AC1013)+1,"")</f>
        <v/>
      </c>
      <c r="AD1014" s="220">
        <f>'[2]Изложницы без бурта'!B1014</f>
        <v>380</v>
      </c>
      <c r="AE1014" s="220">
        <f>'[2]Изложницы без бурта'!C1014</f>
        <v>460</v>
      </c>
      <c r="AF1014" s="56">
        <f>'[2]Изложницы без бурта'!D1014</f>
        <v>500</v>
      </c>
      <c r="AG1014" s="56">
        <f>'[2]Изложницы без бурта'!E1014</f>
        <v>400</v>
      </c>
      <c r="AH1014" s="56" t="str">
        <f>'[2]Изложницы без бурта'!F1014</f>
        <v>72.48007 - 2</v>
      </c>
      <c r="AI1014" s="56">
        <f>'[2]Изложницы без бурта'!G1014</f>
        <v>0</v>
      </c>
      <c r="AJ1014" s="56">
        <f>'[2]Изложницы без бурта'!H1014</f>
        <v>0</v>
      </c>
      <c r="AK1014" s="56">
        <f>'[2]Изложницы без бурта'!I1014</f>
        <v>0</v>
      </c>
      <c r="AL1014" s="56" t="s">
        <v>694</v>
      </c>
      <c r="AM1014" s="56">
        <f>'[2]Изложницы без бурта'!K1014</f>
        <v>0</v>
      </c>
    </row>
    <row r="1015" spans="28:39" x14ac:dyDescent="0.25">
      <c r="AB1015" s="258" t="str">
        <f t="shared" si="25"/>
        <v/>
      </c>
      <c r="AC1015" s="259" t="str">
        <f>IF(COUNTIF(AD$78:AD1015,AD1015)=1,MAX(AC$78:AC1014)+1,"")</f>
        <v/>
      </c>
      <c r="AD1015" s="220">
        <f>'[2]Изложницы без бурта'!B1015</f>
        <v>380</v>
      </c>
      <c r="AE1015" s="220">
        <f>'[2]Изложницы без бурта'!C1015</f>
        <v>413</v>
      </c>
      <c r="AF1015" s="56">
        <f>'[2]Изложницы без бурта'!D1015</f>
        <v>500</v>
      </c>
      <c r="AG1015" s="56">
        <f>'[2]Изложницы без бурта'!E1015</f>
        <v>400</v>
      </c>
      <c r="AH1015" s="56" t="str">
        <f>'[2]Изложницы без бурта'!F1015</f>
        <v>72.42346 - 6</v>
      </c>
      <c r="AI1015" s="56">
        <f>'[2]Изложницы без бурта'!G1015</f>
        <v>0</v>
      </c>
      <c r="AJ1015" s="56">
        <f>'[2]Изложницы без бурта'!H1015</f>
        <v>0</v>
      </c>
      <c r="AK1015" s="56">
        <f>'[2]Изложницы без бурта'!I1015</f>
        <v>0</v>
      </c>
      <c r="AL1015" s="56" t="s">
        <v>694</v>
      </c>
      <c r="AM1015" s="56">
        <f>'[2]Изложницы без бурта'!K1015</f>
        <v>0</v>
      </c>
    </row>
    <row r="1016" spans="28:39" x14ac:dyDescent="0.25">
      <c r="AB1016" s="258" t="str">
        <f t="shared" si="25"/>
        <v/>
      </c>
      <c r="AC1016" s="259" t="str">
        <f>IF(COUNTIF(AD$78:AD1016,AD1016)=1,MAX(AC$78:AC1015)+1,"")</f>
        <v/>
      </c>
      <c r="AD1016" s="220">
        <f>'[2]Изложницы без бурта'!B1016</f>
        <v>380</v>
      </c>
      <c r="AE1016" s="220">
        <f>'[2]Изложницы без бурта'!C1016</f>
        <v>540</v>
      </c>
      <c r="AF1016" s="56">
        <f>'[2]Изложницы без бурта'!D1016</f>
        <v>470</v>
      </c>
      <c r="AG1016" s="56">
        <f>'[2]Изложницы без бурта'!E1016</f>
        <v>400</v>
      </c>
      <c r="AH1016" s="56" t="str">
        <f>'[2]Изложницы без бурта'!F1016</f>
        <v>10.256074 - 1</v>
      </c>
      <c r="AI1016" s="56">
        <f>'[2]Изложницы без бурта'!G1016</f>
        <v>0</v>
      </c>
      <c r="AJ1016" s="56">
        <f>'[2]Изложницы без бурта'!H1016</f>
        <v>0</v>
      </c>
      <c r="AK1016" s="56">
        <f>'[2]Изложницы без бурта'!I1016</f>
        <v>0</v>
      </c>
      <c r="AL1016" s="56" t="s">
        <v>694</v>
      </c>
      <c r="AM1016" s="56">
        <f>'[2]Изложницы без бурта'!K1016</f>
        <v>0</v>
      </c>
    </row>
    <row r="1017" spans="28:39" x14ac:dyDescent="0.25">
      <c r="AB1017" s="258" t="str">
        <f t="shared" ref="AB1017:AB1080" si="26">IF(MAX(AC1017:AC2094)&lt;ROW(939:939),"",VLOOKUP(ROW(939:939),AC1017:AD2094,2))</f>
        <v/>
      </c>
      <c r="AC1017" s="259">
        <f>IF(COUNTIF(AD$78:AD1017,AD1017)=1,MAX(AC$78:AC1016)+1,"")</f>
        <v>111</v>
      </c>
      <c r="AD1017" s="220">
        <f>'[2]Изложницы без бурта'!B1017</f>
        <v>382.5</v>
      </c>
      <c r="AE1017" s="220">
        <f>'[2]Изложницы без бурта'!C1017</f>
        <v>540</v>
      </c>
      <c r="AF1017" s="56">
        <f>'[2]Изложницы без бурта'!D1017</f>
        <v>470</v>
      </c>
      <c r="AG1017" s="56">
        <f>'[2]Изложницы без бурта'!E1017</f>
        <v>400</v>
      </c>
      <c r="AH1017" s="56" t="str">
        <f>'[2]Изложницы без бурта'!F1017</f>
        <v>10.256074 - 2</v>
      </c>
      <c r="AI1017" s="56">
        <f>'[2]Изложницы без бурта'!G1017</f>
        <v>0</v>
      </c>
      <c r="AJ1017" s="56">
        <f>'[2]Изложницы без бурта'!H1017</f>
        <v>0</v>
      </c>
      <c r="AK1017" s="56">
        <f>'[2]Изложницы без бурта'!I1017</f>
        <v>0</v>
      </c>
      <c r="AL1017" s="56" t="s">
        <v>695</v>
      </c>
      <c r="AM1017" s="56">
        <f>'[2]Изложницы без бурта'!K1017</f>
        <v>0</v>
      </c>
    </row>
    <row r="1018" spans="28:39" x14ac:dyDescent="0.25">
      <c r="AB1018" s="258" t="str">
        <f t="shared" si="26"/>
        <v/>
      </c>
      <c r="AC1018" s="259">
        <f>IF(COUNTIF(AD$78:AD1018,AD1018)=1,MAX(AC$78:AC1017)+1,"")</f>
        <v>112</v>
      </c>
      <c r="AD1018" s="220">
        <f>'[2]Изложницы без бурта'!B1018</f>
        <v>385</v>
      </c>
      <c r="AE1018" s="220">
        <f>'[2]Изложницы без бурта'!C1018</f>
        <v>455</v>
      </c>
      <c r="AF1018" s="56">
        <f>'[2]Изложницы без бурта'!D1018</f>
        <v>500</v>
      </c>
      <c r="AG1018" s="56">
        <f>'[2]Изложницы без бурта'!E1018</f>
        <v>400</v>
      </c>
      <c r="AH1018" s="56" t="str">
        <f>'[2]Изложницы без бурта'!F1018</f>
        <v>72.48007 - 4</v>
      </c>
      <c r="AI1018" s="56">
        <f>'[2]Изложницы без бурта'!G1018</f>
        <v>0</v>
      </c>
      <c r="AJ1018" s="56">
        <f>'[2]Изложницы без бурта'!H1018</f>
        <v>0</v>
      </c>
      <c r="AK1018" s="56">
        <f>'[2]Изложницы без бурта'!I1018</f>
        <v>0</v>
      </c>
      <c r="AL1018" s="56" t="s">
        <v>696</v>
      </c>
      <c r="AM1018" s="56">
        <f>'[2]Изложницы без бурта'!K1018</f>
        <v>0</v>
      </c>
    </row>
    <row r="1019" spans="28:39" x14ac:dyDescent="0.25">
      <c r="AB1019" s="258" t="str">
        <f t="shared" si="26"/>
        <v/>
      </c>
      <c r="AC1019" s="259" t="str">
        <f>IF(COUNTIF(AD$78:AD1019,AD1019)=1,MAX(AC$78:AC1018)+1,"")</f>
        <v/>
      </c>
      <c r="AD1019" s="220">
        <f>'[2]Изложницы без бурта'!B1019</f>
        <v>385</v>
      </c>
      <c r="AE1019" s="220">
        <f>'[2]Изложницы без бурта'!C1019</f>
        <v>455</v>
      </c>
      <c r="AF1019" s="56">
        <f>'[2]Изложницы без бурта'!D1019</f>
        <v>470</v>
      </c>
      <c r="AG1019" s="56">
        <f>'[2]Изложницы без бурта'!E1019</f>
        <v>400</v>
      </c>
      <c r="AH1019" s="56" t="str">
        <f>'[2]Изложницы без бурта'!F1019</f>
        <v>72.48007 - 4</v>
      </c>
      <c r="AI1019" s="56">
        <f>'[2]Изложницы без бурта'!G1019</f>
        <v>0</v>
      </c>
      <c r="AJ1019" s="56">
        <f>'[2]Изложницы без бурта'!H1019</f>
        <v>0</v>
      </c>
      <c r="AK1019" s="56">
        <f>'[2]Изложницы без бурта'!I1019</f>
        <v>0</v>
      </c>
      <c r="AL1019" s="56" t="s">
        <v>696</v>
      </c>
      <c r="AM1019" s="56">
        <f>'[2]Изложницы без бурта'!K1019</f>
        <v>0</v>
      </c>
    </row>
    <row r="1020" spans="28:39" x14ac:dyDescent="0.25">
      <c r="AB1020" s="258" t="str">
        <f t="shared" si="26"/>
        <v/>
      </c>
      <c r="AC1020" s="259" t="str">
        <f>IF(COUNTIF(AD$78:AD1020,AD1020)=1,MAX(AC$78:AC1019)+1,"")</f>
        <v/>
      </c>
      <c r="AD1020" s="220">
        <f>'[2]Изложницы без бурта'!B1020</f>
        <v>385</v>
      </c>
      <c r="AE1020" s="220">
        <f>'[2]Изложницы без бурта'!C1020</f>
        <v>457</v>
      </c>
      <c r="AF1020" s="56">
        <f>'[2]Изложницы без бурта'!D1020</f>
        <v>500</v>
      </c>
      <c r="AG1020" s="56">
        <f>'[2]Изложницы без бурта'!E1020</f>
        <v>400</v>
      </c>
      <c r="AH1020" s="56" t="str">
        <f>'[2]Изложницы без бурта'!F1020</f>
        <v>72.48007 - 4</v>
      </c>
      <c r="AI1020" s="56">
        <f>'[2]Изложницы без бурта'!G1020</f>
        <v>0</v>
      </c>
      <c r="AJ1020" s="56">
        <f>'[2]Изложницы без бурта'!H1020</f>
        <v>0</v>
      </c>
      <c r="AK1020" s="56">
        <f>'[2]Изложницы без бурта'!I1020</f>
        <v>0</v>
      </c>
      <c r="AL1020" s="56" t="s">
        <v>696</v>
      </c>
      <c r="AM1020" s="56">
        <f>'[2]Изложницы без бурта'!K1020</f>
        <v>0</v>
      </c>
    </row>
    <row r="1021" spans="28:39" x14ac:dyDescent="0.25">
      <c r="AB1021" s="258" t="str">
        <f t="shared" si="26"/>
        <v/>
      </c>
      <c r="AC1021" s="259" t="str">
        <f>IF(COUNTIF(AD$78:AD1021,AD1021)=1,MAX(AC$78:AC1020)+1,"")</f>
        <v/>
      </c>
      <c r="AD1021" s="220">
        <f>'[2]Изложницы без бурта'!B1021</f>
        <v>385</v>
      </c>
      <c r="AE1021" s="220">
        <f>'[2]Изложницы без бурта'!C1021</f>
        <v>460</v>
      </c>
      <c r="AF1021" s="56">
        <f>'[2]Изложницы без бурта'!D1021</f>
        <v>470</v>
      </c>
      <c r="AG1021" s="56">
        <f>'[2]Изложницы без бурта'!E1021</f>
        <v>400</v>
      </c>
      <c r="AH1021" s="56" t="str">
        <f>'[2]Изложницы без бурта'!F1021</f>
        <v>72.48007 - 4</v>
      </c>
      <c r="AI1021" s="56">
        <f>'[2]Изложницы без бурта'!G1021</f>
        <v>0</v>
      </c>
      <c r="AJ1021" s="56">
        <f>'[2]Изложницы без бурта'!H1021</f>
        <v>0</v>
      </c>
      <c r="AK1021" s="56">
        <f>'[2]Изложницы без бурта'!I1021</f>
        <v>0</v>
      </c>
      <c r="AL1021" s="56" t="s">
        <v>696</v>
      </c>
      <c r="AM1021" s="56">
        <f>'[2]Изложницы без бурта'!K1021</f>
        <v>0</v>
      </c>
    </row>
    <row r="1022" spans="28:39" x14ac:dyDescent="0.25">
      <c r="AB1022" s="258" t="str">
        <f t="shared" si="26"/>
        <v/>
      </c>
      <c r="AC1022" s="259">
        <f>IF(COUNTIF(AD$78:AD1022,AD1022)=1,MAX(AC$78:AC1021)+1,"")</f>
        <v>113</v>
      </c>
      <c r="AD1022" s="220">
        <f>'[2]Изложницы без бурта'!B1022</f>
        <v>390</v>
      </c>
      <c r="AE1022" s="220">
        <f>'[2]Изложницы без бурта'!C1022</f>
        <v>453</v>
      </c>
      <c r="AF1022" s="56">
        <f>'[2]Изложницы без бурта'!D1022</f>
        <v>470</v>
      </c>
      <c r="AG1022" s="56">
        <f>'[2]Изложницы без бурта'!E1022</f>
        <v>400</v>
      </c>
      <c r="AH1022" s="56" t="str">
        <f>'[2]Изложницы без бурта'!F1022</f>
        <v>72.48007 - 6</v>
      </c>
      <c r="AI1022" s="56">
        <f>'[2]Изложницы без бурта'!G1022</f>
        <v>0</v>
      </c>
      <c r="AJ1022" s="56">
        <f>'[2]Изложницы без бурта'!H1022</f>
        <v>0</v>
      </c>
      <c r="AK1022" s="56">
        <f>'[2]Изложницы без бурта'!I1022</f>
        <v>0</v>
      </c>
      <c r="AL1022" s="56" t="s">
        <v>697</v>
      </c>
      <c r="AM1022" s="56">
        <f>'[2]Изложницы без бурта'!K1022</f>
        <v>0</v>
      </c>
    </row>
    <row r="1023" spans="28:39" x14ac:dyDescent="0.25">
      <c r="AB1023" s="258" t="str">
        <f t="shared" si="26"/>
        <v/>
      </c>
      <c r="AC1023" s="259" t="str">
        <f>IF(COUNTIF(AD$78:AD1023,AD1023)=1,MAX(AC$78:AC1022)+1,"")</f>
        <v/>
      </c>
      <c r="AD1023" s="220">
        <f>'[2]Изложницы без бурта'!B1023</f>
        <v>390</v>
      </c>
      <c r="AE1023" s="220">
        <f>'[2]Изложницы без бурта'!C1023</f>
        <v>455</v>
      </c>
      <c r="AF1023" s="56">
        <f>'[2]Изложницы без бурта'!D1023</f>
        <v>470</v>
      </c>
      <c r="AG1023" s="56">
        <f>'[2]Изложницы без бурта'!E1023</f>
        <v>400</v>
      </c>
      <c r="AH1023" s="56" t="str">
        <f>'[2]Изложницы без бурта'!F1023</f>
        <v>72.48007 - 6</v>
      </c>
      <c r="AI1023" s="56">
        <f>'[2]Изложницы без бурта'!G1023</f>
        <v>0</v>
      </c>
      <c r="AJ1023" s="56">
        <f>'[2]Изложницы без бурта'!H1023</f>
        <v>0</v>
      </c>
      <c r="AK1023" s="56">
        <f>'[2]Изложницы без бурта'!I1023</f>
        <v>0</v>
      </c>
      <c r="AL1023" s="56" t="s">
        <v>697</v>
      </c>
      <c r="AM1023" s="56">
        <f>'[2]Изложницы без бурта'!K1023</f>
        <v>0</v>
      </c>
    </row>
    <row r="1024" spans="28:39" x14ac:dyDescent="0.25">
      <c r="AB1024" s="258" t="str">
        <f t="shared" si="26"/>
        <v/>
      </c>
      <c r="AC1024" s="259">
        <f>IF(COUNTIF(AD$78:AD1024,AD1024)=1,MAX(AC$78:AC1023)+1,"")</f>
        <v>114</v>
      </c>
      <c r="AD1024" s="220">
        <f>'[2]Изложницы без бурта'!B1024</f>
        <v>392.5</v>
      </c>
      <c r="AE1024" s="220">
        <f>'[2]Изложницы без бурта'!C1024</f>
        <v>327</v>
      </c>
      <c r="AF1024" s="56">
        <f>'[2]Изложницы без бурта'!D1024</f>
        <v>520</v>
      </c>
      <c r="AG1024" s="56">
        <f>'[2]Изложницы без бурта'!E1024</f>
        <v>400</v>
      </c>
      <c r="AH1024" s="56" t="str">
        <f>'[2]Изложницы без бурта'!F1024</f>
        <v>72.45826 - 01</v>
      </c>
      <c r="AI1024" s="56">
        <f>'[2]Изложницы без бурта'!G1024</f>
        <v>7260077</v>
      </c>
      <c r="AJ1024" s="56">
        <f>'[2]Изложницы без бурта'!H1024</f>
        <v>0</v>
      </c>
      <c r="AK1024" s="56">
        <f>'[2]Изложницы без бурта'!I1024</f>
        <v>0</v>
      </c>
      <c r="AL1024" s="56" t="s">
        <v>698</v>
      </c>
      <c r="AM1024" s="56">
        <f>'[2]Изложницы без бурта'!K1024</f>
        <v>0</v>
      </c>
    </row>
    <row r="1025" spans="28:39" x14ac:dyDescent="0.25">
      <c r="AB1025" s="258" t="str">
        <f t="shared" si="26"/>
        <v/>
      </c>
      <c r="AC1025" s="259" t="str">
        <f>IF(COUNTIF(AD$78:AD1025,AD1025)=1,MAX(AC$78:AC1024)+1,"")</f>
        <v/>
      </c>
      <c r="AD1025" s="220">
        <f>'[2]Изложницы без бурта'!B1025</f>
        <v>392.5</v>
      </c>
      <c r="AE1025" s="220">
        <f>'[2]Изложницы без бурта'!C1025</f>
        <v>330</v>
      </c>
      <c r="AF1025" s="56">
        <f>'[2]Изложницы без бурта'!D1025</f>
        <v>520</v>
      </c>
      <c r="AG1025" s="56">
        <f>'[2]Изложницы без бурта'!E1025</f>
        <v>400</v>
      </c>
      <c r="AH1025" s="56" t="str">
        <f>'[2]Изложницы без бурта'!F1025</f>
        <v>72.45826 - 01</v>
      </c>
      <c r="AI1025" s="56">
        <f>'[2]Изложницы без бурта'!G1025</f>
        <v>7260077</v>
      </c>
      <c r="AJ1025" s="56">
        <f>'[2]Изложницы без бурта'!H1025</f>
        <v>0</v>
      </c>
      <c r="AK1025" s="56">
        <f>'[2]Изложницы без бурта'!I1025</f>
        <v>0</v>
      </c>
      <c r="AL1025" s="56" t="s">
        <v>698</v>
      </c>
      <c r="AM1025" s="56">
        <f>'[2]Изложницы без бурта'!K1025</f>
        <v>0</v>
      </c>
    </row>
    <row r="1026" spans="28:39" x14ac:dyDescent="0.25">
      <c r="AB1026" s="258" t="str">
        <f t="shared" si="26"/>
        <v/>
      </c>
      <c r="AC1026" s="259" t="str">
        <f>IF(COUNTIF(AD$78:AD1026,AD1026)=1,MAX(AC$78:AC1025)+1,"")</f>
        <v/>
      </c>
      <c r="AD1026" s="220">
        <f>'[2]Изложницы без бурта'!B1026</f>
        <v>392.5</v>
      </c>
      <c r="AE1026" s="220">
        <f>'[2]Изложницы без бурта'!C1026</f>
        <v>300</v>
      </c>
      <c r="AF1026" s="56">
        <f>'[2]Изложницы без бурта'!D1026</f>
        <v>520</v>
      </c>
      <c r="AG1026" s="56">
        <f>'[2]Изложницы без бурта'!E1026</f>
        <v>400</v>
      </c>
      <c r="AH1026" s="56" t="str">
        <f>'[2]Изложницы без бурта'!F1026</f>
        <v>72.37421 - 2</v>
      </c>
      <c r="AI1026" s="56">
        <f>'[2]Изложницы без бурта'!G1026</f>
        <v>0</v>
      </c>
      <c r="AJ1026" s="56">
        <f>'[2]Изложницы без бурта'!H1026</f>
        <v>0</v>
      </c>
      <c r="AK1026" s="56">
        <f>'[2]Изложницы без бурта'!I1026</f>
        <v>0</v>
      </c>
      <c r="AL1026" s="56" t="s">
        <v>698</v>
      </c>
      <c r="AM1026" s="56">
        <f>'[2]Изложницы без бурта'!K1026</f>
        <v>0</v>
      </c>
    </row>
    <row r="1027" spans="28:39" x14ac:dyDescent="0.25">
      <c r="AB1027" s="258" t="str">
        <f t="shared" si="26"/>
        <v/>
      </c>
      <c r="AC1027" s="259" t="str">
        <f>IF(COUNTIF(AD$78:AD1027,AD1027)=1,MAX(AC$78:AC1026)+1,"")</f>
        <v/>
      </c>
      <c r="AD1027" s="220">
        <f>'[2]Изложницы без бурта'!B1027</f>
        <v>392.5</v>
      </c>
      <c r="AE1027" s="220">
        <f>'[2]Изложницы без бурта'!C1027</f>
        <v>345</v>
      </c>
      <c r="AF1027" s="56">
        <f>'[2]Изложницы без бурта'!D1027</f>
        <v>470</v>
      </c>
      <c r="AG1027" s="56">
        <f>'[2]Изложницы без бурта'!E1027</f>
        <v>400</v>
      </c>
      <c r="AH1027" s="56" t="str">
        <f>'[2]Изложницы без бурта'!F1027</f>
        <v>72.45826 - 01</v>
      </c>
      <c r="AI1027" s="56">
        <f>'[2]Изложницы без бурта'!G1027</f>
        <v>7260078</v>
      </c>
      <c r="AJ1027" s="56">
        <f>'[2]Изложницы без бурта'!H1027</f>
        <v>0</v>
      </c>
      <c r="AK1027" s="56">
        <f>'[2]Изложницы без бурта'!I1027</f>
        <v>0</v>
      </c>
      <c r="AL1027" s="56" t="s">
        <v>698</v>
      </c>
      <c r="AM1027" s="56">
        <f>'[2]Изложницы без бурта'!K1027</f>
        <v>0</v>
      </c>
    </row>
    <row r="1028" spans="28:39" x14ac:dyDescent="0.25">
      <c r="AB1028" s="258" t="str">
        <f t="shared" si="26"/>
        <v/>
      </c>
      <c r="AC1028" s="259">
        <f>IF(COUNTIF(AD$78:AD1028,AD1028)=1,MAX(AC$78:AC1027)+1,"")</f>
        <v>115</v>
      </c>
      <c r="AD1028" s="220">
        <f>'[2]Изложницы без бурта'!B1028</f>
        <v>397.5</v>
      </c>
      <c r="AE1028" s="220">
        <f>'[2]Изложницы без бурта'!C1028</f>
        <v>327</v>
      </c>
      <c r="AF1028" s="56">
        <f>'[2]Изложницы без бурта'!D1028</f>
        <v>520</v>
      </c>
      <c r="AG1028" s="56">
        <f>'[2]Изложницы без бурта'!E1028</f>
        <v>400</v>
      </c>
      <c r="AH1028" s="56" t="str">
        <f>'[2]Изложницы без бурта'!F1028</f>
        <v>72.45826 - 01</v>
      </c>
      <c r="AI1028" s="56">
        <f>'[2]Изложницы без бурта'!G1028</f>
        <v>7260079</v>
      </c>
      <c r="AJ1028" s="56">
        <f>'[2]Изложницы без бурта'!H1028</f>
        <v>0</v>
      </c>
      <c r="AK1028" s="56">
        <f>'[2]Изложницы без бурта'!I1028</f>
        <v>0</v>
      </c>
      <c r="AL1028" s="56" t="s">
        <v>699</v>
      </c>
      <c r="AM1028" s="56">
        <f>'[2]Изложницы без бурта'!K1028</f>
        <v>0</v>
      </c>
    </row>
    <row r="1029" spans="28:39" x14ac:dyDescent="0.25">
      <c r="AB1029" s="258" t="str">
        <f t="shared" si="26"/>
        <v/>
      </c>
      <c r="AC1029" s="259" t="str">
        <f>IF(COUNTIF(AD$78:AD1029,AD1029)=1,MAX(AC$78:AC1028)+1,"")</f>
        <v/>
      </c>
      <c r="AD1029" s="220">
        <f>'[2]Изложницы без бурта'!B1029</f>
        <v>397.5</v>
      </c>
      <c r="AE1029" s="220">
        <f>'[2]Изложницы без бурта'!C1029</f>
        <v>228</v>
      </c>
      <c r="AF1029" s="56">
        <f>'[2]Изложницы без бурта'!D1029</f>
        <v>470</v>
      </c>
      <c r="AG1029" s="56">
        <f>'[2]Изложницы без бурта'!E1029</f>
        <v>400</v>
      </c>
      <c r="AH1029" s="56" t="str">
        <f>'[2]Изложницы без бурта'!F1029</f>
        <v>72.42344 - 1</v>
      </c>
      <c r="AI1029" s="56">
        <f>'[2]Изложницы без бурта'!G1029</f>
        <v>0</v>
      </c>
      <c r="AJ1029" s="56">
        <f>'[2]Изложницы без бурта'!H1029</f>
        <v>0</v>
      </c>
      <c r="AK1029" s="56">
        <f>'[2]Изложницы без бурта'!I1029</f>
        <v>0</v>
      </c>
      <c r="AL1029" s="56" t="s">
        <v>699</v>
      </c>
      <c r="AM1029" s="56">
        <f>'[2]Изложницы без бурта'!K1029</f>
        <v>0</v>
      </c>
    </row>
    <row r="1030" spans="28:39" x14ac:dyDescent="0.25">
      <c r="AB1030" s="258" t="str">
        <f t="shared" si="26"/>
        <v/>
      </c>
      <c r="AC1030" s="259">
        <f>IF(COUNTIF(AD$78:AD1030,AD1030)=1,MAX(AC$78:AC1029)+1,"")</f>
        <v>116</v>
      </c>
      <c r="AD1030" s="220">
        <f>'[2]Изложницы без бурта'!B1030</f>
        <v>405</v>
      </c>
      <c r="AE1030" s="220">
        <f>'[2]Изложницы без бурта'!C1030</f>
        <v>450</v>
      </c>
      <c r="AF1030" s="56">
        <f>'[2]Изложницы без бурта'!D1030</f>
        <v>470</v>
      </c>
      <c r="AG1030" s="56">
        <f>'[2]Изложницы без бурта'!E1030</f>
        <v>400</v>
      </c>
      <c r="AH1030" s="56" t="str">
        <f>'[2]Изложницы без бурта'!F1030</f>
        <v>72.48007 - 12</v>
      </c>
      <c r="AI1030" s="56">
        <f>'[2]Изложницы без бурта'!G1030</f>
        <v>7260080</v>
      </c>
      <c r="AJ1030" s="56">
        <f>'[2]Изложницы без бурта'!H1030</f>
        <v>0</v>
      </c>
      <c r="AK1030" s="56">
        <f>'[2]Изложницы без бурта'!I1030</f>
        <v>0</v>
      </c>
      <c r="AL1030" s="56" t="s">
        <v>700</v>
      </c>
      <c r="AM1030" s="56">
        <f>'[2]Изложницы без бурта'!K1030</f>
        <v>0</v>
      </c>
    </row>
    <row r="1031" spans="28:39" x14ac:dyDescent="0.25">
      <c r="AB1031" s="258" t="str">
        <f t="shared" si="26"/>
        <v/>
      </c>
      <c r="AC1031" s="259">
        <f>IF(COUNTIF(AD$78:AD1031,AD1031)=1,MAX(AC$78:AC1030)+1,"")</f>
        <v>117</v>
      </c>
      <c r="AD1031" s="220">
        <f>'[2]Изложницы без бурта'!B1031</f>
        <v>410</v>
      </c>
      <c r="AE1031" s="220">
        <f>'[2]Изложницы без бурта'!C1031</f>
        <v>470</v>
      </c>
      <c r="AF1031" s="56">
        <f>'[2]Изложницы без бурта'!D1031</f>
        <v>470</v>
      </c>
      <c r="AG1031" s="56">
        <f>'[2]Изложницы без бурта'!E1031</f>
        <v>400</v>
      </c>
      <c r="AH1031" s="56" t="str">
        <f>'[2]Изложницы без бурта'!F1031</f>
        <v>72.48005 - 9</v>
      </c>
      <c r="AI1031" s="56">
        <f>'[2]Изложницы без бурта'!G1031</f>
        <v>7260081</v>
      </c>
      <c r="AJ1031" s="56">
        <f>'[2]Изложницы без бурта'!H1031</f>
        <v>0</v>
      </c>
      <c r="AK1031" s="56">
        <f>'[2]Изложницы без бурта'!I1031</f>
        <v>0</v>
      </c>
      <c r="AL1031" s="56" t="s">
        <v>701</v>
      </c>
      <c r="AM1031" s="56">
        <f>'[2]Изложницы без бурта'!K1031</f>
        <v>0</v>
      </c>
    </row>
    <row r="1032" spans="28:39" x14ac:dyDescent="0.25">
      <c r="AB1032" s="258" t="str">
        <f t="shared" si="26"/>
        <v/>
      </c>
      <c r="AC1032" s="259">
        <f>IF(COUNTIF(AD$78:AD1032,AD1032)=1,MAX(AC$78:AC1031)+1,"")</f>
        <v>118</v>
      </c>
      <c r="AD1032" s="220">
        <f>'[2]Изложницы без бурта'!B1032</f>
        <v>412.5</v>
      </c>
      <c r="AE1032" s="220">
        <f>'[2]Изложницы без бурта'!C1032</f>
        <v>512</v>
      </c>
      <c r="AF1032" s="56">
        <f>'[2]Изложницы без бурта'!D1032</f>
        <v>500</v>
      </c>
      <c r="AG1032" s="56">
        <f>'[2]Изложницы без бурта'!E1032</f>
        <v>400</v>
      </c>
      <c r="AH1032" s="56" t="str">
        <f>'[2]Изложницы без бурта'!F1032</f>
        <v>10.247097 - 01</v>
      </c>
      <c r="AI1032" s="56">
        <f>'[2]Изложницы без бурта'!G1032</f>
        <v>7260082</v>
      </c>
      <c r="AJ1032" s="56">
        <f>'[2]Изложницы без бурта'!H1032</f>
        <v>0</v>
      </c>
      <c r="AK1032" s="56">
        <f>'[2]Изложницы без бурта'!I1032</f>
        <v>0</v>
      </c>
      <c r="AL1032" s="56" t="s">
        <v>702</v>
      </c>
      <c r="AM1032" s="56">
        <f>'[2]Изложницы без бурта'!K1032</f>
        <v>0</v>
      </c>
    </row>
    <row r="1033" spans="28:39" x14ac:dyDescent="0.25">
      <c r="AB1033" s="258" t="str">
        <f t="shared" si="26"/>
        <v/>
      </c>
      <c r="AC1033" s="259">
        <f>IF(COUNTIF(AD$78:AD1033,AD1033)=1,MAX(AC$78:AC1032)+1,"")</f>
        <v>119</v>
      </c>
      <c r="AD1033" s="220">
        <f>'[2]Изложницы без бурта'!B1033</f>
        <v>415</v>
      </c>
      <c r="AE1033" s="220">
        <f>'[2]Изложницы без бурта'!C1033</f>
        <v>275</v>
      </c>
      <c r="AF1033" s="56">
        <f>'[2]Изложницы без бурта'!D1033</f>
        <v>520</v>
      </c>
      <c r="AG1033" s="56">
        <f>'[2]Изложницы без бурта'!E1033</f>
        <v>400</v>
      </c>
      <c r="AH1033" s="56" t="str">
        <f>'[2]Изложницы без бурта'!F1033</f>
        <v>72.42346 - 5</v>
      </c>
      <c r="AI1033" s="56">
        <f>'[2]Изложницы без бурта'!G1033</f>
        <v>0</v>
      </c>
      <c r="AJ1033" s="56">
        <f>'[2]Изложницы без бурта'!H1033</f>
        <v>0</v>
      </c>
      <c r="AK1033" s="56">
        <f>'[2]Изложницы без бурта'!I1033</f>
        <v>0</v>
      </c>
      <c r="AL1033" s="56" t="s">
        <v>703</v>
      </c>
      <c r="AM1033" s="56">
        <f>'[2]Изложницы без бурта'!K1033</f>
        <v>0</v>
      </c>
    </row>
    <row r="1034" spans="28:39" x14ac:dyDescent="0.25">
      <c r="AB1034" s="258" t="str">
        <f t="shared" si="26"/>
        <v/>
      </c>
      <c r="AC1034" s="259" t="str">
        <f>IF(COUNTIF(AD$78:AD1034,AD1034)=1,MAX(AC$78:AC1033)+1,"")</f>
        <v/>
      </c>
      <c r="AD1034" s="220">
        <f>'[2]Изложницы без бурта'!B1034</f>
        <v>415</v>
      </c>
      <c r="AE1034" s="220">
        <f>'[2]Изложницы без бурта'!C1034</f>
        <v>280</v>
      </c>
      <c r="AF1034" s="56">
        <f>'[2]Изложницы без бурта'!D1034</f>
        <v>520</v>
      </c>
      <c r="AG1034" s="56">
        <f>'[2]Изложницы без бурта'!E1034</f>
        <v>400</v>
      </c>
      <c r="AH1034" s="56" t="str">
        <f>'[2]Изложницы без бурта'!F1034</f>
        <v>72.42346 - 5</v>
      </c>
      <c r="AI1034" s="56">
        <f>'[2]Изложницы без бурта'!G1034</f>
        <v>0</v>
      </c>
      <c r="AJ1034" s="56">
        <f>'[2]Изложницы без бурта'!H1034</f>
        <v>0</v>
      </c>
      <c r="AK1034" s="56">
        <f>'[2]Изложницы без бурта'!I1034</f>
        <v>0</v>
      </c>
      <c r="AL1034" s="56" t="s">
        <v>703</v>
      </c>
      <c r="AM1034" s="56">
        <f>'[2]Изложницы без бурта'!K1034</f>
        <v>0</v>
      </c>
    </row>
    <row r="1035" spans="28:39" x14ac:dyDescent="0.25">
      <c r="AB1035" s="258" t="str">
        <f t="shared" si="26"/>
        <v/>
      </c>
      <c r="AC1035" s="259" t="str">
        <f>IF(COUNTIF(AD$78:AD1035,AD1035)=1,MAX(AC$78:AC1034)+1,"")</f>
        <v/>
      </c>
      <c r="AD1035" s="220">
        <f>'[2]Изложницы без бурта'!B1035</f>
        <v>415</v>
      </c>
      <c r="AE1035" s="220">
        <f>'[2]Изложницы без бурта'!C1035</f>
        <v>275</v>
      </c>
      <c r="AF1035" s="56">
        <f>'[2]Изложницы без бурта'!D1035</f>
        <v>500</v>
      </c>
      <c r="AG1035" s="56">
        <f>'[2]Изложницы без бурта'!E1035</f>
        <v>400</v>
      </c>
      <c r="AH1035" s="56" t="str">
        <f>'[2]Изложницы без бурта'!F1035</f>
        <v>72.42346 - 5</v>
      </c>
      <c r="AI1035" s="56">
        <f>'[2]Изложницы без бурта'!G1035</f>
        <v>0</v>
      </c>
      <c r="AJ1035" s="56">
        <f>'[2]Изложницы без бурта'!H1035</f>
        <v>0</v>
      </c>
      <c r="AK1035" s="56">
        <f>'[2]Изложницы без бурта'!I1035</f>
        <v>0</v>
      </c>
      <c r="AL1035" s="56" t="s">
        <v>703</v>
      </c>
      <c r="AM1035" s="56">
        <f>'[2]Изложницы без бурта'!K1035</f>
        <v>0</v>
      </c>
    </row>
    <row r="1036" spans="28:39" x14ac:dyDescent="0.25">
      <c r="AB1036" s="258" t="str">
        <f t="shared" si="26"/>
        <v/>
      </c>
      <c r="AC1036" s="259">
        <f>IF(COUNTIF(AD$78:AD1036,AD1036)=1,MAX(AC$78:AC1035)+1,"")</f>
        <v>120</v>
      </c>
      <c r="AD1036" s="220">
        <f>'[2]Изложницы без бурта'!B1036</f>
        <v>417.5</v>
      </c>
      <c r="AE1036" s="220">
        <f>'[2]Изложницы без бурта'!C1036</f>
        <v>257</v>
      </c>
      <c r="AF1036" s="56">
        <f>'[2]Изложницы без бурта'!D1036</f>
        <v>470</v>
      </c>
      <c r="AG1036" s="56">
        <f>'[2]Изложницы без бурта'!E1036</f>
        <v>400</v>
      </c>
      <c r="AH1036" s="56" t="str">
        <f>'[2]Изложницы без бурта'!F1036</f>
        <v>72.48041 - 1</v>
      </c>
      <c r="AI1036" s="56">
        <f>'[2]Изложницы без бурта'!G1036</f>
        <v>7260083</v>
      </c>
      <c r="AJ1036" s="56">
        <f>'[2]Изложницы без бурта'!H1036</f>
        <v>0</v>
      </c>
      <c r="AK1036" s="56">
        <f>'[2]Изложницы без бурта'!I1036</f>
        <v>0</v>
      </c>
      <c r="AL1036" s="56" t="s">
        <v>704</v>
      </c>
      <c r="AM1036" s="56">
        <f>'[2]Изложницы без бурта'!K1036</f>
        <v>0</v>
      </c>
    </row>
    <row r="1037" spans="28:39" x14ac:dyDescent="0.25">
      <c r="AB1037" s="258" t="str">
        <f t="shared" si="26"/>
        <v/>
      </c>
      <c r="AC1037" s="259" t="str">
        <f>IF(COUNTIF(AD$78:AD1037,AD1037)=1,MAX(AC$78:AC1036)+1,"")</f>
        <v/>
      </c>
      <c r="AD1037" s="220">
        <f>'[2]Изложницы без бурта'!B1037</f>
        <v>417.5</v>
      </c>
      <c r="AE1037" s="220">
        <f>'[2]Изложницы без бурта'!C1037</f>
        <v>515</v>
      </c>
      <c r="AF1037" s="56">
        <f>'[2]Изложницы без бурта'!D1037</f>
        <v>520</v>
      </c>
      <c r="AG1037" s="56">
        <f>'[2]Изложницы без бурта'!E1037</f>
        <v>400</v>
      </c>
      <c r="AH1037" s="56" t="str">
        <f>'[2]Изложницы без бурта'!F1037</f>
        <v>10.247286 - 1</v>
      </c>
      <c r="AI1037" s="56">
        <f>'[2]Изложницы без бурта'!G1037</f>
        <v>0</v>
      </c>
      <c r="AJ1037" s="56">
        <f>'[2]Изложницы без бурта'!H1037</f>
        <v>0</v>
      </c>
      <c r="AK1037" s="56">
        <f>'[2]Изложницы без бурта'!I1037</f>
        <v>0</v>
      </c>
      <c r="AL1037" s="56" t="s">
        <v>704</v>
      </c>
      <c r="AM1037" s="56">
        <f>'[2]Изложницы без бурта'!K1037</f>
        <v>0</v>
      </c>
    </row>
    <row r="1038" spans="28:39" x14ac:dyDescent="0.25">
      <c r="AB1038" s="258" t="str">
        <f t="shared" si="26"/>
        <v/>
      </c>
      <c r="AC1038" s="259" t="str">
        <f>IF(COUNTIF(AD$78:AD1038,AD1038)=1,MAX(AC$78:AC1037)+1,"")</f>
        <v/>
      </c>
      <c r="AD1038" s="220">
        <f>'[2]Изложницы без бурта'!B1038</f>
        <v>417.5</v>
      </c>
      <c r="AE1038" s="220">
        <f>'[2]Изложницы без бурта'!C1038</f>
        <v>257</v>
      </c>
      <c r="AF1038" s="56">
        <f>'[2]Изложницы без бурта'!D1038</f>
        <v>470</v>
      </c>
      <c r="AG1038" s="56">
        <f>'[2]Изложницы без бурта'!E1038</f>
        <v>400</v>
      </c>
      <c r="AH1038" s="56" t="str">
        <f>'[2]Изложницы без бурта'!F1038</f>
        <v>72.48041 - 1</v>
      </c>
      <c r="AI1038" s="56">
        <f>'[2]Изложницы без бурта'!G1038</f>
        <v>0</v>
      </c>
      <c r="AJ1038" s="56">
        <f>'[2]Изложницы без бурта'!H1038</f>
        <v>0</v>
      </c>
      <c r="AK1038" s="56">
        <f>'[2]Изложницы без бурта'!I1038</f>
        <v>0</v>
      </c>
      <c r="AL1038" s="56" t="s">
        <v>704</v>
      </c>
      <c r="AM1038" s="56">
        <f>'[2]Изложницы без бурта'!K1038</f>
        <v>0</v>
      </c>
    </row>
    <row r="1039" spans="28:39" x14ac:dyDescent="0.25">
      <c r="AB1039" s="258" t="str">
        <f t="shared" si="26"/>
        <v/>
      </c>
      <c r="AC1039" s="259">
        <f>IF(COUNTIF(AD$78:AD1039,AD1039)=1,MAX(AC$78:AC1038)+1,"")</f>
        <v>121</v>
      </c>
      <c r="AD1039" s="220">
        <f>'[2]Изложницы без бурта'!B1039</f>
        <v>420</v>
      </c>
      <c r="AE1039" s="220">
        <f>'[2]Изложницы без бурта'!C1039</f>
        <v>510</v>
      </c>
      <c r="AF1039" s="56">
        <f>'[2]Изложницы без бурта'!D1039</f>
        <v>520</v>
      </c>
      <c r="AG1039" s="56">
        <f>'[2]Изложницы без бурта'!E1039</f>
        <v>400</v>
      </c>
      <c r="AH1039" s="56" t="str">
        <f>'[2]Изложницы без бурта'!F1039</f>
        <v>10.247286 - 1</v>
      </c>
      <c r="AI1039" s="56">
        <f>'[2]Изложницы без бурта'!G1039</f>
        <v>0</v>
      </c>
      <c r="AJ1039" s="56">
        <f>'[2]Изложницы без бурта'!H1039</f>
        <v>0</v>
      </c>
      <c r="AK1039" s="56">
        <f>'[2]Изложницы без бурта'!I1039</f>
        <v>0</v>
      </c>
      <c r="AL1039" s="56" t="s">
        <v>705</v>
      </c>
      <c r="AM1039" s="56">
        <f>'[2]Изложницы без бурта'!K1039</f>
        <v>0</v>
      </c>
    </row>
    <row r="1040" spans="28:39" x14ac:dyDescent="0.25">
      <c r="AB1040" s="258" t="str">
        <f t="shared" si="26"/>
        <v/>
      </c>
      <c r="AC1040" s="259" t="str">
        <f>IF(COUNTIF(AD$78:AD1040,AD1040)=1,MAX(AC$78:AC1039)+1,"")</f>
        <v/>
      </c>
      <c r="AD1040" s="220">
        <f>'[2]Изложницы без бурта'!B1040</f>
        <v>420</v>
      </c>
      <c r="AE1040" s="220">
        <f>'[2]Изложницы без бурта'!C1040</f>
        <v>300</v>
      </c>
      <c r="AF1040" s="56">
        <f>'[2]Изложницы без бурта'!D1040</f>
        <v>520</v>
      </c>
      <c r="AG1040" s="56">
        <f>'[2]Изложницы без бурта'!E1040</f>
        <v>400</v>
      </c>
      <c r="AH1040" s="56" t="str">
        <f>'[2]Изложницы без бурта'!F1040</f>
        <v>72.37421 - 1</v>
      </c>
      <c r="AI1040" s="56">
        <f>'[2]Изложницы без бурта'!G1040</f>
        <v>0</v>
      </c>
      <c r="AJ1040" s="56">
        <f>'[2]Изложницы без бурта'!H1040</f>
        <v>0</v>
      </c>
      <c r="AK1040" s="56">
        <f>'[2]Изложницы без бурта'!I1040</f>
        <v>0</v>
      </c>
      <c r="AL1040" s="56" t="s">
        <v>705</v>
      </c>
      <c r="AM1040" s="56">
        <f>'[2]Изложницы без бурта'!K1040</f>
        <v>0</v>
      </c>
    </row>
    <row r="1041" spans="28:39" x14ac:dyDescent="0.25">
      <c r="AB1041" s="258" t="str">
        <f t="shared" si="26"/>
        <v/>
      </c>
      <c r="AC1041" s="259" t="str">
        <f>IF(COUNTIF(AD$78:AD1041,AD1041)=1,MAX(AC$78:AC1040)+1,"")</f>
        <v/>
      </c>
      <c r="AD1041" s="220">
        <f>'[2]Изложницы без бурта'!B1041</f>
        <v>420</v>
      </c>
      <c r="AE1041" s="220">
        <f>'[2]Изложницы без бурта'!C1041</f>
        <v>295</v>
      </c>
      <c r="AF1041" s="56">
        <f>'[2]Изложницы без бурта'!D1041</f>
        <v>520</v>
      </c>
      <c r="AG1041" s="56">
        <f>'[2]Изложницы без бурта'!E1041</f>
        <v>400</v>
      </c>
      <c r="AH1041" s="56" t="str">
        <f>'[2]Изложницы без бурта'!F1041</f>
        <v>72.37421 - 1</v>
      </c>
      <c r="AI1041" s="56">
        <f>'[2]Изложницы без бурта'!G1041</f>
        <v>0</v>
      </c>
      <c r="AJ1041" s="56">
        <f>'[2]Изложницы без бурта'!H1041</f>
        <v>0</v>
      </c>
      <c r="AK1041" s="56">
        <f>'[2]Изложницы без бурта'!I1041</f>
        <v>0</v>
      </c>
      <c r="AL1041" s="56" t="s">
        <v>705</v>
      </c>
      <c r="AM1041" s="56">
        <f>'[2]Изложницы без бурта'!K1041</f>
        <v>0</v>
      </c>
    </row>
    <row r="1042" spans="28:39" x14ac:dyDescent="0.25">
      <c r="AB1042" s="258" t="str">
        <f t="shared" si="26"/>
        <v/>
      </c>
      <c r="AC1042" s="259" t="str">
        <f>IF(COUNTIF(AD$78:AD1042,AD1042)=1,MAX(AC$78:AC1041)+1,"")</f>
        <v/>
      </c>
      <c r="AD1042" s="220">
        <f>'[2]Изложницы без бурта'!B1042</f>
        <v>420</v>
      </c>
      <c r="AE1042" s="220">
        <f>'[2]Изложницы без бурта'!C1042</f>
        <v>260</v>
      </c>
      <c r="AF1042" s="56">
        <f>'[2]Изложницы без бурта'!D1042</f>
        <v>500</v>
      </c>
      <c r="AG1042" s="56">
        <f>'[2]Изложницы без бурта'!E1042</f>
        <v>400</v>
      </c>
      <c r="AH1042" s="56" t="str">
        <f>'[2]Изложницы без бурта'!F1042</f>
        <v>72.48041 - 2</v>
      </c>
      <c r="AI1042" s="56">
        <f>'[2]Изложницы без бурта'!G1042</f>
        <v>0</v>
      </c>
      <c r="AJ1042" s="56">
        <f>'[2]Изложницы без бурта'!H1042</f>
        <v>0</v>
      </c>
      <c r="AK1042" s="56">
        <f>'[2]Изложницы без бурта'!I1042</f>
        <v>0</v>
      </c>
      <c r="AL1042" s="56" t="s">
        <v>705</v>
      </c>
      <c r="AM1042" s="56">
        <f>'[2]Изложницы без бурта'!K1042</f>
        <v>0</v>
      </c>
    </row>
    <row r="1043" spans="28:39" x14ac:dyDescent="0.25">
      <c r="AB1043" s="258" t="str">
        <f t="shared" si="26"/>
        <v/>
      </c>
      <c r="AC1043" s="259" t="str">
        <f>IF(COUNTIF(AD$78:AD1043,AD1043)=1,MAX(AC$78:AC1042)+1,"")</f>
        <v/>
      </c>
      <c r="AD1043" s="220">
        <f>'[2]Изложницы без бурта'!B1043</f>
        <v>420</v>
      </c>
      <c r="AE1043" s="220">
        <f>'[2]Изложницы без бурта'!C1043</f>
        <v>260</v>
      </c>
      <c r="AF1043" s="56">
        <f>'[2]Изложницы без бурта'!D1043</f>
        <v>500</v>
      </c>
      <c r="AG1043" s="56">
        <f>'[2]Изложницы без бурта'!E1043</f>
        <v>400</v>
      </c>
      <c r="AH1043" s="56" t="str">
        <f>'[2]Изложницы без бурта'!F1043</f>
        <v>72.48041 - 2</v>
      </c>
      <c r="AI1043" s="56">
        <f>'[2]Изложницы без бурта'!G1043</f>
        <v>0</v>
      </c>
      <c r="AJ1043" s="56">
        <f>'[2]Изложницы без бурта'!H1043</f>
        <v>0</v>
      </c>
      <c r="AK1043" s="56">
        <f>'[2]Изложницы без бурта'!I1043</f>
        <v>0</v>
      </c>
      <c r="AL1043" s="56" t="s">
        <v>705</v>
      </c>
      <c r="AM1043" s="56">
        <f>'[2]Изложницы без бурта'!K1043</f>
        <v>0</v>
      </c>
    </row>
    <row r="1044" spans="28:39" x14ac:dyDescent="0.25">
      <c r="AB1044" s="258" t="str">
        <f t="shared" si="26"/>
        <v/>
      </c>
      <c r="AC1044" s="259" t="str">
        <f>IF(COUNTIF(AD$78:AD1044,AD1044)=1,MAX(AC$78:AC1043)+1,"")</f>
        <v/>
      </c>
      <c r="AD1044" s="220">
        <f>'[2]Изложницы без бурта'!B1044</f>
        <v>420</v>
      </c>
      <c r="AE1044" s="220">
        <f>'[2]Изложницы без бурта'!C1044</f>
        <v>300</v>
      </c>
      <c r="AF1044" s="56">
        <f>'[2]Изложницы без бурта'!D1044</f>
        <v>520</v>
      </c>
      <c r="AG1044" s="56">
        <f>'[2]Изложницы без бурта'!E1044</f>
        <v>400</v>
      </c>
      <c r="AH1044" s="56" t="str">
        <f>'[2]Изложницы без бурта'!F1044</f>
        <v>72.37421 - 1</v>
      </c>
      <c r="AI1044" s="56">
        <f>'[2]Изложницы без бурта'!G1044</f>
        <v>0</v>
      </c>
      <c r="AJ1044" s="56">
        <f>'[2]Изложницы без бурта'!H1044</f>
        <v>0</v>
      </c>
      <c r="AK1044" s="56">
        <f>'[2]Изложницы без бурта'!I1044</f>
        <v>0</v>
      </c>
      <c r="AL1044" s="56" t="s">
        <v>705</v>
      </c>
      <c r="AM1044" s="56">
        <f>'[2]Изложницы без бурта'!K1044</f>
        <v>0</v>
      </c>
    </row>
    <row r="1045" spans="28:39" x14ac:dyDescent="0.25">
      <c r="AB1045" s="258" t="str">
        <f t="shared" si="26"/>
        <v/>
      </c>
      <c r="AC1045" s="259" t="str">
        <f>IF(COUNTIF(AD$78:AD1045,AD1045)=1,MAX(AC$78:AC1044)+1,"")</f>
        <v/>
      </c>
      <c r="AD1045" s="220">
        <f>'[2]Изложницы без бурта'!B1045</f>
        <v>420</v>
      </c>
      <c r="AE1045" s="220">
        <f>'[2]Изложницы без бурта'!C1045</f>
        <v>245</v>
      </c>
      <c r="AF1045" s="56">
        <f>'[2]Изложницы без бурта'!D1045</f>
        <v>500</v>
      </c>
      <c r="AG1045" s="56">
        <f>'[2]Изложницы без бурта'!E1045</f>
        <v>400</v>
      </c>
      <c r="AH1045" s="56" t="str">
        <f>'[2]Изложницы без бурта'!F1045</f>
        <v>72.48041 - 2</v>
      </c>
      <c r="AI1045" s="56">
        <f>'[2]Изложницы без бурта'!G1045</f>
        <v>0</v>
      </c>
      <c r="AJ1045" s="56">
        <f>'[2]Изложницы без бурта'!H1045</f>
        <v>0</v>
      </c>
      <c r="AK1045" s="56">
        <f>'[2]Изложницы без бурта'!I1045</f>
        <v>0</v>
      </c>
      <c r="AL1045" s="56" t="s">
        <v>705</v>
      </c>
      <c r="AM1045" s="56">
        <f>'[2]Изложницы без бурта'!K1045</f>
        <v>0</v>
      </c>
    </row>
    <row r="1046" spans="28:39" x14ac:dyDescent="0.25">
      <c r="AB1046" s="258" t="str">
        <f t="shared" si="26"/>
        <v/>
      </c>
      <c r="AC1046" s="259" t="str">
        <f>IF(COUNTIF(AD$78:AD1046,AD1046)=1,MAX(AC$78:AC1045)+1,"")</f>
        <v/>
      </c>
      <c r="AD1046" s="220">
        <f>'[2]Изложницы без бурта'!B1046</f>
        <v>420</v>
      </c>
      <c r="AE1046" s="220">
        <f>'[2]Изложницы без бурта'!C1046</f>
        <v>257</v>
      </c>
      <c r="AF1046" s="56">
        <f>'[2]Изложницы без бурта'!D1046</f>
        <v>500</v>
      </c>
      <c r="AG1046" s="56">
        <f>'[2]Изложницы без бурта'!E1046</f>
        <v>400</v>
      </c>
      <c r="AH1046" s="56" t="str">
        <f>'[2]Изложницы без бурта'!F1046</f>
        <v>72.48041 - 2</v>
      </c>
      <c r="AI1046" s="56">
        <f>'[2]Изложницы без бурта'!G1046</f>
        <v>0</v>
      </c>
      <c r="AJ1046" s="56">
        <f>'[2]Изложницы без бурта'!H1046</f>
        <v>0</v>
      </c>
      <c r="AK1046" s="56">
        <f>'[2]Изложницы без бурта'!I1046</f>
        <v>0</v>
      </c>
      <c r="AL1046" s="56" t="s">
        <v>705</v>
      </c>
      <c r="AM1046" s="56">
        <f>'[2]Изложницы без бурта'!K1046</f>
        <v>0</v>
      </c>
    </row>
    <row r="1047" spans="28:39" x14ac:dyDescent="0.25">
      <c r="AB1047" s="258" t="str">
        <f t="shared" si="26"/>
        <v/>
      </c>
      <c r="AC1047" s="259" t="str">
        <f>IF(COUNTIF(AD$78:AD1047,AD1047)=1,MAX(AC$78:AC1046)+1,"")</f>
        <v/>
      </c>
      <c r="AD1047" s="220">
        <f>'[2]Изложницы без бурта'!B1047</f>
        <v>420</v>
      </c>
      <c r="AE1047" s="220">
        <f>'[2]Изложницы без бурта'!C1047</f>
        <v>300</v>
      </c>
      <c r="AF1047" s="56">
        <f>'[2]Изложницы без бурта'!D1047</f>
        <v>520</v>
      </c>
      <c r="AG1047" s="56">
        <f>'[2]Изложницы без бурта'!E1047</f>
        <v>400</v>
      </c>
      <c r="AH1047" s="56" t="str">
        <f>'[2]Изложницы без бурта'!F1047</f>
        <v>72.37421 - 1</v>
      </c>
      <c r="AI1047" s="56">
        <f>'[2]Изложницы без бурта'!G1047</f>
        <v>0</v>
      </c>
      <c r="AJ1047" s="56">
        <f>'[2]Изложницы без бурта'!H1047</f>
        <v>0</v>
      </c>
      <c r="AK1047" s="56">
        <f>'[2]Изложницы без бурта'!I1047</f>
        <v>0</v>
      </c>
      <c r="AL1047" s="56" t="s">
        <v>705</v>
      </c>
      <c r="AM1047" s="56">
        <f>'[2]Изложницы без бурта'!K1047</f>
        <v>0</v>
      </c>
    </row>
    <row r="1048" spans="28:39" x14ac:dyDescent="0.25">
      <c r="AB1048" s="258" t="str">
        <f t="shared" si="26"/>
        <v/>
      </c>
      <c r="AC1048" s="259">
        <f>IF(COUNTIF(AD$78:AD1048,AD1048)=1,MAX(AC$78:AC1047)+1,"")</f>
        <v>122</v>
      </c>
      <c r="AD1048" s="220">
        <f>'[2]Изложницы без бурта'!B1048</f>
        <v>425</v>
      </c>
      <c r="AE1048" s="220">
        <f>'[2]Изложницы без бурта'!C1048</f>
        <v>333</v>
      </c>
      <c r="AF1048" s="56">
        <f>'[2]Изложницы без бурта'!D1048</f>
        <v>520</v>
      </c>
      <c r="AG1048" s="56">
        <f>'[2]Изложницы без бурта'!E1048</f>
        <v>400</v>
      </c>
      <c r="AH1048" s="56" t="str">
        <f>'[2]Изложницы без бурта'!F1048</f>
        <v>72.45826 - 1</v>
      </c>
      <c r="AI1048" s="56">
        <f>'[2]Изложницы без бурта'!G1048</f>
        <v>0</v>
      </c>
      <c r="AJ1048" s="56">
        <f>'[2]Изложницы без бурта'!H1048</f>
        <v>0</v>
      </c>
      <c r="AK1048" s="56">
        <f>'[2]Изложницы без бурта'!I1048</f>
        <v>0</v>
      </c>
      <c r="AL1048" s="56" t="s">
        <v>706</v>
      </c>
      <c r="AM1048" s="56">
        <f>'[2]Изложницы без бурта'!K1048</f>
        <v>0</v>
      </c>
    </row>
    <row r="1049" spans="28:39" x14ac:dyDescent="0.25">
      <c r="AB1049" s="258" t="str">
        <f t="shared" si="26"/>
        <v/>
      </c>
      <c r="AC1049" s="259" t="str">
        <f>IF(COUNTIF(AD$78:AD1049,AD1049)=1,MAX(AC$78:AC1048)+1,"")</f>
        <v/>
      </c>
      <c r="AD1049" s="220">
        <f>'[2]Изложницы без бурта'!B1049</f>
        <v>425</v>
      </c>
      <c r="AE1049" s="220">
        <f>'[2]Изложницы без бурта'!C1049</f>
        <v>335</v>
      </c>
      <c r="AF1049" s="56">
        <f>'[2]Изложницы без бурта'!D1049</f>
        <v>520</v>
      </c>
      <c r="AG1049" s="56">
        <f>'[2]Изложницы без бурта'!E1049</f>
        <v>400</v>
      </c>
      <c r="AH1049" s="56" t="str">
        <f>'[2]Изложницы без бурта'!F1049</f>
        <v>72.45826 - 1</v>
      </c>
      <c r="AI1049" s="56">
        <f>'[2]Изложницы без бурта'!G1049</f>
        <v>0</v>
      </c>
      <c r="AJ1049" s="56">
        <f>'[2]Изложницы без бурта'!H1049</f>
        <v>0</v>
      </c>
      <c r="AK1049" s="56">
        <f>'[2]Изложницы без бурта'!I1049</f>
        <v>0</v>
      </c>
      <c r="AL1049" s="56" t="s">
        <v>706</v>
      </c>
      <c r="AM1049" s="56">
        <f>'[2]Изложницы без бурта'!K1049</f>
        <v>0</v>
      </c>
    </row>
    <row r="1050" spans="28:39" x14ac:dyDescent="0.25">
      <c r="AB1050" s="258" t="str">
        <f t="shared" si="26"/>
        <v/>
      </c>
      <c r="AC1050" s="259">
        <f>IF(COUNTIF(AD$78:AD1050,AD1050)=1,MAX(AC$78:AC1049)+1,"")</f>
        <v>123</v>
      </c>
      <c r="AD1050" s="220">
        <f>'[2]Изложницы без бурта'!B1050</f>
        <v>427.5</v>
      </c>
      <c r="AE1050" s="220">
        <f>'[2]Изложницы без бурта'!C1050</f>
        <v>335</v>
      </c>
      <c r="AF1050" s="56">
        <f>'[2]Изложницы без бурта'!D1050</f>
        <v>520</v>
      </c>
      <c r="AG1050" s="56">
        <f>'[2]Изложницы без бурта'!E1050</f>
        <v>400</v>
      </c>
      <c r="AH1050" s="56" t="str">
        <f>'[2]Изложницы без бурта'!F1050</f>
        <v>72.45826 - 2</v>
      </c>
      <c r="AI1050" s="56">
        <f>'[2]Изложницы без бурта'!G1050</f>
        <v>0</v>
      </c>
      <c r="AJ1050" s="56">
        <f>'[2]Изложницы без бурта'!H1050</f>
        <v>0</v>
      </c>
      <c r="AK1050" s="56">
        <f>'[2]Изложницы без бурта'!I1050</f>
        <v>0</v>
      </c>
      <c r="AL1050" s="56" t="s">
        <v>707</v>
      </c>
      <c r="AM1050" s="56">
        <f>'[2]Изложницы без бурта'!K1050</f>
        <v>0</v>
      </c>
    </row>
    <row r="1051" spans="28:39" x14ac:dyDescent="0.25">
      <c r="AB1051" s="258" t="str">
        <f t="shared" si="26"/>
        <v/>
      </c>
      <c r="AC1051" s="259" t="str">
        <f>IF(COUNTIF(AD$78:AD1051,AD1051)=1,MAX(AC$78:AC1050)+1,"")</f>
        <v/>
      </c>
      <c r="AD1051" s="220">
        <f>'[2]Изложницы без бурта'!B1051</f>
        <v>427.5</v>
      </c>
      <c r="AE1051" s="220">
        <f>'[2]Изложницы без бурта'!C1051</f>
        <v>505</v>
      </c>
      <c r="AF1051" s="56">
        <f>'[2]Изложницы без бурта'!D1051</f>
        <v>520</v>
      </c>
      <c r="AG1051" s="56">
        <f>'[2]Изложницы без бурта'!E1051</f>
        <v>400</v>
      </c>
      <c r="AH1051" s="56" t="str">
        <f>'[2]Изложницы без бурта'!F1051</f>
        <v>10.245114 - 1</v>
      </c>
      <c r="AI1051" s="56">
        <f>'[2]Изложницы без бурта'!G1051</f>
        <v>0</v>
      </c>
      <c r="AJ1051" s="56">
        <f>'[2]Изложницы без бурта'!H1051</f>
        <v>0</v>
      </c>
      <c r="AK1051" s="56">
        <f>'[2]Изложницы без бурта'!I1051</f>
        <v>0</v>
      </c>
      <c r="AL1051" s="56" t="s">
        <v>707</v>
      </c>
      <c r="AM1051" s="56">
        <f>'[2]Изложницы без бурта'!K1051</f>
        <v>0</v>
      </c>
    </row>
    <row r="1052" spans="28:39" x14ac:dyDescent="0.25">
      <c r="AB1052" s="258" t="str">
        <f t="shared" si="26"/>
        <v/>
      </c>
      <c r="AC1052" s="259">
        <f>IF(COUNTIF(AD$78:AD1052,AD1052)=1,MAX(AC$78:AC1051)+1,"")</f>
        <v>124</v>
      </c>
      <c r="AD1052" s="220">
        <f>'[2]Изложницы без бурта'!B1052</f>
        <v>430</v>
      </c>
      <c r="AE1052" s="220">
        <f>'[2]Изложницы без бурта'!C1052</f>
        <v>180</v>
      </c>
      <c r="AF1052" s="56">
        <f>'[2]Изложницы без бурта'!D1052</f>
        <v>520</v>
      </c>
      <c r="AG1052" s="56">
        <f>'[2]Изложницы без бурта'!E1052</f>
        <v>400</v>
      </c>
      <c r="AH1052" s="56" t="str">
        <f>'[2]Изложницы без бурта'!F1052</f>
        <v>72.42346 - 2</v>
      </c>
      <c r="AI1052" s="56">
        <f>'[2]Изложницы без бурта'!G1052</f>
        <v>0</v>
      </c>
      <c r="AJ1052" s="56">
        <f>'[2]Изложницы без бурта'!H1052</f>
        <v>0</v>
      </c>
      <c r="AK1052" s="56">
        <f>'[2]Изложницы без бурта'!I1052</f>
        <v>0</v>
      </c>
      <c r="AL1052" s="56" t="s">
        <v>708</v>
      </c>
      <c r="AM1052" s="56">
        <f>'[2]Изложницы без бурта'!K1052</f>
        <v>0</v>
      </c>
    </row>
    <row r="1053" spans="28:39" x14ac:dyDescent="0.25">
      <c r="AB1053" s="258" t="str">
        <f t="shared" si="26"/>
        <v/>
      </c>
      <c r="AC1053" s="259" t="str">
        <f>IF(COUNTIF(AD$78:AD1053,AD1053)=1,MAX(AC$78:AC1052)+1,"")</f>
        <v/>
      </c>
      <c r="AD1053" s="220">
        <f>'[2]Изложницы без бурта'!B1053</f>
        <v>430</v>
      </c>
      <c r="AE1053" s="220">
        <f>'[2]Изложницы без бурта'!C1053</f>
        <v>550</v>
      </c>
      <c r="AF1053" s="56">
        <f>'[2]Изложницы без бурта'!D1053</f>
        <v>550</v>
      </c>
      <c r="AG1053" s="56">
        <f>'[2]Изложницы без бурта'!E1053</f>
        <v>400</v>
      </c>
      <c r="AH1053" s="56" t="str">
        <f>'[2]Изложницы без бурта'!F1053</f>
        <v>72.47252 - 01</v>
      </c>
      <c r="AI1053" s="56">
        <f>'[2]Изложницы без бурта'!G1053</f>
        <v>7260084</v>
      </c>
      <c r="AJ1053" s="56">
        <f>'[2]Изложницы без бурта'!H1053</f>
        <v>0</v>
      </c>
      <c r="AK1053" s="56">
        <f>'[2]Изложницы без бурта'!I1053</f>
        <v>0</v>
      </c>
      <c r="AL1053" s="56" t="s">
        <v>708</v>
      </c>
      <c r="AM1053" s="56">
        <f>'[2]Изложницы без бурта'!K1053</f>
        <v>0</v>
      </c>
    </row>
    <row r="1054" spans="28:39" x14ac:dyDescent="0.25">
      <c r="AB1054" s="258" t="str">
        <f t="shared" si="26"/>
        <v/>
      </c>
      <c r="AC1054" s="259" t="str">
        <f>IF(COUNTIF(AD$78:AD1054,AD1054)=1,MAX(AC$78:AC1053)+1,"")</f>
        <v/>
      </c>
      <c r="AD1054" s="220">
        <f>'[2]Изложницы без бурта'!B1054</f>
        <v>430</v>
      </c>
      <c r="AE1054" s="220">
        <f>'[2]Изложницы без бурта'!C1054</f>
        <v>612</v>
      </c>
      <c r="AF1054" s="56">
        <f>'[2]Изложницы без бурта'!D1054</f>
        <v>500</v>
      </c>
      <c r="AG1054" s="56">
        <f>'[2]Изложницы без бурта'!E1054</f>
        <v>400</v>
      </c>
      <c r="AH1054" s="56" t="str">
        <f>'[2]Изложницы без бурта'!F1054</f>
        <v>10.254085 - 01</v>
      </c>
      <c r="AI1054" s="56">
        <f>'[2]Изложницы без бурта'!G1054</f>
        <v>7260085</v>
      </c>
      <c r="AJ1054" s="56">
        <f>'[2]Изложницы без бурта'!H1054</f>
        <v>0</v>
      </c>
      <c r="AK1054" s="56">
        <f>'[2]Изложницы без бурта'!I1054</f>
        <v>0</v>
      </c>
      <c r="AL1054" s="56" t="s">
        <v>708</v>
      </c>
      <c r="AM1054" s="56">
        <f>'[2]Изложницы без бурта'!K1054</f>
        <v>0</v>
      </c>
    </row>
    <row r="1055" spans="28:39" x14ac:dyDescent="0.25">
      <c r="AB1055" s="258" t="str">
        <f t="shared" si="26"/>
        <v/>
      </c>
      <c r="AC1055" s="259">
        <f>IF(COUNTIF(AD$78:AD1055,AD1055)=1,MAX(AC$78:AC1054)+1,"")</f>
        <v>125</v>
      </c>
      <c r="AD1055" s="220">
        <f>'[2]Изложницы без бурта'!B1055</f>
        <v>432.5</v>
      </c>
      <c r="AE1055" s="220">
        <f>'[2]Изложницы без бурта'!C1055</f>
        <v>510</v>
      </c>
      <c r="AF1055" s="56">
        <f>'[2]Изложницы без бурта'!D1055</f>
        <v>520</v>
      </c>
      <c r="AG1055" s="56">
        <f>'[2]Изложницы без бурта'!E1055</f>
        <v>400</v>
      </c>
      <c r="AH1055" s="56" t="str">
        <f>'[2]Изложницы без бурта'!F1055</f>
        <v>10.247097 - 1</v>
      </c>
      <c r="AI1055" s="56">
        <f>'[2]Изложницы без бурта'!G1055</f>
        <v>0</v>
      </c>
      <c r="AJ1055" s="56">
        <f>'[2]Изложницы без бурта'!H1055</f>
        <v>0</v>
      </c>
      <c r="AK1055" s="56">
        <f>'[2]Изложницы без бурта'!I1055</f>
        <v>0</v>
      </c>
      <c r="AL1055" s="56" t="s">
        <v>709</v>
      </c>
      <c r="AM1055" s="56">
        <f>'[2]Изложницы без бурта'!K1055</f>
        <v>0</v>
      </c>
    </row>
    <row r="1056" spans="28:39" x14ac:dyDescent="0.25">
      <c r="AB1056" s="258" t="str">
        <f t="shared" si="26"/>
        <v/>
      </c>
      <c r="AC1056" s="259">
        <f>IF(COUNTIF(AD$78:AD1056,AD1056)=1,MAX(AC$78:AC1055)+1,"")</f>
        <v>126</v>
      </c>
      <c r="AD1056" s="220">
        <f>'[2]Изложницы без бурта'!B1056</f>
        <v>440</v>
      </c>
      <c r="AE1056" s="220">
        <f>'[2]Изложницы без бурта'!C1056</f>
        <v>255</v>
      </c>
      <c r="AF1056" s="56">
        <f>'[2]Изложницы без бурта'!D1056</f>
        <v>550</v>
      </c>
      <c r="AG1056" s="56">
        <f>'[2]Изложницы без бурта'!E1056</f>
        <v>400</v>
      </c>
      <c r="AH1056" s="56" t="str">
        <f>'[2]Изложницы без бурта'!F1056</f>
        <v>10.540085 - 1</v>
      </c>
      <c r="AI1056" s="56">
        <f>'[2]Изложницы без бурта'!G1056</f>
        <v>0</v>
      </c>
      <c r="AJ1056" s="56">
        <f>'[2]Изложницы без бурта'!H1056</f>
        <v>0</v>
      </c>
      <c r="AK1056" s="56">
        <f>'[2]Изложницы без бурта'!I1056</f>
        <v>0</v>
      </c>
      <c r="AL1056" s="56" t="s">
        <v>710</v>
      </c>
      <c r="AM1056" s="56">
        <f>'[2]Изложницы без бурта'!K1056</f>
        <v>0</v>
      </c>
    </row>
    <row r="1057" spans="28:39" x14ac:dyDescent="0.25">
      <c r="AB1057" s="258" t="str">
        <f t="shared" si="26"/>
        <v/>
      </c>
      <c r="AC1057" s="259" t="str">
        <f>IF(COUNTIF(AD$78:AD1057,AD1057)=1,MAX(AC$78:AC1056)+1,"")</f>
        <v/>
      </c>
      <c r="AD1057" s="220">
        <f>'[2]Изложницы без бурта'!B1057</f>
        <v>440</v>
      </c>
      <c r="AE1057" s="220">
        <f>'[2]Изложницы без бурта'!C1057</f>
        <v>265</v>
      </c>
      <c r="AF1057" s="56">
        <f>'[2]Изложницы без бурта'!D1057</f>
        <v>550</v>
      </c>
      <c r="AG1057" s="56">
        <f>'[2]Изложницы без бурта'!E1057</f>
        <v>400</v>
      </c>
      <c r="AH1057" s="56" t="str">
        <f>'[2]Изложницы без бурта'!F1057</f>
        <v>10.540085 - 1</v>
      </c>
      <c r="AI1057" s="56">
        <f>'[2]Изложницы без бурта'!G1057</f>
        <v>0</v>
      </c>
      <c r="AJ1057" s="56">
        <f>'[2]Изложницы без бурта'!H1057</f>
        <v>0</v>
      </c>
      <c r="AK1057" s="56">
        <f>'[2]Изложницы без бурта'!I1057</f>
        <v>0</v>
      </c>
      <c r="AL1057" s="56" t="s">
        <v>710</v>
      </c>
      <c r="AM1057" s="56">
        <f>'[2]Изложницы без бурта'!K1057</f>
        <v>0</v>
      </c>
    </row>
    <row r="1058" spans="28:39" x14ac:dyDescent="0.25">
      <c r="AB1058" s="258" t="str">
        <f t="shared" si="26"/>
        <v/>
      </c>
      <c r="AC1058" s="259" t="str">
        <f>IF(COUNTIF(AD$78:AD1058,AD1058)=1,MAX(AC$78:AC1057)+1,"")</f>
        <v/>
      </c>
      <c r="AD1058" s="220">
        <f>'[2]Изложницы без бурта'!B1058</f>
        <v>440</v>
      </c>
      <c r="AE1058" s="220">
        <f>'[2]Изложницы без бурта'!C1058</f>
        <v>513</v>
      </c>
      <c r="AF1058" s="56">
        <f>'[2]Изложницы без бурта'!D1058</f>
        <v>500</v>
      </c>
      <c r="AG1058" s="56">
        <f>'[2]Изложницы без бурта'!E1058</f>
        <v>400</v>
      </c>
      <c r="AH1058" s="56" t="str">
        <f>'[2]Изложницы без бурта'!F1058</f>
        <v>10.247097 - 3</v>
      </c>
      <c r="AI1058" s="56">
        <f>'[2]Изложницы без бурта'!G1058</f>
        <v>7260086</v>
      </c>
      <c r="AJ1058" s="56">
        <f>'[2]Изложницы без бурта'!H1058</f>
        <v>0</v>
      </c>
      <c r="AK1058" s="56">
        <f>'[2]Изложницы без бурта'!I1058</f>
        <v>0</v>
      </c>
      <c r="AL1058" s="56" t="s">
        <v>710</v>
      </c>
      <c r="AM1058" s="56">
        <f>'[2]Изложницы без бурта'!K1058</f>
        <v>0</v>
      </c>
    </row>
    <row r="1059" spans="28:39" x14ac:dyDescent="0.25">
      <c r="AB1059" s="258" t="str">
        <f t="shared" si="26"/>
        <v/>
      </c>
      <c r="AC1059" s="259" t="str">
        <f>IF(COUNTIF(AD$78:AD1059,AD1059)=1,MAX(AC$78:AC1058)+1,"")</f>
        <v/>
      </c>
      <c r="AD1059" s="220">
        <f>'[2]Изложницы без бурта'!B1059</f>
        <v>440</v>
      </c>
      <c r="AE1059" s="220">
        <f>'[2]Изложницы без бурта'!C1059</f>
        <v>512</v>
      </c>
      <c r="AF1059" s="56">
        <f>'[2]Изложницы без бурта'!D1059</f>
        <v>500</v>
      </c>
      <c r="AG1059" s="56">
        <f>'[2]Изложницы без бурта'!E1059</f>
        <v>400</v>
      </c>
      <c r="AH1059" s="56" t="str">
        <f>'[2]Изложницы без бурта'!F1059</f>
        <v>10.247097 - 3</v>
      </c>
      <c r="AI1059" s="56">
        <f>'[2]Изложницы без бурта'!G1059</f>
        <v>7260086</v>
      </c>
      <c r="AJ1059" s="56">
        <f>'[2]Изложницы без бурта'!H1059</f>
        <v>0</v>
      </c>
      <c r="AK1059" s="56">
        <f>'[2]Изложницы без бурта'!I1059</f>
        <v>0</v>
      </c>
      <c r="AL1059" s="56" t="s">
        <v>710</v>
      </c>
      <c r="AM1059" s="56">
        <f>'[2]Изложницы без бурта'!K1059</f>
        <v>0</v>
      </c>
    </row>
    <row r="1060" spans="28:39" x14ac:dyDescent="0.25">
      <c r="AB1060" s="258" t="str">
        <f t="shared" si="26"/>
        <v/>
      </c>
      <c r="AC1060" s="259" t="str">
        <f>IF(COUNTIF(AD$78:AD1060,AD1060)=1,MAX(AC$78:AC1059)+1,"")</f>
        <v/>
      </c>
      <c r="AD1060" s="220">
        <f>'[2]Изложницы без бурта'!B1060</f>
        <v>440</v>
      </c>
      <c r="AE1060" s="220">
        <f>'[2]Изложницы без бурта'!C1060</f>
        <v>505</v>
      </c>
      <c r="AF1060" s="56">
        <f>'[2]Изложницы без бурта'!D1060</f>
        <v>500</v>
      </c>
      <c r="AG1060" s="56">
        <f>'[2]Изложницы без бурта'!E1060</f>
        <v>400</v>
      </c>
      <c r="AH1060" s="56" t="str">
        <f>'[2]Изложницы без бурта'!F1060</f>
        <v>10.247097 - 1</v>
      </c>
      <c r="AI1060" s="56">
        <f>'[2]Изложницы без бурта'!G1060</f>
        <v>7260086</v>
      </c>
      <c r="AJ1060" s="56">
        <f>'[2]Изложницы без бурта'!H1060</f>
        <v>0</v>
      </c>
      <c r="AK1060" s="56">
        <f>'[2]Изложницы без бурта'!I1060</f>
        <v>0</v>
      </c>
      <c r="AL1060" s="56" t="s">
        <v>710</v>
      </c>
      <c r="AM1060" s="56">
        <f>'[2]Изложницы без бурта'!K1060</f>
        <v>0</v>
      </c>
    </row>
    <row r="1061" spans="28:39" x14ac:dyDescent="0.25">
      <c r="AB1061" s="258" t="str">
        <f t="shared" si="26"/>
        <v/>
      </c>
      <c r="AC1061" s="259">
        <f>IF(COUNTIF(AD$78:AD1061,AD1061)=1,MAX(AC$78:AC1060)+1,"")</f>
        <v>127</v>
      </c>
      <c r="AD1061" s="220">
        <f>'[2]Изложницы без бурта'!B1061</f>
        <v>442.5</v>
      </c>
      <c r="AE1061" s="220">
        <f>'[2]Изложницы без бурта'!C1061</f>
        <v>160</v>
      </c>
      <c r="AF1061" s="56">
        <f>'[2]Изложницы без бурта'!D1061</f>
        <v>520</v>
      </c>
      <c r="AG1061" s="56">
        <f>'[2]Изложницы без бурта'!E1061</f>
        <v>400</v>
      </c>
      <c r="AH1061" s="56" t="str">
        <f>'[2]Изложницы без бурта'!F1061</f>
        <v>72.471147 - 2</v>
      </c>
      <c r="AI1061" s="56">
        <f>'[2]Изложницы без бурта'!G1061</f>
        <v>0</v>
      </c>
      <c r="AJ1061" s="56">
        <f>'[2]Изложницы без бурта'!H1061</f>
        <v>0</v>
      </c>
      <c r="AK1061" s="56">
        <f>'[2]Изложницы без бурта'!I1061</f>
        <v>0</v>
      </c>
      <c r="AL1061" s="56" t="s">
        <v>711</v>
      </c>
      <c r="AM1061" s="56">
        <f>'[2]Изложницы без бурта'!K1061</f>
        <v>0</v>
      </c>
    </row>
    <row r="1062" spans="28:39" x14ac:dyDescent="0.25">
      <c r="AB1062" s="258" t="str">
        <f t="shared" si="26"/>
        <v/>
      </c>
      <c r="AC1062" s="259" t="str">
        <f>IF(COUNTIF(AD$78:AD1062,AD1062)=1,MAX(AC$78:AC1061)+1,"")</f>
        <v/>
      </c>
      <c r="AD1062" s="220">
        <f>'[2]Изложницы без бурта'!B1062</f>
        <v>442.5</v>
      </c>
      <c r="AE1062" s="220">
        <f>'[2]Изложницы без бурта'!C1062</f>
        <v>355</v>
      </c>
      <c r="AF1062" s="56">
        <f>'[2]Изложницы без бурта'!D1062</f>
        <v>520</v>
      </c>
      <c r="AG1062" s="56">
        <f>'[2]Изложницы без бурта'!E1062</f>
        <v>400</v>
      </c>
      <c r="AH1062" s="56" t="str">
        <f>'[2]Изложницы без бурта'!F1062</f>
        <v>72.47730 - 1</v>
      </c>
      <c r="AI1062" s="56">
        <f>'[2]Изложницы без бурта'!G1062</f>
        <v>0</v>
      </c>
      <c r="AJ1062" s="56">
        <f>'[2]Изложницы без бурта'!H1062</f>
        <v>0</v>
      </c>
      <c r="AK1062" s="56">
        <f>'[2]Изложницы без бурта'!I1062</f>
        <v>0</v>
      </c>
      <c r="AL1062" s="56" t="s">
        <v>711</v>
      </c>
      <c r="AM1062" s="56">
        <f>'[2]Изложницы без бурта'!K1062</f>
        <v>0</v>
      </c>
    </row>
    <row r="1063" spans="28:39" x14ac:dyDescent="0.25">
      <c r="AB1063" s="258" t="str">
        <f t="shared" si="26"/>
        <v/>
      </c>
      <c r="AC1063" s="259">
        <f>IF(COUNTIF(AD$78:AD1063,AD1063)=1,MAX(AC$78:AC1062)+1,"")</f>
        <v>128</v>
      </c>
      <c r="AD1063" s="220">
        <f>'[2]Изложницы без бурта'!B1063</f>
        <v>445</v>
      </c>
      <c r="AE1063" s="220">
        <f>'[2]Изложницы без бурта'!C1063</f>
        <v>160</v>
      </c>
      <c r="AF1063" s="56">
        <f>'[2]Изложницы без бурта'!D1063</f>
        <v>520</v>
      </c>
      <c r="AG1063" s="56">
        <f>'[2]Изложницы без бурта'!E1063</f>
        <v>400</v>
      </c>
      <c r="AH1063" s="56" t="str">
        <f>'[2]Изложницы без бурта'!F1063</f>
        <v>72.471147 - 3</v>
      </c>
      <c r="AI1063" s="56">
        <f>'[2]Изложницы без бурта'!G1063</f>
        <v>0</v>
      </c>
      <c r="AJ1063" s="56">
        <f>'[2]Изложницы без бурта'!H1063</f>
        <v>0</v>
      </c>
      <c r="AK1063" s="56">
        <f>'[2]Изложницы без бурта'!I1063</f>
        <v>0</v>
      </c>
      <c r="AL1063" s="56" t="s">
        <v>712</v>
      </c>
      <c r="AM1063" s="56">
        <f>'[2]Изложницы без бурта'!K1063</f>
        <v>0</v>
      </c>
    </row>
    <row r="1064" spans="28:39" x14ac:dyDescent="0.25">
      <c r="AB1064" s="258" t="str">
        <f t="shared" si="26"/>
        <v/>
      </c>
      <c r="AC1064" s="259" t="str">
        <f>IF(COUNTIF(AD$78:AD1064,AD1064)=1,MAX(AC$78:AC1063)+1,"")</f>
        <v/>
      </c>
      <c r="AD1064" s="220">
        <f>'[2]Изложницы без бурта'!B1064</f>
        <v>445</v>
      </c>
      <c r="AE1064" s="220">
        <f>'[2]Изложницы без бурта'!C1064</f>
        <v>160</v>
      </c>
      <c r="AF1064" s="56">
        <f>'[2]Изложницы без бурта'!D1064</f>
        <v>520</v>
      </c>
      <c r="AG1064" s="56">
        <f>'[2]Изложницы без бурта'!E1064</f>
        <v>400</v>
      </c>
      <c r="AH1064" s="56" t="str">
        <f>'[2]Изложницы без бурта'!F1064</f>
        <v>72.471147 - 3</v>
      </c>
      <c r="AI1064" s="56">
        <f>'[2]Изложницы без бурта'!G1064</f>
        <v>0</v>
      </c>
      <c r="AJ1064" s="56">
        <f>'[2]Изложницы без бурта'!H1064</f>
        <v>0</v>
      </c>
      <c r="AK1064" s="56">
        <f>'[2]Изложницы без бурта'!I1064</f>
        <v>0</v>
      </c>
      <c r="AL1064" s="56" t="s">
        <v>712</v>
      </c>
      <c r="AM1064" s="56">
        <f>'[2]Изложницы без бурта'!K1064</f>
        <v>0</v>
      </c>
    </row>
    <row r="1065" spans="28:39" x14ac:dyDescent="0.25">
      <c r="AB1065" s="258" t="str">
        <f t="shared" si="26"/>
        <v/>
      </c>
      <c r="AC1065" s="259" t="str">
        <f>IF(COUNTIF(AD$78:AD1065,AD1065)=1,MAX(AC$78:AC1064)+1,"")</f>
        <v/>
      </c>
      <c r="AD1065" s="220">
        <f>'[2]Изложницы без бурта'!B1065</f>
        <v>445</v>
      </c>
      <c r="AE1065" s="220">
        <f>'[2]Изложницы без бурта'!C1065</f>
        <v>160</v>
      </c>
      <c r="AF1065" s="56">
        <f>'[2]Изложницы без бурта'!D1065</f>
        <v>520</v>
      </c>
      <c r="AG1065" s="56">
        <f>'[2]Изложницы без бурта'!E1065</f>
        <v>400</v>
      </c>
      <c r="AH1065" s="56" t="str">
        <f>'[2]Изложницы без бурта'!F1065</f>
        <v>72.471147 - 3</v>
      </c>
      <c r="AI1065" s="56">
        <f>'[2]Изложницы без бурта'!G1065</f>
        <v>0</v>
      </c>
      <c r="AJ1065" s="56">
        <f>'[2]Изложницы без бурта'!H1065</f>
        <v>0</v>
      </c>
      <c r="AK1065" s="56">
        <f>'[2]Изложницы без бурта'!I1065</f>
        <v>0</v>
      </c>
      <c r="AL1065" s="56" t="s">
        <v>712</v>
      </c>
      <c r="AM1065" s="56">
        <f>'[2]Изложницы без бурта'!K1065</f>
        <v>0</v>
      </c>
    </row>
    <row r="1066" spans="28:39" x14ac:dyDescent="0.25">
      <c r="AB1066" s="258" t="str">
        <f t="shared" si="26"/>
        <v/>
      </c>
      <c r="AC1066" s="259" t="str">
        <f>IF(COUNTIF(AD$78:AD1066,AD1066)=1,MAX(AC$78:AC1065)+1,"")</f>
        <v/>
      </c>
      <c r="AD1066" s="220">
        <f>'[2]Изложницы без бурта'!B1066</f>
        <v>445</v>
      </c>
      <c r="AE1066" s="220">
        <f>'[2]Изложницы без бурта'!C1066</f>
        <v>160</v>
      </c>
      <c r="AF1066" s="56">
        <f>'[2]Изложницы без бурта'!D1066</f>
        <v>520</v>
      </c>
      <c r="AG1066" s="56">
        <f>'[2]Изложницы без бурта'!E1066</f>
        <v>400</v>
      </c>
      <c r="AH1066" s="56" t="str">
        <f>'[2]Изложницы без бурта'!F1066</f>
        <v>72.471147 - 3</v>
      </c>
      <c r="AI1066" s="56">
        <f>'[2]Изложницы без бурта'!G1066</f>
        <v>0</v>
      </c>
      <c r="AJ1066" s="56">
        <f>'[2]Изложницы без бурта'!H1066</f>
        <v>0</v>
      </c>
      <c r="AK1066" s="56">
        <f>'[2]Изложницы без бурта'!I1066</f>
        <v>0</v>
      </c>
      <c r="AL1066" s="56" t="s">
        <v>712</v>
      </c>
      <c r="AM1066" s="56">
        <f>'[2]Изложницы без бурта'!K1066</f>
        <v>0</v>
      </c>
    </row>
    <row r="1067" spans="28:39" x14ac:dyDescent="0.25">
      <c r="AB1067" s="258" t="str">
        <f t="shared" si="26"/>
        <v/>
      </c>
      <c r="AC1067" s="259" t="str">
        <f>IF(COUNTIF(AD$78:AD1067,AD1067)=1,MAX(AC$78:AC1066)+1,"")</f>
        <v/>
      </c>
      <c r="AD1067" s="220">
        <f>'[2]Изложницы без бурта'!B1067</f>
        <v>445</v>
      </c>
      <c r="AE1067" s="220">
        <f>'[2]Изложницы без бурта'!C1067</f>
        <v>1140</v>
      </c>
      <c r="AF1067" s="56" t="str">
        <f>'[2]Изложницы без бурта'!D1067</f>
        <v>530 (индивидуально)</v>
      </c>
      <c r="AG1067" s="56" t="str">
        <f>'[2]Изложницы без бурта'!E1067</f>
        <v>300 (17 машина)</v>
      </c>
      <c r="AH1067" s="56">
        <f>'[2]Изложницы без бурта'!F1067</f>
        <v>0</v>
      </c>
      <c r="AI1067" s="56" t="str">
        <f>'[2]Изложницы без бурта'!G1067</f>
        <v>800÷900 об/мин</v>
      </c>
      <c r="AJ1067" s="56" t="str">
        <f>'[2]Изложницы без бурта'!H1067</f>
        <v>з/к черт.34.20220210-002 (фзал=300)</v>
      </c>
      <c r="AK1067" s="56">
        <f>'[2]Изложницы без бурта'!I1067</f>
        <v>0</v>
      </c>
      <c r="AL1067" s="56" t="e">
        <v>#N/A</v>
      </c>
      <c r="AM1067" s="56">
        <f>'[2]Изложницы без бурта'!K1067</f>
        <v>0</v>
      </c>
    </row>
    <row r="1068" spans="28:39" x14ac:dyDescent="0.25">
      <c r="AB1068" s="258" t="str">
        <f t="shared" si="26"/>
        <v/>
      </c>
      <c r="AC1068" s="259">
        <f>IF(COUNTIF(AD$78:AD1068,AD1068)=1,MAX(AC$78:AC1067)+1,"")</f>
        <v>129</v>
      </c>
      <c r="AD1068" s="220">
        <f>'[2]Изложницы без бурта'!B1068</f>
        <v>447.5</v>
      </c>
      <c r="AE1068" s="220">
        <f>'[2]Изложницы без бурта'!C1068</f>
        <v>160</v>
      </c>
      <c r="AF1068" s="56">
        <f>'[2]Изложницы без бурта'!D1068</f>
        <v>520</v>
      </c>
      <c r="AG1068" s="56">
        <f>'[2]Изложницы без бурта'!E1068</f>
        <v>400</v>
      </c>
      <c r="AH1068" s="56" t="str">
        <f>'[2]Изложницы без бурта'!F1068</f>
        <v>72.471147 - 4</v>
      </c>
      <c r="AI1068" s="56">
        <f>'[2]Изложницы без бурта'!G1068</f>
        <v>0</v>
      </c>
      <c r="AJ1068" s="56">
        <f>'[2]Изложницы без бурта'!H1068</f>
        <v>0</v>
      </c>
      <c r="AK1068" s="56">
        <f>'[2]Изложницы без бурта'!I1068</f>
        <v>0</v>
      </c>
      <c r="AL1068" s="56" t="s">
        <v>713</v>
      </c>
      <c r="AM1068" s="56">
        <f>'[2]Изложницы без бурта'!K1068</f>
        <v>0</v>
      </c>
    </row>
    <row r="1069" spans="28:39" x14ac:dyDescent="0.25">
      <c r="AB1069" s="258" t="str">
        <f t="shared" si="26"/>
        <v/>
      </c>
      <c r="AC1069" s="259">
        <f>IF(COUNTIF(AD$78:AD1069,AD1069)=1,MAX(AC$78:AC1068)+1,"")</f>
        <v>130</v>
      </c>
      <c r="AD1069" s="220">
        <f>'[2]Изложницы без бурта'!B1069</f>
        <v>457.5</v>
      </c>
      <c r="AE1069" s="220">
        <f>'[2]Изложницы без бурта'!C1069</f>
        <v>540</v>
      </c>
      <c r="AF1069" s="56">
        <f>'[2]Изложницы без бурта'!D1069</f>
        <v>520</v>
      </c>
      <c r="AG1069" s="56">
        <f>'[2]Изложницы без бурта'!E1069</f>
        <v>400</v>
      </c>
      <c r="AH1069" s="56" t="str">
        <f>'[2]Изложницы без бурта'!F1069</f>
        <v>10.256050 - 11</v>
      </c>
      <c r="AI1069" s="56">
        <f>'[2]Изложницы без бурта'!G1069</f>
        <v>0</v>
      </c>
      <c r="AJ1069" s="56" t="str">
        <f>'[2]Изложницы без бурта'!H1069</f>
        <v xml:space="preserve"> с днищем</v>
      </c>
      <c r="AK1069" s="56">
        <f>'[2]Изложницы без бурта'!I1069</f>
        <v>0</v>
      </c>
      <c r="AL1069" s="56" t="s">
        <v>714</v>
      </c>
      <c r="AM1069" s="56">
        <f>'[2]Изложницы без бурта'!K1069</f>
        <v>0</v>
      </c>
    </row>
    <row r="1070" spans="28:39" x14ac:dyDescent="0.25">
      <c r="AB1070" s="258" t="str">
        <f t="shared" si="26"/>
        <v/>
      </c>
      <c r="AC1070" s="259">
        <f>IF(COUNTIF(AD$78:AD1070,AD1070)=1,MAX(AC$78:AC1069)+1,"")</f>
        <v>131</v>
      </c>
      <c r="AD1070" s="220">
        <f>'[2]Изложницы без бурта'!B1070</f>
        <v>460</v>
      </c>
      <c r="AE1070" s="220">
        <f>'[2]Изложницы без бурта'!C1070</f>
        <v>218</v>
      </c>
      <c r="AF1070" s="56">
        <f>'[2]Изложницы без бурта'!D1070</f>
        <v>520</v>
      </c>
      <c r="AG1070" s="56">
        <f>'[2]Изложницы без бурта'!E1070</f>
        <v>400</v>
      </c>
      <c r="AH1070" s="56" t="str">
        <f>'[2]Изложницы без бурта'!F1070</f>
        <v>72.42346 - 1</v>
      </c>
      <c r="AI1070" s="56">
        <f>'[2]Изложницы без бурта'!G1070</f>
        <v>0</v>
      </c>
      <c r="AJ1070" s="56">
        <f>'[2]Изложницы без бурта'!H1070</f>
        <v>0</v>
      </c>
      <c r="AK1070" s="56">
        <f>'[2]Изложницы без бурта'!I1070</f>
        <v>0</v>
      </c>
      <c r="AL1070" s="56" t="s">
        <v>715</v>
      </c>
      <c r="AM1070" s="56">
        <f>'[2]Изложницы без бурта'!K1070</f>
        <v>0</v>
      </c>
    </row>
    <row r="1071" spans="28:39" x14ac:dyDescent="0.25">
      <c r="AB1071" s="258" t="str">
        <f t="shared" si="26"/>
        <v/>
      </c>
      <c r="AC1071" s="259">
        <f>IF(COUNTIF(AD$78:AD1071,AD1071)=1,MAX(AC$78:AC1070)+1,"")</f>
        <v>132</v>
      </c>
      <c r="AD1071" s="220">
        <f>'[2]Изложницы без бурта'!B1071</f>
        <v>475</v>
      </c>
      <c r="AE1071" s="220">
        <f>'[2]Изложницы без бурта'!C1071</f>
        <v>270</v>
      </c>
      <c r="AF1071" s="56">
        <f>'[2]Изложницы без бурта'!D1071</f>
        <v>520</v>
      </c>
      <c r="AG1071" s="56">
        <f>'[2]Изложницы без бурта'!E1071</f>
        <v>400</v>
      </c>
      <c r="AH1071" s="56" t="str">
        <f>'[2]Изложницы без бурта'!F1071</f>
        <v>72.47345 - 1</v>
      </c>
      <c r="AI1071" s="56">
        <f>'[2]Изложницы без бурта'!G1071</f>
        <v>0</v>
      </c>
      <c r="AJ1071" s="56">
        <f>'[2]Изложницы без бурта'!H1071</f>
        <v>0</v>
      </c>
      <c r="AK1071" s="56">
        <f>'[2]Изложницы без бурта'!I1071</f>
        <v>0</v>
      </c>
      <c r="AL1071" s="56" t="s">
        <v>716</v>
      </c>
      <c r="AM1071" s="56">
        <f>'[2]Изложницы без бурта'!K1071</f>
        <v>0</v>
      </c>
    </row>
    <row r="1072" spans="28:39" x14ac:dyDescent="0.25">
      <c r="AB1072" s="258" t="str">
        <f t="shared" si="26"/>
        <v/>
      </c>
      <c r="AC1072" s="259" t="str">
        <f>IF(COUNTIF(AD$78:AD1072,AD1072)=1,MAX(AC$78:AC1071)+1,"")</f>
        <v/>
      </c>
      <c r="AD1072" s="220">
        <f>'[2]Изложницы без бурта'!B1072</f>
        <v>475</v>
      </c>
      <c r="AE1072" s="220">
        <f>'[2]Изложницы без бурта'!C1072</f>
        <v>397</v>
      </c>
      <c r="AF1072" s="56">
        <f>'[2]Изложницы без бурта'!D1072</f>
        <v>520</v>
      </c>
      <c r="AG1072" s="56">
        <f>'[2]Изложницы без бурта'!E1072</f>
        <v>400</v>
      </c>
      <c r="AH1072" s="56" t="str">
        <f>'[2]Изложницы без бурта'!F1072</f>
        <v>10.242291 - 2</v>
      </c>
      <c r="AI1072" s="56">
        <f>'[2]Изложницы без бурта'!G1072</f>
        <v>7260087</v>
      </c>
      <c r="AJ1072" s="56" t="str">
        <f>'[2]Изложницы без бурта'!H1072</f>
        <v>Кокиля нет</v>
      </c>
      <c r="AK1072" s="56">
        <f>'[2]Изложницы без бурта'!I1072</f>
        <v>0</v>
      </c>
      <c r="AL1072" s="56" t="s">
        <v>716</v>
      </c>
      <c r="AM1072" s="56">
        <f>'[2]Изложницы без бурта'!K1072</f>
        <v>0</v>
      </c>
    </row>
    <row r="1073" spans="28:39" x14ac:dyDescent="0.25">
      <c r="AB1073" s="258" t="str">
        <f t="shared" si="26"/>
        <v/>
      </c>
      <c r="AC1073" s="259">
        <f>IF(COUNTIF(AD$78:AD1073,AD1073)=1,MAX(AC$78:AC1072)+1,"")</f>
        <v>133</v>
      </c>
      <c r="AD1073" s="220">
        <f>'[2]Изложницы без бурта'!B1073</f>
        <v>480</v>
      </c>
      <c r="AE1073" s="220">
        <f>'[2]Изложницы без бурта'!C1073</f>
        <v>630</v>
      </c>
      <c r="AF1073" s="56">
        <f>'[2]Изложницы без бурта'!D1073</f>
        <v>610</v>
      </c>
      <c r="AG1073" s="56">
        <f>'[2]Изложницы без бурта'!E1073</f>
        <v>400</v>
      </c>
      <c r="AH1073" s="56" t="str">
        <f>'[2]Изложницы без бурта'!F1073</f>
        <v>10.240268 - 1</v>
      </c>
      <c r="AI1073" s="56">
        <f>'[2]Изложницы без бурта'!G1073</f>
        <v>0</v>
      </c>
      <c r="AJ1073" s="56" t="str">
        <f>'[2]Изложницы без бурта'!H1073</f>
        <v>З/к. ф=120,0 (посадка 610) сейчас нет</v>
      </c>
      <c r="AK1073" s="56">
        <f>'[2]Изложницы без бурта'!I1073</f>
        <v>0</v>
      </c>
      <c r="AL1073" s="56" t="s">
        <v>717</v>
      </c>
      <c r="AM1073" s="56">
        <f>'[2]Изложницы без бурта'!K1073</f>
        <v>0</v>
      </c>
    </row>
    <row r="1074" spans="28:39" x14ac:dyDescent="0.25">
      <c r="AB1074" s="258" t="str">
        <f t="shared" si="26"/>
        <v/>
      </c>
      <c r="AC1074" s="259" t="str">
        <f>IF(COUNTIF(AD$78:AD1074,AD1074)=1,MAX(AC$78:AC1073)+1,"")</f>
        <v/>
      </c>
      <c r="AD1074" s="220">
        <f>'[2]Изложницы без бурта'!B1074</f>
        <v>480</v>
      </c>
      <c r="AE1074" s="220">
        <f>'[2]Изложницы без бурта'!C1074</f>
        <v>630</v>
      </c>
      <c r="AF1074" s="56">
        <f>'[2]Изложницы без бурта'!D1074</f>
        <v>610</v>
      </c>
      <c r="AG1074" s="56">
        <f>'[2]Изложницы без бурта'!E1074</f>
        <v>400</v>
      </c>
      <c r="AH1074" s="56" t="str">
        <f>'[2]Изложницы без бурта'!F1074</f>
        <v>10.240268 - 1</v>
      </c>
      <c r="AI1074" s="56">
        <f>'[2]Изложницы без бурта'!G1074</f>
        <v>0</v>
      </c>
      <c r="AJ1074" s="56">
        <f>'[2]Изложницы без бурта'!H1074</f>
        <v>0</v>
      </c>
      <c r="AK1074" s="56">
        <f>'[2]Изложницы без бурта'!I1074</f>
        <v>0</v>
      </c>
      <c r="AL1074" s="56" t="s">
        <v>717</v>
      </c>
      <c r="AM1074" s="56">
        <f>'[2]Изложницы без бурта'!K1074</f>
        <v>0</v>
      </c>
    </row>
    <row r="1075" spans="28:39" x14ac:dyDescent="0.25">
      <c r="AB1075" s="258" t="str">
        <f t="shared" si="26"/>
        <v/>
      </c>
      <c r="AC1075" s="259">
        <f>IF(COUNTIF(AD$78:AD1075,AD1075)=1,MAX(AC$78:AC1074)+1,"")</f>
        <v>134</v>
      </c>
      <c r="AD1075" s="220">
        <f>'[2]Изложницы без бурта'!B1075</f>
        <v>482.5</v>
      </c>
      <c r="AE1075" s="220">
        <f>'[2]Изложницы без бурта'!C1075</f>
        <v>633</v>
      </c>
      <c r="AF1075" s="56">
        <f>'[2]Изложницы без бурта'!D1075</f>
        <v>610</v>
      </c>
      <c r="AG1075" s="56">
        <f>'[2]Изложницы без бурта'!E1075</f>
        <v>400</v>
      </c>
      <c r="AH1075" s="56" t="str">
        <f>'[2]Изложницы без бурта'!F1075</f>
        <v>10.240268 - 1</v>
      </c>
      <c r="AI1075" s="56">
        <f>'[2]Изложницы без бурта'!G1075</f>
        <v>0</v>
      </c>
      <c r="AJ1075" s="56">
        <f>'[2]Изложницы без бурта'!H1075</f>
        <v>0</v>
      </c>
      <c r="AK1075" s="56">
        <f>'[2]Изложницы без бурта'!I1075</f>
        <v>0</v>
      </c>
      <c r="AL1075" s="56" t="s">
        <v>718</v>
      </c>
      <c r="AM1075" s="56">
        <f>'[2]Изложницы без бурта'!K1075</f>
        <v>0</v>
      </c>
    </row>
    <row r="1076" spans="28:39" x14ac:dyDescent="0.25">
      <c r="AB1076" s="258" t="str">
        <f t="shared" si="26"/>
        <v/>
      </c>
      <c r="AC1076" s="259">
        <f>IF(COUNTIF(AD$78:AD1076,AD1076)=1,MAX(AC$78:AC1075)+1,"")</f>
        <v>135</v>
      </c>
      <c r="AD1076" s="220">
        <f>'[2]Изложницы без бурта'!B1076</f>
        <v>495</v>
      </c>
      <c r="AE1076" s="220">
        <f>'[2]Изложницы без бурта'!C1076</f>
        <v>375</v>
      </c>
      <c r="AF1076" s="56">
        <f>'[2]Изложницы без бурта'!D1076</f>
        <v>550</v>
      </c>
      <c r="AG1076" s="56">
        <f>'[2]Изложницы без бурта'!E1076</f>
        <v>400</v>
      </c>
      <c r="AH1076" s="56" t="str">
        <f>'[2]Изложницы без бурта'!F1076</f>
        <v>72.47928 - 1</v>
      </c>
      <c r="AI1076" s="56">
        <f>'[2]Изложницы без бурта'!G1076</f>
        <v>0</v>
      </c>
      <c r="AJ1076" s="56" t="str">
        <f>'[2]Изложницы без бурта'!H1076</f>
        <v xml:space="preserve">Кокиль без дна - Н.Н. - 10.01.22 </v>
      </c>
      <c r="AK1076" s="56">
        <f>'[2]Изложницы без бурта'!I1076</f>
        <v>0</v>
      </c>
      <c r="AL1076" s="56" t="s">
        <v>719</v>
      </c>
      <c r="AM1076" s="56">
        <f>'[2]Изложницы без бурта'!K1076</f>
        <v>0</v>
      </c>
    </row>
    <row r="1077" spans="28:39" x14ac:dyDescent="0.25">
      <c r="AB1077" s="258" t="str">
        <f t="shared" si="26"/>
        <v/>
      </c>
      <c r="AC1077" s="259" t="str">
        <f>IF(COUNTIF(AD$78:AD1077,AD1077)=1,MAX(AC$78:AC1076)+1,"")</f>
        <v/>
      </c>
      <c r="AD1077" s="220">
        <f>'[2]Изложницы без бурта'!B1077</f>
        <v>495</v>
      </c>
      <c r="AE1077" s="220">
        <f>'[2]Изложницы без бурта'!C1077</f>
        <v>380</v>
      </c>
      <c r="AF1077" s="56">
        <f>'[2]Изложницы без бурта'!D1077</f>
        <v>550</v>
      </c>
      <c r="AG1077" s="56">
        <f>'[2]Изложницы без бурта'!E1077</f>
        <v>400</v>
      </c>
      <c r="AH1077" s="56" t="str">
        <f>'[2]Изложницы без бурта'!F1077</f>
        <v>72.47928 - 1</v>
      </c>
      <c r="AI1077" s="56">
        <f>'[2]Изложницы без бурта'!G1077</f>
        <v>0</v>
      </c>
      <c r="AJ1077" s="56">
        <f>'[2]Изложницы без бурта'!H1077</f>
        <v>0</v>
      </c>
      <c r="AK1077" s="56">
        <f>'[2]Изложницы без бурта'!I1077</f>
        <v>0</v>
      </c>
      <c r="AL1077" s="56" t="s">
        <v>719</v>
      </c>
      <c r="AM1077" s="56">
        <f>'[2]Изложницы без бурта'!K1077</f>
        <v>0</v>
      </c>
    </row>
    <row r="1078" spans="28:39" x14ac:dyDescent="0.25">
      <c r="AB1078" s="258" t="str">
        <f t="shared" si="26"/>
        <v/>
      </c>
      <c r="AC1078" s="259">
        <f>IF(COUNTIF(AD$78:AD1078,AD1078)=1,MAX(AC$78:AC1077)+1,"")</f>
        <v>136</v>
      </c>
      <c r="AD1078" s="220">
        <f>'[2]Изложницы без бурта'!B1078</f>
        <v>500</v>
      </c>
      <c r="AE1078" s="220">
        <f>'[2]Изложницы без бурта'!C1078</f>
        <v>128</v>
      </c>
      <c r="AF1078" s="56">
        <f>'[2]Изложницы без бурта'!D1078</f>
        <v>610</v>
      </c>
      <c r="AG1078" s="56">
        <f>'[2]Изложницы без бурта'!E1078</f>
        <v>400</v>
      </c>
      <c r="AH1078" s="56" t="str">
        <f>'[2]Изложницы без бурта'!F1078</f>
        <v>10.240586 - 1</v>
      </c>
      <c r="AI1078" s="56">
        <f>'[2]Изложницы без бурта'!G1078</f>
        <v>0</v>
      </c>
      <c r="AJ1078" s="56">
        <f>'[2]Изложницы без бурта'!H1078</f>
        <v>0</v>
      </c>
      <c r="AK1078" s="56">
        <f>'[2]Изложницы без бурта'!I1078</f>
        <v>0</v>
      </c>
      <c r="AL1078" s="56" t="s">
        <v>720</v>
      </c>
      <c r="AM1078" s="56">
        <f>'[2]Изложницы без бурта'!K1078</f>
        <v>0</v>
      </c>
    </row>
    <row r="1079" spans="28:39" x14ac:dyDescent="0.25">
      <c r="AB1079" s="258" t="str">
        <f t="shared" si="26"/>
        <v/>
      </c>
      <c r="AC1079" s="259" t="str">
        <f>IF(COUNTIF(AD$78:AD1079,AD1079)=1,MAX(AC$78:AC1078)+1,"")</f>
        <v/>
      </c>
      <c r="AD1079" s="220">
        <f>'[2]Изложницы без бурта'!B1079</f>
        <v>500</v>
      </c>
      <c r="AE1079" s="220">
        <f>'[2]Изложницы без бурта'!C1079</f>
        <v>680</v>
      </c>
      <c r="AF1079" s="56">
        <f>'[2]Изложницы без бурта'!D1079</f>
        <v>610</v>
      </c>
      <c r="AG1079" s="56">
        <f>'[2]Изложницы без бурта'!E1079</f>
        <v>400</v>
      </c>
      <c r="AH1079" s="56" t="str">
        <f>'[2]Изложницы без бурта'!F1079</f>
        <v>24.271247 - 1</v>
      </c>
      <c r="AI1079" s="56">
        <f>'[2]Изложницы без бурта'!G1079</f>
        <v>0</v>
      </c>
      <c r="AJ1079" s="56">
        <f>'[2]Изложницы без бурта'!H1079</f>
        <v>0</v>
      </c>
      <c r="AK1079" s="56">
        <f>'[2]Изложницы без бурта'!I1079</f>
        <v>0</v>
      </c>
      <c r="AL1079" s="56" t="s">
        <v>720</v>
      </c>
      <c r="AM1079" s="56">
        <f>'[2]Изложницы без бурта'!K1079</f>
        <v>0</v>
      </c>
    </row>
    <row r="1080" spans="28:39" x14ac:dyDescent="0.25">
      <c r="AB1080" s="258" t="str">
        <f t="shared" si="26"/>
        <v/>
      </c>
      <c r="AC1080" s="259" t="str">
        <f>IF(COUNTIF(AD$78:AD1080,AD1080)=1,MAX(AC$78:AC1079)+1,"")</f>
        <v/>
      </c>
      <c r="AD1080" s="220">
        <f>'[2]Изложницы без бурта'!B1080</f>
        <v>500</v>
      </c>
      <c r="AE1080" s="220">
        <f>'[2]Изложницы без бурта'!C1080</f>
        <v>248</v>
      </c>
      <c r="AF1080" s="56">
        <f>'[2]Изложницы без бурта'!D1080</f>
        <v>570</v>
      </c>
      <c r="AG1080" s="56">
        <f>'[2]Изложницы без бурта'!E1080</f>
        <v>400</v>
      </c>
      <c r="AH1080" s="56" t="str">
        <f>'[2]Изложницы без бурта'!F1080</f>
        <v>72.47183 - 1</v>
      </c>
      <c r="AI1080" s="56">
        <f>'[2]Изложницы без бурта'!G1080</f>
        <v>0</v>
      </c>
      <c r="AJ1080" s="56">
        <f>'[2]Изложницы без бурта'!H1080</f>
        <v>0</v>
      </c>
      <c r="AK1080" s="56">
        <f>'[2]Изложницы без бурта'!I1080</f>
        <v>0</v>
      </c>
      <c r="AL1080" s="56" t="s">
        <v>720</v>
      </c>
      <c r="AM1080" s="56">
        <f>'[2]Изложницы без бурта'!K1080</f>
        <v>0</v>
      </c>
    </row>
    <row r="1081" spans="28:39" x14ac:dyDescent="0.25">
      <c r="AB1081" s="258" t="str">
        <f t="shared" ref="AB1081:AB1144" si="27">IF(MAX(AC1081:AC2158)&lt;ROW(1003:1003),"",VLOOKUP(ROW(1003:1003),AC1081:AD2158,2))</f>
        <v/>
      </c>
      <c r="AC1081" s="259" t="str">
        <f>IF(COUNTIF(AD$78:AD1081,AD1081)=1,MAX(AC$78:AC1080)+1,"")</f>
        <v/>
      </c>
      <c r="AD1081" s="220">
        <f>'[2]Изложницы без бурта'!B1081</f>
        <v>500</v>
      </c>
      <c r="AE1081" s="220">
        <f>'[2]Изложницы без бурта'!C1081</f>
        <v>247</v>
      </c>
      <c r="AF1081" s="56">
        <f>'[2]Изложницы без бурта'!D1081</f>
        <v>570</v>
      </c>
      <c r="AG1081" s="56">
        <f>'[2]Изложницы без бурта'!E1081</f>
        <v>400</v>
      </c>
      <c r="AH1081" s="56" t="str">
        <f>'[2]Изложницы без бурта'!F1081</f>
        <v>72.47183 - 1</v>
      </c>
      <c r="AI1081" s="56">
        <f>'[2]Изложницы без бурта'!G1081</f>
        <v>0</v>
      </c>
      <c r="AJ1081" s="56">
        <f>'[2]Изложницы без бурта'!H1081</f>
        <v>0</v>
      </c>
      <c r="AK1081" s="56">
        <f>'[2]Изложницы без бурта'!I1081</f>
        <v>0</v>
      </c>
      <c r="AL1081" s="56" t="s">
        <v>720</v>
      </c>
      <c r="AM1081" s="56">
        <f>'[2]Изложницы без бурта'!K1081</f>
        <v>0</v>
      </c>
    </row>
    <row r="1082" spans="28:39" x14ac:dyDescent="0.25">
      <c r="AB1082" s="258" t="str">
        <f t="shared" si="27"/>
        <v/>
      </c>
      <c r="AC1082" s="259">
        <f>IF(COUNTIF(AD$78:AD1082,AD1082)=1,MAX(AC$78:AC1081)+1,"")</f>
        <v>137</v>
      </c>
      <c r="AD1082" s="220">
        <f>'[2]Изложницы без бурта'!B1082</f>
        <v>502.5</v>
      </c>
      <c r="AE1082" s="220">
        <f>'[2]Изложницы без бурта'!C1082</f>
        <v>205</v>
      </c>
      <c r="AF1082" s="56">
        <f>'[2]Изложницы без бурта'!D1082</f>
        <v>570</v>
      </c>
      <c r="AG1082" s="56">
        <f>'[2]Изложницы без бурта'!E1082</f>
        <v>400</v>
      </c>
      <c r="AH1082" s="56" t="str">
        <f>'[2]Изложницы без бурта'!F1082</f>
        <v>10.246214 - 7</v>
      </c>
      <c r="AI1082" s="56">
        <f>'[2]Изложницы без бурта'!G1082</f>
        <v>7260088</v>
      </c>
      <c r="AJ1082" s="56">
        <f>'[2]Изложницы без бурта'!H1082</f>
        <v>0</v>
      </c>
      <c r="AK1082" s="56">
        <f>'[2]Изложницы без бурта'!I1082</f>
        <v>0</v>
      </c>
      <c r="AL1082" s="56" t="s">
        <v>721</v>
      </c>
      <c r="AM1082" s="56">
        <f>'[2]Изложницы без бурта'!K1082</f>
        <v>0</v>
      </c>
    </row>
    <row r="1083" spans="28:39" x14ac:dyDescent="0.25">
      <c r="AB1083" s="258" t="str">
        <f t="shared" si="27"/>
        <v/>
      </c>
      <c r="AC1083" s="259">
        <f>IF(COUNTIF(AD$78:AD1083,AD1083)=1,MAX(AC$78:AC1082)+1,"")</f>
        <v>138</v>
      </c>
      <c r="AD1083" s="220">
        <f>'[2]Изложницы без бурта'!B1083</f>
        <v>505</v>
      </c>
      <c r="AE1083" s="220">
        <f>'[2]Изложницы без бурта'!C1083</f>
        <v>680</v>
      </c>
      <c r="AF1083" s="56">
        <f>'[2]Изложницы без бурта'!D1083</f>
        <v>610</v>
      </c>
      <c r="AG1083" s="56">
        <f>'[2]Изложницы без бурта'!E1083</f>
        <v>400</v>
      </c>
      <c r="AH1083" s="56" t="str">
        <f>'[2]Изложницы без бурта'!F1083</f>
        <v>24.271247 - 1</v>
      </c>
      <c r="AI1083" s="56">
        <f>'[2]Изложницы без бурта'!G1083</f>
        <v>0</v>
      </c>
      <c r="AJ1083" s="56">
        <f>'[2]Изложницы без бурта'!H1083</f>
        <v>0</v>
      </c>
      <c r="AK1083" s="56">
        <f>'[2]Изложницы без бурта'!I1083</f>
        <v>0</v>
      </c>
      <c r="AL1083" s="56" t="s">
        <v>722</v>
      </c>
      <c r="AM1083" s="56">
        <f>'[2]Изложницы без бурта'!K1083</f>
        <v>0</v>
      </c>
    </row>
    <row r="1084" spans="28:39" x14ac:dyDescent="0.25">
      <c r="AB1084" s="258" t="str">
        <f t="shared" si="27"/>
        <v/>
      </c>
      <c r="AC1084" s="259" t="str">
        <f>IF(COUNTIF(AD$78:AD1084,AD1084)=1,MAX(AC$78:AC1083)+1,"")</f>
        <v/>
      </c>
      <c r="AD1084" s="220">
        <f>'[2]Изложницы без бурта'!B1084</f>
        <v>505</v>
      </c>
      <c r="AE1084" s="220">
        <f>'[2]Изложницы без бурта'!C1084</f>
        <v>245</v>
      </c>
      <c r="AF1084" s="56">
        <f>'[2]Изложницы без бурта'!D1084</f>
        <v>550</v>
      </c>
      <c r="AG1084" s="56">
        <f>'[2]Изложницы без бурта'!E1084</f>
        <v>400</v>
      </c>
      <c r="AH1084" s="56" t="str">
        <f>'[2]Изложницы без бурта'!F1084</f>
        <v>72.47183 - 1</v>
      </c>
      <c r="AI1084" s="56">
        <f>'[2]Изложницы без бурта'!G1084</f>
        <v>0</v>
      </c>
      <c r="AJ1084" s="56">
        <f>'[2]Изложницы без бурта'!H1084</f>
        <v>0</v>
      </c>
      <c r="AK1084" s="56">
        <f>'[2]Изложницы без бурта'!I1084</f>
        <v>0</v>
      </c>
      <c r="AL1084" s="56" t="s">
        <v>722</v>
      </c>
      <c r="AM1084" s="56">
        <f>'[2]Изложницы без бурта'!K1084</f>
        <v>0</v>
      </c>
    </row>
    <row r="1085" spans="28:39" x14ac:dyDescent="0.25">
      <c r="AB1085" s="258" t="str">
        <f t="shared" si="27"/>
        <v/>
      </c>
      <c r="AC1085" s="259">
        <f>IF(COUNTIF(AD$78:AD1085,AD1085)=1,MAX(AC$78:AC1084)+1,"")</f>
        <v>139</v>
      </c>
      <c r="AD1085" s="220">
        <f>'[2]Изложницы без бурта'!B1085</f>
        <v>507.5</v>
      </c>
      <c r="AE1085" s="220">
        <f>'[2]Изложницы без бурта'!C1085</f>
        <v>580</v>
      </c>
      <c r="AF1085" s="56">
        <f>'[2]Изложницы без бурта'!D1085</f>
        <v>570</v>
      </c>
      <c r="AG1085" s="56">
        <f>'[2]Изложницы без бурта'!E1085</f>
        <v>400</v>
      </c>
      <c r="AH1085" s="56" t="str">
        <f>'[2]Изложницы без бурта'!F1085</f>
        <v>72.47252 - 1</v>
      </c>
      <c r="AI1085" s="56">
        <f>'[2]Изложницы без бурта'!G1085</f>
        <v>0</v>
      </c>
      <c r="AJ1085" s="56">
        <f>'[2]Изложницы без бурта'!H1085</f>
        <v>0</v>
      </c>
      <c r="AK1085" s="56">
        <f>'[2]Изложницы без бурта'!I1085</f>
        <v>0</v>
      </c>
      <c r="AL1085" s="56" t="s">
        <v>723</v>
      </c>
      <c r="AM1085" s="56">
        <f>'[2]Изложницы без бурта'!K1085</f>
        <v>0</v>
      </c>
    </row>
    <row r="1086" spans="28:39" x14ac:dyDescent="0.25">
      <c r="AB1086" s="258" t="str">
        <f t="shared" si="27"/>
        <v/>
      </c>
      <c r="AC1086" s="259" t="str">
        <f>IF(COUNTIF(AD$78:AD1086,AD1086)=1,MAX(AC$78:AC1085)+1,"")</f>
        <v/>
      </c>
      <c r="AD1086" s="220">
        <f>'[2]Изложницы без бурта'!B1086</f>
        <v>507.5</v>
      </c>
      <c r="AE1086" s="220">
        <f>'[2]Изложницы без бурта'!C1086</f>
        <v>545</v>
      </c>
      <c r="AF1086" s="56">
        <f>'[2]Изложницы без бурта'!D1086</f>
        <v>610</v>
      </c>
      <c r="AG1086" s="56">
        <f>'[2]Изложницы без бурта'!E1086</f>
        <v>400</v>
      </c>
      <c r="AH1086" s="56" t="str">
        <f>'[2]Изложницы без бурта'!F1086</f>
        <v>72.47252 - 1</v>
      </c>
      <c r="AI1086" s="56">
        <f>'[2]Изложницы без бурта'!G1086</f>
        <v>0</v>
      </c>
      <c r="AJ1086" s="56">
        <f>'[2]Изложницы без бурта'!H1086</f>
        <v>0</v>
      </c>
      <c r="AK1086" s="56">
        <f>'[2]Изложницы без бурта'!I1086</f>
        <v>0</v>
      </c>
      <c r="AL1086" s="56" t="s">
        <v>723</v>
      </c>
      <c r="AM1086" s="56">
        <f>'[2]Изложницы без бурта'!K1086</f>
        <v>0</v>
      </c>
    </row>
    <row r="1087" spans="28:39" x14ac:dyDescent="0.25">
      <c r="AB1087" s="258" t="str">
        <f t="shared" si="27"/>
        <v/>
      </c>
      <c r="AC1087" s="259">
        <f>IF(COUNTIF(AD$78:AD1087,AD1087)=1,MAX(AC$78:AC1086)+1,"")</f>
        <v>140</v>
      </c>
      <c r="AD1087" s="220">
        <f>'[2]Изложницы без бурта'!B1087</f>
        <v>510</v>
      </c>
      <c r="AE1087" s="220">
        <f>'[2]Изложницы без бурта'!C1087</f>
        <v>120</v>
      </c>
      <c r="AF1087" s="56">
        <f>'[2]Изложницы без бурта'!D1087</f>
        <v>610</v>
      </c>
      <c r="AG1087" s="56">
        <f>'[2]Изложницы без бурта'!E1087</f>
        <v>400</v>
      </c>
      <c r="AH1087" s="56" t="str">
        <f>'[2]Изложницы без бурта'!F1087</f>
        <v>72.47347 - 2</v>
      </c>
      <c r="AI1087" s="56">
        <f>'[2]Изложницы без бурта'!G1087</f>
        <v>0</v>
      </c>
      <c r="AJ1087" s="56">
        <f>'[2]Изложницы без бурта'!H1087</f>
        <v>0</v>
      </c>
      <c r="AK1087" s="56">
        <f>'[2]Изложницы без бурта'!I1087</f>
        <v>0</v>
      </c>
      <c r="AL1087" s="56" t="s">
        <v>724</v>
      </c>
      <c r="AM1087" s="56">
        <f>'[2]Изложницы без бурта'!K1087</f>
        <v>0</v>
      </c>
    </row>
    <row r="1088" spans="28:39" x14ac:dyDescent="0.25">
      <c r="AB1088" s="258" t="str">
        <f t="shared" si="27"/>
        <v/>
      </c>
      <c r="AC1088" s="259" t="str">
        <f>IF(COUNTIF(AD$78:AD1088,AD1088)=1,MAX(AC$78:AC1087)+1,"")</f>
        <v/>
      </c>
      <c r="AD1088" s="220">
        <f>'[2]Изложницы без бурта'!B1088</f>
        <v>510</v>
      </c>
      <c r="AE1088" s="220">
        <f>'[2]Изложницы без бурта'!C1088</f>
        <v>120</v>
      </c>
      <c r="AF1088" s="56">
        <f>'[2]Изложницы без бурта'!D1088</f>
        <v>570</v>
      </c>
      <c r="AG1088" s="56">
        <f>'[2]Изложницы без бурта'!E1088</f>
        <v>400</v>
      </c>
      <c r="AH1088" s="56" t="str">
        <f>'[2]Изложницы без бурта'!F1088</f>
        <v>72.47347 - 2</v>
      </c>
      <c r="AI1088" s="56">
        <f>'[2]Изложницы без бурта'!G1088</f>
        <v>0</v>
      </c>
      <c r="AJ1088" s="56">
        <f>'[2]Изложницы без бурта'!H1088</f>
        <v>0</v>
      </c>
      <c r="AK1088" s="56">
        <f>'[2]Изложницы без бурта'!I1088</f>
        <v>0</v>
      </c>
      <c r="AL1088" s="56" t="s">
        <v>724</v>
      </c>
      <c r="AM1088" s="56">
        <f>'[2]Изложницы без бурта'!K1088</f>
        <v>0</v>
      </c>
    </row>
    <row r="1089" spans="28:39" x14ac:dyDescent="0.25">
      <c r="AB1089" s="258" t="str">
        <f t="shared" si="27"/>
        <v/>
      </c>
      <c r="AC1089" s="259" t="str">
        <f>IF(COUNTIF(AD$78:AD1089,AD1089)=1,MAX(AC$78:AC1088)+1,"")</f>
        <v/>
      </c>
      <c r="AD1089" s="220">
        <f>'[2]Изложницы без бурта'!B1089</f>
        <v>510</v>
      </c>
      <c r="AE1089" s="220">
        <f>'[2]Изложницы без бурта'!C1089</f>
        <v>120</v>
      </c>
      <c r="AF1089" s="56">
        <f>'[2]Изложницы без бурта'!D1089</f>
        <v>610</v>
      </c>
      <c r="AG1089" s="56">
        <f>'[2]Изложницы без бурта'!E1089</f>
        <v>400</v>
      </c>
      <c r="AH1089" s="56" t="str">
        <f>'[2]Изложницы без бурта'!F1089</f>
        <v>72.47347 - 2</v>
      </c>
      <c r="AI1089" s="56">
        <f>'[2]Изложницы без бурта'!G1089</f>
        <v>0</v>
      </c>
      <c r="AJ1089" s="56">
        <f>'[2]Изложницы без бурта'!H1089</f>
        <v>0</v>
      </c>
      <c r="AK1089" s="56">
        <f>'[2]Изложницы без бурта'!I1089</f>
        <v>0</v>
      </c>
      <c r="AL1089" s="56" t="s">
        <v>724</v>
      </c>
      <c r="AM1089" s="56">
        <f>'[2]Изложницы без бурта'!K1089</f>
        <v>0</v>
      </c>
    </row>
    <row r="1090" spans="28:39" x14ac:dyDescent="0.25">
      <c r="AB1090" s="258" t="str">
        <f t="shared" si="27"/>
        <v/>
      </c>
      <c r="AC1090" s="259" t="str">
        <f>IF(COUNTIF(AD$78:AD1090,AD1090)=1,MAX(AC$78:AC1089)+1,"")</f>
        <v/>
      </c>
      <c r="AD1090" s="220">
        <f>'[2]Изложницы без бурта'!B1090</f>
        <v>510</v>
      </c>
      <c r="AE1090" s="220">
        <f>'[2]Изложницы без бурта'!C1090</f>
        <v>120</v>
      </c>
      <c r="AF1090" s="56">
        <f>'[2]Изложницы без бурта'!D1090</f>
        <v>610</v>
      </c>
      <c r="AG1090" s="56">
        <f>'[2]Изложницы без бурта'!E1090</f>
        <v>400</v>
      </c>
      <c r="AH1090" s="56" t="str">
        <f>'[2]Изложницы без бурта'!F1090</f>
        <v>72.47347 - 2</v>
      </c>
      <c r="AI1090" s="56">
        <f>'[2]Изложницы без бурта'!G1090</f>
        <v>0</v>
      </c>
      <c r="AJ1090" s="56">
        <f>'[2]Изложницы без бурта'!H1090</f>
        <v>0</v>
      </c>
      <c r="AK1090" s="56">
        <f>'[2]Изложницы без бурта'!I1090</f>
        <v>0</v>
      </c>
      <c r="AL1090" s="56" t="s">
        <v>724</v>
      </c>
      <c r="AM1090" s="56">
        <f>'[2]Изложницы без бурта'!K1090</f>
        <v>0</v>
      </c>
    </row>
    <row r="1091" spans="28:39" x14ac:dyDescent="0.25">
      <c r="AB1091" s="258" t="str">
        <f t="shared" si="27"/>
        <v/>
      </c>
      <c r="AC1091" s="259">
        <f>IF(COUNTIF(AD$78:AD1091,AD1091)=1,MAX(AC$78:AC1090)+1,"")</f>
        <v>141</v>
      </c>
      <c r="AD1091" s="220">
        <f>'[2]Изложницы без бурта'!B1091</f>
        <v>515</v>
      </c>
      <c r="AE1091" s="220">
        <f>'[2]Изложницы без бурта'!C1091</f>
        <v>265</v>
      </c>
      <c r="AF1091" s="56">
        <f>'[2]Изложницы без бурта'!D1091</f>
        <v>610</v>
      </c>
      <c r="AG1091" s="56">
        <f>'[2]Изложницы без бурта'!E1091</f>
        <v>400</v>
      </c>
      <c r="AH1091" s="56" t="str">
        <f>'[2]Изложницы без бурта'!F1091</f>
        <v>10.540085 - 1</v>
      </c>
      <c r="AI1091" s="56">
        <f>'[2]Изложницы без бурта'!G1091</f>
        <v>7260089</v>
      </c>
      <c r="AJ1091" s="56">
        <f>'[2]Изложницы без бурта'!H1091</f>
        <v>0</v>
      </c>
      <c r="AK1091" s="56">
        <f>'[2]Изложницы без бурта'!I1091</f>
        <v>0</v>
      </c>
      <c r="AL1091" s="56" t="s">
        <v>725</v>
      </c>
      <c r="AM1091" s="56">
        <f>'[2]Изложницы без бурта'!K1091</f>
        <v>0</v>
      </c>
    </row>
    <row r="1092" spans="28:39" x14ac:dyDescent="0.25">
      <c r="AB1092" s="258" t="str">
        <f t="shared" si="27"/>
        <v/>
      </c>
      <c r="AC1092" s="259">
        <f>IF(COUNTIF(AD$78:AD1092,AD1092)=1,MAX(AC$78:AC1091)+1,"")</f>
        <v>142</v>
      </c>
      <c r="AD1092" s="220">
        <f>'[2]Изложницы без бурта'!B1092</f>
        <v>517.5</v>
      </c>
      <c r="AE1092" s="220">
        <f>'[2]Изложницы без бурта'!C1092</f>
        <v>510</v>
      </c>
      <c r="AF1092" s="56">
        <f>'[2]Изложницы без бурта'!D1092</f>
        <v>610</v>
      </c>
      <c r="AG1092" s="56">
        <f>'[2]Изложницы без бурта'!E1092</f>
        <v>400</v>
      </c>
      <c r="AH1092" s="56" t="str">
        <f>'[2]Изложницы без бурта'!F1092</f>
        <v>72.47351 - 1</v>
      </c>
      <c r="AI1092" s="56">
        <f>'[2]Изложницы без бурта'!G1092</f>
        <v>0</v>
      </c>
      <c r="AJ1092" s="56">
        <f>'[2]Изложницы без бурта'!H1092</f>
        <v>0</v>
      </c>
      <c r="AK1092" s="56">
        <f>'[2]Изложницы без бурта'!I1092</f>
        <v>0</v>
      </c>
      <c r="AL1092" s="56" t="s">
        <v>726</v>
      </c>
      <c r="AM1092" s="56">
        <f>'[2]Изложницы без бурта'!K1092</f>
        <v>0</v>
      </c>
    </row>
    <row r="1093" spans="28:39" x14ac:dyDescent="0.25">
      <c r="AB1093" s="258" t="str">
        <f t="shared" si="27"/>
        <v/>
      </c>
      <c r="AC1093" s="259">
        <f>IF(COUNTIF(AD$78:AD1093,AD1093)=1,MAX(AC$78:AC1092)+1,"")</f>
        <v>143</v>
      </c>
      <c r="AD1093" s="220">
        <f>'[2]Изложницы без бурта'!B1093</f>
        <v>520</v>
      </c>
      <c r="AE1093" s="220">
        <f>'[2]Изложницы без бурта'!C1093</f>
        <v>230</v>
      </c>
      <c r="AF1093" s="56">
        <f>'[2]Изложницы без бурта'!D1093</f>
        <v>570</v>
      </c>
      <c r="AG1093" s="56">
        <f>'[2]Изложницы без бурта'!E1093</f>
        <v>400</v>
      </c>
      <c r="AH1093" s="56" t="str">
        <f>'[2]Изложницы без бурта'!F1093</f>
        <v>72.48006 - 1</v>
      </c>
      <c r="AI1093" s="56">
        <f>'[2]Изложницы без бурта'!G1093</f>
        <v>0</v>
      </c>
      <c r="AJ1093" s="56" t="str">
        <f>'[2]Изложницы без бурта'!H1093</f>
        <v>добавлен 11.06.2021</v>
      </c>
      <c r="AK1093" s="56">
        <f>'[2]Изложницы без бурта'!I1093</f>
        <v>0</v>
      </c>
      <c r="AL1093" s="56" t="s">
        <v>727</v>
      </c>
      <c r="AM1093" s="56">
        <f>'[2]Изложницы без бурта'!K1093</f>
        <v>0</v>
      </c>
    </row>
    <row r="1094" spans="28:39" x14ac:dyDescent="0.25">
      <c r="AB1094" s="258" t="str">
        <f t="shared" si="27"/>
        <v/>
      </c>
      <c r="AC1094" s="259" t="str">
        <f>IF(COUNTIF(AD$78:AD1094,AD1094)=1,MAX(AC$78:AC1093)+1,"")</f>
        <v/>
      </c>
      <c r="AD1094" s="220">
        <f>'[2]Изложницы без бурта'!B1094</f>
        <v>520</v>
      </c>
      <c r="AE1094" s="220">
        <f>'[2]Изложницы без бурта'!C1094</f>
        <v>615</v>
      </c>
      <c r="AF1094" s="56">
        <f>'[2]Изложницы без бурта'!D1094</f>
        <v>570</v>
      </c>
      <c r="AG1094" s="56">
        <f>'[2]Изложницы без бурта'!E1094</f>
        <v>400</v>
      </c>
      <c r="AH1094" s="56" t="str">
        <f>'[2]Изложницы без бурта'!F1094</f>
        <v>10.254085 - 1</v>
      </c>
      <c r="AI1094" s="56">
        <f>'[2]Изложницы без бурта'!G1094</f>
        <v>0</v>
      </c>
      <c r="AJ1094" s="56">
        <f>'[2]Изложницы без бурта'!H1094</f>
        <v>0</v>
      </c>
      <c r="AK1094" s="56">
        <f>'[2]Изложницы без бурта'!I1094</f>
        <v>0</v>
      </c>
      <c r="AL1094" s="56" t="s">
        <v>727</v>
      </c>
      <c r="AM1094" s="56">
        <f>'[2]Изложницы без бурта'!K1094</f>
        <v>0</v>
      </c>
    </row>
    <row r="1095" spans="28:39" x14ac:dyDescent="0.25">
      <c r="AB1095" s="258" t="str">
        <f t="shared" si="27"/>
        <v/>
      </c>
      <c r="AC1095" s="259" t="str">
        <f>IF(COUNTIF(AD$78:AD1095,AD1095)=1,MAX(AC$78:AC1094)+1,"")</f>
        <v/>
      </c>
      <c r="AD1095" s="220">
        <f>'[2]Изложницы без бурта'!B1095</f>
        <v>520</v>
      </c>
      <c r="AE1095" s="220">
        <f>'[2]Изложницы без бурта'!C1095</f>
        <v>510</v>
      </c>
      <c r="AF1095" s="56">
        <f>'[2]Изложницы без бурта'!D1095</f>
        <v>570</v>
      </c>
      <c r="AG1095" s="56">
        <f>'[2]Изложницы без бурта'!E1095</f>
        <v>400</v>
      </c>
      <c r="AH1095" s="56" t="str">
        <f>'[2]Изложницы без бурта'!F1095</f>
        <v>72.47351 - 1</v>
      </c>
      <c r="AI1095" s="56">
        <f>'[2]Изложницы без бурта'!G1095</f>
        <v>0</v>
      </c>
      <c r="AJ1095" s="56">
        <f>'[2]Изложницы без бурта'!H1095</f>
        <v>0</v>
      </c>
      <c r="AK1095" s="56">
        <f>'[2]Изложницы без бурта'!I1095</f>
        <v>0</v>
      </c>
      <c r="AL1095" s="56" t="s">
        <v>727</v>
      </c>
      <c r="AM1095" s="56">
        <f>'[2]Изложницы без бурта'!K1095</f>
        <v>0</v>
      </c>
    </row>
    <row r="1096" spans="28:39" x14ac:dyDescent="0.25">
      <c r="AB1096" s="258" t="str">
        <f t="shared" si="27"/>
        <v/>
      </c>
      <c r="AC1096" s="259">
        <f>IF(COUNTIF(AD$78:AD1096,AD1096)=1,MAX(AC$78:AC1095)+1,"")</f>
        <v>144</v>
      </c>
      <c r="AD1096" s="220">
        <f>'[2]Изложницы без бурта'!B1096</f>
        <v>522.5</v>
      </c>
      <c r="AE1096" s="220">
        <f>'[2]Изложницы без бурта'!C1096</f>
        <v>510</v>
      </c>
      <c r="AF1096" s="56">
        <f>'[2]Изложницы без бурта'!D1096</f>
        <v>610</v>
      </c>
      <c r="AG1096" s="56">
        <f>'[2]Изложницы без бурта'!E1096</f>
        <v>400</v>
      </c>
      <c r="AH1096" s="56" t="str">
        <f>'[2]Изложницы без бурта'!F1096</f>
        <v>72.47351 - 2</v>
      </c>
      <c r="AI1096" s="56">
        <f>'[2]Изложницы без бурта'!G1096</f>
        <v>0</v>
      </c>
      <c r="AJ1096" s="56">
        <f>'[2]Изложницы без бурта'!H1096</f>
        <v>0</v>
      </c>
      <c r="AK1096" s="56">
        <f>'[2]Изложницы без бурта'!I1096</f>
        <v>0</v>
      </c>
      <c r="AL1096" s="56" t="s">
        <v>728</v>
      </c>
      <c r="AM1096" s="56">
        <f>'[2]Изложницы без бурта'!K1096</f>
        <v>0</v>
      </c>
    </row>
    <row r="1097" spans="28:39" x14ac:dyDescent="0.25">
      <c r="AB1097" s="258" t="str">
        <f t="shared" si="27"/>
        <v/>
      </c>
      <c r="AC1097" s="259" t="str">
        <f>IF(COUNTIF(AD$78:AD1097,AD1097)=1,MAX(AC$78:AC1096)+1,"")</f>
        <v/>
      </c>
      <c r="AD1097" s="220">
        <f>'[2]Изложницы без бурта'!B1097</f>
        <v>522.5</v>
      </c>
      <c r="AE1097" s="220">
        <f>'[2]Изложницы без бурта'!C1097</f>
        <v>277</v>
      </c>
      <c r="AF1097" s="56">
        <f>'[2]Изложницы без бурта'!D1097</f>
        <v>570</v>
      </c>
      <c r="AG1097" s="56">
        <f>'[2]Изложницы без бурта'!E1097</f>
        <v>400</v>
      </c>
      <c r="AH1097" s="56" t="str">
        <f>'[2]Изложницы без бурта'!F1097</f>
        <v>72.48006 - 1</v>
      </c>
      <c r="AI1097" s="56">
        <f>'[2]Изложницы без бурта'!G1097</f>
        <v>0</v>
      </c>
      <c r="AJ1097" s="56">
        <f>'[2]Изложницы без бурта'!H1097</f>
        <v>0</v>
      </c>
      <c r="AK1097" s="56">
        <f>'[2]Изложницы без бурта'!I1097</f>
        <v>0</v>
      </c>
      <c r="AL1097" s="56" t="s">
        <v>728</v>
      </c>
      <c r="AM1097" s="56">
        <f>'[2]Изложницы без бурта'!K1097</f>
        <v>0</v>
      </c>
    </row>
    <row r="1098" spans="28:39" x14ac:dyDescent="0.25">
      <c r="AB1098" s="258" t="str">
        <f t="shared" si="27"/>
        <v/>
      </c>
      <c r="AC1098" s="259">
        <f>IF(COUNTIF(AD$78:AD1098,AD1098)=1,MAX(AC$78:AC1097)+1,"")</f>
        <v>145</v>
      </c>
      <c r="AD1098" s="220">
        <f>'[2]Изложницы без бурта'!B1098</f>
        <v>525</v>
      </c>
      <c r="AE1098" s="220">
        <f>'[2]Изложницы без бурта'!C1098</f>
        <v>165</v>
      </c>
      <c r="AF1098" s="56">
        <f>'[2]Изложницы без бурта'!D1098</f>
        <v>610</v>
      </c>
      <c r="AG1098" s="56">
        <f>'[2]Изложницы без бурта'!E1098</f>
        <v>400</v>
      </c>
      <c r="AH1098" s="56" t="str">
        <f>'[2]Изложницы без бурта'!F1098</f>
        <v>72.47348 - 1</v>
      </c>
      <c r="AI1098" s="56">
        <f>'[2]Изложницы без бурта'!G1098</f>
        <v>0</v>
      </c>
      <c r="AJ1098" s="56">
        <f>'[2]Изложницы без бурта'!H1098</f>
        <v>0</v>
      </c>
      <c r="AK1098" s="56">
        <f>'[2]Изложницы без бурта'!I1098</f>
        <v>0</v>
      </c>
      <c r="AL1098" s="56" t="s">
        <v>729</v>
      </c>
      <c r="AM1098" s="56">
        <f>'[2]Изложницы без бурта'!K1098</f>
        <v>0</v>
      </c>
    </row>
    <row r="1099" spans="28:39" x14ac:dyDescent="0.25">
      <c r="AB1099" s="258" t="str">
        <f t="shared" si="27"/>
        <v/>
      </c>
      <c r="AC1099" s="259" t="str">
        <f>IF(COUNTIF(AD$78:AD1099,AD1099)=1,MAX(AC$78:AC1098)+1,"")</f>
        <v/>
      </c>
      <c r="AD1099" s="220">
        <f>'[2]Изложницы без бурта'!B1099</f>
        <v>525</v>
      </c>
      <c r="AE1099" s="220">
        <f>'[2]Изложницы без бурта'!C1099</f>
        <v>615</v>
      </c>
      <c r="AF1099" s="56">
        <f>'[2]Изложницы без бурта'!D1099</f>
        <v>570</v>
      </c>
      <c r="AG1099" s="56">
        <f>'[2]Изложницы без бурта'!E1099</f>
        <v>400</v>
      </c>
      <c r="AH1099" s="56" t="str">
        <f>'[2]Изложницы без бурта'!F1099</f>
        <v>10.254085 - 2</v>
      </c>
      <c r="AI1099" s="56">
        <f>'[2]Изложницы без бурта'!G1099</f>
        <v>7260090</v>
      </c>
      <c r="AJ1099" s="56">
        <f>'[2]Изложницы без бурта'!H1099</f>
        <v>0</v>
      </c>
      <c r="AK1099" s="56">
        <f>'[2]Изложницы без бурта'!I1099</f>
        <v>0</v>
      </c>
      <c r="AL1099" s="56" t="s">
        <v>729</v>
      </c>
      <c r="AM1099" s="56">
        <f>'[2]Изложницы без бурта'!K1099</f>
        <v>0</v>
      </c>
    </row>
    <row r="1100" spans="28:39" x14ac:dyDescent="0.25">
      <c r="AB1100" s="258" t="str">
        <f t="shared" si="27"/>
        <v/>
      </c>
      <c r="AC1100" s="259">
        <f>IF(COUNTIF(AD$78:AD1100,AD1100)=1,MAX(AC$78:AC1099)+1,"")</f>
        <v>146</v>
      </c>
      <c r="AD1100" s="220">
        <f>'[2]Изложницы без бурта'!B1100</f>
        <v>527.5</v>
      </c>
      <c r="AE1100" s="220">
        <f>'[2]Изложницы без бурта'!C1100</f>
        <v>508</v>
      </c>
      <c r="AF1100" s="56">
        <f>'[2]Изложницы без бурта'!D1100</f>
        <v>610</v>
      </c>
      <c r="AG1100" s="56">
        <f>'[2]Изложницы без бурта'!E1100</f>
        <v>400</v>
      </c>
      <c r="AH1100" s="56" t="str">
        <f>'[2]Изложницы без бурта'!F1100</f>
        <v>72.47351 - 4</v>
      </c>
      <c r="AI1100" s="56">
        <f>'[2]Изложницы без бурта'!G1100</f>
        <v>7260091</v>
      </c>
      <c r="AJ1100" s="56">
        <f>'[2]Изложницы без бурта'!H1100</f>
        <v>0</v>
      </c>
      <c r="AK1100" s="56">
        <f>'[2]Изложницы без бурта'!I1100</f>
        <v>0</v>
      </c>
      <c r="AL1100" s="56" t="s">
        <v>730</v>
      </c>
      <c r="AM1100" s="56">
        <f>'[2]Изложницы без бурта'!K1100</f>
        <v>0</v>
      </c>
    </row>
    <row r="1101" spans="28:39" x14ac:dyDescent="0.25">
      <c r="AB1101" s="258" t="str">
        <f t="shared" si="27"/>
        <v/>
      </c>
      <c r="AC1101" s="259" t="str">
        <f>IF(COUNTIF(AD$78:AD1101,AD1101)=1,MAX(AC$78:AC1100)+1,"")</f>
        <v/>
      </c>
      <c r="AD1101" s="220">
        <f>'[2]Изложницы без бурта'!B1101</f>
        <v>527.5</v>
      </c>
      <c r="AE1101" s="220">
        <f>'[2]Изложницы без бурта'!C1101</f>
        <v>677</v>
      </c>
      <c r="AF1101" s="56">
        <f>'[2]Изложницы без бурта'!D1101</f>
        <v>570</v>
      </c>
      <c r="AG1101" s="56">
        <f>'[2]Изложницы без бурта'!E1101</f>
        <v>400</v>
      </c>
      <c r="AH1101" s="56" t="str">
        <f>'[2]Изложницы без бурта'!F1101</f>
        <v>24.271247 - 1</v>
      </c>
      <c r="AI1101" s="56">
        <f>'[2]Изложницы без бурта'!G1101</f>
        <v>7260092</v>
      </c>
      <c r="AJ1101" s="56" t="str">
        <f>'[2]Изложницы без бурта'!H1101</f>
        <v>Толкатель утоплен в кокиль, рабочая длина - 677 мм</v>
      </c>
      <c r="AK1101" s="56">
        <f>'[2]Изложницы без бурта'!I1101</f>
        <v>0</v>
      </c>
      <c r="AL1101" s="56" t="s">
        <v>730</v>
      </c>
      <c r="AM1101" s="56">
        <f>'[2]Изложницы без бурта'!K1101</f>
        <v>0</v>
      </c>
    </row>
    <row r="1102" spans="28:39" x14ac:dyDescent="0.25">
      <c r="AB1102" s="258" t="str">
        <f t="shared" si="27"/>
        <v/>
      </c>
      <c r="AC1102" s="259">
        <f>IF(COUNTIF(AD$78:AD1102,AD1102)=1,MAX(AC$78:AC1101)+1,"")</f>
        <v>147</v>
      </c>
      <c r="AD1102" s="220">
        <f>'[2]Изложницы без бурта'!B1102</f>
        <v>530</v>
      </c>
      <c r="AE1102" s="220">
        <f>'[2]Изложницы без бурта'!C1102</f>
        <v>375</v>
      </c>
      <c r="AF1102" s="56">
        <f>'[2]Изложницы без бурта'!D1102</f>
        <v>610</v>
      </c>
      <c r="AG1102" s="56">
        <f>'[2]Изложницы без бурта'!E1102</f>
        <v>400</v>
      </c>
      <c r="AH1102" s="56" t="str">
        <f>'[2]Изложницы без бурта'!F1102</f>
        <v>72.47350 - 1</v>
      </c>
      <c r="AI1102" s="56">
        <f>'[2]Изложницы без бурта'!G1102</f>
        <v>0</v>
      </c>
      <c r="AJ1102" s="56">
        <f>'[2]Изложницы без бурта'!H1102</f>
        <v>0</v>
      </c>
      <c r="AK1102" s="56">
        <f>'[2]Изложницы без бурта'!I1102</f>
        <v>0</v>
      </c>
      <c r="AL1102" s="56" t="s">
        <v>731</v>
      </c>
      <c r="AM1102" s="56">
        <f>'[2]Изложницы без бурта'!K1102</f>
        <v>0</v>
      </c>
    </row>
    <row r="1103" spans="28:39" x14ac:dyDescent="0.25">
      <c r="AB1103" s="258" t="str">
        <f t="shared" si="27"/>
        <v/>
      </c>
      <c r="AC1103" s="259" t="str">
        <f>IF(COUNTIF(AD$78:AD1103,AD1103)=1,MAX(AC$78:AC1102)+1,"")</f>
        <v/>
      </c>
      <c r="AD1103" s="220">
        <f>'[2]Изложницы без бурта'!B1103</f>
        <v>530</v>
      </c>
      <c r="AE1103" s="220">
        <f>'[2]Изложницы без бурта'!C1103</f>
        <v>374</v>
      </c>
      <c r="AF1103" s="56">
        <f>'[2]Изложницы без бурта'!D1103</f>
        <v>610</v>
      </c>
      <c r="AG1103" s="56">
        <f>'[2]Изложницы без бурта'!E1103</f>
        <v>400</v>
      </c>
      <c r="AH1103" s="56" t="str">
        <f>'[2]Изложницы без бурта'!F1103</f>
        <v>72.47350 - 1</v>
      </c>
      <c r="AI1103" s="56">
        <f>'[2]Изложницы без бурта'!G1103</f>
        <v>0</v>
      </c>
      <c r="AJ1103" s="56">
        <f>'[2]Изложницы без бурта'!H1103</f>
        <v>0</v>
      </c>
      <c r="AK1103" s="56">
        <f>'[2]Изложницы без бурта'!I1103</f>
        <v>0</v>
      </c>
      <c r="AL1103" s="56" t="s">
        <v>731</v>
      </c>
      <c r="AM1103" s="56">
        <f>'[2]Изложницы без бурта'!K1103</f>
        <v>0</v>
      </c>
    </row>
    <row r="1104" spans="28:39" x14ac:dyDescent="0.25">
      <c r="AB1104" s="258" t="str">
        <f t="shared" si="27"/>
        <v/>
      </c>
      <c r="AC1104" s="259">
        <f>IF(COUNTIF(AD$78:AD1104,AD1104)=1,MAX(AC$78:AC1103)+1,"")</f>
        <v>148</v>
      </c>
      <c r="AD1104" s="220">
        <f>'[2]Изложницы без бурта'!B1104</f>
        <v>532.5</v>
      </c>
      <c r="AE1104" s="220">
        <f>'[2]Изложницы без бурта'!C1104</f>
        <v>550</v>
      </c>
      <c r="AF1104" s="56">
        <f>'[2]Изложницы без бурта'!D1104</f>
        <v>610</v>
      </c>
      <c r="AG1104" s="56">
        <f>'[2]Изложницы без бурта'!E1104</f>
        <v>400</v>
      </c>
      <c r="AH1104" s="56" t="str">
        <f>'[2]Изложницы без бурта'!F1104</f>
        <v>10.242267 - 01</v>
      </c>
      <c r="AI1104" s="56">
        <f>'[2]Изложницы без бурта'!G1104</f>
        <v>7260093</v>
      </c>
      <c r="AJ1104" s="56">
        <f>'[2]Изложницы без бурта'!H1104</f>
        <v>0</v>
      </c>
      <c r="AK1104" s="56">
        <f>'[2]Изложницы без бурта'!I1104</f>
        <v>0</v>
      </c>
      <c r="AL1104" s="56" t="s">
        <v>732</v>
      </c>
      <c r="AM1104" s="56">
        <f>'[2]Изложницы без бурта'!K1104</f>
        <v>0</v>
      </c>
    </row>
    <row r="1105" spans="28:39" x14ac:dyDescent="0.25">
      <c r="AB1105" s="258" t="str">
        <f t="shared" si="27"/>
        <v/>
      </c>
      <c r="AC1105" s="259">
        <f>IF(COUNTIF(AD$78:AD1105,AD1105)=1,MAX(AC$78:AC1104)+1,"")</f>
        <v>149</v>
      </c>
      <c r="AD1105" s="220">
        <f>'[2]Изложницы без бурта'!B1105</f>
        <v>535</v>
      </c>
      <c r="AE1105" s="220">
        <f>'[2]Изложницы без бурта'!C1105</f>
        <v>170</v>
      </c>
      <c r="AF1105" s="56">
        <f>'[2]Изложницы без бурта'!D1105</f>
        <v>610</v>
      </c>
      <c r="AG1105" s="56">
        <f>'[2]Изложницы без бурта'!E1105</f>
        <v>400</v>
      </c>
      <c r="AH1105" s="56" t="str">
        <f>'[2]Изложницы без бурта'!F1105</f>
        <v>72.44922 - 1</v>
      </c>
      <c r="AI1105" s="56">
        <f>'[2]Изложницы без бурта'!G1105</f>
        <v>0</v>
      </c>
      <c r="AJ1105" s="56" t="str">
        <f>'[2]Изложницы без бурта'!H1105</f>
        <v>Не найден - Ковалев 02.11.2023</v>
      </c>
      <c r="AK1105" s="56">
        <f>'[2]Изложницы без бурта'!I1105</f>
        <v>0</v>
      </c>
      <c r="AL1105" s="56" t="s">
        <v>733</v>
      </c>
      <c r="AM1105" s="56">
        <f>'[2]Изложницы без бурта'!K1105</f>
        <v>0</v>
      </c>
    </row>
    <row r="1106" spans="28:39" x14ac:dyDescent="0.25">
      <c r="AB1106" s="258" t="str">
        <f t="shared" si="27"/>
        <v/>
      </c>
      <c r="AC1106" s="259">
        <f>IF(COUNTIF(AD$78:AD1106,AD1106)=1,MAX(AC$78:AC1105)+1,"")</f>
        <v>150</v>
      </c>
      <c r="AD1106" s="220">
        <f>'[2]Изложницы без бурта'!B1106</f>
        <v>537.5</v>
      </c>
      <c r="AE1106" s="220">
        <f>'[2]Изложницы без бурта'!C1106</f>
        <v>260</v>
      </c>
      <c r="AF1106" s="56">
        <f>'[2]Изложницы без бурта'!D1106</f>
        <v>610</v>
      </c>
      <c r="AG1106" s="56">
        <f>'[2]Изложницы без бурта'!E1106</f>
        <v>400</v>
      </c>
      <c r="AH1106" s="56" t="str">
        <f>'[2]Изложницы без бурта'!F1106</f>
        <v>72.48652 - 1</v>
      </c>
      <c r="AI1106" s="56">
        <f>'[2]Изложницы без бурта'!G1106</f>
        <v>0</v>
      </c>
      <c r="AJ1106" s="56">
        <f>'[2]Изложницы без бурта'!H1106</f>
        <v>0</v>
      </c>
      <c r="AK1106" s="56">
        <f>'[2]Изложницы без бурта'!I1106</f>
        <v>0</v>
      </c>
      <c r="AL1106" s="56" t="s">
        <v>734</v>
      </c>
      <c r="AM1106" s="56">
        <f>'[2]Изложницы без бурта'!K1106</f>
        <v>0</v>
      </c>
    </row>
    <row r="1107" spans="28:39" x14ac:dyDescent="0.25">
      <c r="AB1107" s="258" t="str">
        <f t="shared" si="27"/>
        <v/>
      </c>
      <c r="AC1107" s="259">
        <f>IF(COUNTIF(AD$78:AD1107,AD1107)=1,MAX(AC$78:AC1106)+1,"")</f>
        <v>151</v>
      </c>
      <c r="AD1107" s="220">
        <f>'[2]Изложницы без бурта'!B1107</f>
        <v>545</v>
      </c>
      <c r="AE1107" s="220">
        <f>'[2]Изложницы без бурта'!C1107</f>
        <v>403</v>
      </c>
      <c r="AF1107" s="56">
        <f>'[2]Изложницы без бурта'!D1107</f>
        <v>640</v>
      </c>
      <c r="AG1107" s="56">
        <f>'[2]Изложницы без бурта'!E1107</f>
        <v>400</v>
      </c>
      <c r="AH1107" s="56" t="str">
        <f>'[2]Изложницы без бурта'!F1107</f>
        <v>10.242291 - 3</v>
      </c>
      <c r="AI1107" s="56">
        <f>'[2]Изложницы без бурта'!G1107</f>
        <v>7260094</v>
      </c>
      <c r="AJ1107" s="56">
        <f>'[2]Изложницы без бурта'!H1107</f>
        <v>0</v>
      </c>
      <c r="AK1107" s="56">
        <f>'[2]Изложницы без бурта'!I1107</f>
        <v>0</v>
      </c>
      <c r="AL1107" s="56" t="s">
        <v>735</v>
      </c>
      <c r="AM1107" s="56">
        <f>'[2]Изложницы без бурта'!K1107</f>
        <v>0</v>
      </c>
    </row>
    <row r="1108" spans="28:39" x14ac:dyDescent="0.25">
      <c r="AB1108" s="258" t="str">
        <f t="shared" si="27"/>
        <v/>
      </c>
      <c r="AC1108" s="259">
        <f>IF(COUNTIF(AD$78:AD1108,AD1108)=1,MAX(AC$78:AC1107)+1,"")</f>
        <v>152</v>
      </c>
      <c r="AD1108" s="220">
        <f>'[2]Изложницы без бурта'!B1108</f>
        <v>547.5</v>
      </c>
      <c r="AE1108" s="220">
        <f>'[2]Изложницы без бурта'!C1108</f>
        <v>263</v>
      </c>
      <c r="AF1108" s="56">
        <f>'[2]Изложницы без бурта'!D1108</f>
        <v>610</v>
      </c>
      <c r="AG1108" s="56">
        <f>'[2]Изложницы без бурта'!E1108</f>
        <v>400</v>
      </c>
      <c r="AH1108" s="56" t="str">
        <f>'[2]Изложницы без бурта'!F1108</f>
        <v>72.48652 - 1</v>
      </c>
      <c r="AI1108" s="56">
        <f>'[2]Изложницы без бурта'!G1108</f>
        <v>7260095</v>
      </c>
      <c r="AJ1108" s="56">
        <f>'[2]Изложницы без бурта'!H1108</f>
        <v>0</v>
      </c>
      <c r="AK1108" s="56">
        <f>'[2]Изложницы без бурта'!I1108</f>
        <v>0</v>
      </c>
      <c r="AL1108" s="56" t="s">
        <v>736</v>
      </c>
      <c r="AM1108" s="56">
        <f>'[2]Изложницы без бурта'!K1108</f>
        <v>0</v>
      </c>
    </row>
    <row r="1109" spans="28:39" x14ac:dyDescent="0.25">
      <c r="AB1109" s="258" t="str">
        <f t="shared" si="27"/>
        <v/>
      </c>
      <c r="AC1109" s="259">
        <f>IF(COUNTIF(AD$78:AD1109,AD1109)=1,MAX(AC$78:AC1108)+1,"")</f>
        <v>153</v>
      </c>
      <c r="AD1109" s="220">
        <f>'[2]Изложницы без бурта'!B1109</f>
        <v>555</v>
      </c>
      <c r="AE1109" s="220">
        <f>'[2]Изложницы без бурта'!C1109</f>
        <v>135</v>
      </c>
      <c r="AF1109" s="56">
        <f>'[2]Изложницы без бурта'!D1109</f>
        <v>640</v>
      </c>
      <c r="AG1109" s="56">
        <f>'[2]Изложницы без бурта'!E1109</f>
        <v>400</v>
      </c>
      <c r="AH1109" s="56" t="str">
        <f>'[2]Изложницы без бурта'!F1109</f>
        <v>72.47352 - 1</v>
      </c>
      <c r="AI1109" s="56">
        <f>'[2]Изложницы без бурта'!G1109</f>
        <v>0</v>
      </c>
      <c r="AJ1109" s="56">
        <f>'[2]Изложницы без бурта'!H1109</f>
        <v>0</v>
      </c>
      <c r="AK1109" s="56">
        <f>'[2]Изложницы без бурта'!I1109</f>
        <v>0</v>
      </c>
      <c r="AL1109" s="56" t="s">
        <v>737</v>
      </c>
      <c r="AM1109" s="56">
        <f>'[2]Изложницы без бурта'!K1109</f>
        <v>0</v>
      </c>
    </row>
    <row r="1110" spans="28:39" x14ac:dyDescent="0.25">
      <c r="AB1110" s="258" t="str">
        <f t="shared" si="27"/>
        <v/>
      </c>
      <c r="AC1110" s="259" t="str">
        <f>IF(COUNTIF(AD$78:AD1110,AD1110)=1,MAX(AC$78:AC1109)+1,"")</f>
        <v/>
      </c>
      <c r="AD1110" s="220">
        <f>'[2]Изложницы без бурта'!B1110</f>
        <v>555</v>
      </c>
      <c r="AE1110" s="220">
        <f>'[2]Изложницы без бурта'!C1110</f>
        <v>132</v>
      </c>
      <c r="AF1110" s="56">
        <f>'[2]Изложницы без бурта'!D1110</f>
        <v>640</v>
      </c>
      <c r="AG1110" s="56">
        <f>'[2]Изложницы без бурта'!E1110</f>
        <v>400</v>
      </c>
      <c r="AH1110" s="56" t="str">
        <f>'[2]Изложницы без бурта'!F1110</f>
        <v>72.47352 - 1</v>
      </c>
      <c r="AI1110" s="56">
        <f>'[2]Изложницы без бурта'!G1110</f>
        <v>0</v>
      </c>
      <c r="AJ1110" s="56">
        <f>'[2]Изложницы без бурта'!H1110</f>
        <v>0</v>
      </c>
      <c r="AK1110" s="56">
        <f>'[2]Изложницы без бурта'!I1110</f>
        <v>0</v>
      </c>
      <c r="AL1110" s="56" t="s">
        <v>737</v>
      </c>
      <c r="AM1110" s="56">
        <f>'[2]Изложницы без бурта'!K1110</f>
        <v>0</v>
      </c>
    </row>
    <row r="1111" spans="28:39" x14ac:dyDescent="0.25">
      <c r="AB1111" s="258" t="str">
        <f t="shared" si="27"/>
        <v/>
      </c>
      <c r="AC1111" s="259" t="str">
        <f>IF(COUNTIF(AD$78:AD1111,AD1111)=1,MAX(AC$78:AC1110)+1,"")</f>
        <v/>
      </c>
      <c r="AD1111" s="220">
        <f>'[2]Изложницы без бурта'!B1111</f>
        <v>555</v>
      </c>
      <c r="AE1111" s="220">
        <f>'[2]Изложницы без бурта'!C1111</f>
        <v>645</v>
      </c>
      <c r="AF1111" s="56">
        <f>'[2]Изложницы без бурта'!D1111</f>
        <v>640</v>
      </c>
      <c r="AG1111" s="56">
        <f>'[2]Изложницы без бурта'!E1111</f>
        <v>400</v>
      </c>
      <c r="AH1111" s="56" t="str">
        <f>'[2]Изложницы без бурта'!F1111</f>
        <v>72.47722 - 1</v>
      </c>
      <c r="AI1111" s="56">
        <f>'[2]Изложницы без бурта'!G1111</f>
        <v>0</v>
      </c>
      <c r="AJ1111" s="56" t="str">
        <f>'[2]Изложницы без бурта'!H1111</f>
        <v>ф зал.кр. = 150 (посадка 640)</v>
      </c>
      <c r="AK1111" s="56">
        <f>'[2]Изложницы без бурта'!I1111</f>
        <v>0</v>
      </c>
      <c r="AL1111" s="56" t="s">
        <v>737</v>
      </c>
      <c r="AM1111" s="56">
        <f>'[2]Изложницы без бурта'!K1111</f>
        <v>0</v>
      </c>
    </row>
    <row r="1112" spans="28:39" x14ac:dyDescent="0.25">
      <c r="AB1112" s="258" t="str">
        <f t="shared" si="27"/>
        <v/>
      </c>
      <c r="AC1112" s="259">
        <f>IF(COUNTIF(AD$78:AD1112,AD1112)=1,MAX(AC$78:AC1111)+1,"")</f>
        <v>154</v>
      </c>
      <c r="AD1112" s="220">
        <f>'[2]Изложницы без бурта'!B1112</f>
        <v>560</v>
      </c>
      <c r="AE1112" s="220">
        <f>'[2]Изложницы без бурта'!C1112</f>
        <v>135</v>
      </c>
      <c r="AF1112" s="56">
        <f>'[2]Изложницы без бурта'!D1112</f>
        <v>610</v>
      </c>
      <c r="AG1112" s="56">
        <f>'[2]Изложницы без бурта'!E1112</f>
        <v>400</v>
      </c>
      <c r="AH1112" s="56" t="str">
        <f>'[2]Изложницы без бурта'!F1112</f>
        <v>72.47352 - 1</v>
      </c>
      <c r="AI1112" s="56">
        <f>'[2]Изложницы без бурта'!G1112</f>
        <v>0</v>
      </c>
      <c r="AJ1112" s="56">
        <f>'[2]Изложницы без бурта'!H1112</f>
        <v>0</v>
      </c>
      <c r="AK1112" s="56">
        <f>'[2]Изложницы без бурта'!I1112</f>
        <v>0</v>
      </c>
      <c r="AL1112" s="56" t="s">
        <v>738</v>
      </c>
      <c r="AM1112" s="56">
        <f>'[2]Изложницы без бурта'!K1112</f>
        <v>0</v>
      </c>
    </row>
    <row r="1113" spans="28:39" x14ac:dyDescent="0.25">
      <c r="AB1113" s="258" t="str">
        <f t="shared" si="27"/>
        <v/>
      </c>
      <c r="AC1113" s="259">
        <f>IF(COUNTIF(AD$78:AD1113,AD1113)=1,MAX(AC$78:AC1112)+1,"")</f>
        <v>155</v>
      </c>
      <c r="AD1113" s="220">
        <f>'[2]Изложницы без бурта'!B1113</f>
        <v>565</v>
      </c>
      <c r="AE1113" s="220">
        <f>'[2]Изложницы без бурта'!C1113</f>
        <v>350</v>
      </c>
      <c r="AF1113" s="56">
        <f>'[2]Изложницы без бурта'!D1113</f>
        <v>640</v>
      </c>
      <c r="AG1113" s="56">
        <f>'[2]Изложницы без бурта'!E1113</f>
        <v>400</v>
      </c>
      <c r="AH1113" s="56" t="str">
        <f>'[2]Изложницы без бурта'!F1113</f>
        <v>72.47730 - 1</v>
      </c>
      <c r="AI1113" s="56">
        <f>'[2]Изложницы без бурта'!G1113</f>
        <v>7260096</v>
      </c>
      <c r="AJ1113" s="56" t="str">
        <f>'[2]Изложницы без бурта'!H1113</f>
        <v>могут выставить толкатель на меньшую рабочую длину  - 04.02.2021</v>
      </c>
      <c r="AK1113" s="56">
        <f>'[2]Изложницы без бурта'!I1113</f>
        <v>0</v>
      </c>
      <c r="AL1113" s="56" t="s">
        <v>739</v>
      </c>
      <c r="AM1113" s="56">
        <f>'[2]Изложницы без бурта'!K1113</f>
        <v>0</v>
      </c>
    </row>
    <row r="1114" spans="28:39" x14ac:dyDescent="0.25">
      <c r="AB1114" s="258" t="str">
        <f t="shared" si="27"/>
        <v/>
      </c>
      <c r="AC1114" s="259" t="str">
        <f>IF(COUNTIF(AD$78:AD1114,AD1114)=1,MAX(AC$78:AC1113)+1,"")</f>
        <v/>
      </c>
      <c r="AD1114" s="220">
        <f>'[2]Изложницы без бурта'!B1114</f>
        <v>565</v>
      </c>
      <c r="AE1114" s="220">
        <f>'[2]Изложницы без бурта'!C1114</f>
        <v>588</v>
      </c>
      <c r="AF1114" s="56">
        <f>'[2]Изложницы без бурта'!D1114</f>
        <v>640</v>
      </c>
      <c r="AG1114" s="56">
        <f>'[2]Изложницы без бурта'!E1114</f>
        <v>400</v>
      </c>
      <c r="AH1114" s="56" t="str">
        <f>'[2]Изложницы без бурта'!F1114</f>
        <v>72.47252 - 1</v>
      </c>
      <c r="AI1114" s="56">
        <f>'[2]Изложницы без бурта'!G1114</f>
        <v>7260097</v>
      </c>
      <c r="AJ1114" s="56">
        <f>'[2]Изложницы без бурта'!H1114</f>
        <v>0</v>
      </c>
      <c r="AK1114" s="56">
        <f>'[2]Изложницы без бурта'!I1114</f>
        <v>0</v>
      </c>
      <c r="AL1114" s="56" t="s">
        <v>739</v>
      </c>
      <c r="AM1114" s="56">
        <f>'[2]Изложницы без бурта'!K1114</f>
        <v>0</v>
      </c>
    </row>
    <row r="1115" spans="28:39" x14ac:dyDescent="0.25">
      <c r="AB1115" s="258" t="str">
        <f t="shared" si="27"/>
        <v/>
      </c>
      <c r="AC1115" s="259">
        <f>IF(COUNTIF(AD$78:AD1115,AD1115)=1,MAX(AC$78:AC1114)+1,"")</f>
        <v>156</v>
      </c>
      <c r="AD1115" s="220">
        <f>'[2]Изложницы без бурта'!B1115</f>
        <v>572.5</v>
      </c>
      <c r="AE1115" s="220">
        <f>'[2]Изложницы без бурта'!C1115</f>
        <v>645</v>
      </c>
      <c r="AF1115" s="56">
        <f>'[2]Изложницы без бурта'!D1115</f>
        <v>670</v>
      </c>
      <c r="AG1115" s="56">
        <f>'[2]Изложницы без бурта'!E1115</f>
        <v>400</v>
      </c>
      <c r="AH1115" s="56" t="str">
        <f>'[2]Изложницы без бурта'!F1115</f>
        <v>72.47722 - 1</v>
      </c>
      <c r="AI1115" s="56">
        <f>'[2]Изложницы без бурта'!G1115</f>
        <v>7260098</v>
      </c>
      <c r="AJ1115" s="56">
        <f>'[2]Изложницы без бурта'!H1115</f>
        <v>0</v>
      </c>
      <c r="AK1115" s="56">
        <f>'[2]Изложницы без бурта'!I1115</f>
        <v>0</v>
      </c>
      <c r="AL1115" s="56" t="s">
        <v>740</v>
      </c>
      <c r="AM1115" s="56">
        <f>'[2]Изложницы без бурта'!K1115</f>
        <v>0</v>
      </c>
    </row>
    <row r="1116" spans="28:39" x14ac:dyDescent="0.25">
      <c r="AB1116" s="258" t="str">
        <f t="shared" si="27"/>
        <v/>
      </c>
      <c r="AC1116" s="259">
        <f>IF(COUNTIF(AD$78:AD1116,AD1116)=1,MAX(AC$78:AC1115)+1,"")</f>
        <v>157</v>
      </c>
      <c r="AD1116" s="220">
        <f>'[2]Изложницы без бурта'!B1116</f>
        <v>575</v>
      </c>
      <c r="AE1116" s="220">
        <f>'[2]Изложницы без бурта'!C1116</f>
        <v>280</v>
      </c>
      <c r="AF1116" s="56">
        <f>'[2]Изложницы без бурта'!D1116</f>
        <v>640</v>
      </c>
      <c r="AG1116" s="56">
        <f>'[2]Изложницы без бурта'!E1116</f>
        <v>400</v>
      </c>
      <c r="AH1116" s="56" t="str">
        <f>'[2]Изложницы без бурта'!F1116</f>
        <v>72.47345 - 1</v>
      </c>
      <c r="AI1116" s="56">
        <f>'[2]Изложницы без бурта'!G1116</f>
        <v>7260099</v>
      </c>
      <c r="AJ1116" s="56" t="str">
        <f>'[2]Изложницы без бурта'!H1116</f>
        <v>могут выставить толкатель на меньшую рабочую длину  - 04.02.2021</v>
      </c>
      <c r="AK1116" s="56">
        <f>'[2]Изложницы без бурта'!I1116</f>
        <v>0</v>
      </c>
      <c r="AL1116" s="56" t="s">
        <v>741</v>
      </c>
      <c r="AM1116" s="56">
        <f>'[2]Изложницы без бурта'!K1116</f>
        <v>0</v>
      </c>
    </row>
    <row r="1117" spans="28:39" x14ac:dyDescent="0.25">
      <c r="AB1117" s="258" t="str">
        <f t="shared" si="27"/>
        <v/>
      </c>
      <c r="AC1117" s="259" t="str">
        <f>IF(COUNTIF(AD$78:AD1117,AD1117)=1,MAX(AC$78:AC1116)+1,"")</f>
        <v/>
      </c>
      <c r="AD1117" s="220">
        <f>'[2]Изложницы без бурта'!B1117</f>
        <v>575</v>
      </c>
      <c r="AE1117" s="220">
        <f>'[2]Изложницы без бурта'!C1117</f>
        <v>483</v>
      </c>
      <c r="AF1117" s="56">
        <f>'[2]Изложницы без бурта'!D1117</f>
        <v>640</v>
      </c>
      <c r="AG1117" s="56">
        <f>'[2]Изложницы без бурта'!E1117</f>
        <v>400</v>
      </c>
      <c r="AH1117" s="56" t="str">
        <f>'[2]Изложницы без бурта'!F1117</f>
        <v>10.245420 - 1</v>
      </c>
      <c r="AI1117" s="56">
        <f>'[2]Изложницы без бурта'!G1117</f>
        <v>7260100</v>
      </c>
      <c r="AJ1117" s="56">
        <f>'[2]Изложницы без бурта'!H1117</f>
        <v>0</v>
      </c>
      <c r="AK1117" s="56">
        <f>'[2]Изложницы без бурта'!I1117</f>
        <v>0</v>
      </c>
      <c r="AL1117" s="56" t="s">
        <v>741</v>
      </c>
      <c r="AM1117" s="56">
        <f>'[2]Изложницы без бурта'!K1117</f>
        <v>0</v>
      </c>
    </row>
    <row r="1118" spans="28:39" x14ac:dyDescent="0.25">
      <c r="AB1118" s="258" t="str">
        <f t="shared" si="27"/>
        <v/>
      </c>
      <c r="AC1118" s="259">
        <f>IF(COUNTIF(AD$78:AD1118,AD1118)=1,MAX(AC$78:AC1117)+1,"")</f>
        <v>158</v>
      </c>
      <c r="AD1118" s="220">
        <f>'[2]Изложницы без бурта'!B1118</f>
        <v>580</v>
      </c>
      <c r="AE1118" s="220">
        <f>'[2]Изложницы без бурта'!C1118</f>
        <v>457</v>
      </c>
      <c r="AF1118" s="56">
        <f>'[2]Изложницы без бурта'!D1118</f>
        <v>670</v>
      </c>
      <c r="AG1118" s="56">
        <f>'[2]Изложницы без бурта'!E1118</f>
        <v>400</v>
      </c>
      <c r="AH1118" s="56" t="str">
        <f>'[2]Изложницы без бурта'!F1118</f>
        <v>10.245420 - 1</v>
      </c>
      <c r="AI1118" s="56">
        <f>'[2]Изложницы без бурта'!G1118</f>
        <v>0</v>
      </c>
      <c r="AJ1118" s="56">
        <f>'[2]Изложницы без бурта'!H1118</f>
        <v>0</v>
      </c>
      <c r="AK1118" s="56">
        <f>'[2]Изложницы без бурта'!I1118</f>
        <v>0</v>
      </c>
      <c r="AL1118" s="56" t="s">
        <v>742</v>
      </c>
      <c r="AM1118" s="56">
        <f>'[2]Изложницы без бурта'!K1118</f>
        <v>0</v>
      </c>
    </row>
    <row r="1119" spans="28:39" x14ac:dyDescent="0.25">
      <c r="AB1119" s="258" t="str">
        <f t="shared" si="27"/>
        <v/>
      </c>
      <c r="AC1119" s="259">
        <f>IF(COUNTIF(AD$78:AD1119,AD1119)=1,MAX(AC$78:AC1118)+1,"")</f>
        <v>159</v>
      </c>
      <c r="AD1119" s="220">
        <f>'[2]Изложницы без бурта'!B1119</f>
        <v>585</v>
      </c>
      <c r="AE1119" s="220">
        <f>'[2]Изложницы без бурта'!C1119</f>
        <v>315</v>
      </c>
      <c r="AF1119" s="56">
        <f>'[2]Изложницы без бурта'!D1119</f>
        <v>700</v>
      </c>
      <c r="AG1119" s="56">
        <f>'[2]Изложницы без бурта'!E1119</f>
        <v>400</v>
      </c>
      <c r="AH1119" s="56" t="str">
        <f>'[2]Изложницы без бурта'!F1119</f>
        <v>10.252631 - 3</v>
      </c>
      <c r="AI1119" s="56">
        <f>'[2]Изложницы без бурта'!G1119</f>
        <v>7260101</v>
      </c>
      <c r="AJ1119" s="56" t="str">
        <f>'[2]Изложницы без бурта'!H1119</f>
        <v>могут выставить рабочую длину 100мм - 10.02.2021</v>
      </c>
      <c r="AK1119" s="56">
        <f>'[2]Изложницы без бурта'!I1119</f>
        <v>0</v>
      </c>
      <c r="AL1119" s="56" t="s">
        <v>743</v>
      </c>
      <c r="AM1119" s="56">
        <f>'[2]Изложницы без бурта'!K1119</f>
        <v>0</v>
      </c>
    </row>
    <row r="1120" spans="28:39" x14ac:dyDescent="0.25">
      <c r="AB1120" s="258" t="str">
        <f t="shared" si="27"/>
        <v/>
      </c>
      <c r="AC1120" s="259" t="str">
        <f>IF(COUNTIF(AD$78:AD1120,AD1120)=1,MAX(AC$78:AC1119)+1,"")</f>
        <v/>
      </c>
      <c r="AD1120" s="220">
        <f>'[2]Изложницы без бурта'!B1120</f>
        <v>585</v>
      </c>
      <c r="AE1120" s="220">
        <f>'[2]Изложницы без бурта'!C1120</f>
        <v>360</v>
      </c>
      <c r="AF1120" s="56">
        <f>'[2]Изложницы без бурта'!D1120</f>
        <v>670</v>
      </c>
      <c r="AG1120" s="56">
        <f>'[2]Изложницы без бурта'!E1120</f>
        <v>400</v>
      </c>
      <c r="AH1120" s="56" t="str">
        <f>'[2]Изложницы без бурта'!F1120</f>
        <v>10.252638 - 1</v>
      </c>
      <c r="AI1120" s="56">
        <f>'[2]Изложницы без бурта'!G1120</f>
        <v>0</v>
      </c>
      <c r="AJ1120" s="56">
        <f>'[2]Изложницы без бурта'!H1120</f>
        <v>0</v>
      </c>
      <c r="AK1120" s="56">
        <f>'[2]Изложницы без бурта'!I1120</f>
        <v>0</v>
      </c>
      <c r="AL1120" s="56" t="s">
        <v>743</v>
      </c>
      <c r="AM1120" s="56">
        <f>'[2]Изложницы без бурта'!K1120</f>
        <v>0</v>
      </c>
    </row>
    <row r="1121" spans="28:39" x14ac:dyDescent="0.25">
      <c r="AB1121" s="258" t="str">
        <f t="shared" si="27"/>
        <v/>
      </c>
      <c r="AC1121" s="259">
        <f>IF(COUNTIF(AD$78:AD1121,AD1121)=1,MAX(AC$78:AC1120)+1,"")</f>
        <v>160</v>
      </c>
      <c r="AD1121" s="220">
        <f>'[2]Изложницы без бурта'!B1121</f>
        <v>590</v>
      </c>
      <c r="AE1121" s="220">
        <f>'[2]Изложницы без бурта'!C1121</f>
        <v>363</v>
      </c>
      <c r="AF1121" s="56">
        <f>'[2]Изложницы без бурта'!D1121</f>
        <v>700</v>
      </c>
      <c r="AG1121" s="56">
        <f>'[2]Изложницы без бурта'!E1121</f>
        <v>400</v>
      </c>
      <c r="AH1121" s="56" t="str">
        <f>'[2]Изложницы без бурта'!F1121</f>
        <v>10.252638 - 1</v>
      </c>
      <c r="AI1121" s="56">
        <f>'[2]Изложницы без бурта'!G1121</f>
        <v>0</v>
      </c>
      <c r="AJ1121" s="56" t="str">
        <f>'[2]Изложницы без бурта'!H1121</f>
        <v>расточен с ф=585</v>
      </c>
      <c r="AK1121" s="56">
        <f>'[2]Изложницы без бурта'!I1121</f>
        <v>0</v>
      </c>
      <c r="AL1121" s="56" t="s">
        <v>744</v>
      </c>
      <c r="AM1121" s="56">
        <f>'[2]Изложницы без бурта'!K1121</f>
        <v>0</v>
      </c>
    </row>
    <row r="1122" spans="28:39" x14ac:dyDescent="0.25">
      <c r="AB1122" s="258" t="str">
        <f t="shared" si="27"/>
        <v/>
      </c>
      <c r="AC1122" s="259">
        <f>IF(COUNTIF(AD$78:AD1122,AD1122)=1,MAX(AC$78:AC1121)+1,"")</f>
        <v>161</v>
      </c>
      <c r="AD1122" s="220">
        <f>'[2]Изложницы без бурта'!B1122</f>
        <v>592.5</v>
      </c>
      <c r="AE1122" s="220">
        <f>'[2]Изложницы без бурта'!C1122</f>
        <v>270</v>
      </c>
      <c r="AF1122" s="56">
        <f>'[2]Изложницы без бурта'!D1122</f>
        <v>700</v>
      </c>
      <c r="AG1122" s="56">
        <f>'[2]Изложницы без бурта'!E1122</f>
        <v>400</v>
      </c>
      <c r="AH1122" s="56" t="str">
        <f>'[2]Изложницы без бурта'!F1122</f>
        <v>72.47345 - 2</v>
      </c>
      <c r="AI1122" s="56">
        <f>'[2]Изложницы без бурта'!G1122</f>
        <v>7260102</v>
      </c>
      <c r="AJ1122" s="56">
        <f>'[2]Изложницы без бурта'!H1122</f>
        <v>0</v>
      </c>
      <c r="AK1122" s="56">
        <f>'[2]Изложницы без бурта'!I1122</f>
        <v>0</v>
      </c>
      <c r="AL1122" s="56" t="s">
        <v>745</v>
      </c>
      <c r="AM1122" s="56">
        <f>'[2]Изложницы без бурта'!K1122</f>
        <v>0</v>
      </c>
    </row>
    <row r="1123" spans="28:39" x14ac:dyDescent="0.25">
      <c r="AB1123" s="258" t="str">
        <f t="shared" si="27"/>
        <v/>
      </c>
      <c r="AC1123" s="259">
        <f>IF(COUNTIF(AD$78:AD1123,AD1123)=1,MAX(AC$78:AC1122)+1,"")</f>
        <v>162</v>
      </c>
      <c r="AD1123" s="220">
        <f>'[2]Изложницы без бурта'!B1123</f>
        <v>595</v>
      </c>
      <c r="AE1123" s="220">
        <f>'[2]Изложницы без бурта'!C1123</f>
        <v>300</v>
      </c>
      <c r="AF1123" s="56">
        <f>'[2]Изложницы без бурта'!D1123</f>
        <v>670</v>
      </c>
      <c r="AG1123" s="56">
        <f>'[2]Изложницы без бурта'!E1123</f>
        <v>400</v>
      </c>
      <c r="AH1123" s="56" t="str">
        <f>'[2]Изложницы без бурта'!F1123</f>
        <v>10.254087 - 1</v>
      </c>
      <c r="AI1123" s="56">
        <f>'[2]Изложницы без бурта'!G1123</f>
        <v>0</v>
      </c>
      <c r="AJ1123" s="56">
        <f>'[2]Изложницы без бурта'!H1123</f>
        <v>0</v>
      </c>
      <c r="AK1123" s="56">
        <f>'[2]Изложницы без бурта'!I1123</f>
        <v>0</v>
      </c>
      <c r="AL1123" s="56" t="s">
        <v>746</v>
      </c>
      <c r="AM1123" s="56">
        <f>'[2]Изложницы без бурта'!K1123</f>
        <v>0</v>
      </c>
    </row>
    <row r="1124" spans="28:39" x14ac:dyDescent="0.25">
      <c r="AB1124" s="258" t="str">
        <f t="shared" si="27"/>
        <v/>
      </c>
      <c r="AC1124" s="259">
        <f>IF(COUNTIF(AD$78:AD1124,AD1124)=1,MAX(AC$78:AC1123)+1,"")</f>
        <v>163</v>
      </c>
      <c r="AD1124" s="220">
        <f>'[2]Изложницы без бурта'!B1124</f>
        <v>597.5</v>
      </c>
      <c r="AE1124" s="220">
        <f>'[2]Изложницы без бурта'!C1124</f>
        <v>592</v>
      </c>
      <c r="AF1124" s="56">
        <f>'[2]Изложницы без бурта'!D1124</f>
        <v>700</v>
      </c>
      <c r="AG1124" s="56">
        <f>'[2]Изложницы без бурта'!E1124</f>
        <v>400</v>
      </c>
      <c r="AH1124" s="56" t="str">
        <f>'[2]Изложницы без бурта'!F1124</f>
        <v>10.240253 - 1</v>
      </c>
      <c r="AI1124" s="56">
        <f>'[2]Изложницы без бурта'!G1124</f>
        <v>0</v>
      </c>
      <c r="AJ1124" s="56">
        <f>'[2]Изложницы без бурта'!H1124</f>
        <v>0</v>
      </c>
      <c r="AK1124" s="56">
        <f>'[2]Изложницы без бурта'!I1124</f>
        <v>0</v>
      </c>
      <c r="AL1124" s="56" t="s">
        <v>747</v>
      </c>
      <c r="AM1124" s="56">
        <f>'[2]Изложницы без бурта'!K1124</f>
        <v>0</v>
      </c>
    </row>
    <row r="1125" spans="28:39" x14ac:dyDescent="0.25">
      <c r="AB1125" s="258" t="str">
        <f t="shared" si="27"/>
        <v/>
      </c>
      <c r="AC1125" s="259">
        <f>IF(COUNTIF(AD$78:AD1125,AD1125)=1,MAX(AC$78:AC1124)+1,"")</f>
        <v>164</v>
      </c>
      <c r="AD1125" s="220">
        <f>'[2]Изложницы без бурта'!B1125</f>
        <v>600</v>
      </c>
      <c r="AE1125" s="220">
        <f>'[2]Изложницы без бурта'!C1125</f>
        <v>260</v>
      </c>
      <c r="AF1125" s="56">
        <f>'[2]Изложницы без бурта'!D1125</f>
        <v>670</v>
      </c>
      <c r="AG1125" s="56">
        <f>'[2]Изложницы без бурта'!E1125</f>
        <v>400</v>
      </c>
      <c r="AH1125" s="56" t="str">
        <f>'[2]Изложницы без бурта'!F1125</f>
        <v>72.46042 - 1</v>
      </c>
      <c r="AI1125" s="56">
        <f>'[2]Изложницы без бурта'!G1125</f>
        <v>7260103</v>
      </c>
      <c r="AJ1125" s="56">
        <f>'[2]Изложницы без бурта'!H1125</f>
        <v>0</v>
      </c>
      <c r="AK1125" s="56">
        <f>'[2]Изложницы без бурта'!I1125</f>
        <v>0</v>
      </c>
      <c r="AL1125" s="56" t="s">
        <v>748</v>
      </c>
      <c r="AM1125" s="56">
        <f>'[2]Изложницы без бурта'!K1125</f>
        <v>0</v>
      </c>
    </row>
    <row r="1126" spans="28:39" x14ac:dyDescent="0.25">
      <c r="AB1126" s="258" t="str">
        <f t="shared" si="27"/>
        <v/>
      </c>
      <c r="AC1126" s="259">
        <f>IF(COUNTIF(AD$78:AD1126,AD1126)=1,MAX(AC$78:AC1125)+1,"")</f>
        <v>165</v>
      </c>
      <c r="AD1126" s="220">
        <f>'[2]Изложницы без бурта'!B1126</f>
        <v>610</v>
      </c>
      <c r="AE1126" s="220">
        <f>'[2]Изложницы без бурта'!C1126</f>
        <v>643</v>
      </c>
      <c r="AF1126" s="56">
        <f>'[2]Изложницы без бурта'!D1126</f>
        <v>670</v>
      </c>
      <c r="AG1126" s="56">
        <f>'[2]Изложницы без бурта'!E1126</f>
        <v>400</v>
      </c>
      <c r="AH1126" s="56" t="str">
        <f>'[2]Изложницы без бурта'!F1126</f>
        <v>10.240253 - 1</v>
      </c>
      <c r="AI1126" s="56">
        <f>'[2]Изложницы без бурта'!G1126</f>
        <v>0</v>
      </c>
      <c r="AJ1126" s="56">
        <f>'[2]Изложницы без бурта'!H1126</f>
        <v>0</v>
      </c>
      <c r="AK1126" s="56">
        <f>'[2]Изложницы без бурта'!I1126</f>
        <v>0</v>
      </c>
      <c r="AL1126" s="56" t="s">
        <v>749</v>
      </c>
      <c r="AM1126" s="56">
        <f>'[2]Изложницы без бурта'!K1126</f>
        <v>0</v>
      </c>
    </row>
    <row r="1127" spans="28:39" x14ac:dyDescent="0.25">
      <c r="AB1127" s="258" t="str">
        <f t="shared" si="27"/>
        <v/>
      </c>
      <c r="AC1127" s="259" t="str">
        <f>IF(COUNTIF(AD$78:AD1127,AD1127)=1,MAX(AC$78:AC1126)+1,"")</f>
        <v/>
      </c>
      <c r="AD1127" s="220">
        <f>'[2]Изложницы без бурта'!B1127</f>
        <v>610</v>
      </c>
      <c r="AE1127" s="220">
        <f>'[2]Изложницы без бурта'!C1127</f>
        <v>420</v>
      </c>
      <c r="AF1127" s="56">
        <f>'[2]Изложницы без бурта'!D1127</f>
        <v>700</v>
      </c>
      <c r="AG1127" s="56">
        <f>'[2]Изложницы без бурта'!E1127</f>
        <v>400</v>
      </c>
      <c r="AH1127" s="56" t="str">
        <f>'[2]Изложницы без бурта'!F1127</f>
        <v>72.47354 - 1</v>
      </c>
      <c r="AI1127" s="56">
        <f>'[2]Изложницы без бурта'!G1127</f>
        <v>0</v>
      </c>
      <c r="AJ1127" s="56">
        <f>'[2]Изложницы без бурта'!H1127</f>
        <v>0</v>
      </c>
      <c r="AK1127" s="56">
        <f>'[2]Изложницы без бурта'!I1127</f>
        <v>0</v>
      </c>
      <c r="AL1127" s="56" t="s">
        <v>749</v>
      </c>
      <c r="AM1127" s="56">
        <f>'[2]Изложницы без бурта'!K1127</f>
        <v>0</v>
      </c>
    </row>
    <row r="1128" spans="28:39" x14ac:dyDescent="0.25">
      <c r="AB1128" s="258" t="str">
        <f t="shared" si="27"/>
        <v/>
      </c>
      <c r="AC1128" s="259">
        <f>IF(COUNTIF(AD$78:AD1128,AD1128)=1,MAX(AC$78:AC1127)+1,"")</f>
        <v>166</v>
      </c>
      <c r="AD1128" s="220">
        <f>'[2]Изложницы без бурта'!B1128</f>
        <v>620</v>
      </c>
      <c r="AE1128" s="220">
        <f>'[2]Изложницы без бурта'!C1128</f>
        <v>640</v>
      </c>
      <c r="AF1128" s="56">
        <f>'[2]Изложницы без бурта'!D1128</f>
        <v>700</v>
      </c>
      <c r="AG1128" s="56">
        <f>'[2]Изложницы без бурта'!E1128</f>
        <v>400</v>
      </c>
      <c r="AH1128" s="56" t="str">
        <f>'[2]Изложницы без бурта'!F1128</f>
        <v>10.240253 - 1</v>
      </c>
      <c r="AI1128" s="56">
        <f>'[2]Изложницы без бурта'!G1128</f>
        <v>7260104</v>
      </c>
      <c r="AJ1128" s="56">
        <f>'[2]Изложницы без бурта'!H1128</f>
        <v>0</v>
      </c>
      <c r="AK1128" s="56">
        <f>'[2]Изложницы без бурта'!I1128</f>
        <v>0</v>
      </c>
      <c r="AL1128" s="56" t="s">
        <v>750</v>
      </c>
      <c r="AM1128" s="56">
        <f>'[2]Изложницы без бурта'!K1128</f>
        <v>0</v>
      </c>
    </row>
    <row r="1129" spans="28:39" x14ac:dyDescent="0.25">
      <c r="AB1129" s="258" t="str">
        <f t="shared" si="27"/>
        <v/>
      </c>
      <c r="AC1129" s="259">
        <f>IF(COUNTIF(AD$78:AD1129,AD1129)=1,MAX(AC$78:AC1128)+1,"")</f>
        <v>167</v>
      </c>
      <c r="AD1129" s="220">
        <f>'[2]Изложницы без бурта'!B1129</f>
        <v>622.5</v>
      </c>
      <c r="AE1129" s="220">
        <f>'[2]Изложницы без бурта'!C1129</f>
        <v>200</v>
      </c>
      <c r="AF1129" s="56">
        <f>'[2]Изложницы без бурта'!D1129</f>
        <v>700</v>
      </c>
      <c r="AG1129" s="56">
        <f>'[2]Изложницы без бурта'!E1129</f>
        <v>400</v>
      </c>
      <c r="AH1129" s="56" t="str">
        <f>'[2]Изложницы без бурта'!F1129</f>
        <v>10.246214 - 8</v>
      </c>
      <c r="AI1129" s="56">
        <f>'[2]Изложницы без бурта'!G1129</f>
        <v>7260105</v>
      </c>
      <c r="AJ1129" s="56" t="str">
        <f>'[2]Изложницы без бурта'!H1129</f>
        <v>Толкатель утоплен в кокиль (рабочая длина-200 мм)</v>
      </c>
      <c r="AK1129" s="56">
        <f>'[2]Изложницы без бурта'!I1129</f>
        <v>0</v>
      </c>
      <c r="AL1129" s="56" t="s">
        <v>751</v>
      </c>
      <c r="AM1129" s="56">
        <f>'[2]Изложницы без бурта'!K1129</f>
        <v>0</v>
      </c>
    </row>
    <row r="1130" spans="28:39" x14ac:dyDescent="0.25">
      <c r="AB1130" s="258" t="str">
        <f t="shared" si="27"/>
        <v/>
      </c>
      <c r="AC1130" s="259">
        <f>IF(COUNTIF(AD$78:AD1130,AD1130)=1,MAX(AC$78:AC1129)+1,"")</f>
        <v>168</v>
      </c>
      <c r="AD1130" s="220">
        <f>'[2]Изложницы без бурта'!B1130</f>
        <v>625</v>
      </c>
      <c r="AE1130" s="220">
        <f>'[2]Изложницы без бурта'!C1130</f>
        <v>200</v>
      </c>
      <c r="AF1130" s="56">
        <f>'[2]Изложницы без бурта'!D1130</f>
        <v>700</v>
      </c>
      <c r="AG1130" s="56">
        <f>'[2]Изложницы без бурта'!E1130</f>
        <v>400</v>
      </c>
      <c r="AH1130" s="56" t="str">
        <f>'[2]Изложницы без бурта'!F1130</f>
        <v>10.246214 - 9</v>
      </c>
      <c r="AI1130" s="56">
        <f>'[2]Изложницы без бурта'!G1130</f>
        <v>7260105</v>
      </c>
      <c r="AJ1130" s="56">
        <f>'[2]Изложницы без бурта'!H1130</f>
        <v>0</v>
      </c>
      <c r="AK1130" s="56">
        <f>'[2]Изложницы без бурта'!I1130</f>
        <v>0</v>
      </c>
      <c r="AL1130" s="56" t="s">
        <v>752</v>
      </c>
      <c r="AM1130" s="56">
        <f>'[2]Изложницы без бурта'!K1130</f>
        <v>0</v>
      </c>
    </row>
    <row r="1131" spans="28:39" x14ac:dyDescent="0.25">
      <c r="AB1131" s="258" t="str">
        <f t="shared" si="27"/>
        <v/>
      </c>
      <c r="AC1131" s="259">
        <f>IF(COUNTIF(AD$78:AD1131,AD1131)=1,MAX(AC$78:AC1130)+1,"")</f>
        <v>169</v>
      </c>
      <c r="AD1131" s="220">
        <f>'[2]Изложницы без бурта'!B1131</f>
        <v>627.5</v>
      </c>
      <c r="AE1131" s="220">
        <f>'[2]Изложницы без бурта'!C1131</f>
        <v>200</v>
      </c>
      <c r="AF1131" s="56">
        <f>'[2]Изложницы без бурта'!D1131</f>
        <v>670</v>
      </c>
      <c r="AG1131" s="56">
        <f>'[2]Изложницы без бурта'!E1131</f>
        <v>400</v>
      </c>
      <c r="AH1131" s="56" t="str">
        <f>'[2]Изложницы без бурта'!F1131</f>
        <v>72.480019 - б/н</v>
      </c>
      <c r="AI1131" s="56">
        <f>'[2]Изложницы без бурта'!G1131</f>
        <v>7260105</v>
      </c>
      <c r="AJ1131" s="56" t="str">
        <f>'[2]Изложницы без бурта'!H1131</f>
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</c>
      <c r="AK1131" s="56">
        <f>'[2]Изложницы без бурта'!I1131</f>
        <v>0</v>
      </c>
      <c r="AL1131" s="56" t="s">
        <v>753</v>
      </c>
      <c r="AM1131" s="56">
        <f>'[2]Изложницы без бурта'!K1131</f>
        <v>0</v>
      </c>
    </row>
    <row r="1132" spans="28:39" x14ac:dyDescent="0.25">
      <c r="AB1132" s="258" t="str">
        <f t="shared" si="27"/>
        <v/>
      </c>
      <c r="AC1132" s="259">
        <f>IF(COUNTIF(AD$78:AD1132,AD1132)=1,MAX(AC$78:AC1131)+1,"")</f>
        <v>170</v>
      </c>
      <c r="AD1132" s="220">
        <f>'[2]Изложницы без бурта'!B1132</f>
        <v>630</v>
      </c>
      <c r="AE1132" s="220">
        <f>'[2]Изложницы без бурта'!C1132</f>
        <v>420</v>
      </c>
      <c r="AF1132" s="56">
        <f>'[2]Изложницы без бурта'!D1132</f>
        <v>700</v>
      </c>
      <c r="AG1132" s="56">
        <f>'[2]Изложницы без бурта'!E1132</f>
        <v>400</v>
      </c>
      <c r="AH1132" s="56" t="str">
        <f>'[2]Изложницы без бурта'!F1132</f>
        <v>72.49192 - 1</v>
      </c>
      <c r="AI1132" s="56">
        <f>'[2]Изложницы без бурта'!G1132</f>
        <v>0</v>
      </c>
      <c r="AJ1132" s="56">
        <f>'[2]Изложницы без бурта'!H1132</f>
        <v>0</v>
      </c>
      <c r="AK1132" s="56">
        <f>'[2]Изложницы без бурта'!I1132</f>
        <v>0</v>
      </c>
      <c r="AL1132" s="56" t="s">
        <v>754</v>
      </c>
      <c r="AM1132" s="56">
        <f>'[2]Изложницы без бурта'!K1132</f>
        <v>0</v>
      </c>
    </row>
    <row r="1133" spans="28:39" x14ac:dyDescent="0.25">
      <c r="AB1133" s="258" t="str">
        <f t="shared" si="27"/>
        <v/>
      </c>
      <c r="AC1133" s="259">
        <f>IF(COUNTIF(AD$78:AD1133,AD1133)=1,MAX(AC$78:AC1132)+1,"")</f>
        <v>171</v>
      </c>
      <c r="AD1133" s="220">
        <f>'[2]Изложницы без бурта'!B1133</f>
        <v>635</v>
      </c>
      <c r="AE1133" s="220">
        <f>'[2]Изложницы без бурта'!C1133</f>
        <v>320</v>
      </c>
      <c r="AF1133" s="56">
        <f>'[2]Изложницы без бурта'!D1133</f>
        <v>700</v>
      </c>
      <c r="AG1133" s="56">
        <f>'[2]Изложницы без бурта'!E1133</f>
        <v>400</v>
      </c>
      <c r="AH1133" s="56" t="str">
        <f>'[2]Изложницы без бурта'!F1133</f>
        <v>72.11867 - 11</v>
      </c>
      <c r="AI1133" s="56">
        <f>'[2]Изложницы без бурта'!G1133</f>
        <v>0</v>
      </c>
      <c r="AJ1133" s="56">
        <f>'[2]Изложницы без бурта'!H1133</f>
        <v>0</v>
      </c>
      <c r="AK1133" s="56">
        <f>'[2]Изложницы без бурта'!I1133</f>
        <v>0</v>
      </c>
      <c r="AL1133" s="56" t="s">
        <v>755</v>
      </c>
      <c r="AM1133" s="56">
        <f>'[2]Изложницы без бурта'!K1133</f>
        <v>0</v>
      </c>
    </row>
    <row r="1134" spans="28:39" x14ac:dyDescent="0.25">
      <c r="AB1134" s="258" t="str">
        <f t="shared" si="27"/>
        <v/>
      </c>
      <c r="AC1134" s="259" t="str">
        <f>IF(COUNTIF(AD$78:AD1134,AD1134)=1,MAX(AC$78:AC1133)+1,"")</f>
        <v/>
      </c>
      <c r="AD1134" s="220">
        <f>'[2]Изложницы без бурта'!B1134</f>
        <v>635</v>
      </c>
      <c r="AE1134" s="220">
        <f>'[2]Изложницы без бурта'!C1134</f>
        <v>420</v>
      </c>
      <c r="AF1134" s="56">
        <f>'[2]Изложницы без бурта'!D1134</f>
        <v>700</v>
      </c>
      <c r="AG1134" s="56">
        <f>'[2]Изложницы без бурта'!E1134</f>
        <v>400</v>
      </c>
      <c r="AH1134" s="56" t="str">
        <f>'[2]Изложницы без бурта'!F1134</f>
        <v>72.11867 - 11</v>
      </c>
      <c r="AI1134" s="56">
        <f>'[2]Изложницы без бурта'!G1134</f>
        <v>0</v>
      </c>
      <c r="AJ1134" s="56">
        <f>'[2]Изложницы без бурта'!H1134</f>
        <v>0</v>
      </c>
      <c r="AK1134" s="56">
        <f>'[2]Изложницы без бурта'!I1134</f>
        <v>0</v>
      </c>
      <c r="AL1134" s="56" t="s">
        <v>755</v>
      </c>
      <c r="AM1134" s="56">
        <f>'[2]Изложницы без бурта'!K1134</f>
        <v>0</v>
      </c>
    </row>
    <row r="1135" spans="28:39" x14ac:dyDescent="0.25">
      <c r="AB1135" s="258" t="str">
        <f t="shared" si="27"/>
        <v/>
      </c>
      <c r="AC1135" s="259">
        <f>IF(COUNTIF(AD$78:AD1135,AD1135)=1,MAX(AC$78:AC1134)+1,"")</f>
        <v>172</v>
      </c>
      <c r="AD1135" s="220">
        <f>'[2]Изложницы без бурта'!B1135</f>
        <v>637.5</v>
      </c>
      <c r="AE1135" s="220">
        <f>'[2]Изложницы без бурта'!C1135</f>
        <v>470</v>
      </c>
      <c r="AF1135" s="56">
        <f>'[2]Изложницы без бурта'!D1135</f>
        <v>700</v>
      </c>
      <c r="AG1135" s="56">
        <f>'[2]Изложницы без бурта'!E1135</f>
        <v>400</v>
      </c>
      <c r="AH1135" s="56" t="str">
        <f>'[2]Изложницы без бурта'!F1135</f>
        <v>72.11867 - 11</v>
      </c>
      <c r="AI1135" s="56">
        <f>'[2]Изложницы без бурта'!G1135</f>
        <v>7260106</v>
      </c>
      <c r="AJ1135" s="56">
        <f>'[2]Изложницы без бурта'!H1135</f>
        <v>0</v>
      </c>
      <c r="AK1135" s="56">
        <f>'[2]Изложницы без бурта'!I1135</f>
        <v>0</v>
      </c>
      <c r="AL1135" s="56" t="s">
        <v>756</v>
      </c>
      <c r="AM1135" s="56">
        <f>'[2]Изложницы без бурта'!K1135</f>
        <v>0</v>
      </c>
    </row>
    <row r="1136" spans="28:39" x14ac:dyDescent="0.25">
      <c r="AB1136" s="258" t="str">
        <f t="shared" si="27"/>
        <v/>
      </c>
      <c r="AC1136" s="259">
        <f>IF(COUNTIF(AD$78:AD1136,AD1136)=1,MAX(AC$78:AC1135)+1,"")</f>
        <v>173</v>
      </c>
      <c r="AD1136" s="220">
        <f>'[2]Изложницы без бурта'!B1136</f>
        <v>642.5</v>
      </c>
      <c r="AE1136" s="220">
        <f>'[2]Изложницы без бурта'!C1136</f>
        <v>575</v>
      </c>
      <c r="AF1136" s="56">
        <f>'[2]Изложницы без бурта'!D1136</f>
        <v>700</v>
      </c>
      <c r="AG1136" s="56">
        <f>'[2]Изложницы без бурта'!E1136</f>
        <v>400</v>
      </c>
      <c r="AH1136" s="56" t="str">
        <f>'[2]Изложницы без бурта'!F1136</f>
        <v>72.11867 - 11</v>
      </c>
      <c r="AI1136" s="56">
        <f>'[2]Изложницы без бурта'!G1136</f>
        <v>7260107</v>
      </c>
      <c r="AJ1136" s="56" t="str">
        <f>'[2]Изложницы без бурта'!H1136</f>
        <v>665 - Размер возле заливочной крышки</v>
      </c>
      <c r="AK1136" s="56">
        <f>'[2]Изложницы без бурта'!I1136</f>
        <v>0</v>
      </c>
      <c r="AL1136" s="56" t="s">
        <v>1247</v>
      </c>
      <c r="AM1136" s="56">
        <f>'[2]Изложницы без бурта'!K1136</f>
        <v>0</v>
      </c>
    </row>
    <row r="1137" spans="28:39" x14ac:dyDescent="0.25">
      <c r="AB1137" s="258" t="str">
        <f t="shared" si="27"/>
        <v/>
      </c>
      <c r="AC1137" s="259">
        <f>IF(COUNTIF(AD$78:AD1137,AD1137)=1,MAX(AC$78:AC1136)+1,"")</f>
        <v>174</v>
      </c>
      <c r="AD1137" s="220">
        <f>'[2]Изложницы без бурта'!B1137</f>
        <v>650</v>
      </c>
      <c r="AE1137" s="220">
        <f>'[2]Изложницы без бурта'!C1137</f>
        <v>155</v>
      </c>
      <c r="AF1137" s="56">
        <f>'[2]Изложницы без бурта'!D1137</f>
        <v>700</v>
      </c>
      <c r="AG1137" s="56">
        <f>'[2]Изложницы без бурта'!E1137</f>
        <v>400</v>
      </c>
      <c r="AH1137" s="56" t="str">
        <f>'[2]Изложницы без бурта'!F1137</f>
        <v>72.11867 - 11</v>
      </c>
      <c r="AI1137" s="56" t="str">
        <f>'[2]Изложницы без бурта'!G1137</f>
        <v>Без толкателя</v>
      </c>
      <c r="AJ1137" s="56">
        <f>'[2]Изложницы без бурта'!H1137</f>
        <v>0</v>
      </c>
      <c r="AK1137" s="56">
        <f>'[2]Изложницы без бурта'!I1137</f>
        <v>0</v>
      </c>
      <c r="AL1137" s="56" t="s">
        <v>757</v>
      </c>
      <c r="AM1137" s="56">
        <f>'[2]Изложницы без бурта'!K1137</f>
        <v>0</v>
      </c>
    </row>
    <row r="1138" spans="28:39" x14ac:dyDescent="0.25">
      <c r="AB1138" s="258" t="str">
        <f t="shared" si="27"/>
        <v/>
      </c>
      <c r="AC1138" s="259" t="str">
        <f>IF(COUNTIF(AD$78:AD1138,AD1138)=1,MAX(AC$78:AC1137)+1,"")</f>
        <v/>
      </c>
      <c r="AD1138" s="220">
        <f>'[2]Изложницы без бурта'!B1138</f>
        <v>650</v>
      </c>
      <c r="AE1138" s="220">
        <f>'[2]Изложницы без бурта'!C1138</f>
        <v>153</v>
      </c>
      <c r="AF1138" s="56">
        <f>'[2]Изложницы без бурта'!D1138</f>
        <v>700</v>
      </c>
      <c r="AG1138" s="56">
        <f>'[2]Изложницы без бурта'!E1138</f>
        <v>400</v>
      </c>
      <c r="AH1138" s="56" t="str">
        <f>'[2]Изложницы без бурта'!F1138</f>
        <v>72.11867 - 11</v>
      </c>
      <c r="AI1138" s="56">
        <f>'[2]Изложницы без бурта'!G1138</f>
        <v>0</v>
      </c>
      <c r="AJ1138" s="56" t="str">
        <f>'[2]Изложницы без бурта'!H1138</f>
        <v>Заливочная крышка пос.700 - заливочное отв.-100мм</v>
      </c>
      <c r="AK1138" s="56">
        <f>'[2]Изложницы без бурта'!I1138</f>
        <v>0</v>
      </c>
      <c r="AL1138" s="56" t="s">
        <v>757</v>
      </c>
      <c r="AM1138" s="56">
        <f>'[2]Изложницы без бурта'!K1138</f>
        <v>0</v>
      </c>
    </row>
    <row r="1139" spans="28:39" x14ac:dyDescent="0.25">
      <c r="AB1139" s="258" t="str">
        <f t="shared" si="27"/>
        <v/>
      </c>
      <c r="AC1139" s="259" t="str">
        <f>IF(COUNTIF(AD$78:AD1139,AD1139)=1,MAX(AC$78:AC1138)+1,"")</f>
        <v/>
      </c>
      <c r="AD1139" s="220">
        <f>'[2]Изложницы без бурта'!B1139</f>
        <v>650</v>
      </c>
      <c r="AE1139" s="220">
        <f>'[2]Изложницы без бурта'!C1139</f>
        <v>155</v>
      </c>
      <c r="AF1139" s="56">
        <f>'[2]Изложницы без бурта'!D1139</f>
        <v>700</v>
      </c>
      <c r="AG1139" s="56">
        <f>'[2]Изложницы без бурта'!E1139</f>
        <v>400</v>
      </c>
      <c r="AH1139" s="56" t="str">
        <f>'[2]Изложницы без бурта'!F1139</f>
        <v>72.11867 - 11</v>
      </c>
      <c r="AI1139" s="56">
        <f>'[2]Изложницы без бурта'!G1139</f>
        <v>0</v>
      </c>
      <c r="AJ1139" s="56">
        <f>'[2]Изложницы без бурта'!H1139</f>
        <v>0</v>
      </c>
      <c r="AK1139" s="56">
        <f>'[2]Изложницы без бурта'!I1139</f>
        <v>0</v>
      </c>
      <c r="AL1139" s="56" t="s">
        <v>757</v>
      </c>
      <c r="AM1139" s="56">
        <f>'[2]Изложницы без бурта'!K1139</f>
        <v>0</v>
      </c>
    </row>
    <row r="1140" spans="28:39" x14ac:dyDescent="0.25">
      <c r="AB1140" s="258" t="str">
        <f t="shared" si="27"/>
        <v/>
      </c>
      <c r="AC1140" s="259" t="str">
        <f>IF(COUNTIF(AD$78:AD1140,AD1140)=1,MAX(AC$78:AC1139)+1,"")</f>
        <v/>
      </c>
      <c r="AD1140" s="220">
        <f>'[2]Изложницы без бурта'!B1140</f>
        <v>650</v>
      </c>
      <c r="AE1140" s="220">
        <f>'[2]Изложницы без бурта'!C1140</f>
        <v>150</v>
      </c>
      <c r="AF1140" s="56">
        <f>'[2]Изложницы без бурта'!D1140</f>
        <v>700</v>
      </c>
      <c r="AG1140" s="56">
        <f>'[2]Изложницы без бурта'!E1140</f>
        <v>400</v>
      </c>
      <c r="AH1140" s="56" t="str">
        <f>'[2]Изложницы без бурта'!F1140</f>
        <v>72.11867 - 11</v>
      </c>
      <c r="AI1140" s="56">
        <f>'[2]Изложницы без бурта'!G1140</f>
        <v>0</v>
      </c>
      <c r="AJ1140" s="56">
        <f>'[2]Изложницы без бурта'!H1140</f>
        <v>0</v>
      </c>
      <c r="AK1140" s="56">
        <f>'[2]Изложницы без бурта'!I1140</f>
        <v>0</v>
      </c>
      <c r="AL1140" s="56" t="s">
        <v>757</v>
      </c>
      <c r="AM1140" s="56">
        <f>'[2]Изложницы без бурта'!K1140</f>
        <v>0</v>
      </c>
    </row>
    <row r="1141" spans="28:39" x14ac:dyDescent="0.25">
      <c r="AB1141" s="258" t="str">
        <f t="shared" si="27"/>
        <v/>
      </c>
      <c r="AC1141" s="259">
        <f>IF(COUNTIF(AD$78:AD1141,AD1141)=1,MAX(AC$78:AC1140)+1,"")</f>
        <v>175</v>
      </c>
      <c r="AD1141" s="220">
        <f>'[2]Изложницы без бурта'!B1141</f>
        <v>652.5</v>
      </c>
      <c r="AE1141" s="220">
        <f>'[2]Изложницы без бурта'!C1141</f>
        <v>154</v>
      </c>
      <c r="AF1141" s="56">
        <f>'[2]Изложницы без бурта'!D1141</f>
        <v>700</v>
      </c>
      <c r="AG1141" s="56">
        <f>'[2]Изложницы без бурта'!E1141</f>
        <v>400</v>
      </c>
      <c r="AH1141" s="56" t="str">
        <f>'[2]Изложницы без бурта'!F1141</f>
        <v>72.11867 - 11</v>
      </c>
      <c r="AI1141" s="56">
        <f>'[2]Изложницы без бурта'!G1141</f>
        <v>0</v>
      </c>
      <c r="AJ1141" s="56">
        <f>'[2]Изложницы без бурта'!H1141</f>
        <v>0</v>
      </c>
      <c r="AK1141" s="56">
        <f>'[2]Изложницы без бурта'!I1141</f>
        <v>0</v>
      </c>
      <c r="AL1141" s="56" t="s">
        <v>758</v>
      </c>
      <c r="AM1141" s="56">
        <f>'[2]Изложницы без бурта'!K1141</f>
        <v>0</v>
      </c>
    </row>
    <row r="1142" spans="28:39" x14ac:dyDescent="0.25">
      <c r="AB1142" s="258" t="str">
        <f t="shared" si="27"/>
        <v/>
      </c>
      <c r="AC1142" s="259" t="str">
        <f>IF(COUNTIF(AD$78:AD1142,AD1142)=1,MAX(AC$78:AC1141)+1,"")</f>
        <v/>
      </c>
      <c r="AD1142" s="220">
        <f>'[2]Изложницы без бурта'!B1142</f>
        <v>652.5</v>
      </c>
      <c r="AE1142" s="220">
        <f>'[2]Изложницы без бурта'!C1142</f>
        <v>150</v>
      </c>
      <c r="AF1142" s="56">
        <f>'[2]Изложницы без бурта'!D1142</f>
        <v>700</v>
      </c>
      <c r="AG1142" s="56">
        <f>'[2]Изложницы без бурта'!E1142</f>
        <v>400</v>
      </c>
      <c r="AH1142" s="56" t="str">
        <f>'[2]Изложницы без бурта'!F1142</f>
        <v>72.11867 - 11</v>
      </c>
      <c r="AI1142" s="56">
        <f>'[2]Изложницы без бурта'!G1142</f>
        <v>0</v>
      </c>
      <c r="AJ1142" s="56">
        <f>'[2]Изложницы без бурта'!H1142</f>
        <v>0</v>
      </c>
      <c r="AK1142" s="56">
        <f>'[2]Изложницы без бурта'!I1142</f>
        <v>0</v>
      </c>
      <c r="AL1142" s="56" t="s">
        <v>758</v>
      </c>
      <c r="AM1142" s="56">
        <f>'[2]Изложницы без бурта'!K1142</f>
        <v>0</v>
      </c>
    </row>
    <row r="1143" spans="28:39" x14ac:dyDescent="0.25">
      <c r="AB1143" s="258" t="str">
        <f t="shared" si="27"/>
        <v/>
      </c>
      <c r="AC1143" s="259">
        <f>IF(COUNTIF(AD$78:AD1143,AD1143)=1,MAX(AC$78:AC1142)+1,"")</f>
        <v>176</v>
      </c>
      <c r="AD1143" s="220">
        <f>'[2]Изложницы без бурта'!B1143</f>
        <v>655</v>
      </c>
      <c r="AE1143" s="220">
        <f>'[2]Изложницы без бурта'!C1143</f>
        <v>175</v>
      </c>
      <c r="AF1143" s="56">
        <f>'[2]Изложницы без бурта'!D1143</f>
        <v>700</v>
      </c>
      <c r="AG1143" s="56">
        <f>'[2]Изложницы без бурта'!E1143</f>
        <v>400</v>
      </c>
      <c r="AH1143" s="56" t="str">
        <f>'[2]Изложницы без бурта'!F1143</f>
        <v>72.11867 - 12</v>
      </c>
      <c r="AI1143" s="56" t="str">
        <f>'[2]Изложницы без бурта'!G1143</f>
        <v>Без толкателя</v>
      </c>
      <c r="AJ1143" s="56">
        <f>'[2]Изложницы без бурта'!H1143</f>
        <v>0</v>
      </c>
      <c r="AK1143" s="56">
        <f>'[2]Изложницы без бурта'!I1143</f>
        <v>0</v>
      </c>
      <c r="AL1143" s="56" t="s">
        <v>759</v>
      </c>
      <c r="AM1143" s="56">
        <f>'[2]Изложницы без бурта'!K1143</f>
        <v>0</v>
      </c>
    </row>
    <row r="1144" spans="28:39" x14ac:dyDescent="0.25">
      <c r="AB1144" s="258" t="str">
        <f t="shared" si="27"/>
        <v/>
      </c>
      <c r="AC1144" s="259" t="str">
        <f>IF(COUNTIF(AD$78:AD1144,AD1144)=1,MAX(AC$78:AC1143)+1,"")</f>
        <v/>
      </c>
      <c r="AD1144" s="220">
        <f>'[2]Изложницы без бурта'!B1144</f>
        <v>655</v>
      </c>
      <c r="AE1144" s="220">
        <f>'[2]Изложницы без бурта'!C1144</f>
        <v>175</v>
      </c>
      <c r="AF1144" s="56">
        <f>'[2]Изложницы без бурта'!D1144</f>
        <v>700</v>
      </c>
      <c r="AG1144" s="56">
        <f>'[2]Изложницы без бурта'!E1144</f>
        <v>400</v>
      </c>
      <c r="AH1144" s="56" t="str">
        <f>'[2]Изложницы без бурта'!F1144</f>
        <v>72.11867 - 12</v>
      </c>
      <c r="AI1144" s="56">
        <f>'[2]Изложницы без бурта'!G1144</f>
        <v>0</v>
      </c>
      <c r="AJ1144" s="56">
        <f>'[2]Изложницы без бурта'!H1144</f>
        <v>0</v>
      </c>
      <c r="AK1144" s="56">
        <f>'[2]Изложницы без бурта'!I1144</f>
        <v>0</v>
      </c>
      <c r="AL1144" s="56" t="s">
        <v>759</v>
      </c>
      <c r="AM1144" s="56">
        <f>'[2]Изложницы без бурта'!K1144</f>
        <v>0</v>
      </c>
    </row>
    <row r="1145" spans="28:39" x14ac:dyDescent="0.25">
      <c r="AB1145" s="258" t="str">
        <f t="shared" ref="AB1145:AB1153" si="28">IF(MAX(AC1145:AC2222)&lt;ROW(1067:1067),"",VLOOKUP(ROW(1067:1067),AC1145:AD2222,2))</f>
        <v/>
      </c>
      <c r="AC1145" s="259" t="str">
        <f>IF(COUNTIF(AD$78:AD1145,AD1145)=1,MAX(AC$78:AC1144)+1,"")</f>
        <v/>
      </c>
      <c r="AD1145" s="220">
        <f>'[2]Изложницы без бурта'!B1145</f>
        <v>655</v>
      </c>
      <c r="AE1145" s="220">
        <f>'[2]Изложницы без бурта'!C1145</f>
        <v>153</v>
      </c>
      <c r="AF1145" s="56">
        <f>'[2]Изложницы без бурта'!D1145</f>
        <v>700</v>
      </c>
      <c r="AG1145" s="56">
        <f>'[2]Изложницы без бурта'!E1145</f>
        <v>400</v>
      </c>
      <c r="AH1145" s="56" t="str">
        <f>'[2]Изложницы без бурта'!F1145</f>
        <v>72.11867 - 12</v>
      </c>
      <c r="AI1145" s="56">
        <f>'[2]Изложницы без бурта'!G1145</f>
        <v>0</v>
      </c>
      <c r="AJ1145" s="56">
        <f>'[2]Изложницы без бурта'!H1145</f>
        <v>0</v>
      </c>
      <c r="AK1145" s="56">
        <f>'[2]Изложницы без бурта'!I1145</f>
        <v>0</v>
      </c>
      <c r="AL1145" s="56" t="s">
        <v>759</v>
      </c>
      <c r="AM1145" s="56">
        <f>'[2]Изложницы без бурта'!K1145</f>
        <v>0</v>
      </c>
    </row>
    <row r="1146" spans="28:39" x14ac:dyDescent="0.25">
      <c r="AB1146" s="258" t="str">
        <f t="shared" si="28"/>
        <v/>
      </c>
      <c r="AC1146" s="259" t="str">
        <f>IF(COUNTIF(AD$78:AD1146,AD1146)=1,MAX(AC$78:AC1145)+1,"")</f>
        <v/>
      </c>
      <c r="AD1146" s="220">
        <f>'[2]Изложницы без бурта'!B1146</f>
        <v>655</v>
      </c>
      <c r="AE1146" s="220">
        <f>'[2]Изложницы без бурта'!C1146</f>
        <v>155</v>
      </c>
      <c r="AF1146" s="56">
        <f>'[2]Изложницы без бурта'!D1146</f>
        <v>700</v>
      </c>
      <c r="AG1146" s="56">
        <f>'[2]Изложницы без бурта'!E1146</f>
        <v>400</v>
      </c>
      <c r="AH1146" s="56" t="str">
        <f>'[2]Изложницы без бурта'!F1146</f>
        <v>72.11867 - 13</v>
      </c>
      <c r="AI1146" s="56">
        <f>'[2]Изложницы без бурта'!G1146</f>
        <v>0</v>
      </c>
      <c r="AJ1146" s="56">
        <f>'[2]Изложницы без бурта'!H1146</f>
        <v>0</v>
      </c>
      <c r="AK1146" s="56">
        <f>'[2]Изложницы без бурта'!I1146</f>
        <v>0</v>
      </c>
      <c r="AL1146" s="56" t="s">
        <v>759</v>
      </c>
      <c r="AM1146" s="56">
        <f>'[2]Изложницы без бурта'!K1146</f>
        <v>0</v>
      </c>
    </row>
    <row r="1147" spans="28:39" x14ac:dyDescent="0.25">
      <c r="AB1147" s="258" t="str">
        <f t="shared" si="28"/>
        <v/>
      </c>
      <c r="AC1147" s="259" t="str">
        <f>IF(COUNTIF(AD$78:AD1147,AD1147)=1,MAX(AC$78:AC1146)+1,"")</f>
        <v/>
      </c>
      <c r="AD1147" s="220">
        <f>'[2]Изложницы без бурта'!B1147</f>
        <v>655</v>
      </c>
      <c r="AE1147" s="220">
        <f>'[2]Изложницы без бурта'!C1147</f>
        <v>155</v>
      </c>
      <c r="AF1147" s="56">
        <f>'[2]Изложницы без бурта'!D1147</f>
        <v>700</v>
      </c>
      <c r="AG1147" s="56">
        <f>'[2]Изложницы без бурта'!E1147</f>
        <v>400</v>
      </c>
      <c r="AH1147" s="56" t="str">
        <f>'[2]Изложницы без бурта'!F1147</f>
        <v>72.11867 - 13</v>
      </c>
      <c r="AI1147" s="56">
        <f>'[2]Изложницы без бурта'!G1147</f>
        <v>0</v>
      </c>
      <c r="AJ1147" s="56">
        <f>'[2]Изложницы без бурта'!H1147</f>
        <v>0</v>
      </c>
      <c r="AK1147" s="56">
        <f>'[2]Изложницы без бурта'!I1147</f>
        <v>0</v>
      </c>
      <c r="AL1147" s="56" t="s">
        <v>759</v>
      </c>
      <c r="AM1147" s="56">
        <f>'[2]Изложницы без бурта'!K1147</f>
        <v>0</v>
      </c>
    </row>
    <row r="1148" spans="28:39" x14ac:dyDescent="0.25">
      <c r="AB1148" s="258" t="str">
        <f t="shared" si="28"/>
        <v/>
      </c>
      <c r="AC1148" s="259">
        <f>IF(COUNTIF(AD$78:AD1148,AD1148)=1,MAX(AC$78:AC1147)+1,"")</f>
        <v>177</v>
      </c>
      <c r="AD1148" s="220">
        <f>'[2]Изложницы без бурта'!B1148</f>
        <v>657.5</v>
      </c>
      <c r="AE1148" s="220">
        <f>'[2]Изложницы без бурта'!C1148</f>
        <v>150</v>
      </c>
      <c r="AF1148" s="56">
        <f>'[2]Изложницы без бурта'!D1148</f>
        <v>700</v>
      </c>
      <c r="AG1148" s="56">
        <f>'[2]Изложницы без бурта'!E1148</f>
        <v>400</v>
      </c>
      <c r="AH1148" s="56" t="str">
        <f>'[2]Изложницы без бурта'!F1148</f>
        <v>72.11867 - 13</v>
      </c>
      <c r="AI1148" s="56" t="str">
        <f>'[2]Изложницы без бурта'!G1148</f>
        <v>Без толкателя</v>
      </c>
      <c r="AJ1148" s="56">
        <f>'[2]Изложницы без бурта'!H1148</f>
        <v>27.487499999999955</v>
      </c>
      <c r="AK1148" s="56">
        <f>'[2]Изложницы без бурта'!I1148</f>
        <v>0</v>
      </c>
      <c r="AL1148" s="56" t="s">
        <v>760</v>
      </c>
      <c r="AM1148" s="56">
        <f>'[2]Изложницы без бурта'!K1148</f>
        <v>0</v>
      </c>
    </row>
    <row r="1149" spans="28:39" x14ac:dyDescent="0.25">
      <c r="AB1149" s="258" t="str">
        <f t="shared" si="28"/>
        <v/>
      </c>
      <c r="AC1149" s="259">
        <f>IF(COUNTIF(AD$78:AD1149,AD1149)=1,MAX(AC$78:AC1148)+1,"")</f>
        <v>178</v>
      </c>
      <c r="AD1149" s="220">
        <f>'[2]Изложницы без бурта'!B1149</f>
        <v>660</v>
      </c>
      <c r="AE1149" s="220">
        <f>'[2]Изложницы без бурта'!C1149</f>
        <v>150</v>
      </c>
      <c r="AF1149" s="56">
        <f>'[2]Изложницы без бурта'!D1149</f>
        <v>700</v>
      </c>
      <c r="AG1149" s="56">
        <f>'[2]Изложницы без бурта'!E1149</f>
        <v>400</v>
      </c>
      <c r="AH1149" s="56" t="str">
        <f>'[2]Изложницы без бурта'!F1149</f>
        <v>72.11867 - 13</v>
      </c>
      <c r="AI1149" s="56" t="str">
        <f>'[2]Изложницы без бурта'!G1149</f>
        <v>Без толкателя</v>
      </c>
      <c r="AJ1149" s="56">
        <f>'[2]Изложницы без бурта'!H1149</f>
        <v>0</v>
      </c>
      <c r="AK1149" s="56">
        <f>'[2]Изложницы без бурта'!I1149</f>
        <v>0</v>
      </c>
      <c r="AL1149" s="56" t="s">
        <v>761</v>
      </c>
      <c r="AM1149" s="56">
        <f>'[2]Изложницы без бурта'!K1149</f>
        <v>0</v>
      </c>
    </row>
    <row r="1150" spans="28:39" x14ac:dyDescent="0.25">
      <c r="AB1150" s="258" t="str">
        <f t="shared" si="28"/>
        <v/>
      </c>
      <c r="AC1150" s="259" t="str">
        <f>IF(COUNTIF(AD$78:AD1150,AD1150)=1,MAX(AC$78:AC1149)+1,"")</f>
        <v/>
      </c>
      <c r="AD1150" s="220">
        <f>'[2]Изложницы без бурта'!B1150</f>
        <v>660</v>
      </c>
      <c r="AE1150" s="220">
        <f>'[2]Изложницы без бурта'!C1150</f>
        <v>150</v>
      </c>
      <c r="AF1150" s="56">
        <f>'[2]Изложницы без бурта'!D1150</f>
        <v>700</v>
      </c>
      <c r="AG1150" s="56">
        <f>'[2]Изложницы без бурта'!E1150</f>
        <v>400</v>
      </c>
      <c r="AH1150" s="56" t="str">
        <f>'[2]Изложницы без бурта'!F1150</f>
        <v>72.11867 - 13</v>
      </c>
      <c r="AI1150" s="56">
        <f>'[2]Изложницы без бурта'!G1150</f>
        <v>0</v>
      </c>
      <c r="AJ1150" s="56">
        <f>'[2]Изложницы без бурта'!H1150</f>
        <v>0</v>
      </c>
      <c r="AK1150" s="56">
        <f>'[2]Изложницы без бурта'!I1150</f>
        <v>0</v>
      </c>
      <c r="AL1150" s="56" t="s">
        <v>761</v>
      </c>
      <c r="AM1150" s="56">
        <f>'[2]Изложницы без бурта'!K1150</f>
        <v>0</v>
      </c>
    </row>
    <row r="1151" spans="28:39" x14ac:dyDescent="0.25">
      <c r="AB1151" s="258" t="str">
        <f t="shared" si="28"/>
        <v/>
      </c>
      <c r="AC1151" s="259">
        <f>IF(COUNTIF(AD$78:AD1151,AD1151)=1,MAX(AC$78:AC1150)+1,"")</f>
        <v>179</v>
      </c>
      <c r="AD1151" s="220">
        <f>'[2]Изложницы без бурта'!B1151</f>
        <v>665</v>
      </c>
      <c r="AE1151" s="220">
        <f>'[2]Изложницы без бурта'!C1151</f>
        <v>175</v>
      </c>
      <c r="AF1151" s="56">
        <f>'[2]Изложницы без бурта'!D1151</f>
        <v>0</v>
      </c>
      <c r="AG1151" s="56">
        <f>'[2]Изложницы без бурта'!E1151</f>
        <v>0</v>
      </c>
      <c r="AH1151" s="56">
        <f>'[2]Изложницы без бурта'!F1151</f>
        <v>0</v>
      </c>
      <c r="AI1151" s="56" t="str">
        <f>'[2]Изложницы без бурта'!G1151</f>
        <v>Вышел из строя 01.2024 (Металлолом)</v>
      </c>
      <c r="AJ1151" s="56">
        <f>'[2]Изложницы без бурта'!H1151</f>
        <v>0</v>
      </c>
      <c r="AK1151" s="56">
        <f>'[2]Изложницы без бурта'!I1151</f>
        <v>0</v>
      </c>
      <c r="AL1151" s="56" t="s">
        <v>1056</v>
      </c>
      <c r="AM1151" s="56">
        <f>'[2]Изложницы без бурта'!K1151</f>
        <v>0</v>
      </c>
    </row>
    <row r="1152" spans="28:39" x14ac:dyDescent="0.25">
      <c r="AB1152" s="258" t="str">
        <f t="shared" si="28"/>
        <v/>
      </c>
      <c r="AC1152" s="259">
        <f>IF(COUNTIF(AD$78:AD1152,AD1152)=1,MAX(AC$78:AC1151)+1,"")</f>
        <v>180</v>
      </c>
      <c r="AD1152" s="220">
        <f>'[2]Изложницы без бурта'!B1152</f>
        <v>667.5</v>
      </c>
      <c r="AE1152" s="220">
        <f>'[2]Изложницы без бурта'!C1152</f>
        <v>173</v>
      </c>
      <c r="AF1152" s="56">
        <f>'[2]Изложницы без бурта'!D1152</f>
        <v>700</v>
      </c>
      <c r="AG1152" s="56">
        <f>'[2]Изложницы без бурта'!E1152</f>
        <v>400</v>
      </c>
      <c r="AH1152" s="56" t="str">
        <f>'[2]Изложницы без бурта'!F1152</f>
        <v>72.11867 - 14</v>
      </c>
      <c r="AI1152" s="56" t="str">
        <f>'[2]Изложницы без бурта'!G1152</f>
        <v>Без толкателя</v>
      </c>
      <c r="AJ1152" s="56">
        <f>'[2]Изложницы без бурта'!H1152</f>
        <v>0</v>
      </c>
      <c r="AK1152" s="56">
        <f>'[2]Изложницы без бурта'!I1152</f>
        <v>0</v>
      </c>
      <c r="AL1152" s="56" t="s">
        <v>1057</v>
      </c>
      <c r="AM1152" s="56">
        <f>'[2]Изложницы без бурта'!K1152</f>
        <v>0</v>
      </c>
    </row>
    <row r="1153" spans="28:39" x14ac:dyDescent="0.25">
      <c r="AB1153" s="258" t="str">
        <f t="shared" si="28"/>
        <v/>
      </c>
      <c r="AC1153" s="259">
        <f>IF(COUNTIF(AD$78:AD1153,AD1153)=1,MAX(AC$78:AC1152)+1,"")</f>
        <v>181</v>
      </c>
      <c r="AD1153" s="220">
        <f>'[2]Изложницы без бурта'!B1153</f>
        <v>700</v>
      </c>
      <c r="AE1153" s="220">
        <f>'[2]Изложницы без бурта'!C1153</f>
        <v>260</v>
      </c>
      <c r="AF1153" s="56">
        <f>'[2]Изложницы без бурта'!D1153</f>
        <v>743</v>
      </c>
      <c r="AG1153" s="56">
        <f>'[2]Изложницы без бурта'!E1153</f>
        <v>400</v>
      </c>
      <c r="AH1153" s="56" t="str">
        <f>'[2]Изложницы без бурта'!F1153</f>
        <v>5694.392.0005СБ</v>
      </c>
      <c r="AI1153" s="56" t="str">
        <f>'[2]Изложницы без бурта'!G1153</f>
        <v>Толкатель утоплен (ф560*40)</v>
      </c>
      <c r="AJ1153" s="56" t="str">
        <f>'[2]Изложницы без бурта'!H1153</f>
        <v>Крышка черт.5694.392.0007, ф крышки 250 мм, ф посадки 745 мм</v>
      </c>
      <c r="AK1153" s="56">
        <f>'[2]Изложницы без бурта'!I1153</f>
        <v>0</v>
      </c>
      <c r="AL1153" s="56" t="s">
        <v>1058</v>
      </c>
      <c r="AM1153" s="56">
        <f>'[2]Изложницы без бурта'!K1153</f>
        <v>0</v>
      </c>
    </row>
    <row r="1154" spans="28:39" x14ac:dyDescent="0.25">
      <c r="AB1154" s="258"/>
      <c r="AC1154" s="259"/>
    </row>
    <row r="1155" spans="28:39" x14ac:dyDescent="0.25">
      <c r="AB1155" s="258"/>
      <c r="AC1155" s="259"/>
    </row>
    <row r="1156" spans="28:39" x14ac:dyDescent="0.25">
      <c r="AB1156" s="258"/>
      <c r="AC1156" s="259"/>
    </row>
    <row r="1157" spans="28:39" x14ac:dyDescent="0.25">
      <c r="AB1157" s="258"/>
      <c r="AC1157" s="220"/>
    </row>
  </sheetData>
  <sheetProtection selectLockedCells="1" selectUnlockedCells="1"/>
  <autoFilter ref="AD1:AE1157" xr:uid="{CDC4F641-65FE-4462-9119-AD3EFA3FEDA8}"/>
  <mergeCells count="10">
    <mergeCell ref="A1:B1"/>
    <mergeCell ref="C44:E44"/>
    <mergeCell ref="C57:E57"/>
    <mergeCell ref="P142:S142"/>
    <mergeCell ref="H36:H37"/>
    <mergeCell ref="AZ2:BH2"/>
    <mergeCell ref="K158:P158"/>
    <mergeCell ref="C71:E71"/>
    <mergeCell ref="AO25:AP25"/>
    <mergeCell ref="AR2:AX2"/>
  </mergeCells>
  <pageMargins left="0.7" right="0.7" top="0.75" bottom="0.75" header="0.511811023622047" footer="0.511811023622047"/>
  <pageSetup paperSize="9" scale="1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7</vt:i4>
      </vt:variant>
    </vt:vector>
  </HeadingPairs>
  <TitlesOfParts>
    <vt:vector size="20" baseType="lpstr">
      <vt:lpstr>Втулка</vt:lpstr>
      <vt:lpstr>Втулка с буртом</vt:lpstr>
      <vt:lpstr>цб</vt:lpstr>
      <vt:lpstr>цб с буртом</vt:lpstr>
      <vt:lpstr>Планка</vt:lpstr>
      <vt:lpstr>Планка К</vt:lpstr>
      <vt:lpstr>Ролик</vt:lpstr>
      <vt:lpstr>Подпятник</vt:lpstr>
      <vt:lpstr>Кольцо</vt:lpstr>
      <vt:lpstr>Бандаж</vt:lpstr>
      <vt:lpstr>Сухарь</vt:lpstr>
      <vt:lpstr>Болваны</vt:lpstr>
      <vt:lpstr>Данные</vt:lpstr>
      <vt:lpstr>suhar</vt:lpstr>
      <vt:lpstr>кок_с_буртом</vt:lpstr>
      <vt:lpstr>Марка_мет</vt:lpstr>
      <vt:lpstr>прип.ал</vt:lpstr>
      <vt:lpstr>прип.лат</vt:lpstr>
      <vt:lpstr>прип.ол</vt:lpstr>
      <vt:lpstr>Стац.Болваны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Александр С. Ковалев</dc:creator>
  <dc:description/>
  <cp:lastModifiedBy>Александр С. Ковалев</cp:lastModifiedBy>
  <cp:revision>1</cp:revision>
  <cp:lastPrinted>2024-05-02T04:34:07Z</cp:lastPrinted>
  <dcterms:created xsi:type="dcterms:W3CDTF">2006-09-16T00:00:00Z</dcterms:created>
  <dcterms:modified xsi:type="dcterms:W3CDTF">2024-05-02T05:22:07Z</dcterms:modified>
  <dc:language>ru-RU</dc:language>
</cp:coreProperties>
</file>